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 BEST" sheetId="1" r:id="rId5"/>
    <sheet state="visible" name="БДДС 2026" sheetId="2" r:id="rId6"/>
    <sheet state="visible" name="БДДС 2025" sheetId="3" r:id="rId7"/>
    <sheet state="visible" name="ДИМИНА БОЛЬ" sheetId="4" r:id="rId8"/>
    <sheet state="visible" name="План оплат" sheetId="5" r:id="rId9"/>
    <sheet state="visible" name="Лист19" sheetId="6" r:id="rId10"/>
    <sheet state="visible" name="Сводная" sheetId="7" r:id="rId11"/>
    <sheet state="visible" name="PL 24" sheetId="8" r:id="rId12"/>
    <sheet state="visible" name="PL 25" sheetId="9" r:id="rId13"/>
    <sheet state="visible" name="Зарплатная ведомость" sheetId="10" r:id="rId14"/>
    <sheet state="visible" name="Штат и расходы" sheetId="11" r:id="rId15"/>
    <sheet state="visible" name="CF OLD" sheetId="12" r:id="rId16"/>
    <sheet state="visible" name="Лист20" sheetId="13" r:id="rId17"/>
  </sheets>
  <definedNames>
    <definedName hidden="1" localSheetId="0" name="_xlnm._FilterDatabase">'CF BEST'!$A$8:$O$2880</definedName>
    <definedName hidden="1" localSheetId="9" name="_xlnm._FilterDatabase">'Зарплатная ведомость'!$B$35:$H$543</definedName>
    <definedName hidden="1" localSheetId="10" name="_xlnm._FilterDatabase">'Штат и расходы'!$A$1:$O$29</definedName>
    <definedName hidden="1" localSheetId="11" name="_xlnm._FilterDatabase">'CF OLD'!$A$8:$Q$2917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6">
      <text>
        <t xml:space="preserve">Премия - без НДС
</t>
      </text>
    </comment>
    <comment authorId="0" ref="J2728">
      <text>
        <t xml:space="preserve">009.ru</t>
      </text>
    </comment>
    <comment authorId="0" ref="J1670">
      <text>
        <t xml:space="preserve">farmakopeyka.ru
</t>
      </text>
    </comment>
    <comment authorId="0" ref="J1956">
      <text>
        <t xml:space="preserve">farmakopeyka.ru
</t>
      </text>
    </comment>
    <comment authorId="0" ref="J2203">
      <text>
        <t xml:space="preserve">farmakopeyka.ru
</t>
      </text>
    </comment>
    <comment authorId="0" ref="J2332">
      <text>
        <t xml:space="preserve">farmakopeyka.ru
</t>
      </text>
    </comment>
    <comment authorId="0" ref="J1690">
      <text>
        <t xml:space="preserve">farmakopeyka.ru
</t>
      </text>
    </comment>
    <comment authorId="0" ref="J2714">
      <text>
        <t xml:space="preserve">009.ru</t>
      </text>
    </comment>
    <comment authorId="0" ref="J2325">
      <text>
        <t xml:space="preserve">009.ru</t>
      </text>
    </comment>
    <comment authorId="0" ref="J2549">
      <text>
        <t xml:space="preserve">009.ru</t>
      </text>
    </comment>
    <comment authorId="0" ref="J1812">
      <text>
        <t xml:space="preserve">farmakopeyka.ru
</t>
      </text>
    </comment>
    <comment authorId="0" ref="J2098">
      <text>
        <t xml:space="preserve">farmakopeyka.ru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900">
      <text>
        <t xml:space="preserve">farmakopeyka.ru
</t>
      </text>
    </comment>
    <comment authorId="0" ref="L1642">
      <text>
        <t xml:space="preserve">farmakopeyka.ru
</t>
      </text>
    </comment>
    <comment authorId="0" ref="D61">
      <text>
        <t xml:space="preserve">Премия - без НДС
</t>
      </text>
    </comment>
    <comment authorId="0" ref="L1780">
      <text>
        <t xml:space="preserve">farmakopeyka.ru
</t>
      </text>
    </comment>
    <comment authorId="0" ref="L2019">
      <text>
        <t xml:space="preserve">farmakopeyka.ru
</t>
      </text>
    </comment>
    <comment authorId="0" ref="L1662">
      <text>
        <t xml:space="preserve">farmakopeyka.ru
</t>
      </text>
    </comment>
  </commentList>
</comments>
</file>

<file path=xl/sharedStrings.xml><?xml version="1.0" encoding="utf-8"?>
<sst xmlns="http://schemas.openxmlformats.org/spreadsheetml/2006/main" count="26856" uniqueCount="2333">
  <si>
    <t>ФАКТ</t>
  </si>
  <si>
    <t>Денег на счету</t>
  </si>
  <si>
    <t>Нал</t>
  </si>
  <si>
    <t>Баланс на данный момент в безнале</t>
  </si>
  <si>
    <t>Альфа</t>
  </si>
  <si>
    <t>ОТП</t>
  </si>
  <si>
    <t>Совком</t>
  </si>
  <si>
    <t>долг рост через альфарм</t>
  </si>
  <si>
    <t>Прогноз</t>
  </si>
  <si>
    <t>Нам должны</t>
  </si>
  <si>
    <t>Мы должны</t>
  </si>
  <si>
    <t>Баланс прогнозный</t>
  </si>
  <si>
    <t>Дата</t>
  </si>
  <si>
    <t>статус</t>
  </si>
  <si>
    <t>поступления</t>
  </si>
  <si>
    <t>списания</t>
  </si>
  <si>
    <t>Банк</t>
  </si>
  <si>
    <t>ПЕРИОД</t>
  </si>
  <si>
    <t>НДС</t>
  </si>
  <si>
    <t>НДС ФАКТ</t>
  </si>
  <si>
    <t>Статья</t>
  </si>
  <si>
    <t>Контрагент</t>
  </si>
  <si>
    <t>№ дс</t>
  </si>
  <si>
    <t>Счет</t>
  </si>
  <si>
    <t>Счет от дата</t>
  </si>
  <si>
    <t>Просрочка дней</t>
  </si>
  <si>
    <t>Назначение</t>
  </si>
  <si>
    <t>ОПЛАЧЕНО</t>
  </si>
  <si>
    <t>АльфаБанк</t>
  </si>
  <si>
    <t>июль 2023</t>
  </si>
  <si>
    <t>IT</t>
  </si>
  <si>
    <t>ООО 1С-Битрикс</t>
  </si>
  <si>
    <t>Оплата по счет-заказу №5720598 от 25.07.2023 за права на программы для ЭВМ и сервисы. Без налога (НДС) НДС не облагается</t>
  </si>
  <si>
    <t>Наличные</t>
  </si>
  <si>
    <t>АВГУСТ 2023</t>
  </si>
  <si>
    <t>ПРОЧЕЕ</t>
  </si>
  <si>
    <t>доставка документов</t>
  </si>
  <si>
    <t>РЕАЛИЗАЦИЯ</t>
  </si>
  <si>
    <t xml:space="preserve">ООО РА СА МЕДИА </t>
  </si>
  <si>
    <t>ОПЛАТА ПО СЧЕТУ №18 ОТ 24.07.2023 ЗА ПРОВЕДЕНИЕ РЕКЛАМНОЙ КАМПАНИИ В ИЮНЕ 23Г, ДОГОВОР №РМ-01-06-23 ОТ 01.06.2023, ДС 1 ОТ 01.06.23 СУММА 93672-00 В Т.Ч. НДС (20%) 15612-00</t>
  </si>
  <si>
    <t xml:space="preserve">ООО СТРОНГ АДВЕРТАЙЗИНГ </t>
  </si>
  <si>
    <t>ОПЛ. ПО СЧЕТУ № 22 ОТ 25.08.23 ЗА УСЛУГИ ПО РАЗМЕЩЕНИЮ РЕКЛАМНЫХ МАТЕРИАЛОВ (БРЕНД "ЭРКАФАРМ СЕВЕРО-ЗАПАД"/ "ОЗЕРКИ"). В Т.Ч. НДС 20 % - 234000.00 РУБ.</t>
  </si>
  <si>
    <t>фрилансер</t>
  </si>
  <si>
    <t>школа дайвинга</t>
  </si>
  <si>
    <t>ОРД</t>
  </si>
  <si>
    <t>ООО ОРД-А</t>
  </si>
  <si>
    <t>Идентификационный платеж. НДС не облагается</t>
  </si>
  <si>
    <t>ТРАНЗИТ</t>
  </si>
  <si>
    <t>транзит</t>
  </si>
  <si>
    <t>ООО СТРОНГ АДВЕРТАЙЗИНГ</t>
  </si>
  <si>
    <t>стронг выдача</t>
  </si>
  <si>
    <t>реализация</t>
  </si>
  <si>
    <t>Оплата по счету № 25 от 29.09.23 за услуги по размещению рекламных материалов (бренд "Эркафарм Северо-Запад"/ "Озерки"). В том числе НДС 20 % - 196000.00 рублей.</t>
  </si>
  <si>
    <t>ПРЕМИЯ</t>
  </si>
  <si>
    <t>аккаунт</t>
  </si>
  <si>
    <t>5335941005937933</t>
  </si>
  <si>
    <t xml:space="preserve">физик </t>
  </si>
  <si>
    <t>отрисовка фигмы</t>
  </si>
  <si>
    <t>ОПЛАТА ПО СЧЕТУ №19 ОТ 24.07.2023 ЗА ПРОВЕДЕНИЕ РЕКЛАМНОЙ КАМПАНИИ В ИЮЛЕ 23Г, ДОГОВОР №РМ-01-06-23 ОТ 01.06.2023, ДС 2 ОТ 01.07.23 СУММА 56952-00 В Т.Ч. НДС (20%) 9492-00</t>
  </si>
  <si>
    <t>По счету № 93 от 06 июля 2023 г. Услуги РИТ материалов в сети AdCamp в период 01.07.2023-06.07.2023 на основании Договора № ЭКР-2306236 от 23.06.2023 г В том числе НДС 20%, 3955.00 руб.</t>
  </si>
  <si>
    <t>По счету № 83 от 30 июня 2023 г Услуги РИМ в сети AdCamp в период 25.06.2023-30.06.2023 на основании Договора № ЭКР-2306236 от 23.06.2023 г. В том числе НДС 20%, 6505.00 руб.</t>
  </si>
  <si>
    <t>ПОДРЯДЧИКИ</t>
  </si>
  <si>
    <t>ИП Лукин Евгений Витальевич</t>
  </si>
  <si>
    <t>По счету № 5 от 05 октября 2023 г. Услуги РИМ ОАО "МЮЗ" в сети Интернет по договору No 01/Р/В/23 от 01 сентября 2023 г. за период с 04.09.2023 г. по 30.09.2023 г. НДС не облагается</t>
  </si>
  <si>
    <t>По счету № 597 от 30.09.2023 Услуги по сбору, хранению, обработке и передаче Данных от Поставщика данных в ЕРИР посредством Системы ОРД-А , за сентябрь 2023 г. В том числе НДС 20%, 833.33 руб.</t>
  </si>
  <si>
    <t>БОНУСЫ</t>
  </si>
  <si>
    <t>ООО ПМ</t>
  </si>
  <si>
    <t>4377723766690287 Роман Ц.</t>
  </si>
  <si>
    <t>ФОТ</t>
  </si>
  <si>
    <t>ЗП аккаунту - 5335941005937933</t>
  </si>
  <si>
    <t>Оплата по счету №30 от 09.10.2023 за услуги по размещению РИМ в сентябре 23г, договор №РМ-01-06-23 от 01.06.2023, ДС 4 от 30.08.23 Сумма 345869-10 В т.ч. НДС (20%) 57644-85</t>
  </si>
  <si>
    <t>НАЛОГИ</t>
  </si>
  <si>
    <t>МИ ФНС РОССИИ ПО УПРАВЛЕНИЮ ДОЛГОМ</t>
  </si>
  <si>
    <t>2200 7001 3648 8748</t>
  </si>
  <si>
    <t>7 952 773 3683 - тинек, Роман</t>
  </si>
  <si>
    <t>ООО ДИДЖИТАЛЬНЫЕ ТЕХНОЛОГИИ</t>
  </si>
  <si>
    <t>Оплата по сч 34 от 09.11.2023 за Услуги по аналитич. обзору рек. рынка на территории Узбекистан в нояб 2023 г, согл ДС 2 от 1.11.23 к дог PM-13-07-23 от 13.07.23 Сумма 846913-92 В т.ч. НДС (20%) 141152-32</t>
  </si>
  <si>
    <t>ООО МЕДИА ПЛАТФОРМА</t>
  </si>
  <si>
    <t>По счету № 66 от 09 ноября 2023 г. Услуги по аналитическому обзору рекламного рынка на территории республики Узбекистан в ноябре 2023 года В том числе НДС 20%, 139133.03 руб.</t>
  </si>
  <si>
    <t>Тиньк 79295953914</t>
  </si>
  <si>
    <t>Акимов</t>
  </si>
  <si>
    <t>ОПЛАТА ПО СЧЕТУ №35 ОТ 09.11.2023 ЗА УСЛУГИ ПО РАЗМЕЩЕНИЮ РИМ В ОКТЯБРЕ 23Г, ДОГОВОР №РМ-01-06-23 ОТ 01.06.2023, ДС 6 ОТ 01.10.23 СУММА 796589-10 В Т.Ч. НДС (20%) 132764-85</t>
  </si>
  <si>
    <t>ИП Веерещагин</t>
  </si>
  <si>
    <t>адиндекс По счету № 44 от 15 ноября 2023 г Услуги по информационному и коммуникационному сопровождению согласно Приложению №1 от 31.10.2023 г к Договору №07/1023 от 31 октября 2023г. НДС не облагается</t>
  </si>
  <si>
    <t>ООО САПЕ</t>
  </si>
  <si>
    <t>По счету № БП-468 от 31.10.2023 Услуги в октябре 2023г. доступа к платформе Sape для самостоятельного размещения РИМ, согласно ДОГОВОРА №RTB-29-09/23 от 29.09.2023. В том числе НДС 20%, 4660.98 руб.</t>
  </si>
  <si>
    <t>Дарья</t>
  </si>
  <si>
    <t>ООО ТД Лазурит</t>
  </si>
  <si>
    <t>Илья</t>
  </si>
  <si>
    <t>546956002196517</t>
  </si>
  <si>
    <t>Мария</t>
  </si>
  <si>
    <t>Оплата по счету №38 от 06.12.23 Привлечение целевого действия для клиента "Лазурит". В том числе НДС 20% (78984.42 RUB)</t>
  </si>
  <si>
    <t>По счету №6 от 31.10.2023 Услуги по размещению рекламных материалов ОАО "МЮЗ" в сети Интернет по договору No 01/Р/В/23 от 01 сентября 2023 г. за период с 03.10.2023 г. по 31.10.2023 г НДС не облагается</t>
  </si>
  <si>
    <t>СК ПАРТНЕРСКАЯ</t>
  </si>
  <si>
    <t>По счету № 1344 от 27 октября 2023 г. Премия согласно ДС №1-П от 01.06.2023г к Договору №РМ-01-06-2023 от 01.06.2023 г. Период с 01.06.2023 г по 30.09.2023 г. НДС не облагается</t>
  </si>
  <si>
    <t xml:space="preserve">Глазков Андрей </t>
  </si>
  <si>
    <t>По счету № 49 от 30 ноября 2023. Услуги по сопровождению прикладного и серверного по, технического обслуживанию оборудования согласно Договору № РМ 01-10-2023 от 01.10.2023 НДС не облагается</t>
  </si>
  <si>
    <t>По счету № БП-571 от 30.11.2023. Услуги в ноябре 2023г. доступа к платформе Sape для размещения РИМ, согласно ДОГОВОРА №RTB-29-09/23 от 29.09.2023 В том числе НДС 20%, 5369.59 руб.</t>
  </si>
  <si>
    <t>89169279010 Игорь</t>
  </si>
  <si>
    <t>79067315001</t>
  </si>
  <si>
    <t>7 903 611-83-31 - евгений владимирович Б</t>
  </si>
  <si>
    <t>АПТЕКА</t>
  </si>
  <si>
    <t>ДПД МЕДИА ООО</t>
  </si>
  <si>
    <t>Счет на оплату № 1 от 20 декабря 2023 г. Услуги по размещению рекламных материалов на ресурсах исполнителя, согласно отчету №.1 к договору №25/08/23 от 25 августа 2023 г. за сентябрь 2023 г. НДС не облагается</t>
  </si>
  <si>
    <t>По счету № 48 от 31 октября 2023. Услуги по сопровождению прикладного и серверного по, технического обслуживанию оборудования согласно Договору № РМ 01-10-2023 от 01.10.2023 НДС не облагается</t>
  </si>
  <si>
    <t>Оплата по счету №41 от 11.12.2023 за услуги по размещению РИМ в ноябре 23г, договор №РМ-01-06-23 от 01.06.2023, ДС 7 от 01.11.23 Сумма 866884-20 В т.ч. НДС (20%) 144480-70</t>
  </si>
  <si>
    <t>По счету №9 от 30.11.2023 Услуги по размещению рекламных материалов ОАО "МЮЗ" в сети Интернет по договору No 01/Р/В/23 от 01 сентября 2023 г. за период с 01.11.2023 г. по 30.11.2023 г НДС не облагается</t>
  </si>
  <si>
    <t>По счету № 2528 от 30 ноября 2023 г. Услуги по сбору, хранению, обработке и передаче Данных в ЕРИР посредством Системы ОРД-А , за ноябрь 2023 г. В том числе НДС 20%, 833.33 руб.</t>
  </si>
  <si>
    <t>прочее</t>
  </si>
  <si>
    <t>хостинг - домены</t>
  </si>
  <si>
    <t>ООО ЛАЙОН КОММЬЮНИКЕЙШНЗ</t>
  </si>
  <si>
    <t>Оплата по счету 42 от 13.12.23 за услуги_(билайн), в т.ч. НДС 70000-00</t>
  </si>
  <si>
    <t>Оплата по счету 8 от 16.01.2024 за по пополнение баланса рекламного кабинета для бренда "Кагоцел", январь-март 2024г., ДС№3 от 25 декабря 2023 к дог-ру № PM-13-07-23 Сумма 905883-26 В т.ч. НДС (20%) 150980-54</t>
  </si>
  <si>
    <t>Услуги по пополнению баланса рекламного кабинета Google на территории Республики Узбекистан для проекта "Кагоцел", в период с 1 января 2024 г. по 31 марта 2024 года. В том числе НДС 20%, 137255.04 руб.</t>
  </si>
  <si>
    <t>ООО ПБД</t>
  </si>
  <si>
    <t>По счету № 406 от 31 октября 2023 г. Услуги по формированию и передаче статистического отчета по Заявке №1 от 01.10.23 г. к Договору №Р-3/0723 от 01.07.23 г. В том числе НДС 20%, 20000.00 руб.</t>
  </si>
  <si>
    <t>ООО Вымпелком</t>
  </si>
  <si>
    <t>По счету Счет № AR-17961-1 от 31.10.2023 Услуга ТВ аналитика/клиент Ренессанс банк/Октябрь 2023/ДС № 1 к договору №781093761 от 18 января 2021 г. за октябрь 2023г. В том числе НДС 20%, 20000.00 руб.</t>
  </si>
  <si>
    <t>По счету № 3926 от 31 декабря 2023 г. В том числе НДС 20%, 833.33 руб.</t>
  </si>
  <si>
    <t>ДЕКАБРЬ 2024</t>
  </si>
  <si>
    <t>ООО ТЕЛЕМИР</t>
  </si>
  <si>
    <t>Оплата по счету №7 от 16.01.2024, по ДС № 1 к Дог-ру РМ-28/11-23 от 30.11.2023 за услуги по размещению (распространению) рекламных материалов "Alltime", в период с 01.12.2023г. по 31.12.2023г; договор №ДС № 1</t>
  </si>
  <si>
    <t>ООО Телемир</t>
  </si>
  <si>
    <t>ОПЛАТА ПО СЧЕТУ №6 ОТ 16.01.2024, ПО ДС № 2 К ДОГ-РУ РМ-2811-23 ОТ 01.12.2023 ЗА УСЛУГИ ПО РАЗМЕЩЕНИЮ (РАСПРОСТРАНЕНИЮ) РЕКЛАМНЫХ МАТЕРИАЛОВ "ILE DE BEAUTE", В ПЕРИОД С 01.12.2023Г. ПО 31.12.2023Г; ДОГОВОР №ДС</t>
  </si>
  <si>
    <t>Анна Ким</t>
  </si>
  <si>
    <t>Акимов В</t>
  </si>
  <si>
    <t>Мария О</t>
  </si>
  <si>
    <t>Привлечение целевого действия для клиента «Лазурит», в период с 1 декабря 2023г. по 31 декабря 2023г., согласно доп.соглашению № 4 к Договору PM-21-08-23 от 21.08.23</t>
  </si>
  <si>
    <t>Бельченко</t>
  </si>
  <si>
    <t>январь 2024</t>
  </si>
  <si>
    <t>Оплата по счету №12 от 08.02.2024, по ДС № 2 к Дог-ру № РМ-2811-23 от 01.12.2023 за услуги по размещению (распространению) рекламных материалов "Ile de Beaute", в период с 01.01.2024г. по 31.01.2024г; договор №</t>
  </si>
  <si>
    <t>ПАО МЕГАФОН</t>
  </si>
  <si>
    <t>По счету № 2-1 от 31.01.2024 Оплата за услуги мобильной связи по лицевому счету №233217700845. В том числе НДС 20%, 8016.67 руб</t>
  </si>
  <si>
    <t>По счету № 1-1 от 31.12.2023 Оплата за услуги мобильной связи по лицевому счету №233217700845. В том числе НДС 20%, 8.33 руб.</t>
  </si>
  <si>
    <t>Медиаскаут ООО</t>
  </si>
  <si>
    <t>Идентификационный платеж, согласно п.3.4 Оферты МедиаСкау. В том числе НДС 20%, 1.67 руб.</t>
  </si>
  <si>
    <t>Оплата по счету №13 от 08.02.24 Привлечение целевого действия для клиента "Лазурит" за январь 2024 г. Договор РМ-21-08-23 от 21.08.2023 г. В том числе НДС 20% (73214.96 RUB)</t>
  </si>
  <si>
    <t>Доп расходы</t>
  </si>
  <si>
    <t>Бельченко (корп расходы)</t>
  </si>
  <si>
    <t>ООО АРТ-ПАБЫ</t>
  </si>
  <si>
    <t>Аванс 50% на основании Счет-оферты на оказание услуги № 13/02-2024 от 17 февраля 2024 г. НДС не облагается</t>
  </si>
  <si>
    <t>Люда (?)</t>
  </si>
  <si>
    <t>Кеш ин на мероприятие</t>
  </si>
  <si>
    <t>март 2024</t>
  </si>
  <si>
    <t>креативы</t>
  </si>
  <si>
    <t>Ким</t>
  </si>
  <si>
    <t>Людмила</t>
  </si>
  <si>
    <t>Осадчук</t>
  </si>
  <si>
    <t>ЗАО Орматек</t>
  </si>
  <si>
    <t>ОПЛ. ПО ДОП.СОГЛ. №1 ОТ 12.01.2024 ЗА РЕКЛАМУ ЗА ЯНВАРЬ СЧ 11 ОТ 06.02.2024 СУММА 600000-00В Т.Ч. НДС(20%) 100000-00</t>
  </si>
  <si>
    <t>79206502116 андрей</t>
  </si>
  <si>
    <t>февраль 2024</t>
  </si>
  <si>
    <t>ОПЛ. ПО ДОП.СОГЛ. №2 ОТ 12.02.2024 ЗА РЕКЛАМУ ФЕВРАЛЬ СЧ 14 ОТ 29.02.2024 СУММА 600000-00В Т.Ч. НДС(20%) 100000-00</t>
  </si>
  <si>
    <t>ООО Айти Смарт Компани</t>
  </si>
  <si>
    <t>По счету № 2 от 29 февраля 2024 г. Услуги по формированию и передаче статистических отчетов, посетителей сайтов ООО Программатик Медиа за февраль 2024 г. В том числе НДС 20%, 3898.40 руб.</t>
  </si>
  <si>
    <t>По счету № 1039 от 29 февраля 2024 г. Услуги ОРД в ЕРИР посредством Системы ОРД-А за февраль 2024 г. В том числе НДС 20%, 3333.33 руб.</t>
  </si>
  <si>
    <t>По счету № 174 от 31 января 2024 г. Услуги ОРД в ЕРИР посредством Системы ОРД-А за январь 2024 г. В том числе НДС 20%, 3333.33 руб.</t>
  </si>
  <si>
    <t>ООО ЭМДЖИКОМ</t>
  </si>
  <si>
    <t>Размещение рекламных материалов бренда "М Видео" в сети SIMB-AD, согласно доп.соглашению №2 от 04.12.23 к Договору РМ-01-12-23 от 01.12.23г., с 19.12.2023 по 31.12.2023г.</t>
  </si>
  <si>
    <t>Размещение рекламных материалов бренда "Эльдорадо" в сети SIMB-AD, согласно доп.соглашению 1 от 04.12.23 к Договору РМ-01-12-23 от 01.12.23г., с 19.12.2023 по 31.12.2023г.</t>
  </si>
  <si>
    <t>Мероприятие</t>
  </si>
  <si>
    <t>Репы Акимов</t>
  </si>
  <si>
    <t>Бельченко (астрахань)</t>
  </si>
  <si>
    <t>Оплата по счету №17 от 11.03.24 Привлечение целевого действия для клиента за февраль 2024 г. доп.согл 6 к Договору РМ-21-08-23 от 21.08.2023 г. В том числе НДС 20% (101061.72 RUB)</t>
  </si>
  <si>
    <t xml:space="preserve">Бельченко </t>
  </si>
  <si>
    <t>Бельченко  (акимов)</t>
  </si>
  <si>
    <t>Бельченко аванс</t>
  </si>
  <si>
    <t>ИП КРАСАВИНА ВАРВАРА СЕРГЕЕВНА</t>
  </si>
  <si>
    <t>Сайт</t>
  </si>
  <si>
    <t>ск 1 квартал</t>
  </si>
  <si>
    <t>Фот</t>
  </si>
  <si>
    <t>Страхов</t>
  </si>
  <si>
    <t>2%</t>
  </si>
  <si>
    <t>на основании 1 квартала</t>
  </si>
  <si>
    <t>Оплата по счет-заказу №6333737 от 01.04.2024 за права на программы для ЭВМ и сервисы. Без налога</t>
  </si>
  <si>
    <t>2200701026106366 преза</t>
  </si>
  <si>
    <t>Оплата по счету № 3 от 23.03.24 за оказание услуг по дизайну и разработке сайта. НДС не облагается</t>
  </si>
  <si>
    <t>сайт</t>
  </si>
  <si>
    <t>Бельченко  (астрахань)</t>
  </si>
  <si>
    <t>АО ОРМАТЕК</t>
  </si>
  <si>
    <t>ОПЛ. ПО ДОП.СОГЛ. №3 ОТ 01.03.2024 ЗА РЕКЛАМУ ЗА МАРТ СЧ 30 ОТ 08.04.2024 СУММА 1800000-00В Т.Ч. НДС(20%) 300000-00</t>
  </si>
  <si>
    <t>ООО Р-АДВ</t>
  </si>
  <si>
    <t>Оплата по счёту №26 от 08.04.24г. за размещение рекламных материалов бренда holodilnik.ru в сети SIMB-AD, по ДС № 2 от 04.03.24 к Договору РМ-12-12-23, за март 2024г. Сумма 600000-00 В т.ч. НДС (20%) 100000-00</t>
  </si>
  <si>
    <t>ОПЛ. ПО СЧЁТУ №29 ОТ 08.04.24Г. ЗА РАЗМЕЩЕНИЕ РЕКЛАМНЫХ МАТЕРИАЛОВ БРЕНДА "SON.RU" В СЕТИ SIMB-AD, СОГЛАСНО ДОП.СОГЛАШЕНИЮ 1 ОТ 01.03.24 К ДОГОВОРУ РМ-12-12-23. СУММА 228418-64 В Т.Ч. НДС (20%) 38069-77</t>
  </si>
  <si>
    <t>Презентации  2200701026106366</t>
  </si>
  <si>
    <t>Бельченко (эрка фарм)</t>
  </si>
  <si>
    <t>Квартирник</t>
  </si>
  <si>
    <t>89103883248 Тиньков 26250 руб. 25 шт будет</t>
  </si>
  <si>
    <t>Оплата по счету №32 от 15.04.24 Привлечение целевого действия для клиента "Лазурит В т.ч. НДС 20% на сумму 132439,48</t>
  </si>
  <si>
    <t>апрель 2024</t>
  </si>
  <si>
    <t>аванс</t>
  </si>
  <si>
    <t>доп расходы</t>
  </si>
  <si>
    <t xml:space="preserve">банданы </t>
  </si>
  <si>
    <t>креативы дин рем 2200300518987605 райфайзен</t>
  </si>
  <si>
    <t>5469560021965179 Людмила Сергеевна д.</t>
  </si>
  <si>
    <t>Аванс Бельченко</t>
  </si>
  <si>
    <t>Аванс Элеонора</t>
  </si>
  <si>
    <t>квартирник</t>
  </si>
  <si>
    <t>Вадим репы</t>
  </si>
  <si>
    <t>Услуга ТВ аналитика/клиент Ренессанс банк/Февраль 2024/ДС № 1 к договору №781093761 от ?18? января 2021 г. за период оказания услуг: октябрь 2023г.</t>
  </si>
  <si>
    <t>Бельченко девочки</t>
  </si>
  <si>
    <t>Вебер фотограф</t>
  </si>
  <si>
    <t>Акимов группа и прочее</t>
  </si>
  <si>
    <t>фот</t>
  </si>
  <si>
    <t>доп расходы ПАБ!</t>
  </si>
  <si>
    <t>ООО Диджитал Инспирейшн</t>
  </si>
  <si>
    <t>ОПЛ. ПО СЧЕТУ № 22 ОТ 03.04.2024 ЗА РАЗМЕЩЕНИЕ РЕКЛАМЫ СУММА 720000-12 В Т.Ч. НДС (20%) 120000-02</t>
  </si>
  <si>
    <t>аванс сотрудникам</t>
  </si>
  <si>
    <t>Единый налоговый платеж (страховые взносы). НДС не облагается</t>
  </si>
  <si>
    <t>Единый налоговый платеж (НДФЛ). НДС не облагается</t>
  </si>
  <si>
    <t>Оплата по счету № 9 от 06.02.2024 по договору РМ 01-12-2023 от 01.12.2023 за январь 2024, сумма 916226-44 руб. В т.ч. НДС (20%) 152704-41 руб.</t>
  </si>
  <si>
    <t>АО АЛЬФА-БАНК</t>
  </si>
  <si>
    <t>Погашение процентов по доп. согл. №0BRX4T002 от 280324 в рамках соглашения №0BRX4L от 171123</t>
  </si>
  <si>
    <t>гольф</t>
  </si>
  <si>
    <t>ООО ГОЛЬФТЕХ</t>
  </si>
  <si>
    <t>По Счету №116 от 25 апреля 2024. Товары для гольфа. НДС не облагается</t>
  </si>
  <si>
    <t>Оплата по счет-заказу №6413253 от 01.05.2024 за права на программы для ЭВМ и сервисы. Без налога (НДС)</t>
  </si>
  <si>
    <t>Оплата по счету № 10 от 06.02.2024 по договору РМ 01-12-2023 от 01.12.2023 за январь 2024, сумма 520908-00 руб. В т.ч. НДС (20%) 86818-00 руб.</t>
  </si>
  <si>
    <t>Оплата по счету №21 от 03.04.2024 за услуги по размещению РИМ в марте 24г, договор №РМ-01-06-23 от 01.06.2023, ДС 8 от 01.03.24 Сумма 576922-92 В т.ч. НДС (20%) 96153-82</t>
  </si>
  <si>
    <t>ОПЛ. ПО ДОП.СОГЛ. №4 ОТ 01.04.2024 ЗА РЕКЛАМУ ЗА АПРЕЛЬ СЧ 33 ОТ 27.04.2024 СУММА 800000-00В Т.Ч. НДС(20%) 133333-33</t>
  </si>
  <si>
    <t>1 квартал</t>
  </si>
  <si>
    <t>ндс</t>
  </si>
  <si>
    <t>прибыль</t>
  </si>
  <si>
    <t>Оплата по счёту №45 от 08.05.24г. за размещение рекламных материалов бренда Son.ru в сети SIMB-AD доп.согл. №4 от 01.04.24 к Дог. РМ-12-12-23 от 12.12.23г. за апрель Сумма 128154-82 В т.ч. НДС (20%) 21359-14</t>
  </si>
  <si>
    <t>По счету № 1928 от 31 марта 2024 г Услуги передаче данных в ЕРИР, регистрации Рекламного материала, формированию и присвоению Идентификатора рекламы за март 2024 г. В том числе НДС 20%, 8333.33 руб.</t>
  </si>
  <si>
    <t>По счету № БП-151 от 31.03.2024. Услуги в марте 2024г. доступа к платформе Sape для самостоятельного размещения РМ, согласно ДОГОВОРА №RTB-29-09/23 от 29.09.2023В том числе НДС 20%, 46112.72 руб.</t>
  </si>
  <si>
    <t>По счету № 8 от 25 марта 2024 г. Услуги по информационному сопровождению деятельности Заказчика согласно Приложению №2 от 18.03.2024 г к Договору №07/1023 от 31 октября 2023 г. НДС не облагается</t>
  </si>
  <si>
    <t>По счету № 1 от 16 апреля 2024 г. Услуги по размещению рекламных материалов на ресурсах исполнителя, согласно отчету №.1 к договору №25/08/23 от 25 августа 2023 г. за март 2024 г. НДС не облагается</t>
  </si>
  <si>
    <t>МЕДИА ПЛАТФОРМА ООО</t>
  </si>
  <si>
    <t>По счету № 17 от 10.04.2024 Услуги по закупке CRM, Бренд: ЭркаФарм, Гео: СПб+ ЛО, ЦА: Ж 25 + м, в период с 1 марта 2024 г. по 31 марта 2024 г. включительно В том числе НДС 20%, 91346.13 руб.</t>
  </si>
  <si>
    <t>ООО Дельта План</t>
  </si>
  <si>
    <t>Оплата по счету №27 от 08.04.2024 г. 413064-48 RUB в т.ч. НДС 68844-08</t>
  </si>
  <si>
    <t>Оплата по счету №42 от 08.05.24 за привлечение целевого действия для клиента "Лазурит", за апрель 2024, согласно доп.согл № 8 от 01.04.24г. к Дог. PM-21-08-23 от 21.08.23 В том числе НДС 20% (74962.72 RUB)</t>
  </si>
  <si>
    <t>ГОЛЬФ</t>
  </si>
  <si>
    <t>ООО ЯСНЫЙ СВЕТ</t>
  </si>
  <si>
    <t>По счету №1004403 от 14.05.2024 Кофе-брейк Бизнес для 25-30 чел. НДС не облагается</t>
  </si>
  <si>
    <t>налоги</t>
  </si>
  <si>
    <t>По счету № 11 от 13 марта 2024 г. Услуги РИМ клиентов ООО Программатик Медиа согласно поданным заявкам, в период с 1 февраля 2024 г. по 29 февраля 2024 г. включительно В том числе НДС 20%, 369589.61 руб.</t>
  </si>
  <si>
    <t>проектные</t>
  </si>
  <si>
    <t>баннеры</t>
  </si>
  <si>
    <t>бельченко</t>
  </si>
  <si>
    <t>аванс жанна</t>
  </si>
  <si>
    <t>премия Ким</t>
  </si>
  <si>
    <t>доплаты апрель</t>
  </si>
  <si>
    <t>май 2024</t>
  </si>
  <si>
    <t>корпоратив</t>
  </si>
  <si>
    <t>Оплата по счёту №31 от 10.04.24г. за размещение рекламных материалов бренда holodilnik.ru всети SIMB-AD, по ДС №3 от 01.04.24 к Договору РМ-12-12-23, за апрель 2024г. Сумма 600000-00 В т.ч. НДС (20%) 100000-00</t>
  </si>
  <si>
    <t>Аванс по счету № 69 от 21 мая 2024 г. Услуга организации мероприятий 22 и 24 мая 2024г. НДС не облагается</t>
  </si>
  <si>
    <t>аванс май</t>
  </si>
  <si>
    <t>№ 73 от 25 мая 2024 г Услуга организации мероприятия 27 и 29 мая 2024г. НДС не облагается</t>
  </si>
  <si>
    <t>ООО Лайон Коммьюникейшнз</t>
  </si>
  <si>
    <t>реклама</t>
  </si>
  <si>
    <t>статья на адиндексе</t>
  </si>
  <si>
    <t>Оплата по счету №41 от 07.05.2024 г. 420000-02 RUB в т.ч. НДС 70000-00</t>
  </si>
  <si>
    <t>прочие расходы</t>
  </si>
  <si>
    <t>89933389893 Андрей доработки сайта</t>
  </si>
  <si>
    <t>спонсорство</t>
  </si>
  <si>
    <t>ООО ЭДЛУК</t>
  </si>
  <si>
    <t>ОПЛ. ПО СЧЕТУ №52 ОТ 30.05.2024 В Т.Ч. НДС 20 % - 16666.67 РУБ.</t>
  </si>
  <si>
    <t>ПОДПИСКИ</t>
  </si>
  <si>
    <t>ООО ХЭДХАНТЕР</t>
  </si>
  <si>
    <t>№ 80 от 04 июня 2024 г Услуга организации мероприятия 05 и 07 июня 2024г. НДС не облагается</t>
  </si>
  <si>
    <t>Оплата по счету № 28 от 08.04.2024 по договору РМ 01-12-2023 от 01.12.2023 за март 2024, сумма 176571-85 руб. В т.ч. НДС (20%) 29428-64 руб.</t>
  </si>
  <si>
    <t>Оплата по счету №37 от 06.05.2024 за услуги по размещению РИМ в апреле 24г, договор №РМ-01-06-23 от 01.06.2023, ДС 9 от 01.04.24 Сумма 576922-92 В т.ч. НДС (20%) 96153-82</t>
  </si>
  <si>
    <t>фотограф</t>
  </si>
  <si>
    <t>№ 82 от 09 июня 2024 г Услуга организации мероприятия 10 июня 2024г НДС не облагается</t>
  </si>
  <si>
    <t>АО ПФ СКБ Контур</t>
  </si>
  <si>
    <t>СЧЕТ-ОФЕРТА № 24932911302 от 10.06.2024. Право использования программы для ЭВМ Контур.Диадок , тарифный план 600 документов НДС не облагается</t>
  </si>
  <si>
    <t>креативы (бельченко)</t>
  </si>
  <si>
    <t>ОПЛ. ПО ДОП.СОГЛ. №5 ОТ 02.05.2024 ЗА РЕКЛАМУ МАЙ СЧ 34 ОТ 02.05.2024 СУММА 700000-00В Т.Ч. НДС(20%) 116666-67</t>
  </si>
  <si>
    <t>№ 85 от 12 июня 2024 г. Услуга организации мероприятия 14 июня 2024г НДС не облагается</t>
  </si>
  <si>
    <t>Компенсация при увольнении за неиспользованный отпуск. НДС не облагается</t>
  </si>
  <si>
    <t>Оплата по счету №53 от 04.06.2024, по Дополнительному соглашению № 8 от 01.05.2024 за услуги по размещению (распространению) рекламных материалов "Alltime", в период с 01.05.2024г. по 31.05.2024г</t>
  </si>
  <si>
    <t>Оплата по счету №54 от 04.06.2024, по Дополнительному соглашению № 9 от 01.05.2024 за услуги по размещению (распространению) рекламных материалов "Миркли", в период с 01.05.2024г. по 31.05.2024г;</t>
  </si>
  <si>
    <t>ООО НАИТА</t>
  </si>
  <si>
    <t>№ 194 от 17 июня 2024 г Вода питьевая артезианская негазированная 0,5л ПЭТ стандарт. НДС не облагается</t>
  </si>
  <si>
    <t>№ 93 от 19 июня 2024 г. Услуга организации мероприятия 19 и 21 июня 2024г. НДС не облагается</t>
  </si>
  <si>
    <t>№ 96 от 23 июня 2024 г. Услуга организации мероприятия 24 и 26 июня 2024г. НДС не облагается</t>
  </si>
  <si>
    <t>ООО КОМПАНИЯ СКИФ-КАРГО</t>
  </si>
  <si>
    <t>перевозка воды</t>
  </si>
  <si>
    <t>АВАНС</t>
  </si>
  <si>
    <t>аванс июнь</t>
  </si>
  <si>
    <t>Страховые взносы в Социальный фонд на обязательное социальное страхование от НС и ПЗ за май 2024 года. Регистрационный номер 7704051059. НДС не облагается</t>
  </si>
  <si>
    <t>налоги фот</t>
  </si>
  <si>
    <t>июнь 2024</t>
  </si>
  <si>
    <t>Эля июнь</t>
  </si>
  <si>
    <t>БАННЕРЫ</t>
  </si>
  <si>
    <t>июнь премия</t>
  </si>
  <si>
    <t>№ 98 от 25 июня 2024 Услуга организации мероприятия 28 июня и 01 июля 2024г. НДС не облагается</t>
  </si>
  <si>
    <t>№ 100 от 02 июля 2024 г. Услуга организации мероприятия 03 июля 2024г. НДС не облагается</t>
  </si>
  <si>
    <t>хостинг продление</t>
  </si>
  <si>
    <t>Оплата по счету № 20 от 03.04.2024 по договору РМ 01-12-2023 от 01.12.2023 за март 2024, сумма 1268820-00 руб. В т.ч. НДС (20%) 211470-00 руб.</t>
  </si>
  <si>
    <t>Оплата по счету № 19 от 03.04.2024 по договору РМ 01-12-2023 от 01.12.2023 за март 2024, сумма 1080648-00 руб. В т.ч. НДС (20%) 180108-00 руб.</t>
  </si>
  <si>
    <t>% займ</t>
  </si>
  <si>
    <t>БАНК</t>
  </si>
  <si>
    <t>АО Альфа-Банк</t>
  </si>
  <si>
    <t>№ 38 от 06.05.2024 по договору РМ 01-12-2023 от 01.12.2023 за апрель 2024, сумма 57000-00 руб. В т.ч. НДС (20%) 9500-00 руб.</t>
  </si>
  <si>
    <t>№ 39 от 06.05.2024 по договору РМ 01-12-2023 от 01.12.2023 за апрель 2024, сумма 328965-41 руб. В т.ч. НДС (20%) 54827-57 руб.</t>
  </si>
  <si>
    <t xml:space="preserve">фот </t>
  </si>
  <si>
    <t>Выплаты июнь</t>
  </si>
  <si>
    <t>ОПЛ. ПО ДОП.СОГЛ №6 ОТ 31.05.2024 ЗА РЕКЛАМУ ИЮНЬ СЧ 70 ОТ 04.07.2024 СУММА 226195-20В Т.Ч. НДС(20%) 37699-20</t>
  </si>
  <si>
    <t>Оплата по счету № 47 от 13.05.2024 по договору РМ 01-12-2023 от 01.12.2023 за апрель 2024, сумма 532-38 руб. В т.ч. НДС (20%) 88-73 руб.</t>
  </si>
  <si>
    <t>Оплата по счету № 46 от 13.05.2024 по договору РМ 01-12-2023 от 01.12.2023 за апрель 2024, сумма 5065-44 руб. В т.ч. НДС (20%) 844-24 руб.</t>
  </si>
  <si>
    <t>ОПЛАТА ПО СЧЕТУ №77 ОТ 04.07.2024, ПО ДС № 10 К ДОГ-РУ РМ-28/11-23 ОТ 17.06.2024 ЗА УСЛУГИ ПО РАЗМЕЩЕНИЮ (РАСПРОСТРАНЕНИЮ) РЕКЛАМНЫХ МАТЕРИАЛОВ "BELLEYOU.RU", В ПЕРИОД С 17.06.2024Г. ПО 30.06.2024Г</t>
  </si>
  <si>
    <t>№ 110 от 12 июля 2024 г Услуга организации мероприятия 13 июля 2024г НДС не облагается</t>
  </si>
  <si>
    <t>ООО УАЙТ БОКС МЕДИА</t>
  </si>
  <si>
    <t>Оплата за рекламные услуги по счету №48 от 14.05.2024 Сумма 600000-00 В т.ч. НДС (20%) 100000-00</t>
  </si>
  <si>
    <t>Оплата по счету № 49 от 15.05.2024 по договору РМ 01-12-2023 от 01.12.2023 за апрель 2024, сумма 464655-86 руб. В т.ч. НДС (20%) 77442-64 руб.</t>
  </si>
  <si>
    <t>№ 112 от 15 июля 2024 г Услуга организации мероприятия 15 июля 2024г НДС не облагается</t>
  </si>
  <si>
    <t>ОСФР ПО Г. МОСКВЕ И МОСКОВСКОЙ ОБЛАСТИ</t>
  </si>
  <si>
    <t>Страховые взносы в Социальный фонд на обязательное социальное страхование от НС и ПЗ за июнь 2024 года. Регистрационный номер 7704051059. НДС не облагается</t>
  </si>
  <si>
    <t>№ 5 от 19 июля 2024 г. Услуги по размещению рекламных материалов на ресурсах исполнителя, согласно отчету №.2 к договору №25/08/23 от 25 августа 2023 г. В том числе НДС 20%, 19262.84 руб.</t>
  </si>
  <si>
    <t>ООО "ЦЕНТРАЛЬНАЯ ТИПОГРАФИЯ"</t>
  </si>
  <si>
    <t>Оплата по счету 4959-73874-20240719, от 19.07.24г, заказ № 73874 НДС не облагается</t>
  </si>
  <si>
    <t>июль 2024</t>
  </si>
  <si>
    <t>ООО Сканди Лайн</t>
  </si>
  <si>
    <t>ОПЛ. ПО СЧ.№ 88 ОТ 16.07.2024Г ЗА РАЗМЕЩЕНИЕ РИМ БРЕНДА DRYDRY В СЕТИ SIMB-AD ДОП.СОГЛ.№ 1 К ДОГОВОРУ РМ-09-07-24 ОТ 09.07.2024 СУММА 600000-24 В Т.Ч. НДС (20%) 100000-04</t>
  </si>
  <si>
    <t>ООО Адлабс.ру</t>
  </si>
  <si>
    <t>Оплата по счету № 85 от 10.07.2024 за размещение РИМ за июнь 2024 Сумма 120000-00 В т.ч. НДС (20%) 20000-00</t>
  </si>
  <si>
    <t>Оплата по счету № 44 от 08.05.2024 по договору РМ 01-12-2023 от 01.12.2023 за апрель 2024, сумма 969040-73 руб. В т.ч. НДС (20%) 161506-79 руб</t>
  </si>
  <si>
    <t>Оплата по счету № 43 от 08.05.2024 по договору РМ 01-12-2023 от 01.12.2023 за апрель 2024, сумма 628189-67 руб. В т.ч. НДС (20%) 104698-28 руб.</t>
  </si>
  <si>
    <t>СК 1 квартал 2024</t>
  </si>
  <si>
    <t>СК АГЕНТСКАЯ</t>
  </si>
  <si>
    <t>№ ЭМ-6301 от 30 апреля 2024 г. Премия по Дополнительному соглашению №1 от 1 декабря 2023 г. по Договору №РМ 01-12-2023 от 1 декабря 2023 г. за период с 1 декабря 2023 г. по 31 марта 2024 г. НДС не облагается</t>
  </si>
  <si>
    <t>ОПЛ. ПО СЧ.№ 89 ОТ 16.07.2024Г ЗА РАЗМЕЩЕНИЕ РИМ БРЕНДА DRYDRY В СЕТИ SIMB-AD ДОП.СОГЛ.№ 2 К ДОГОВОРУ РМ-09-07-24 ОТ 09.07.2024 СУММА 600000-24 В Т.Ч. НДС (20%) 100000-04</t>
  </si>
  <si>
    <t>аванс июль</t>
  </si>
  <si>
    <t>Погашение штрафа за неподдержание кредитового оборота 0BRX4L от 171123</t>
  </si>
  <si>
    <t>ООО гольфтех</t>
  </si>
  <si>
    <t>№ 209 от 26 июля 2024 г Мяч для гольфа Bolton, двухкомпонентный, белый (50 мячей) НДС не облагается</t>
  </si>
  <si>
    <t>2 картал</t>
  </si>
  <si>
    <t>К доплате по налогу на прибыль с учётом авансов за 2 квартал + доплата за 2 квартал + первый месяц 3 квартала</t>
  </si>
  <si>
    <t>на основании 2 квартала</t>
  </si>
  <si>
    <t>премия июль</t>
  </si>
  <si>
    <t>премия внешний сейлс</t>
  </si>
  <si>
    <t>Оплата за рекламные услуги по счету №64 от 07.06.2024 Сумма 600000-00 В т.ч. НДС (20%) 100000-00</t>
  </si>
  <si>
    <t>Оплата по счету № 63 от 07.06.2024 по договору РМ 01-12-2023 от 01.12.2023 за май 2024, сумма 364800-00 руб. В т.ч. НДС (20%) 60800-00 руб.</t>
  </si>
  <si>
    <t>Гольф</t>
  </si>
  <si>
    <t>парк</t>
  </si>
  <si>
    <t xml:space="preserve">Фот </t>
  </si>
  <si>
    <t>доплата июль</t>
  </si>
  <si>
    <t>Оплата по счету № 59 от 07.06.2024 по договору РМ 01-12-2023 от 01.12.2023 за май 2024, сумма 182122-02 руб. В т.ч. НДС (20%) 30353-67 руб.</t>
  </si>
  <si>
    <t>Оплата по счету № 57 от 07.06.2024 по договору РМ 01-12-2023 от 01.12.2023 за май 2024, сумма 138264-88 руб. В т.ч. НДС (20%) 23044-15 руб.</t>
  </si>
  <si>
    <t>Оплата по счету № 65 от 11.06.2024 по договору РМ 01-12-2023 от 01.12.2023 за май 2024, сумма 792065-20 руб. В т.ч. НДС (20%) 132010-87 руб.</t>
  </si>
  <si>
    <t>Оплата по счету № 61 от 07.06.2024 по договору РМ 01-12-2023 от 01.12.2023 за май 2024, сумма 540381-80 руб. В т.ч. НДС (20%) 90063-63 руб.</t>
  </si>
  <si>
    <t>Оплата по счету № 58 от 07.06.2024 по договору РМ 01-12-2023 от 01.12.2023 за май 2024, сумма 815905-56 руб. В т.ч. НДС (20%) 135984-26 руб.</t>
  </si>
  <si>
    <t>Оплата по счету № 55 от 07.06.2024 по договору РМ 01-12-2023 от 01.12.2023 за май 2024, сумма 790185-60 руб. В т.ч. НДС (20%) 131697-60 руб.</t>
  </si>
  <si>
    <t>№ 10173 от 18 июня 2024 г № 10173 от 18 июня 2024 г. Премия согласно ДС №1-П от 16.04.2024 и Акту от 23.04.2024, к Договору №РМ 12-12-2023 от 12.12.2023, за период 01.03.2024-31.03.2024г. НДС не облагается</t>
  </si>
  <si>
    <t>№ БП-231 от 31.05.2024 Услуги в мае 2024г. доступа к платформе Sape (https://rtb.sape.ru/) для рекламных материалов, согласно ДОГОВОРА №RTB-29-09/23 от 29.09.2023. В том числе НДС 20%, 24979.24 руб.</t>
  </si>
  <si>
    <t>август 2024</t>
  </si>
  <si>
    <t>№ 128 от 05 августа 2024 г. Услуга организации кейтеринга 07 и 09 августа 2024г.согласно договору № 24/8/21 от 01 мая 2024 г. НДС не облагается</t>
  </si>
  <si>
    <t>№ 129 от 05 августа 2024 г. Услуга организации кейтеринга 02 августа 2024г.согласно договору № 24/8/21 от 01 мая 2024 г. НДС не облагается</t>
  </si>
  <si>
    <t>№ 134 от 13 августа 2024 г. Услуга организации кейтеринга 14 и 16 августа 2024г. согласно договору № 24/8/21 от 01 мая 2024 г. НДС не облагается</t>
  </si>
  <si>
    <t>Оплата по счету №67 от 13.06.24 за привлечение целевого действия для клиента "Лазурит" за май 2024 согласно доп.согл. № 9 от 01.05.24г. к Договору PM-21-08-23 от 21.08.23 В В том числе НДС 20% (79463.64 RUB)</t>
  </si>
  <si>
    <t>Оплата по сч №69 от 04.07.24 за привлечение целевого действия для клиента "Лазурит" согласно доп.соглашению № 10 от 01.05.24г. к Договору PM-21-08-23 от 21.08.23 В В том числе НДС 20% (13508 RUB)</t>
  </si>
  <si>
    <t>ООО ГИ ЦЕНТРАЛЬНАЯ ТИПОГРАФИЯ</t>
  </si>
  <si>
    <t>Оплата заказа № 75246 Открытка 100х100. НДС не облагается</t>
  </si>
  <si>
    <t>Премия за достигнутый Объем заказанных услуг по размещению рекламно-информационных материалов в сети Интернет. декабрь - март НДС не облагается</t>
  </si>
  <si>
    <t>ОПЛАТА ПО СЧЕТУ №102 ОТ 09.08.2024, ПО ДОПОЛНИТЕЛЬНОМУ СОГЛАШЕНИЮ № 13 ОТ 24.07.2024 ЗА УСЛУГИ ПО РАЗМЕЩЕНИЮ (РАСПРОСТРАНЕНИЮ) РЕКЛАМНЫХ МАТЕРИАЛОВ "ПЕРВЫЙ МОБИЛЬНЫЙ", В ПЕРИОД С 24.07.2024Г. ПО 31.07.2024Г. СУ</t>
  </si>
  <si>
    <t>ОПЛАТА ПО СЧЕТУ №104 ОТ 09.08.2024, ПО ДОПОЛНИТЕЛЬНОМУ СОГЛАШЕНИЮ № 11 ОТ 01.07.2024 ЗА УСЛУГИ ПО РАЗМЕЩЕНИЮ (РАСПРОСТРАНЕНИЮ) РЕКЛАМНЫХ МАТЕРИАЛОВ "BELLEYOU.RU", В ПЕРИОД С 01.07.2024Г. ПО 14.07.2024Г.,; ДОГОВ</t>
  </si>
  <si>
    <t>ОПЛАТА ПО СЧЕТУ №103 ОТ 09.08.2024, ПО ДОПОЛНИТЕЛЬНОМУ СОГЛАШЕНИЮ № 12 ОТ 19.07.2024 ЗА УСЛУГИ ПО РАЗМЕЩЕНИЮ (РАСПРОСТРАНЕНИЮ) РЕКЛАМНЫХ МАТЕРИАЛОВ "ALLTIME", В ПЕРИОД С 19.07.2024Г. ПО 25.07.2024Г.; ДОГОВОР №Д</t>
  </si>
  <si>
    <t>Выплата отпускных за август. НДС не облагается</t>
  </si>
  <si>
    <t>Страховые взносы в Социальный фонд на обязательное социальное страхование от НС и ПЗ за июль 2024 года. Регистрационный номер 7704051059. НДС не облагается</t>
  </si>
  <si>
    <t>Услуга организации кейтеринга 19 и 23 августа 2024г.согласно договору № 24/8/21 от 01 мая 2024 г.</t>
  </si>
  <si>
    <t>Оплата по счету № 60 от 07.06.2024 по договору РМ 01-12-2023 от 01.12.2023 67200-00 руб. В т.ч. НДС (20%) 11200-00 руб.</t>
  </si>
  <si>
    <t>Оплата по счету № 96 от 06.08.2024 за размещение РИМ за июль 2024 Сумма 147000-00 В т.ч. НДС(20%) 24500-00</t>
  </si>
  <si>
    <t>Оплата по счету № 95 от 06.08.2024 за размещение РИМ за июль 2024 Сумма 147000-00 В т.ч. НДС(20%) 24500-00</t>
  </si>
  <si>
    <t>Оплата по счету № 94 от 06.08.2024 за размещение РИМ за июль 2024 Сумма 240000-18 В т.ч. НДС(20%) 40000-03</t>
  </si>
  <si>
    <t>ООО РОРЕ Медиа</t>
  </si>
  <si>
    <t>ОПЛАТА ПО СЧЕТУ 86 ОТ 10.07.24 ЗА УСЛУГИ_(RU8434_PMX_RUSSIA), В Т.Ч. НДС 3252-90</t>
  </si>
  <si>
    <t>№ 138 от 26 августа 2024 г. Услуга организации кейтеринга 26 и 30 августа 2024г.согласно договору № 24/8/21 от 01. НДС не облагается</t>
  </si>
  <si>
    <t>№ 140 от 27 августа 2024 г. Услуга организации кейтеринга 28 августа 2024г. согласно договору № 24/8/21 от 01 мая 2024 г. НДС не облагается</t>
  </si>
  <si>
    <t>ООО А.А.И.</t>
  </si>
  <si>
    <t>№ 493 от 24 июля 2024 г Написание и размещение информационного пресс-релиза. НДС не облагается</t>
  </si>
  <si>
    <t>№ 24652 от 30 июня 2024 г Услуги по обработке рекламной информации ОРД. за июнь 2024 г. В том числе НДС 20%, 11319.23 руб.</t>
  </si>
  <si>
    <t>№ 20216 от 31 мая 2024 г. Услуги по обработке рекламной информации ОРД. за май 2024 г. 2024 г. В том числе НДС 20%, 8270.66 руб</t>
  </si>
  <si>
    <t>№ 29087 от 31 июля 2024 г. Услуги по обработке рекламной информации ОРД. за июнь 2024 г. В том числе НДС 20%, 2375.50 руб.</t>
  </si>
  <si>
    <t>ОПТ Банк</t>
  </si>
  <si>
    <t>АО ОТП БАНК</t>
  </si>
  <si>
    <t>Плата за пакет услуг. НДС не облагается.</t>
  </si>
  <si>
    <t>сентябрь 2024</t>
  </si>
  <si>
    <t>Оплата по счету № 72 от 04.07.2024 по договору РМ 01-12-2023 от 01.12.2023 за июнь 2024, сумма 96900-00 руб. В т.ч. НДС (20%) 16150-00 руб.</t>
  </si>
  <si>
    <t>Оплата по счету № 73 от 04.07.2024 по договору РМ 01-12-2023 от 01.12.2023 за июнь 2024, сумма 6720-00 руб. В т.ч. НДС (20%) 1120-00 руб</t>
  </si>
  <si>
    <t>конференция</t>
  </si>
  <si>
    <t>МЕРОПРИЯТИЯ</t>
  </si>
  <si>
    <t>ООО Р-КОНФ</t>
  </si>
  <si>
    <t>премия август</t>
  </si>
  <si>
    <t>ИП Красавина</t>
  </si>
  <si>
    <t>ООО БС ГРУПП МЕРЧ</t>
  </si>
  <si>
    <t>№ 6931 от 06 сентября 2024 г. Бумажные браслеты НДС не облагается</t>
  </si>
  <si>
    <t>ООО Дельта-план</t>
  </si>
  <si>
    <t>директору парка</t>
  </si>
  <si>
    <t>расходы Насти</t>
  </si>
  <si>
    <t>фигма</t>
  </si>
  <si>
    <t>nic.ru</t>
  </si>
  <si>
    <t>пополнение баланса хостинга</t>
  </si>
  <si>
    <t>Оплата по счету № 71 от 04.07.2024 по договору РМ 01-12-2023 от 01.12.2023 за июнь 2024, сумма 6644-87 руб. В т.ч. НДС (20%) 1107-48 руб.</t>
  </si>
  <si>
    <t>Оплата по счету № 74 от 04.07.2024 по договору РМ 01-12-2023 от 01.12.2023 за июнь 2024, сумма 88087-86 руб. В т.ч. НДС (20%) 14681-31 руб.</t>
  </si>
  <si>
    <t>Оплата по счету № 76 от 04.07.2024 по договору РМ 01-12-2023 от 01.12.2023 за июнь 2024, сумма 78160-68 руб. В т.ч. НДС (20%) 13026-78 руб.</t>
  </si>
  <si>
    <t>отправка документов</t>
  </si>
  <si>
    <t>дизайн презентации (бельченко)</t>
  </si>
  <si>
    <t>сертификаты</t>
  </si>
  <si>
    <t>Оплата по счету №117 от 06.09.2024, по Дополнительному соглашению № 16 от 01.08.2024 за услуги по размещению (распространению) рекламных материалов "ТБМ Маркет", в период с 01.08.2024г. по 05.08.2024г.; договор</t>
  </si>
  <si>
    <t>Оплата по счету №114 от 05.09.2024, по Дополнительному соглашению № 14 от 01.08.2024 за услуги по размещению (распространению) рекламных материалов "belleyou.ru", в период с 01.08.2024г. по 31.08.2024г; договор</t>
  </si>
  <si>
    <t>Оплата по счету №112 от 05.09.2024, по Дополнительному соглашению № 15 от 01.08.2024 за услуги по размещению (распространению) рекламных материалов "Первый мебельный", в период с 01.08.2024г. по 08.08.2024г Су</t>
  </si>
  <si>
    <t xml:space="preserve">ИП Баранов </t>
  </si>
  <si>
    <t>Баннеры август</t>
  </si>
  <si>
    <t>премия сентябрь</t>
  </si>
  <si>
    <t>Оплата по счету № 62 от 07.06.2024 по договору РМ 01-12-2023 от 01.12.2023 за май 2024, сумма 463712-06 руб. В т.ч. НДС (20%) 77285-34 руб.</t>
  </si>
  <si>
    <t>Оплата по счету № 87 от 15.07.2024 по договору РМ 01-12-2023 от 01.12.2023 за июнь 2024, сумма 182570-11 руб. В т.ч. НДС (20%) 30428-35 руб.</t>
  </si>
  <si>
    <t>ОПЛАТА ПО СЧЕТУ №113 ОТ 05.09.2024, ПО ДОПОЛНИТЕЛЬНОМУ СОГЛАШЕНИЮ № 17 ОТ 02.08.2024 ЗА УСЛУГИ ПО РАЗМЕЩЕНИЮ (РАСПРОСТРАНЕНИЮ) РЕКЛАМНЫХ МАТЕРИАЛОВ "ALLTIME", В ПЕРИОД С 02.08.2024Г. ПО 31.08.2024Г.; ДОГОВОР №Д</t>
  </si>
  <si>
    <t>ОПЛАТА ПО СЧЕТУ №116 ОТ 06.09.2024, ПО ДОПОЛНИТЕЛЬНОМУ СОГЛАШЕНИЮ № 18 ОТ 20.08.2024 ЗА УСЛУГИ ПО РАЗМЕЩЕНИЮ (РАСПРОСТРАНЕНИЮ) РЕКЛАМНЫХ МАТЕРИАЛОВ "NOONE.RU", В ПЕРИОД С 20.08.2024Г. ПО 23.08.2024Г; ДОГОВОР №Д</t>
  </si>
  <si>
    <t>ИП Костюкова Елена Олеговна</t>
  </si>
  <si>
    <t>№ 1479 от 19 сентября 2024 г Шоколадные плитки 5гр, брендированные. НДС не облагается</t>
  </si>
  <si>
    <t>СК</t>
  </si>
  <si>
    <t>Антон</t>
  </si>
  <si>
    <t>ск сандос</t>
  </si>
  <si>
    <t>ИП Тихонин Кирилл Юрьевич</t>
  </si>
  <si>
    <t>Оплата по счет-договор №17276/27179 от 20.09.2024 г услуги по прокату мебели и сопутствующего оборудования. НДС не облагается</t>
  </si>
  <si>
    <t>антон</t>
  </si>
  <si>
    <t>бонус за "ноги"</t>
  </si>
  <si>
    <t>ООО "ОКТАХРОМ"</t>
  </si>
  <si>
    <t>№ 8937 от 23 сентября 2024 г печать буклетов. НДС не облагается</t>
  </si>
  <si>
    <t>Оплата по счету № 115 от 06.09.2024 за размещение РИМ за авг. 2024 Сумма 1547000-00 В т.ч. НДС(20%) 257833-33</t>
  </si>
  <si>
    <t>ООО "РПК "ПЛЕЙС ПРИНТ"</t>
  </si>
  <si>
    <t>№ 1579 от 23 сентября 2024 г. Баннерный стенд Ролл ап Стандарт. В том числе НДС 20%, 1830.00 руб.</t>
  </si>
  <si>
    <t>подготовка печатки и роликов</t>
  </si>
  <si>
    <t>покупки в магазинах</t>
  </si>
  <si>
    <t>аванс сентябрь</t>
  </si>
  <si>
    <t>ОПЛАТА ПО СЧЕТУ 107 ОТ 19.08.24 ЗА УСЛУГИ_(RU8434_PMX_RUSSIA), В Т.Ч. НДС 60495-26</t>
  </si>
  <si>
    <t>Оплата по счету 98 от 07.08.24 за услуги_(Haleon (Хелскер)), в т.ч. НДС 200000-01</t>
  </si>
  <si>
    <t>Единый налоговый платеж (авансовый платеж по налогу на прибыль за 3 кв 24г.). НДС не облагается</t>
  </si>
  <si>
    <t>Оплата по счету № 123 от 10.09.2024 за размещение РИМ за авг. 2024 Сумма 210000-00 В т.ч. НДС(20%) 35000-00</t>
  </si>
  <si>
    <t>№ 41 от 17.07.2024. Услуги по РРМ клиентов ООО Программатик Медиа согласно поданным заявкам, в период с 1 мая 2024г. по 31 мая 2024г. включительно В том числе НДС 20%, 333333.33 руб.</t>
  </si>
  <si>
    <t>бонусы 3 кв</t>
  </si>
  <si>
    <t>ск берлин</t>
  </si>
  <si>
    <t>Берлин</t>
  </si>
  <si>
    <t>Оплата по счету № 124 от 10.09.2024 за размещение РИМ за авг. 2024 Сумма 360000-06 В т.ч. НДС(20%) 60000-01</t>
  </si>
  <si>
    <t>ООО "МАНГО ТЕЛЕКОМ"</t>
  </si>
  <si>
    <t>Оплата телекоммуникационных услуг связи по Счету ММС#410004000 от 07.10.2024г. Номер лицевого счета 16711632 В том числе НДС 20%, 2500.00 руб.</t>
  </si>
  <si>
    <t>доплата</t>
  </si>
  <si>
    <t>ОМД НОВУС ООО</t>
  </si>
  <si>
    <t>Оплата за услуги по сч. 99 от 07.08.24, 100 от 07.08.24, 101 от 07.08.24 Сумма 1650030-48 В т.ч. НДС (20%) 275005-08</t>
  </si>
  <si>
    <t>Дима+ денис</t>
  </si>
  <si>
    <t>расходы</t>
  </si>
  <si>
    <t>ООО КОМУС</t>
  </si>
  <si>
    <t>ПО Счёту №0VT/2120158/54626954 от 14.10.2024. В том числе НДС 20%, 596.46 руб.</t>
  </si>
  <si>
    <t>курьер</t>
  </si>
  <si>
    <t>доставка догвооров 3 точки</t>
  </si>
  <si>
    <t>№ 42 от 17.07.2024. Услуги по размещению РМ клиентов ООО Программатик Медиа согласно поданным заявкам, в период с 1 июня 2024г. по 30 июня 2024г. включительно В том числе НДС 20%, 116836.84 руб.</t>
  </si>
  <si>
    <t>Оплата по счету № 56 от 07.06.2024 по договору РМ 01-12-2023 от 01.12.2023 за май 2024, сумма 459123-84 руб. В т.ч. НДС (20%) 76520-64 руб.</t>
  </si>
  <si>
    <t>Оплата по счету №133 от 04.10.2024, по ДС № 21 к Дог-ру РМ-28/11-23 от 04.09.2024 за услуги по размещению (распространению) рекламных материалов "Alltime", в период с 04.09.2024г. по 30.09.2024г.; договор №ДС</t>
  </si>
  <si>
    <t>Оплата по счету №132 от 04.10.2024, по ДС № 20 к Дог-ру РМ-28/11-23 от 03.09.2024 за услуги по размещению (распространению) рекламных материалов "mebel169.ru", в период с 03.09.2024г. по 30.09.2024г; договор</t>
  </si>
  <si>
    <t>Оплата по счету № 125 от 11.09.2024 за размещение РИМ за август 2024 Сумма 210000-00 В т.ч. НДС(20%) 35000-00</t>
  </si>
  <si>
    <t>Баннеры</t>
  </si>
  <si>
    <t>ИП Баранов</t>
  </si>
  <si>
    <t>баннеры сентябрь</t>
  </si>
  <si>
    <t>СК 2 квартал</t>
  </si>
  <si>
    <t>фриланс</t>
  </si>
  <si>
    <t>программист</t>
  </si>
  <si>
    <t>аванс октябрь</t>
  </si>
  <si>
    <t>хостинг</t>
  </si>
  <si>
    <t>оформление долей</t>
  </si>
  <si>
    <t>Единый налоговый платеж (НДС за 3 квартал 2024). НДС не облагается</t>
  </si>
  <si>
    <t>Единый налоговый платеж (налог на прибыль). НДС не облагается</t>
  </si>
  <si>
    <t>смс</t>
  </si>
  <si>
    <t>ООО КВАЗАР ЛИМИТЕД</t>
  </si>
  <si>
    <t>%</t>
  </si>
  <si>
    <t>Макаров</t>
  </si>
  <si>
    <t>% по кредиту 25% годовых 1 месяц на сумму 1437715</t>
  </si>
  <si>
    <t>Оплата за рекламные услуги по счету №78 от 04.07.2024 Сумма 441000-00 В т.ч. НДС (20%) 73500-00</t>
  </si>
  <si>
    <t>Оплата по счету 92 от 05.08.24 за услуги_(Сандоз), в т.ч. НДС 525000-00</t>
  </si>
  <si>
    <t>ОПЛ. ПО СЧЕТУ № 105 ОТ 12.08.2024 ЗА РАЗМЕЩЕНИЕ РЕКЛАМЫ СУММА 36000-00 В Т.Ч. НДС (20%) 6000-00</t>
  </si>
  <si>
    <t>ОПЛ. ПО СЧЕТУ № 134 ОТ 07.10.2024 ЗА РАЗМЕЩЕНИЕ РЕКЛАМЫ СУММА 1049640-00 В Т.Ч. НДС (20%) 174940-00</t>
  </si>
  <si>
    <t>ООО ДПД Медиа</t>
  </si>
  <si>
    <t>МАЙ ПЕРФОМАНС ЭЙДЖЕНСИ ООО</t>
  </si>
  <si>
    <t>Оплата по счету 118 от 10.09.24 за размещение рекламных материалов бренда Sopharma в сети SIMB-AD согл. ДС 1 к дог. РМ-01-07-2023 от 13.07.23г., с 09.08.-31.08.24 Сумма 462000-00 В т.ч. НДС(20%) 77000-00</t>
  </si>
  <si>
    <t>Оплата по счету № 141 от 07.10.2024 за размещение РИМ за сент. 2024 Сумма 480000-00 В т.ч. НДС(20%) 80000-00</t>
  </si>
  <si>
    <t>Оплата по счету № 142 от 07.10.2024 за размещение РИМ за сент. 2024 Сумма 273000-00 В т.ч. НДС(20%) 45500-00</t>
  </si>
  <si>
    <t>Оплата по счету № 143 от 07.10.2024 за размещение РИМ за сент. 2024 Сумма 273000-00 В т.ч. НДС(20%) 45500-00</t>
  </si>
  <si>
    <t>Оплата по счету № 152 от 14.10.2024 за размещение РИМ за сент. 2024 Сумма 1932000-00 В т.ч. НДС(20%) 322000-00</t>
  </si>
  <si>
    <t>Оплата по счету № 148 от 09.10.2024 за размещение РИМ за сент. 2024 Сумма 295081-92 В т.ч. НДС(20%) 49180-32</t>
  </si>
  <si>
    <t>Оплата по счету №131 от 04.10.2024, по ДС № 19 к Дог-ру РМ-28/11-23 от 30.08.2024 за услуги по размещению (распространению) рекламных материалов "belleyou.ru", в период с 01.09.2024г. по 09.09.2024г.,; договор</t>
  </si>
  <si>
    <t>ООО МЕГАБАЙТ</t>
  </si>
  <si>
    <t>Оплата по сч.№ 155 от 14.10.2024 за размещение рекламных материалов бренда Дексонал в сети SIMB-AD сент. 2024г. Сумма 546000-00 В т.ч. НДС (20%) 91000-00</t>
  </si>
  <si>
    <t>Оплата по сч.№ 154 от 14.10.2024 за размещение рекламных материалов бренда Венарус в сети SIMB-AD сент. 2024г. Сумма 560280-00 В т.ч. НДС (20%) 93380-00</t>
  </si>
  <si>
    <t>Налоги фот</t>
  </si>
  <si>
    <t>ООО Актион-пресс</t>
  </si>
  <si>
    <t>Оплата по счету №519457386 от 30.10.2024, 3304501701</t>
  </si>
  <si>
    <t>премия октябрь</t>
  </si>
  <si>
    <t>корп расходы</t>
  </si>
  <si>
    <t>ПРЕДСТАВИТЕЛЬСКИЕ</t>
  </si>
  <si>
    <t>Бельченко, Мошков</t>
  </si>
  <si>
    <t>берлин ск</t>
  </si>
  <si>
    <t>нотариус</t>
  </si>
  <si>
    <t>офис</t>
  </si>
  <si>
    <t>ОФИС</t>
  </si>
  <si>
    <t>ИП Юдина ЕА</t>
  </si>
  <si>
    <t>Арендный платеж по Договору АРЕНДЫ НЕЖИЛОГО ПОМЕЩЕНИЯ № 02-11/2024 от 02.11.2024. НДС не облагается</t>
  </si>
  <si>
    <t>Обеспечительный платеж по договору АРЕНДЫ НЕЖИЛОГО ПОМЕЩЕНИЯ № 02-11/2024 от 02.11.2024. НДС не облагается</t>
  </si>
  <si>
    <t>отпускные Жанна</t>
  </si>
  <si>
    <t>ООО ВК ЦИФРОВЫЕ ТЕХНОЛОГИИ</t>
  </si>
  <si>
    <t>СЧЕТ (INVOICE) № 36349-БИЗ-7703170 от 07.11.2024 г. Предоставление права использования Сервисов согласно Лицензионному соглашению по проекту БИЗ-7703170. Пополнение лицевого баланса НДС не облагается</t>
  </si>
  <si>
    <t>ООО АДВЕРТАЙЗИНГ КОММУНИКЕЙШН ЦЕНТР</t>
  </si>
  <si>
    <t>38003 от 30 сентября 2024 г. Услуги по обработке рекламной информации ОРД. за сентябрь 2024 г. В том числе НДС 20%, 6860.66 руб.</t>
  </si>
  <si>
    <t>РАЗРАБОТКА</t>
  </si>
  <si>
    <t>ИП Юматов</t>
  </si>
  <si>
    <t>№ 167 от 14 октября 2024 г Услуги по разработке дизайн макетов и frontend части информационных системы согласно Приложению №2 к Договору 09/10-24 от 09.10.2024г. НДС не облагается</t>
  </si>
  <si>
    <t>ск 1 2 кв 2024</t>
  </si>
  <si>
    <t>240919-00000000005</t>
  </si>
  <si>
    <t>АГЕНТСТВО САПЕ ООО</t>
  </si>
  <si>
    <t>БП-405</t>
  </si>
  <si>
    <t>БП-405 от 31.08.2024. Услуги в августе 2024г. по предоставлению доступа к платформе Sape (https://rtb.sape.ru/), согласно ДОГОВОРА №RTB-29-09/23 от 29.09.2023 В том числе НДС 20%, 529.87 руб.</t>
  </si>
  <si>
    <t>ск сандоз</t>
  </si>
  <si>
    <t>билеты кипелов</t>
  </si>
  <si>
    <t>сертификат андрей</t>
  </si>
  <si>
    <t>СК 3 квартал</t>
  </si>
  <si>
    <t>ИП Пугачев</t>
  </si>
  <si>
    <t>Оплата услуг по поиску и привлечению клиентов согласно Договору об оказании услуг No РМ-07-24 от 15.07.2024 г.</t>
  </si>
  <si>
    <t>HH</t>
  </si>
  <si>
    <t>ООО Хэдхантер</t>
  </si>
  <si>
    <t>Право использования программы для ЭВМ «Контур.Диадок», тарифный план «600 документов»</t>
  </si>
  <si>
    <t>Страховые взносы в Социальный фонд на обязательное социальное страхование от НС и ПЗ за октябрь 2024 года. Регистрационный номер 7704051059. НДС не облагается</t>
  </si>
  <si>
    <t>Оплата по счету № 144 от 07.10.2024 за размещение рекламы Сумма 2100000-00 В т.ч. НДС (20%) 350000-00</t>
  </si>
  <si>
    <t>ООО А.А.И</t>
  </si>
  <si>
    <t>№ 720 от 12 ноября 2024 г. Размещение 1 (одной) рекламной или информационной публикации на сайте в разделе Кейсы НДС не облагается</t>
  </si>
  <si>
    <t>подарки</t>
  </si>
  <si>
    <t>ИП САВАСТРУ ЮРИЙ АЛЕКСЕЕВИЧ</t>
  </si>
  <si>
    <t>Платеж по счету № 482400746529 от 20.11.24. Плед вязаный трикотаж 77 шт НДС не облагается</t>
  </si>
  <si>
    <t>октябрь 2024</t>
  </si>
  <si>
    <t>ОПЛАТА ПО СЧЕТУ №164 ОТ 08.11.2024, ДС № 23 ОТ 01.10.24 К ДОГОВОРУ PM-28/11-23 ОТ 28.11.2023 ЗА УСЛУГИ ПО РАЗМЕЩЕНИЮ РЕКЛАМНЫХ МАТЕРИАЛОВ "ПЕРВЫЙ МЕБЕЛЬНЫЙ", В ПЕРИОД С 01.10.2024Г. ПО 28.10.2024Г; ДОГОВОР №ДС</t>
  </si>
  <si>
    <t>ОПЛАТА ПО СЧЕТУ №165 ОТ 08.11.2024, ПО ДС № 22 К ДОГ-РУ РМ-28/11-23 ОТ 01.10.2024 ЗА УСЛУГИ ПО РАЗМЕЩЕНИЮ (РАСПРОСТРАНЕНИЮ) РЕКЛАМНЫХ МАТЕРИАЛОВ "MEBEL169.RU", В ПЕРИОД С 01.10.2024Г. ПО 08.10.2024Г.; ДОГОВОР</t>
  </si>
  <si>
    <t>озон сертификаты</t>
  </si>
  <si>
    <t>ООО Сайтсинг</t>
  </si>
  <si>
    <t>Оплата по сч.№ 126 от 11.09.2024г. за размещение РИМСумма 600000-00В т.ч. НДС(20%) 100000-00</t>
  </si>
  <si>
    <t>ОПЛ. ПО СЧ.№ 166 ОТ 08.11.2024Г ЗА РАЗМЕЩЕНИЕ РИМ БРЕНДА DRYDRY В СЕТИ SIMB-AD ДОП.СОГЛ.№ 3 К ДОГОВОРУ РМ-09-07-24 ОТ 09.07.2024 СУММА 180000-00 В Т.Ч. НДС (20%) 30000-00</t>
  </si>
  <si>
    <t>ремонт офис</t>
  </si>
  <si>
    <t>материалы</t>
  </si>
  <si>
    <t>кабеля, гофры, розеткки вне сметы</t>
  </si>
  <si>
    <t>Оплата за услуги по сч. 108 от 03.09.24, 109 от 03.09.24, 110 от 03.09.24 Сумма 1650030-48 В т.ч. НДС (20%) 275005-08</t>
  </si>
  <si>
    <t>АДЛАБС.РУ ООО</t>
  </si>
  <si>
    <t>Оплата по счету № 168 от 12.11.2024 за размещение РИМ за окт. 2024 Сумма 304917-90 В т.ч. НДС(20%) 50819-65</t>
  </si>
  <si>
    <t>Оплата по счетам 121, 122 от 10.09.24 за услуги_(Сандоз), в т.ч. НДС 976614-52</t>
  </si>
  <si>
    <t>Аванс ноябрь</t>
  </si>
  <si>
    <t>Оплата по счету № 169 от 12.11.2024 за размещение РИМ за окт. 2024 Сумма 627529-98 В т.ч. НДС(20%) 104588-33</t>
  </si>
  <si>
    <t>Оплата по счету № 170 от 12.11.2024 за размещение РИМ за окт. 2024 Сумма 203456-40 В т.ч. НДС(20%) 33909-40</t>
  </si>
  <si>
    <t>Оплата по счету № 171 от 14.11.2024 за размещение РИМ за окт. 2024 Сумма 133512-12 В т.ч. НДС(20%) 22252-02</t>
  </si>
  <si>
    <t>Оплата по счету № 187 от 15.11.2024 за размещение РИМ за окт. 2024 Сумма 1932000-00 В т.ч. НДС(20%) 322000-00</t>
  </si>
  <si>
    <t>Единый налоговый платеж (авансовый платеж по налогу на прибыль). НДС не облагается</t>
  </si>
  <si>
    <t>рестик с роре</t>
  </si>
  <si>
    <t>ООО РОРЕ МЕДИА</t>
  </si>
  <si>
    <t>ОПЛАТА ПО СЧЕТУ 156 ОТ 18.10.24 ЗА УСЛУГИ_(RU8434_PMX_RUSSIA), В Т.Ч. НДС 123025-00</t>
  </si>
  <si>
    <t>Оплата по счету № 163 от 08.11.2024 за размещение рекламы Сумма 2100000-00 В т.ч. НДС (20%) 350000-00</t>
  </si>
  <si>
    <t>Оплата по счету № 184 от 14.11.2024 за размещение рекламы Сумма 1800120-00 В т.ч. НДС (20%) 300020-00</t>
  </si>
  <si>
    <t>Лев</t>
  </si>
  <si>
    <t>ДОЛГ</t>
  </si>
  <si>
    <t>ИП Гаврилова Аурика Владимировна</t>
  </si>
  <si>
    <t>БП-539</t>
  </si>
  <si>
    <t>ХЕАЛС МЕДИА ООО</t>
  </si>
  <si>
    <t>Оплата по счету 147 от 08.10.2024, Услуги по размещению на медиаэкранах в аптечных учреждениях информационных видеоматериалов бренда "НСПК", период с 16.09.24.-30.09.24 Сумма 432507-50 В т.ч. НДС (20%) 72084-58</t>
  </si>
  <si>
    <t>Иванова расчет</t>
  </si>
  <si>
    <t>Выплата заработной платы и компенсации при увольнении. НДС не облагается</t>
  </si>
  <si>
    <t>ремонт</t>
  </si>
  <si>
    <t>билет на елку</t>
  </si>
  <si>
    <t>Корп расходы</t>
  </si>
  <si>
    <t>Ноябрь</t>
  </si>
  <si>
    <t>ноябрь</t>
  </si>
  <si>
    <t>Антон август</t>
  </si>
  <si>
    <t>пакеты + печать</t>
  </si>
  <si>
    <t>Оплата по счету 130 от 04.10.24 за размещение рекламных материалов бренда Sopharma в сети SIMB-AD согл. ДС 2 к дог. РМ-01-07-2023 от 13.07.23г., с 01.09.-08.09.24 Сумма 138035-94 В т.ч. НДС(20%) 23005-99</t>
  </si>
  <si>
    <t>Алко</t>
  </si>
  <si>
    <t>ноябрь 2024</t>
  </si>
  <si>
    <t>Страховые взносы в Социальный фонд на обязательное социальное страхование от НС и ПЗ за ноябрь 2024 года. Регистрационный номер 7704051059. НДС не облагается</t>
  </si>
  <si>
    <t>берлин</t>
  </si>
  <si>
    <t>Сандоз</t>
  </si>
  <si>
    <t>СК 3 квартал 2024</t>
  </si>
  <si>
    <t>24-02385</t>
  </si>
  <si>
    <t>Премия в соответствии с протоколом № 2 от 30.09.2024г. к Дополнительному соглашению о выплате премии от 03.06.2024г. к Договору № РМ-03-06-2024 от 03.06.2024г. за спериод с 01.07.2024 по 30.09.2024г.</t>
  </si>
  <si>
    <t>ЭМ-14468</t>
  </si>
  <si>
    <t>ООО ЭМЭМЭС КОММЬЮНИКЕЙШНЗ</t>
  </si>
  <si>
    <t>налог ПМ</t>
  </si>
  <si>
    <t>Комиссия за перевод в рублях по Системе N 283 от 20.12.2024 Согл.тариф.Банка НДС не облаг. ООО "Программатик Медиа"</t>
  </si>
  <si>
    <t>Оплата по сч.№ 198 от 10.12.2024 за размещение рекламных материалов бренда Кагоцел в сети SIMB-AD нояб. 2024г. Сумма 630000-00 В т.ч. НДС (20%) 105000-00</t>
  </si>
  <si>
    <t>Оплата по сч.№ 206 от 10.12.2024 за размещение рекламных материалов бренда Дексонал в сети SIMB-AD нояб. 2024г. Сумма 575820-00 В т.ч. НДС (20%) 95970-00</t>
  </si>
  <si>
    <t>Свиридова Патрисия</t>
  </si>
  <si>
    <t>бонус ноябрь\декабрь</t>
  </si>
  <si>
    <t>Оплата по счету 157 от 18.10.2024 г. за размещение РИМ в сети Интернет, согл. ДС 3 от 30.08.2024, Договор №РМ-01-07-23 от 13.07.2023 г. 01.09.2024-30.09.2024 Сумма 366000-00 В т.ч. НДС(20%) 61000-00</t>
  </si>
  <si>
    <t>ООО АЙТИ-СЕРВИС</t>
  </si>
  <si>
    <t>Аванс декабрь</t>
  </si>
  <si>
    <t>курьер документ и подарки</t>
  </si>
  <si>
    <t>ООО АГЕНТСТВО РОКИ</t>
  </si>
  <si>
    <t>Основная декабрь</t>
  </si>
  <si>
    <t>премия</t>
  </si>
  <si>
    <t>премии по итогам года</t>
  </si>
  <si>
    <t>сандоз</t>
  </si>
  <si>
    <t>ЯНВАРЬ 2025</t>
  </si>
  <si>
    <t>Кан сертификат</t>
  </si>
  <si>
    <t>ООО ДИДЖИТАЛ ИНСПИРЕЙШН</t>
  </si>
  <si>
    <t>ООО Образ</t>
  </si>
  <si>
    <t>НАЛОГИ | Прибыль</t>
  </si>
  <si>
    <t>НАЛОГИ | НДФЛ</t>
  </si>
  <si>
    <t>НАЛОГИ | Пени</t>
  </si>
  <si>
    <t>зп девочка эрка</t>
  </si>
  <si>
    <t>корп расходы депо</t>
  </si>
  <si>
    <t>ЯНВАРЬ 2026</t>
  </si>
  <si>
    <t>ДЕКАБРЬ 2025</t>
  </si>
  <si>
    <t>АЙТИ-СЕРВИС ООО</t>
  </si>
  <si>
    <t>Отгружен</t>
  </si>
  <si>
    <t>доп.6</t>
  </si>
  <si>
    <t>НОЯБРЬ 2025</t>
  </si>
  <si>
    <t>ХАЙЛОАД ЛАБС ООО</t>
  </si>
  <si>
    <t>https://diadoc.kontur.ru/143bcbfb-a011-4791-9316-981158fa5552/Document/Show?letterId=515db942-a98b-4a0d-a7a5-e5870729c1e9&amp;documentId=267c9bf1-9b3c-4f4b-831f-2612128c7a09</t>
  </si>
  <si>
    <t>ООО ДИДЖИТАЛ БУСТ</t>
  </si>
  <si>
    <t>индор леша</t>
  </si>
  <si>
    <t>работы на заказ</t>
  </si>
  <si>
    <t>ящик телекомуникационный</t>
  </si>
  <si>
    <t>аванс январь</t>
  </si>
  <si>
    <t>PR</t>
  </si>
  <si>
    <t>А.А.И ООО</t>
  </si>
  <si>
    <t>зп девочка эрка январь</t>
  </si>
  <si>
    <t>декабрь 2024</t>
  </si>
  <si>
    <t>премия айти сервис</t>
  </si>
  <si>
    <t xml:space="preserve">бельченко аванс январь </t>
  </si>
  <si>
    <t>НАЛОГИ | Страх.Взносы</t>
  </si>
  <si>
    <t>НАЛОГИ | НДС</t>
  </si>
  <si>
    <t>ИЗИ-НЭТ ООО</t>
  </si>
  <si>
    <t>ООО ТОП ДИДЖИТАЛ</t>
  </si>
  <si>
    <t>ФЕВРАЛЬ 2025</t>
  </si>
  <si>
    <t>САЙТСИНГ ООО</t>
  </si>
  <si>
    <t>премии</t>
  </si>
  <si>
    <t>ООО Бауш Хелс</t>
  </si>
  <si>
    <t>ООО Гибрид</t>
  </si>
  <si>
    <t>ООО Фармлинк</t>
  </si>
  <si>
    <t>ООО Медэкспорт - Северная звезда</t>
  </si>
  <si>
    <t>мегафон</t>
  </si>
  <si>
    <t>корп номер мегафон</t>
  </si>
  <si>
    <t>доплата январь</t>
  </si>
  <si>
    <t>ДИВИДЕНТЫ</t>
  </si>
  <si>
    <t>Индор Антон</t>
  </si>
  <si>
    <t>статистика ДПД</t>
  </si>
  <si>
    <t>Аванс бельченко</t>
  </si>
  <si>
    <t>митап с РОРЕ</t>
  </si>
  <si>
    <t>ФЬЮЧЕ ЛАБ ООО</t>
  </si>
  <si>
    <t>мебель</t>
  </si>
  <si>
    <t>ООО Суперфарма</t>
  </si>
  <si>
    <t>ОЗОН</t>
  </si>
  <si>
    <t>ООО ИНСАЙТ ЛЮДИ</t>
  </si>
  <si>
    <t>ООО РПК ПЛЕЙС ПРИНТ</t>
  </si>
  <si>
    <t>роллап</t>
  </si>
  <si>
    <t>АО Руна</t>
  </si>
  <si>
    <t>консультант +</t>
  </si>
  <si>
    <t>ООО БОЛЬШЕВИК ХОЛЛ</t>
  </si>
  <si>
    <t>ООО БЕЙДЖ-ОНЛАЙН</t>
  </si>
  <si>
    <t>ферреро деп</t>
  </si>
  <si>
    <t>Бруни</t>
  </si>
  <si>
    <t>ООО ДПД МЕДИА</t>
  </si>
  <si>
    <t xml:space="preserve">баер представительские </t>
  </si>
  <si>
    <t>аванс февраль</t>
  </si>
  <si>
    <t>НЕКТАРИН ООО УК</t>
  </si>
  <si>
    <t>сандоз и берлин</t>
  </si>
  <si>
    <t>НАЛОГИ | ПРОЧИЕ</t>
  </si>
  <si>
    <t>Единый налоговый платеж (транспортный налог, январь 2025г.). НДС не облагается</t>
  </si>
  <si>
    <t>Единый налоговый платеж (Авансовый платеж за 1 квартал 2025г.). НДС не облагается</t>
  </si>
  <si>
    <t>Единый налоговый платеж (1/3 НДС за 4 квартал). НДС не облагается</t>
  </si>
  <si>
    <t>Единый налоговый платеж (НДФЛ дивидендов). НДС не облагается</t>
  </si>
  <si>
    <t>4 квартал 2024</t>
  </si>
  <si>
    <t>галактионов 4 кв</t>
  </si>
  <si>
    <t>Романович 4 кв</t>
  </si>
  <si>
    <t>Мошков 4 кв</t>
  </si>
  <si>
    <t>озон</t>
  </si>
  <si>
    <t>индор</t>
  </si>
  <si>
    <t>ООО АСНА</t>
  </si>
  <si>
    <t>ИП Гурбанов Эльшан Шамил Оглы</t>
  </si>
  <si>
    <t>ООО Здравсервис</t>
  </si>
  <si>
    <t>https://diadoc.kontur.ru/143bcbfb-a011-4791-9316-981158fa5552/Document/Show?letterId=bd6afb1b-f515-42bf-85fc-112c94a6ef0c&amp;documentId=75592d53-c15c-4780-b82a-e4ce89a7d2f5</t>
  </si>
  <si>
    <t>МАРТ 2025</t>
  </si>
  <si>
    <t>УАЙТ БОКС МЕДИА ООО</t>
  </si>
  <si>
    <t>2 ноутбука</t>
  </si>
  <si>
    <t>АЙ-ГУРУ ООО</t>
  </si>
  <si>
    <t>премия за февраль</t>
  </si>
  <si>
    <t>уборка+ доставка</t>
  </si>
  <si>
    <t>еда в офис</t>
  </si>
  <si>
    <t>сертификаты 8 марта</t>
  </si>
  <si>
    <t>доплата за фераль</t>
  </si>
  <si>
    <t>ООО АйПи веб-сервисы</t>
  </si>
  <si>
    <t>товарный знак</t>
  </si>
  <si>
    <t>премия февраль</t>
  </si>
  <si>
    <t>билеты уфа</t>
  </si>
  <si>
    <t>сдек</t>
  </si>
  <si>
    <t>% 5 за субботу</t>
  </si>
  <si>
    <t>АО МЕДИА ВЕЛЬЮ</t>
  </si>
  <si>
    <t>Контур диадок</t>
  </si>
  <si>
    <t>ИП Юдина</t>
  </si>
  <si>
    <t>обслуживание кофе машины</t>
  </si>
  <si>
    <t>адрей массаж</t>
  </si>
  <si>
    <t>бельченко баня сити</t>
  </si>
  <si>
    <t>девочка ДПД</t>
  </si>
  <si>
    <t>кофе\вода</t>
  </si>
  <si>
    <t>реггис мотивация Андрей</t>
  </si>
  <si>
    <t>ИП Акопят</t>
  </si>
  <si>
    <t>реггис мотивация Андрей (кафе)</t>
  </si>
  <si>
    <t>Леруа</t>
  </si>
  <si>
    <t>ООО 4ТАЙМПЭД ЛТД</t>
  </si>
  <si>
    <t>встреча с попковым</t>
  </si>
  <si>
    <t>доп. 1</t>
  </si>
  <si>
    <t>Отпускные КИМ</t>
  </si>
  <si>
    <t>аванс март</t>
  </si>
  <si>
    <t>Инет МТС</t>
  </si>
  <si>
    <t>Инет Билайн</t>
  </si>
  <si>
    <t>Ск сандоз берлин</t>
  </si>
  <si>
    <t>ozon</t>
  </si>
  <si>
    <t>https://diadoc.kontur.ru/143bcbfb-a011-4791-9316-981158fa5552/Document/Show?letterId=54affc3c-948f-4a10-b3d6-9a116b986474&amp;documentId=4191ffee-080d-49dc-9832-1fceaca54bc9</t>
  </si>
  <si>
    <t>https://diadoc.kontur.ru/143bcbfb-a011-4791-9316-981158fa5552/Document/Show?letterId=3f1fe518-c39f-4acf-8b4c-e7923920e167&amp;documentId=d7d0488a-14ec-4540-920d-f1918c277a2b</t>
  </si>
  <si>
    <t>https://diadoc.kontur.ru/143bcbfb-a011-4791-9316-981158fa5552/Document/Show?letterId=2ab363cf-39a5-42de-b35f-5ce17aec0652&amp;documentId=7eb7e75c-d876-4d32-87f0-115c1de15ea0</t>
  </si>
  <si>
    <t>https://diadoc.kontur.ru/143bcbfb-a011-4791-9316-981158fa5552/Document/Show?letterId=0b27c1a9-7544-4b7e-97ea-9c30f5257997&amp;documentId=dd62a536-272b-43be-bcf7-cfbd6eca9b5b</t>
  </si>
  <si>
    <t>https://diadoc.kontur.ru/143bcbfb-a011-4791-9316-981158fa5552/Document/Show?letterId=f4a03968-0567-4f51-8308-1c0180db259e&amp;documentId=238a6500-e204-4505-80f2-ff762f3998d4</t>
  </si>
  <si>
    <t>https://diadoc.kontur.ru/143bcbfb-a011-4791-9316-981158fa5552/Document/Show?letterId=f21669da-c05a-4b09-b678-d1c79d0434e1&amp;documentId=9037f475-3815-47d6-85f8-e53aba769f36</t>
  </si>
  <si>
    <t>https://diadoc.kontur.ru/143bcbfb-a011-4791-9316-981158fa5552/Document/Show?letterId=3dac1a5a-c215-441e-993d-363ca016893a&amp;documentId=2ecc2dcd-736d-43c6-82f2-b0bf01181de5</t>
  </si>
  <si>
    <t>ооо Манго Телеком</t>
  </si>
  <si>
    <t>девоччка дпд март</t>
  </si>
  <si>
    <t>АО Альфабанк</t>
  </si>
  <si>
    <t>леруа</t>
  </si>
  <si>
    <t>Бельченко аванс март</t>
  </si>
  <si>
    <t>АПРЕЛЬ 2025</t>
  </si>
  <si>
    <t>Мошков для Besins</t>
  </si>
  <si>
    <t>годовое обслуживание</t>
  </si>
  <si>
    <t>ООО Ригла</t>
  </si>
  <si>
    <t>отель</t>
  </si>
  <si>
    <t>ООО Премьер Нутришинал</t>
  </si>
  <si>
    <t>Аванс март бельченко</t>
  </si>
  <si>
    <t>Кудяпкиан Юлия март</t>
  </si>
  <si>
    <t>ИП Новиков март</t>
  </si>
  <si>
    <t>ООО Топ Диджитал</t>
  </si>
  <si>
    <t>программист 1с</t>
  </si>
  <si>
    <t>уфа</t>
  </si>
  <si>
    <t>премия Осадчук март</t>
  </si>
  <si>
    <t>Премия Макаров Март</t>
  </si>
  <si>
    <t>ООО НПЦ АВТОМАТИЗАЦИЯ БИЗНЕСА</t>
  </si>
  <si>
    <t>1с обслуживание годовое</t>
  </si>
  <si>
    <t>https://diadoc.kontur.ru/143bcbfb-a011-4791-9316-981158fa5552/Document/Show?letterId=9057c5fb-700e-4fa5-b26c-93fdd640bc0c&amp;documentId=263214d7-30f6-4967-8ba3-1fe37134033a</t>
  </si>
  <si>
    <t>репы бельченко</t>
  </si>
  <si>
    <t>Аванс Костя Михайлов</t>
  </si>
  <si>
    <t>ООО Место встречи №1</t>
  </si>
  <si>
    <t>газгольдер</t>
  </si>
  <si>
    <t>Мошков премия 4 кв</t>
  </si>
  <si>
    <t>Премия март</t>
  </si>
  <si>
    <t>ООО Акварель</t>
  </si>
  <si>
    <t>представительские март</t>
  </si>
  <si>
    <t>Уборка, курьер март</t>
  </si>
  <si>
    <t>ндфл</t>
  </si>
  <si>
    <t>аванс бельченко апрель</t>
  </si>
  <si>
    <t>9 ЯРДОВ ООО</t>
  </si>
  <si>
    <t>https://diadoc.kontur.ru/143bcbfb-a011-4791-9316-981158fa5552/Document/Show?letterId=8d728cbe-8d95-4f2e-a9da-8c6c863e5fe6&amp;documentId=d7b056dd-e968-4454-9034-682fa0a300dc</t>
  </si>
  <si>
    <t>МЕДИА ВЕЛЬЮ АО</t>
  </si>
  <si>
    <t>доп.5</t>
  </si>
  <si>
    <t>доп.4</t>
  </si>
  <si>
    <t>доп.20</t>
  </si>
  <si>
    <t>доп.19</t>
  </si>
  <si>
    <t>доп.22</t>
  </si>
  <si>
    <t>доп.21</t>
  </si>
  <si>
    <t>сертификат SSL</t>
  </si>
  <si>
    <t>Бельченко аванс (страхов)</t>
  </si>
  <si>
    <t>кофе\молоко\вода офис</t>
  </si>
  <si>
    <t>доплата за март</t>
  </si>
  <si>
    <t>ООО Гриндекс Рус</t>
  </si>
  <si>
    <t>маркерная доска</t>
  </si>
  <si>
    <t>https://diadoc.kontur.ru/143bcbfb-a011-4791-9316-981158fa5552/Document/Show?letterId=1b7253e9-4c95-409a-960e-655271e79067&amp;documentId=365514a9-3b54-4b4c-bf18-ed97561f2709</t>
  </si>
  <si>
    <t>https://diadoc.kontur.ru/143bcbfb-a011-4791-9316-981158fa5552/Document/Show?letterId=d9bccc28-bb51-4ec3-9ae8-d76f132d2962&amp;documentId=4601f834-ba0a-4193-bd3e-052d60f6476c</t>
  </si>
  <si>
    <t>ООО НИЖЕГОРОДСКАЯ АПТЕЧНАЯ СЕТЬ</t>
  </si>
  <si>
    <t>https://diadoc.kontur.ru/143bcbfb-a011-4791-9316-981158fa5552/Document/Show?letterId=efacae27-3111-43e5-9f17-c86f9736fa15&amp;documentId=f4a96ad6-835c-4e4b-8ece-af6d81e03fcc</t>
  </si>
  <si>
    <t>браслеты репы</t>
  </si>
  <si>
    <t>кабели</t>
  </si>
  <si>
    <t>на Льва</t>
  </si>
  <si>
    <t>Бельченко Репетиции</t>
  </si>
  <si>
    <t>Мошков представительские</t>
  </si>
  <si>
    <t>ИП Лысенко</t>
  </si>
  <si>
    <t>оборудование звук и свет</t>
  </si>
  <si>
    <t>АО Фармленд</t>
  </si>
  <si>
    <t>ИП Каминская</t>
  </si>
  <si>
    <t>Бельченко представительские</t>
  </si>
  <si>
    <t>отпускные макаров</t>
  </si>
  <si>
    <t>ИП Сарбукова</t>
  </si>
  <si>
    <t>диджей Войтенко</t>
  </si>
  <si>
    <t>сертификат в симпл вайн Мошков</t>
  </si>
  <si>
    <t>доп.56</t>
  </si>
  <si>
    <t>интернет мегафон</t>
  </si>
  <si>
    <t>решепшн</t>
  </si>
  <si>
    <t>группа</t>
  </si>
  <si>
    <t>костя михайлов доплата</t>
  </si>
  <si>
    <t>закуп в метро</t>
  </si>
  <si>
    <t>кальяны</t>
  </si>
  <si>
    <t>отпускные Мошков</t>
  </si>
  <si>
    <t>аванс апрель</t>
  </si>
  <si>
    <t>доп 4</t>
  </si>
  <si>
    <t>премия годовая осадчук</t>
  </si>
  <si>
    <t>маркет (мебель, ковры, пепельница)</t>
  </si>
  <si>
    <t>СК Берлин и сандоз</t>
  </si>
  <si>
    <t>Девочка дпд</t>
  </si>
  <si>
    <t>авансовый прибыль</t>
  </si>
  <si>
    <t>страховые</t>
  </si>
  <si>
    <t>ООО Таймпэд ЛТД</t>
  </si>
  <si>
    <t>МАЙ 2025</t>
  </si>
  <si>
    <t>доп.24</t>
  </si>
  <si>
    <t>доп.27</t>
  </si>
  <si>
    <t>доп.26</t>
  </si>
  <si>
    <t>доп.23</t>
  </si>
  <si>
    <t>доп.10</t>
  </si>
  <si>
    <t>Денис квартирник</t>
  </si>
  <si>
    <t>БЕЗЕН ХЕЛСКЕА РУС ООО</t>
  </si>
  <si>
    <t>доп.1</t>
  </si>
  <si>
    <t>доп.61</t>
  </si>
  <si>
    <t>доп.59</t>
  </si>
  <si>
    <t>доп.58</t>
  </si>
  <si>
    <t>доп.60</t>
  </si>
  <si>
    <t>доп.57</t>
  </si>
  <si>
    <t>стол</t>
  </si>
  <si>
    <t>https://diadoc.kontur.ru/143bcbfb-a011-4791-9316-981158fa5552/Document/Show?letterId=ec527ee7-ae67-404f-9ae0-d8ff92f270be&amp;documentId=ba0da0fd-9680-4dfe-8451-4ce1e176d534</t>
  </si>
  <si>
    <t>https://diadoc.kontur.ru/143bcbfb-a011-4791-9316-981158fa5552/Document/Show?letterId=c6f6733b-1d16-42ff-9fe0-b408e29c835a&amp;documentId=2fc85a37-134d-4a08-ad7c-7d11f0b1c4ea</t>
  </si>
  <si>
    <t>https://diadoc.kontur.ru/143bcbfb-a011-4791-9316-981158fa5552/Document/Show?letterId=e3a8fa09-c701-4465-88ca-662a6674a168&amp;documentId=4ef38721-31a9-428b-90ff-6b5f16802290</t>
  </si>
  <si>
    <t>ООО СТРОЙ ФОНД</t>
  </si>
  <si>
    <t>https://diadoc.kontur.ru/143bcbfb-a011-4791-9316-981158fa5552/Document/Show?letterId=8422155d-b5f2-4134-80db-80c02489aa57&amp;documentId=d14b6b6d-cd24-4364-9eab-49f2deb69851</t>
  </si>
  <si>
    <t>ООО Стратегия фарма</t>
  </si>
  <si>
    <t>https://diadoc.kontur.ru/143bcbfb-a011-4791-9316-981158fa5552/Document/Show?letterId=a2a59ac6-452c-4a7c-a978-829076065f24&amp;documentId=fe80535f-1a45-47b2-bfe4-57423062a1a2</t>
  </si>
  <si>
    <t>https://diadoc.kontur.ru/143bcbfb-a011-4791-9316-981158fa5552/Document/Show?letterId=14c2f4fb-8508-423a-867f-7a80c482267d&amp;documentId=07e1db18-f74f-410e-af0a-7ad5c11195d7</t>
  </si>
  <si>
    <t>https://diadoc.kontur.ru/143bcbfb-a011-4791-9316-981158fa5552/Document/Show?letterId=6b70a83e-0421-4ec1-8859-36b5d17487f0&amp;documentId=33dbecee-5168-427d-af7c-2d33a7e034a2</t>
  </si>
  <si>
    <t>https://diadoc.kontur.ru/143bcbfb-a011-4791-9316-981158fa5552/Document/Show?letterId=5ff7612d-fc6c-40d6-a087-aac3d1ffd18b&amp;documentId=495f3183-fa79-4267-b5f1-818af808e68a</t>
  </si>
  <si>
    <t>стулья</t>
  </si>
  <si>
    <t>Кирдяпкина Юлия апрель</t>
  </si>
  <si>
    <t>Новиков Ярослав апрель</t>
  </si>
  <si>
    <t>ООО 1с-битрикс</t>
  </si>
  <si>
    <t>доп.11</t>
  </si>
  <si>
    <t>доп.12</t>
  </si>
  <si>
    <t>Фот основной апрель</t>
  </si>
  <si>
    <t>Осадчук апрель</t>
  </si>
  <si>
    <t>Мошков Баер</t>
  </si>
  <si>
    <t>ИП Аржанухин</t>
  </si>
  <si>
    <t>видеосъемка на квартирнике</t>
  </si>
  <si>
    <t>https://diadoc.kontur.ru/143bcbfb-a011-4791-9316-981158fa5552/Document/Show?letterId=dd526ab9-09ae-4e44-a0ce-2f2159dee830&amp;documentId=10bb5d99-14f2-47de-a3ce-ab833e4b42e0</t>
  </si>
  <si>
    <t>премия апрель макаров</t>
  </si>
  <si>
    <t>премии апрель</t>
  </si>
  <si>
    <t>1 квартал 2025</t>
  </si>
  <si>
    <t>https://diadoc.kontur.ru/143bcbfb-a011-4791-9316-981158fa5552/Document/Show?letterId=507f9c2f-6296-4fca-b4ce-383812f9cb0e&amp;documentId=f7336343-40f9-4c82-b623-a05c0fc6b45f</t>
  </si>
  <si>
    <t>Баланс сбер Бельченко</t>
  </si>
  <si>
    <t>премии апрель Смирнова Монич</t>
  </si>
  <si>
    <t>юр адрес</t>
  </si>
  <si>
    <t>доп.2</t>
  </si>
  <si>
    <t>HR - оплата выхода сотрудника (Ярослав)</t>
  </si>
  <si>
    <t>https://diadoc.kontur.ru/143bcbfb-a011-4791-9316-981158fa5552/Document/Show?letterId=61e85cff-a9da-45bf-b997-c20ea3c3a0dd&amp;documentId=60cb0286-3e8d-40fd-92d2-fc67f2556909</t>
  </si>
  <si>
    <t>Леша Гольф</t>
  </si>
  <si>
    <t>магазы</t>
  </si>
  <si>
    <t>МЕГАБАЙТ ООО</t>
  </si>
  <si>
    <t>доп.13</t>
  </si>
  <si>
    <t>доп.15</t>
  </si>
  <si>
    <t>доп.17</t>
  </si>
  <si>
    <t>доп.18</t>
  </si>
  <si>
    <t>доп.16</t>
  </si>
  <si>
    <t>доп.14</t>
  </si>
  <si>
    <t>доп.29</t>
  </si>
  <si>
    <t>доп.28</t>
  </si>
  <si>
    <t>доп.25</t>
  </si>
  <si>
    <t>https://diadoc.kontur.ru/143bcbfb-a011-4791-9316-981158fa5552/Document/Show?letterId=e7884c4c-b9d3-4e75-8d76-9e78dde8c1e0&amp;documentId=1adfbccd-bb6d-4ca3-be70-90ddc11084b8</t>
  </si>
  <si>
    <t>https://diadoc.kontur.ru/143bcbfb-a011-4791-9316-981158fa5552/Document/Show?letterId=ddf9d87c-018e-4fff-9ecc-1ecc49f78bd6&amp;documentId=9d2e333d-99ce-42d2-9c16-7f1db4adbb0a</t>
  </si>
  <si>
    <t>https://diadoc.kontur.ru/143bcbfb-a011-4791-9316-981158fa5552/Document/Show?letterId=6e07a2bc-dfad-41c8-9f44-996f57f45a0a&amp;documentId=ccf1e250-abe3-494e-bf4a-2d80ac5c65fc</t>
  </si>
  <si>
    <t>https://diadoc.kontur.ru/143bcbfb-a011-4791-9316-981158fa5552/Document/Show?letterId=9057c5fb-700e-4fa5-b26c-93fdd640bc0c&amp;documentId=c144c2b1-2173-46c5-bc83-7fba6ddc8184</t>
  </si>
  <si>
    <t>https://diadoc.kontur.ru/143bcbfb-a011-4791-9316-981158fa5552/Document/Show?letterId=b78c8aed-11ce-4d12-9591-3d34406979fc&amp;documentId=9372798c-861a-4290-8b85-a7329c093f76</t>
  </si>
  <si>
    <t>https://diadoc.kontur.ru/143bcbfb-a011-4791-9316-981158fa5552/Document/Show?letterId=b0606dff-1e9e-40a9-bc75-b01ba5765f6a&amp;documentId=b5f62ef3-41e0-4558-9d2f-105e2f45e284</t>
  </si>
  <si>
    <t>https://diadoc.kontur.ru/143bcbfb-a011-4791-9316-981158fa5552/Document/Show?letterId=2242155e-4762-4b0e-91ac-787cdd58add9&amp;documentId=ac7c3986-ceb3-405a-83f9-8535c78f8715</t>
  </si>
  <si>
    <t>Андрей Старлинк</t>
  </si>
  <si>
    <t>установка фартука кухни</t>
  </si>
  <si>
    <t>Аванс май бельченко</t>
  </si>
  <si>
    <t>Девочка ДПД май</t>
  </si>
  <si>
    <t>Берлин сандоз март</t>
  </si>
  <si>
    <t>УПРАВЛЯЮЩАЯ КОМПАНИЯ НКС ООО</t>
  </si>
  <si>
    <t>Новгород</t>
  </si>
  <si>
    <t>Андрей</t>
  </si>
  <si>
    <t>ООО ВЕСТ КОЛЛ ЛТД</t>
  </si>
  <si>
    <t>интернет</t>
  </si>
  <si>
    <t>https://diadoc.kontur.ru/143bcbfb-a011-4791-9316-981158fa5552/Document/Show?letterId=7c5eb00a-ac0f-466a-8e4c-1d4c538c1a99&amp;documentId=b730a5d1-467a-47f0-9a27-50fc61f05ab9</t>
  </si>
  <si>
    <t>Диван</t>
  </si>
  <si>
    <t>ЛАЙОН КОММЬЮНИКЕЙШНЗ ООО</t>
  </si>
  <si>
    <t>доп.62</t>
  </si>
  <si>
    <t>доп.63</t>
  </si>
  <si>
    <t>доп.66</t>
  </si>
  <si>
    <t>доп.64</t>
  </si>
  <si>
    <t>доп.65</t>
  </si>
  <si>
    <t>доп.67</t>
  </si>
  <si>
    <t>Смирнова Монич премии май</t>
  </si>
  <si>
    <t>Аванс Кисляков май</t>
  </si>
  <si>
    <t>ООО Линия Консультаций Руна</t>
  </si>
  <si>
    <t>доп 5</t>
  </si>
  <si>
    <t>доп 6</t>
  </si>
  <si>
    <t>https://diadoc.kontur.ru/143bcbfb-a011-4791-9316-981158fa5552/Document/Show?letterId=8dee3884-060d-432d-89d9-f4f17023de74&amp;documentId=d7dceb03-780f-4aa3-8fd9-8701bb15e20e</t>
  </si>
  <si>
    <t>https://diadoc.kontur.ru/143bcbfb-a011-4791-9316-981158fa5552/Document/Show?letterId=916a4438-5a94-43b2-971a-e551ba6536d0&amp;documentId=e9b8e024-4fe4-48b1-910c-b308ed8dc185</t>
  </si>
  <si>
    <t>https://diadoc.kontur.ru/143bcbfb-a011-4791-9316-981158fa5552/Document/Show?letterId=8919f705-2f81-46e1-8cce-01916119f43f&amp;documentId=4f6057c6-935b-46de-acc2-45572b640a46</t>
  </si>
  <si>
    <t>https://diadoc.kontur.ru/143bcbfb-a011-4791-9316-981158fa5552/Document/Show?letterId=6e536c1a-bd5d-4f7f-9dd7-37cf3da355eb&amp;documentId=1243560a-e1f7-40d8-8916-f2160075e341</t>
  </si>
  <si>
    <t>https://diadoc.kontur.ru/143bcbfb-a011-4791-9316-981158fa5552/Document/Show?letterId=5a5f7977-2062-493f-a7d1-6e90f6ade457&amp;documentId=7f5617ee-5529-4c58-8226-5711b7d32522</t>
  </si>
  <si>
    <t>https://diadoc.kontur.ru/143bcbfb-a011-4791-9316-981158fa5552/Document/Show?letterId=0da80682-50ce-49ad-bc2a-21ee7c1e4759&amp;documentId=96dea1f3-0646-45ad-9e1b-8ad7fdee1c46</t>
  </si>
  <si>
    <t>https://diadoc.kontur.ru/143bcbfb-a011-4791-9316-981158fa5552/Document/Show?letterId=10911d39-f34b-46a2-bfe6-8ed91183bc01&amp;documentId=b5c9d226-5b2e-45ab-9cb7-cef6eeb90734</t>
  </si>
  <si>
    <t>ИЮНЬ 2025</t>
  </si>
  <si>
    <t>https://diadoc.kontur.ru/143bcbfb-a011-4791-9316-981158fa5552/Document/Show?letterId=16682e38-e133-4e7e-8b4a-550806de44f7&amp;documentId=129a15ba-7a31-473d-8c1b-f9cc5c273c28</t>
  </si>
  <si>
    <t>ИП Новиков май + премия за 1 кв</t>
  </si>
  <si>
    <t>https://diadoc.kontur.ru/143bcbfb-a011-4791-9316-981158fa5552/Document/Show?letterId=7e03d7aa-ba49-4c83-af53-b07762270969&amp;documentId=ceb5528b-a77e-40f9-93e2-ea38494ffecd</t>
  </si>
  <si>
    <t>Кирдяпкина</t>
  </si>
  <si>
    <t>https://diadoc.kontur.ru/143bcbfb-a011-4791-9316-981158fa5552/Document/Show?letterId=a6a03c9d-aa1d-4343-9110-e1e71663d8e9&amp;documentId=0d25f2bd-8199-466b-badc-e1bbe9405643</t>
  </si>
  <si>
    <t>ск индор март</t>
  </si>
  <si>
    <t>ДР Digital Group Head OMD Resolution (мошков)</t>
  </si>
  <si>
    <t>премии май</t>
  </si>
  <si>
    <t>Бельченко июнь</t>
  </si>
  <si>
    <t>встреча с рокетами</t>
  </si>
  <si>
    <t>доп.69</t>
  </si>
  <si>
    <t>доп.68</t>
  </si>
  <si>
    <t>ВЕСТ КОЛЛ ЛТД ООО</t>
  </si>
  <si>
    <t>https://diadoc.kontur.ru/143bcbfb-a011-4791-9316-981158fa5552/Document/Show?letterId=464a9b97-c6cb-4e07-b74d-35b8ae1f83f3&amp;documentId=b09feb29-b943-435e-8090-777d55865643</t>
  </si>
  <si>
    <t>https://diadoc.kontur.ru/143bcbfb-a011-4791-9316-981158fa5552/Document/Show?letterId=93e0d142-9891-42c4-a7e6-10ca78c7fb0f&amp;documentId=17ca8bf7-4b04-4fe7-8bd0-dc9cd1b78eb3</t>
  </si>
  <si>
    <t>доплата май</t>
  </si>
  <si>
    <t>уборка и доставка май</t>
  </si>
  <si>
    <t>https://diadoc.kontur.ru/143bcbfb-a011-4791-9316-981158fa5552/Document/Show?letterId=6f5b2d35-61a4-41e6-87d6-c1a6b7e9af11&amp;documentId=8b3239f9-f084-494d-b0ec-1416fb7da2e4</t>
  </si>
  <si>
    <t>Бруни февраль-май</t>
  </si>
  <si>
    <t>Новиков HR 1 сотрудник</t>
  </si>
  <si>
    <t>Премия 1 кв галактионов</t>
  </si>
  <si>
    <t>ТВ+ПС5</t>
  </si>
  <si>
    <t>ЭМДЖИКОМ ООО</t>
  </si>
  <si>
    <t>доп. 39</t>
  </si>
  <si>
    <t>Гольф с KRKA Мошков</t>
  </si>
  <si>
    <t>Аванс Бельченко июнь</t>
  </si>
  <si>
    <t>ИНТЕРПУЛ ООО</t>
  </si>
  <si>
    <t>Аванс Июнь</t>
  </si>
  <si>
    <t>https://diadoc.kontur.ru/143bcbfb-a011-4791-9316-981158fa5552/Document/Show?letterId=1fc5278c-da0c-413f-bb92-46c614a11050&amp;documentId=d5daf0d4-bab7-445b-8c6e-5a9b907592b7</t>
  </si>
  <si>
    <t>https://diadoc.kontur.ru/143bcbfb-a011-4791-9316-981158fa5552/Document/Show?letterId=b79cbc94-e8be-45af-a4d6-c3abc4aa087b&amp;documentId=fe2ce6fe-085b-4f1b-958a-4754a5c9d357</t>
  </si>
  <si>
    <t>https://diadoc.kontur.ru/143bcbfb-a011-4791-9316-981158fa5552/Document/Show?letterId=7cbf0242-9a6f-4207-be60-e1690ceb300c&amp;documentId=ba09e3aa-c191-47e3-a802-c729ea7419ff</t>
  </si>
  <si>
    <t>https://diadoc.kontur.ru/143bcbfb-a011-4791-9316-981158fa5552/Document/Show?letterId=93f4301b-96b7-427d-8682-ab6995c1a851&amp;documentId=72270377-023d-4db4-9c2e-de4fc13efe22</t>
  </si>
  <si>
    <t>ООО Медиа Велью</t>
  </si>
  <si>
    <t>https://diadoc.kontur.ru/143bcbfb-a011-4791-9316-981158fa5552/Document/Show?letterId=6a4ece40-e7a6-43cf-82b2-dba0d935f3bb&amp;documentId=b8ad87ba-6bb0-46f1-bf9f-4f97ce91974d</t>
  </si>
  <si>
    <t>https://diadoc.kontur.ru/143bcbfb-a011-4791-9316-981158fa5552/Document/Show?letterId=e9af9caa-cfde-4ae4-83c2-2bae513e4f25&amp;documentId=da7aad85-13c2-4f65-9c71-3284c356d84a</t>
  </si>
  <si>
    <t>https://diadoc.kontur.ru/143bcbfb-a011-4791-9316-981158fa5552/Document/Show?letterId=c6d7ba46-6e4f-4607-8eab-e586c8196735&amp;documentId=a43c0c93-47e5-41a2-94ad-438a55ccc278</t>
  </si>
  <si>
    <t>доп.19-1</t>
  </si>
  <si>
    <t>доп.20-1</t>
  </si>
  <si>
    <t>Берлин Сандоз</t>
  </si>
  <si>
    <t>Девочка ДПД июнь</t>
  </si>
  <si>
    <t>https://diadoc.kontur.ru/143bcbfb-a011-4791-9316-981158fa5552/Document/Show?letterId=31657660-135d-46cd-a21a-cd6e3608358c&amp;documentId=303e1338-f521-4ac9-ab86-3c28e22d1f9e</t>
  </si>
  <si>
    <t>https://diadoc.kontur.ru/143bcbfb-a011-4791-9316-981158fa5552/Document/Show?letterId=468aa671-b76c-418c-9f7b-3ac1eaf2f3e5&amp;documentId=3c7ce573-017e-4952-8183-3565a8f56a9f</t>
  </si>
  <si>
    <t>https://diadoc.kontur.ru/143bcbfb-a011-4791-9316-981158fa5552/Document/Show?letterId=6d307a70-0edf-4cbb-b159-86e5c36b485e&amp;documentId=ef927bda-78e1-4faa-93c4-c37da59ff897</t>
  </si>
  <si>
    <t>ИЮЛЬ 2025</t>
  </si>
  <si>
    <t>СФЕРА ООО</t>
  </si>
  <si>
    <t>кабинеты реалвеб</t>
  </si>
  <si>
    <t>ДИДЖИТАЛ АЛЬЯНС АО</t>
  </si>
  <si>
    <t>доп 1</t>
  </si>
  <si>
    <t>доп 2</t>
  </si>
  <si>
    <t>доп 7</t>
  </si>
  <si>
    <t>РОРЕ МЕДИА ООО</t>
  </si>
  <si>
    <t>доп.9</t>
  </si>
  <si>
    <t>доп.30</t>
  </si>
  <si>
    <t>2 квартал 2025</t>
  </si>
  <si>
    <t>комиссия за платежи 2 квартал</t>
  </si>
  <si>
    <t>Бельченко аванс июнь</t>
  </si>
  <si>
    <t>ИП Новиков</t>
  </si>
  <si>
    <t>июнь</t>
  </si>
  <si>
    <t>туса в офсие 04-07</t>
  </si>
  <si>
    <t>ооо Акварель</t>
  </si>
  <si>
    <t>https://diadoc.kontur.ru/143bcbfb-a011-4791-9316-981158fa5552/Document/Show?letterId=14a1c053-b2dc-41d8-96b5-3fd115d8dffc&amp;documentId=e92ed62a-3cc5-4a5f-92b3-4d8e33a36b56</t>
  </si>
  <si>
    <t>https://diadoc.kontur.ru/143bcbfb-a011-4791-9316-981158fa5552/Document/Show?letterId=1f8175d6-2120-47ae-8a7c-631e7597baed&amp;documentId=0c6a53ac-6e50-4595-9f37-cb5fb3d25393</t>
  </si>
  <si>
    <t>премии июнь</t>
  </si>
  <si>
    <t>бонус Мошков 1 кв</t>
  </si>
  <si>
    <t>расходы по отчету</t>
  </si>
  <si>
    <t>уборка и доставка июнь</t>
  </si>
  <si>
    <t>ООО БРЕНД ВОТЕР</t>
  </si>
  <si>
    <t>https://diadoc.kontur.ru/143bcbfb-a011-4791-9316-981158fa5552/Document/Show?letterId=6a3d385a-4dd9-4cc3-ac77-6705f901ef6c&amp;documentId=cc495310-4122-4070-838e-6a1dd9614561</t>
  </si>
  <si>
    <t>Сбер Бельченко июль</t>
  </si>
  <si>
    <t>встреча с адв</t>
  </si>
  <si>
    <t>ООО Ясный Свет</t>
  </si>
  <si>
    <t>https://diadoc.kontur.ru/143bcbfb-a011-4791-9316-981158fa5552/Document/Show?letterId=fb444f90-58de-4aee-8535-f38aa333d628&amp;documentId=664fbc3b-2a2e-49c6-93d1-50a44ac4afd2</t>
  </si>
  <si>
    <t>https://diadoc.kontur.ru/143bcbfb-a011-4791-9316-981158fa5552/Document/Show?letterId=c126b51a-f9ef-494d-a585-c236d5fb949e&amp;documentId=3ab16ff3-52a2-4d23-af1f-1fb12237df8c</t>
  </si>
  <si>
    <t>https://diadoc.kontur.ru/143bcbfb-a011-4791-9316-981158fa5552/Document/Show?letterId=e74e9dc3-fa7e-42ca-b4ba-f866a60d1fbb&amp;documentId=2b669a8b-9e01-4d50-9d94-8db5211d0b0a</t>
  </si>
  <si>
    <t>https://diadoc.kontur.ru/143bcbfb-a011-4791-9316-981158fa5552/Document/Show?letterId=15f886cd-db93-4d76-98d3-663d23bb8073&amp;documentId=a9f86a53-8211-422e-a014-69393af06f91</t>
  </si>
  <si>
    <t>ООО СОЦИАЛЬНАЯ АПТЕКА</t>
  </si>
  <si>
    <t>https://diadoc.kontur.ru/143bcbfb-a011-4791-9316-981158fa5552/Document/Show?letterId=730a1b4f-9fcc-424e-97c9-c47946146bd6&amp;documentId=037e9f7b-4020-4b58-8927-9b629c180ca4</t>
  </si>
  <si>
    <t>https://diadoc.kontur.ru/143bcbfb-a011-4791-9316-981158fa5552/Document/Show?letterId=0019ac6a-b21b-41c2-b284-4e0aec04b0b8&amp;documentId=4dedbd6c-2dd6-40de-b163-c485d517f85c</t>
  </si>
  <si>
    <t>ООО Дагфарм+</t>
  </si>
  <si>
    <t>https://diadoc.kontur.ru/143bcbfb-a011-4791-9316-981158fa5552/Document/Show?letterId=af896aa8-d9f6-4df9-a00b-9edb3cb1abc3&amp;documentId=a15c451b-e33b-46d9-b137-36e706aea9e8</t>
  </si>
  <si>
    <t>https://diadoc.kontur.ru/143bcbfb-a011-4791-9316-981158fa5552/Document/Show?letterId=7a22a06e-1d2a-4457-9664-161613f083ff&amp;documentId=3c7c4f2e-66e2-4a3b-bf82-7f8928710ad5</t>
  </si>
  <si>
    <t>https://diadoc.kontur.ru/143bcbfb-a011-4791-9316-981158fa5552/Document/Show?letterId=2d28399a-2e1e-4681-b0f3-a032c8743a46&amp;documentId=7578efe0-9804-4a60-926e-eb402420fc0a</t>
  </si>
  <si>
    <t>https://diadoc.kontur.ru/143bcbfb-a011-4791-9316-981158fa5552/Document/Show?letterId=44db6482-7072-41d0-bf74-6822fc9faa62&amp;documentId=a4c66f15-ed59-4a0b-b5b9-11a0c73c2d46</t>
  </si>
  <si>
    <t>https://diadoc.kontur.ru/143bcbfb-a011-4791-9316-981158fa5552/Document/Show?letterId=b940f008-8212-466d-a86c-17295b2c35e7&amp;documentId=e99d264b-747d-414d-affc-a5e3b3ae21b8</t>
  </si>
  <si>
    <t>УК АС Фармия</t>
  </si>
  <si>
    <t>https://diadoc.kontur.ru/143bcbfb-a011-4791-9316-981158fa5552/Document/Show?letterId=f4f1d8bc-10ab-4527-9636-7a635ea20a3c&amp;documentId=6909742b-f5ca-401e-9fc4-3b3e50211a93</t>
  </si>
  <si>
    <t>доп.70</t>
  </si>
  <si>
    <t>доп.71</t>
  </si>
  <si>
    <t>Зарплата за июнь</t>
  </si>
  <si>
    <t>магазин офис</t>
  </si>
  <si>
    <t>https://diadoc.kontur.ru/143bcbfb-a011-4791-9316-981158fa5552/Document/Show?letterId=f953b83c-1a70-4ec3-8b8f-1591ce40d104&amp;documentId=53cd47c7-0cee-4ff3-8e5b-d2970340791d</t>
  </si>
  <si>
    <t>https://diadoc.kontur.ru/143bcbfb-a011-4791-9316-981158fa5552/Document/Show?letterId=1ec0e2a1-c24a-413d-98b7-063041c9273e&amp;documentId=4772f802-eefc-4e43-9d05-ee9010cb9d20</t>
  </si>
  <si>
    <t>аренда июль</t>
  </si>
  <si>
    <t>ООО КОМПАНИЯ СИМПЛ</t>
  </si>
  <si>
    <t>https://diadoc.kontur.ru/143bcbfb-a011-4791-9316-981158fa5552/Document/Show?letterId=8b2677a0-19b0-4bcb-821c-eb9d5dc763fa&amp;documentId=4a9f0655-f8a4-4bb7-8093-511c077b155e</t>
  </si>
  <si>
    <t>доп.7</t>
  </si>
  <si>
    <t>доп.8</t>
  </si>
  <si>
    <t>СИ ЭС СИ ЛТД ООО</t>
  </si>
  <si>
    <t>ск эббот</t>
  </si>
  <si>
    <t>домены</t>
  </si>
  <si>
    <t>Бельченко аванс июль</t>
  </si>
  <si>
    <t>30% аванса за форум</t>
  </si>
  <si>
    <t>ТБАНК АО</t>
  </si>
  <si>
    <t>доп.согл.1</t>
  </si>
  <si>
    <t>АВГУСТ 2025</t>
  </si>
  <si>
    <t>Аванс июль</t>
  </si>
  <si>
    <t>ООО Альфа Гарант</t>
  </si>
  <si>
    <t>сейф</t>
  </si>
  <si>
    <t>оплата администратору</t>
  </si>
  <si>
    <t>мегафон симка</t>
  </si>
  <si>
    <t>Аванс налога на прибыль</t>
  </si>
  <si>
    <t>налог на прибыль 2 кв 2025</t>
  </si>
  <si>
    <t>Страховые взносы</t>
  </si>
  <si>
    <t>НДФЛ</t>
  </si>
  <si>
    <t>доп 3</t>
  </si>
  <si>
    <t>доп.31</t>
  </si>
  <si>
    <t>МБР ООО</t>
  </si>
  <si>
    <t>https://diadoc.kontur.ru/143bcbfb-a011-4791-9316-981158fa5552/Document/Show?letterId=2e084e2b-eb67-489c-826c-583d44bd38e2&amp;documentId=7aa919ed-a932-4073-9bfb-987a1da71558</t>
  </si>
  <si>
    <t>https://diadoc.kontur.ru/143bcbfb-a011-4791-9316-981158fa5552/Document/Show?letterId=cbae4af7-8f04-4555-84d4-9ec056353a03&amp;documentId=f0b72376-72ff-41f1-9f17-06d3676f3311</t>
  </si>
  <si>
    <t>28 30</t>
  </si>
  <si>
    <t>адиндекс статьи</t>
  </si>
  <si>
    <t>Магазины</t>
  </si>
  <si>
    <t>ООО Виртуоз</t>
  </si>
  <si>
    <t>https://diadoc.kontur.ru/143bcbfb-a011-4791-9316-981158fa5552/Document/Show?letterId=8ad2d1d1-8799-434f-89db-1eae6892ff78&amp;documentId=68bf9c64-ae19-4159-bbc2-f7b66291d509</t>
  </si>
  <si>
    <t>https://diadoc.kontur.ru/143bcbfb-a011-4791-9316-981158fa5552/Document/Show?letterId=a69da5e6-03bf-4db3-a05d-cd7a8ca69f4c&amp;documentId=f7153752-9921-46cd-be77-3f1b01d44952</t>
  </si>
  <si>
    <t>https://diadoc.kontur.ru/143bcbfb-a011-4791-9316-981158fa5552/Document/Show?letterId=066bf2e5-16eb-4bc9-aebe-e3739a04e354&amp;documentId=1f463468-dd90-446a-af6e-b3d08d8d31a3</t>
  </si>
  <si>
    <t>https://diadoc.kontur.ru/143bcbfb-a011-4791-9316-981158fa5552/Document/Show?letterId=c5e6d0e2-82a3-481f-9cba-26fc694c6a4a&amp;documentId=838360be-63f1-4091-a422-b81a84d8747e</t>
  </si>
  <si>
    <t>https://diadoc.kontur.ru/143bcbfb-a011-4791-9316-981158fa5552/Document/Show?letterId=013eb219-a8c3-4858-a843-6f5f992cd1b5&amp;documentId=c60c3292-6f06-44fa-9c94-b9e2bdbfc39d</t>
  </si>
  <si>
    <t>https://diadoc.kontur.ru/143bcbfb-a011-4791-9316-981158fa5552/Document/Show?letterId=18cea914-9812-4c2f-b1d4-6f017378f9ec&amp;documentId=5570f340-75ff-4d35-9ce9-4566d3a385c0</t>
  </si>
  <si>
    <t>https://diadoc.kontur.ru/143bcbfb-a011-4791-9316-981158fa5552/Document/Show?letterId=fa220587-bb94-4f11-b5ef-4e0ac35bc9d8&amp;documentId=1438635f-d611-4d56-8415-57b147d35595</t>
  </si>
  <si>
    <t>https://diadoc.kontur.ru/143bcbfb-a011-4791-9316-981158fa5552/Document/Show?letterId=b5942c57-d276-49a5-b3c7-fba7ab5334ab&amp;documentId=98a0c85e-30d0-4c52-800e-444bbbc0c647</t>
  </si>
  <si>
    <t>https://diadoc.kontur.ru/143bcbfb-a011-4791-9316-981158fa5552/Document/Show?letterId=9016ff55-fe29-4aa1-8f5f-c45a737ea399&amp;documentId=d2fb533c-51fd-4030-ba68-feb24624fb20</t>
  </si>
  <si>
    <t>ООО АРТЭС</t>
  </si>
  <si>
    <t>https://diadoc.kontur.ru/143bcbfb-a011-4791-9316-981158fa5552/Document/Show?letterId=1f8b1fb7-e86c-4200-9f11-df1ef79651f9&amp;documentId=18556e92-0014-4c94-b9ff-d571b286eb84</t>
  </si>
  <si>
    <t>ИП Кудрявцев</t>
  </si>
  <si>
    <t>https://diadoc.kontur.ru/143bcbfb-a011-4791-9316-981158fa5552/Document/Show?letterId=037e704d-bbe5-4351-93f5-9a33e8866ea0&amp;documentId=18c53a17-ac58-40dc-8522-bcba73caa1f9</t>
  </si>
  <si>
    <t>https://diadoc.kontur.ru/143bcbfb-a011-4791-9316-981158fa5552/Document/Show?letterId=0cb82d43-b1b0-4c70-8565-5ad6d84c96c2&amp;documentId=ca534d9e-515f-4c1a-934b-d354196f317d</t>
  </si>
  <si>
    <t>https://diadoc.kontur.ru/143bcbfb-a011-4791-9316-981158fa5552/Document/Show?letterId=447740ce-1e56-4d1b-94e8-1c0a324cdeac&amp;documentId=85a48c9e-3f64-4138-9660-81361b459054</t>
  </si>
  <si>
    <t>https://diadoc.kontur.ru/143bcbfb-a011-4791-9316-981158fa5552/Document/Show?letterId=7310f358-cf37-4f8d-9b79-7ead123a9ad7&amp;documentId=34ca9a8f-ee70-48c2-bbe7-8a1d75dcd9e4</t>
  </si>
  <si>
    <t>зарплата июль</t>
  </si>
  <si>
    <t>https://diadoc.kontur.ru/143bcbfb-a011-4791-9316-981158fa5552/Document/Show?letterId=a2a3f932-1979-4b39-862d-16225b713315&amp;documentId=92608520-e527-4b6d-bba6-b758010d05dc</t>
  </si>
  <si>
    <t>ведение РК ЯД</t>
  </si>
  <si>
    <t>отчеты</t>
  </si>
  <si>
    <t>https://diadoc.kontur.ru/143bcbfb-a011-4791-9316-981158fa5552/Document/Show?letterId=4b1be2b5-ad2b-4ed3-8075-c4517c9e91c9&amp;documentId=6fd779bb-7495-461f-9a9a-d43969622536</t>
  </si>
  <si>
    <t>https://diadoc.kontur.ru/143bcbfb-a011-4791-9316-981158fa5552/Document/Show?letterId=f5fb9fdb-c076-4afb-baac-0accedcb3fe5&amp;documentId=64556610-2253-4477-9535-5cf9883dc4df</t>
  </si>
  <si>
    <t>комиссия за перевод самозанятому</t>
  </si>
  <si>
    <t>ПАБЛИШЕР</t>
  </si>
  <si>
    <t>ООО ИНСТАМАРТ СЕРВИС</t>
  </si>
  <si>
    <t>https://diadoc.kontur.ru/143bcbfb-a011-4791-9316-981158fa5552/Document/Show?letterId=8f156781-805a-4f5d-a676-48eb24e49807&amp;documentId=8b9a4ac2-0ec9-4874-860c-69766ce537d7</t>
  </si>
  <si>
    <t>https://diadoc.kontur.ru/143bcbfb-a011-4791-9316-981158fa5552/Document/Show?letterId=3e873529-2cf2-4431-9611-840cf3bbe1a2&amp;documentId=6866c70c-f168-42e2-b35f-e03ae14f719f</t>
  </si>
  <si>
    <t>https://diadoc.kontur.ru/143bcbfb-a011-4791-9316-981158fa5552/Document/Show?letterId=25e9f75a-1116-45f8-9ae0-554d2645e925&amp;documentId=d6b4dbba-260f-4fb3-9d49-4d496a795a6d</t>
  </si>
  <si>
    <t>https://diadoc.kontur.ru/143bcbfb-a011-4791-9316-981158fa5552/Document/Show?letterId=72b8aa43-6b6b-41b3-bd67-b7396c288ec6&amp;documentId=53e4fdbd-4601-427b-83a5-de9c79e7eaca</t>
  </si>
  <si>
    <t>https://diadoc.kontur.ru/143bcbfb-a011-4791-9316-981158fa5552/Document/Show?letterId=453dc52e-73af-4f80-9368-8d8c77f18223&amp;documentId=eb04d5f2-9cbe-42d4-b3b7-f1a09b2b1be0</t>
  </si>
  <si>
    <t>https://diadoc.kontur.ru/143bcbfb-a011-4791-9316-981158fa5552/Document/Show?letterId=b193e8a4-da37-4ced-b1de-399e609cea1b&amp;documentId=589f5b0d-3eac-4fd0-9e4c-9ba9028efff9</t>
  </si>
  <si>
    <t>https://diadoc.kontur.ru/143bcbfb-a011-4791-9316-981158fa5552/Document/Show?letterId=4719e213-210e-4ea5-94ec-4a6a5c0c70c0&amp;documentId=c525a164-d8ff-451a-bf1e-3df5625fba4c</t>
  </si>
  <si>
    <t>https://diadoc.kontur.ru/143bcbfb-a011-4791-9316-981158fa5552/Document/Show?letterId=fcbb7a85-7ac9-4141-8fb6-ec0149b62ef5&amp;documentId=94859052-fe24-4a58-a7a5-bbaab45b65fa</t>
  </si>
  <si>
    <t>https://diadoc.kontur.ru/143bcbfb-a011-4791-9316-981158fa5552/Document/Show?letterId=69ffc5ba-b141-4dd1-ae2f-0eb3eabb48f4&amp;documentId=c778a6f4-4a68-4f1b-a750-d82e3c87d755</t>
  </si>
  <si>
    <t>https://diadoc.kontur.ru/143bcbfb-a011-4791-9316-981158fa5552/Document/Show?letterId=35fa30aa-a404-4406-babd-30abf6fa79be&amp;documentId=2a18a995-dacb-40e7-9ae6-8571e8ff69a5</t>
  </si>
  <si>
    <t>накладные по отчету</t>
  </si>
  <si>
    <t>сбер бельченко</t>
  </si>
  <si>
    <t>закупки др Бельченко</t>
  </si>
  <si>
    <t>Уборка июль</t>
  </si>
  <si>
    <t>ООО Манго Телеком</t>
  </si>
  <si>
    <t>доп.36</t>
  </si>
  <si>
    <t>ООО УК АС ФАРМИЯ</t>
  </si>
  <si>
    <t>https://diadoc.kontur.ru/143bcbfb-a011-4791-9316-981158fa5552/Document/Show?letterId=f7cf139b-b39c-4975-b531-704709ff1e27&amp;documentId=8e280a7d-797c-434f-a149-c5c5abe090f9</t>
  </si>
  <si>
    <t>аптечный саммит</t>
  </si>
  <si>
    <t>ИП Тадевосян</t>
  </si>
  <si>
    <t>зеленый крест</t>
  </si>
  <si>
    <t>вскрытие сейфа</t>
  </si>
  <si>
    <t>оплата смотрителю</t>
  </si>
  <si>
    <t>алко др димы</t>
  </si>
  <si>
    <t>аванс август Бельченко</t>
  </si>
  <si>
    <t>за август</t>
  </si>
  <si>
    <t>доп.21-1</t>
  </si>
  <si>
    <t>доп.24-1</t>
  </si>
  <si>
    <t>доп.23-1</t>
  </si>
  <si>
    <t>https://diadoc.kontur.ru/143bcbfb-a011-4791-9316-981158fa5552/Document/Show?letterId=79927cfe-bd89-413c-9843-dd61823a39b0&amp;documentId=a8bcbaa5-0bdc-498b-8ff4-9be73c885414</t>
  </si>
  <si>
    <t>доп.32</t>
  </si>
  <si>
    <t>доп.33</t>
  </si>
  <si>
    <t>доп.34</t>
  </si>
  <si>
    <t>доп.30-1</t>
  </si>
  <si>
    <t>доп.29-1</t>
  </si>
  <si>
    <t>доп.28-1</t>
  </si>
  <si>
    <t>проценты по займу</t>
  </si>
  <si>
    <t>https://diadoc.kontur.ru/143bcbfb-a011-4791-9316-981158fa5552/Document/Show?letterId=0aa3078f-8fdf-41a2-90f4-1594f891f69a&amp;documentId=c3cc368a-d8ce-41e4-80dd-2d5dbf14b30b</t>
  </si>
  <si>
    <t>https://diadoc.kontur.ru/143bcbfb-a011-4791-9316-981158fa5552/Document/Show?letterId=6bc326d9-2917-4c55-8f35-4b04ac8e9306&amp;documentId=13bb22c8-f314-4573-87d4-88e79e46e014</t>
  </si>
  <si>
    <t>https://diadoc.kontur.ru/143bcbfb-a011-4791-9316-981158fa5552/Document/Show?letterId=41b88459-1169-4773-97b0-eb7b55f7ae2c&amp;documentId=18b64079-0935-44ff-b815-d3f88ee6b875</t>
  </si>
  <si>
    <t>https://diadoc.kontur.ru/143bcbfb-a011-4791-9316-981158fa5552/Document/Show?letterId=704eeced-ed8f-46ab-8fdd-5277dd040481&amp;documentId=73f4ce6b-009c-4574-bae7-247058212d8d</t>
  </si>
  <si>
    <t>https://diadoc.kontur.ru/143bcbfb-a011-4791-9316-981158fa5552/Document/Show?letterId=e274b8b8-5015-498b-8639-b61e728c9f8b&amp;documentId=c8e900a0-70d9-4d7f-bf94-9efa38e656c9</t>
  </si>
  <si>
    <t>КВАНЗА МЕДИА БАИНГ ООО</t>
  </si>
  <si>
    <t>прилож. 2</t>
  </si>
  <si>
    <t>прилож. 1</t>
  </si>
  <si>
    <t>доп ДА-59/0425</t>
  </si>
  <si>
    <t>лицензия на эдо 1с</t>
  </si>
  <si>
    <t>доп.3</t>
  </si>
  <si>
    <t>ДБП ООО</t>
  </si>
  <si>
    <t>прилож 1</t>
  </si>
  <si>
    <t>Яндекс ООО</t>
  </si>
  <si>
    <t>НАЛОГИ | Реклама</t>
  </si>
  <si>
    <t>РОСКОМНАДЗОР</t>
  </si>
  <si>
    <t>СЕНТЯБРЬ 2025</t>
  </si>
  <si>
    <t>ИП Жмакина</t>
  </si>
  <si>
    <t>юристы</t>
  </si>
  <si>
    <t>ООО Копирка24</t>
  </si>
  <si>
    <t>уборка доставка</t>
  </si>
  <si>
    <t>ИП Тонканов (С Б)</t>
  </si>
  <si>
    <t>https://diadoc.kontur.ru/143bcbfb-a011-4791-9316-981158fa5552/Document/Show?letterId=6e7a3112-af6a-4e62-af0a-e561785dabef&amp;documentId=4b9c82c5-e8cf-4310-8800-a6bb2c019a31</t>
  </si>
  <si>
    <t>https://diadoc.kontur.ru/143bcbfb-a011-4791-9316-981158fa5552/Document/Show?letterId=150f36a9-4409-44e3-9d5f-92d03724d315&amp;documentId=123d7595-886e-4246-80a4-74579c4b8d97</t>
  </si>
  <si>
    <t>https://diadoc.kontur.ru/143bcbfb-a011-4791-9316-981158fa5552/Document/Show?letterId=06277629-e524-406b-b86b-131b157f1a75&amp;documentId=d9ce3a28-2577-4812-aa80-5db2f1aab249</t>
  </si>
  <si>
    <t>https://diadoc.kontur.ru/143bcbfb-a011-4791-9316-981158fa5552/Document/Show?letterId=47e5ca2b-0b76-47d9-85f5-449e08e2051d&amp;documentId=d3eed50e-a92d-4de7-9e2c-767028add8b2</t>
  </si>
  <si>
    <t>https://diadoc.kontur.ru/143bcbfb-a011-4791-9316-981158fa5552/Document/Show?letterId=c36f07fe-de48-4a7c-ab9c-85eb134e9ddd&amp;documentId=1ac74539-1098-4241-b94a-a149322f1742</t>
  </si>
  <si>
    <t>https://diadoc.kontur.ru/143bcbfb-a011-4791-9316-981158fa5552/Document/Show?letterId=45d5a60d-a31b-45f3-9db4-58d980df2891&amp;documentId=9c25a73d-523e-462a-8d8b-d65ba45ccdd1</t>
  </si>
  <si>
    <t>https://diadoc.kontur.ru/143bcbfb-a011-4791-9316-981158fa5552/Document/Show?letterId=c46a189b-e484-4cc0-8ab2-ff8674bef22f&amp;documentId=b290cc96-d52c-48f8-a41e-c75eb0b20aa5</t>
  </si>
  <si>
    <t>https://diadoc.kontur.ru/143bcbfb-a011-4791-9316-981158fa5552/Document/Show?letterId=b49a1828-3974-4ed6-9a40-2fda9ec7fbb0&amp;documentId=07ce2a4f-343c-40f9-9a28-0a009769d5ff</t>
  </si>
  <si>
    <t>https://diadoc.kontur.ru/143bcbfb-a011-4791-9316-981158fa5552/Document/Show?letterId=35dd29bf-725d-4ca5-8d80-926e2c52cadb&amp;documentId=45947bf5-99df-49e8-af10-938bff241bf9</t>
  </si>
  <si>
    <t>https://diadoc.kontur.ru/143bcbfb-a011-4791-9316-981158fa5552/Document/Show?letterId=cf09cc0b-0ca7-4a0e-9a02-d3f6fedc9cb1&amp;documentId=8639042d-354a-4d34-ab90-6006ca0aef67</t>
  </si>
  <si>
    <t>https://diadoc.kontur.ru/143bcbfb-a011-4791-9316-981158fa5552/Document/Show?letterId=d85b534d-b8d5-4905-9ed5-ddf9873a410d&amp;documentId=79fe69e4-9298-40fe-9926-4e3300fc0542</t>
  </si>
  <si>
    <t>https://diadoc.kontur.ru/143bcbfb-a011-4791-9316-981158fa5552/Document/Show?letterId=9935a173-8605-4f79-b580-9b9547ab0bbf&amp;documentId=b4c6085c-8a49-469a-8afd-33ce6cd1d5f9</t>
  </si>
  <si>
    <t>https://diadoc.kontur.ru/143bcbfb-a011-4791-9316-981158fa5552/Document/Show?letterId=cae55e58-1393-48fa-a15c-5805eede8ba9&amp;documentId=d625733f-61bf-4955-b2af-54e2b8f9fb2c</t>
  </si>
  <si>
    <t>РИГЛА ООО (НН)</t>
  </si>
  <si>
    <t>https://diadoc.kontur.ru/143bcbfb-a011-4791-9316-981158fa5552/Document/Show?letterId=40bb4938-8f95-4200-9505-b15f5dd0000b&amp;documentId=9382e9cc-b610-40f9-9dc3-981dda859f34</t>
  </si>
  <si>
    <t>https://diadoc.kontur.ru/143bcbfb-a011-4791-9316-981158fa5552/Document/Show?letterId=40bb4938-8f95-4200-9505-b15f5dd0000b&amp;documentId=eaacf87c-26f8-4610-bbc5-7f38d7a8c791</t>
  </si>
  <si>
    <t>https://diadoc.kontur.ru/143bcbfb-a011-4791-9316-981158fa5552/Document/Show?letterId=40bb4938-8f95-4200-9505-b15f5dd0000b&amp;documentId=a24661bd-1781-46af-b374-99f71da1e71b</t>
  </si>
  <si>
    <t>страховые взносы</t>
  </si>
  <si>
    <t>https://diadoc.kontur.ru/143bcbfb-a011-4791-9316-981158fa5552/Document/Show?letterId=183891c3-d38b-4a1f-924b-ef10d276d67c&amp;documentId=34afbb29-5b1e-4c16-b8bb-70defb4e4139</t>
  </si>
  <si>
    <t>https://diadoc.kontur.ru/143bcbfb-a011-4791-9316-981158fa5552/Document/Show?letterId=2f93f584-b4cc-4b97-b2fe-70797b2e21d5&amp;documentId=22bb3b69-8b57-4c96-a125-b4f6d49ba3bf</t>
  </si>
  <si>
    <t>https://diadoc.kontur.ru/143bcbfb-a011-4791-9316-981158fa5552/Document/Show?letterId=85c6a873-976f-4188-9c8d-81f3fc638aba&amp;documentId=0ec551d4-b6ed-4992-9865-8428b865089d</t>
  </si>
  <si>
    <t>https://diadoc.kontur.ru/143bcbfb-a011-4791-9316-981158fa5552/Document/Show?letterId=669a4470-2016-4b26-93d5-fe026a20c458&amp;documentId=767e34a9-fdd9-4398-a36f-c287b96711eb</t>
  </si>
  <si>
    <t>https://diadoc.kontur.ru/143bcbfb-a011-4791-9316-981158fa5552/Document/Show?letterId=46083fda-2af3-46e1-b50e-0e16ade61832&amp;documentId=fba44a18-e863-4acd-89df-d9e8f81d8501</t>
  </si>
  <si>
    <t>https://diadoc.kontur.ru/143bcbfb-a011-4791-9316-981158fa5552/Document/Show?letterId=0d74471f-6038-4b35-82f3-3a694ccd6257&amp;documentId=f6eb09c0-6874-4165-8dd9-e738a68f0795</t>
  </si>
  <si>
    <t>https://diadoc.kontur.ru/143bcbfb-a011-4791-9316-981158fa5552/Document/Show?letterId=956cc190-f5e7-47a9-949c-f143ca5e8a90&amp;documentId=351b0936-c5d6-4d32-8c23-c8f1fa0c6132</t>
  </si>
  <si>
    <t>доп 10</t>
  </si>
  <si>
    <t>доп 8</t>
  </si>
  <si>
    <t>ИП ЮМАТОВ</t>
  </si>
  <si>
    <t>https://diadoc.kontur.ru/143bcbfb-a011-4791-9316-981158fa5552/Document/Show?letterId=f8202580-3ae7-4d3b-bbe1-f39b78fa9c19&amp;documentId=55cf4442-8ed5-4c1b-b859-ede76fb89ea9</t>
  </si>
  <si>
    <t>https://diadoc.kontur.ru/143bcbfb-a011-4791-9316-981158fa5552/Document/Show?letterId=cc0f3b35-8c27-4a1c-a2b2-4b2a0e1774d5&amp;documentId=b7fb47e1-a9d7-4ec5-934c-0115f0f84c22</t>
  </si>
  <si>
    <t>ведение рк</t>
  </si>
  <si>
    <t>премия фот Ким</t>
  </si>
  <si>
    <t>Девочка ДПД Август</t>
  </si>
  <si>
    <t>выплаты за август</t>
  </si>
  <si>
    <t>АСТРАЗЕНЕКА ФАРМАСЬЮТИКАЛЗ ООО</t>
  </si>
  <si>
    <t>Труфанов Премия</t>
  </si>
  <si>
    <t>Монич премия</t>
  </si>
  <si>
    <t>Смирнова премия</t>
  </si>
  <si>
    <t>бельченко сентябрь</t>
  </si>
  <si>
    <t>https://diadoc.kontur.ru/143bcbfb-a011-4791-9316-981158fa5552/Document/Show?letterId=d38527b8-696d-4a8e-895f-ee72cf239427&amp;documentId=b2460b40-28ca-4551-ad63-756a0828fa35</t>
  </si>
  <si>
    <t>https://diadoc.kontur.ru/143bcbfb-a011-4791-9316-981158fa5552/Document/Show?letterId=f2af285f-26ad-4ede-bed5-903d249f6ba4&amp;documentId=b49944e5-de11-4083-80a1-2117d864a93d</t>
  </si>
  <si>
    <t>https://diadoc.kontur.ru/143bcbfb-a011-4791-9316-981158fa5552/Document/Show?letterId=71c720b4-0a6c-486b-a2e0-b083d35749c5&amp;documentId=09e37aa9-9f87-4ede-b380-dfce32e3b577</t>
  </si>
  <si>
    <t>https://diadoc.kontur.ru/143bcbfb-a011-4791-9316-981158fa5552/Document/Show?letterId=eb7a1780-729b-41c4-8127-e39430d9a810&amp;documentId=13938d1e-888c-424f-9a7b-bd077c4de07f</t>
  </si>
  <si>
    <t>премия мошков август</t>
  </si>
  <si>
    <t>премия смм август</t>
  </si>
  <si>
    <t>репетиция квартирник</t>
  </si>
  <si>
    <t>премия труфанов август</t>
  </si>
  <si>
    <t>премия гресева август</t>
  </si>
  <si>
    <t>премии август страхов, макаров, осадчук, маруев, кисляков</t>
  </si>
  <si>
    <t>https://diadoc.kontur.ru/143bcbfb-a011-4791-9316-981158fa5552/Document/Show?letterId=f0760fb9-bb9e-470a-924a-15ce64966305&amp;documentId=bcd94c1e-0658-46c7-a275-c6af47f857d3</t>
  </si>
  <si>
    <t>https://diadoc.kontur.ru/143bcbfb-a011-4791-9316-981158fa5552/Document/Show?letterId=4996bc22-1631-4343-9d00-6ea920db2bc3&amp;documentId=50cc9265-c2bd-48a2-8336-fb14f0ffbfee</t>
  </si>
  <si>
    <t>ООО Шоколадная корпорация</t>
  </si>
  <si>
    <t>Ксения, дизайн презы</t>
  </si>
  <si>
    <t>доп. 40</t>
  </si>
  <si>
    <t>ПРЕМЬЕР НУТРИШИНАЛ ООО</t>
  </si>
  <si>
    <t>3 квартал 2025</t>
  </si>
  <si>
    <t>ОМД Новус ООО</t>
  </si>
  <si>
    <t>https://diadoc.kontur.ru/143bcbfb-a011-4791-9316-981158fa5552/Document/Show?letterId=828898e7-6049-4fc8-b58f-5d4bb9dd0fcb&amp;documentId=a7d25993-6d82-48e5-8077-5ee6e3d0c654</t>
  </si>
  <si>
    <t>доп.38</t>
  </si>
  <si>
    <t>прилож. 3</t>
  </si>
  <si>
    <t>ООО РПК Плейс Принт</t>
  </si>
  <si>
    <t>прилож. 4</t>
  </si>
  <si>
    <t>МЕДИАНА БИ ЭЙЧ ООО</t>
  </si>
  <si>
    <t>прил 1</t>
  </si>
  <si>
    <t>прил 2</t>
  </si>
  <si>
    <t>Спец премия страхов</t>
  </si>
  <si>
    <t>https://diadoc.kontur.ru/143bcbfb-a011-4791-9316-981158fa5552/Document/Show?letterId=187312d0-5f23-48e8-b42c-fa9035f2c831&amp;documentId=437c33dd-174f-441f-8871-e65bcb77d7ce</t>
  </si>
  <si>
    <t>прил.1</t>
  </si>
  <si>
    <t>аванс прибыль</t>
  </si>
  <si>
    <t>платежки 3 квартал</t>
  </si>
  <si>
    <t>Смирнова</t>
  </si>
  <si>
    <t>Монич</t>
  </si>
  <si>
    <t>Аня похороны</t>
  </si>
  <si>
    <t>Бельченко премия</t>
  </si>
  <si>
    <t>октябрь 2025</t>
  </si>
  <si>
    <t>кофе, салфетки</t>
  </si>
  <si>
    <t>представительские</t>
  </si>
  <si>
    <t>бельченко сбер окт</t>
  </si>
  <si>
    <t>страхов</t>
  </si>
  <si>
    <t>гресева</t>
  </si>
  <si>
    <t>макаров</t>
  </si>
  <si>
    <t>осадчук</t>
  </si>
  <si>
    <t>прилож 2</t>
  </si>
  <si>
    <t>КБП ООО</t>
  </si>
  <si>
    <t>прилож 3</t>
  </si>
  <si>
    <t>прил. 4</t>
  </si>
  <si>
    <t>прилож. 5</t>
  </si>
  <si>
    <t>доп.35</t>
  </si>
  <si>
    <t>прилож. 6</t>
  </si>
  <si>
    <t>прилож. 7</t>
  </si>
  <si>
    <t>выплаты за сентябрь</t>
  </si>
  <si>
    <t>Свиридова</t>
  </si>
  <si>
    <t>https://diadoc.kontur.ru/143bcbfb-a011-4791-9316-981158fa5552/Document/Show?letterId=63c4316a-c895-48d2-b3d7-4e1797c097d6&amp;documentId=ed426332-9ff4-4b6e-b01e-50596b99ae15</t>
  </si>
  <si>
    <t>https://diadoc.kontur.ru/143bcbfb-a011-4791-9316-981158fa5552/Document/Show?letterId=95269cdd-6473-454e-a59f-f51b342c2d83&amp;documentId=2d47e171-1dd9-4152-b552-19f74f0ac917</t>
  </si>
  <si>
    <t>https://diadoc.kontur.ru/143bcbfb-a011-4791-9316-981158fa5552/Document/Show?letterId=2d9351a9-403b-40bc-b52d-7854fe3c8da9&amp;documentId=554bd63c-6458-4949-9d0d-b52be27c457b</t>
  </si>
  <si>
    <t>https://diadoc.kontur.ru/143bcbfb-a011-4791-9316-981158fa5552/Document/Show?letterId=7f14baa5-9587-4021-bf43-941cae5f08b5&amp;documentId=75b59eeb-7a90-4145-912e-200754f02ddc</t>
  </si>
  <si>
    <t>https://diadoc.kontur.ru/143bcbfb-a011-4791-9316-981158fa5552/Document/Show?letterId=17840fc4-6df9-455d-b3e2-77fe7cb94cdf&amp;documentId=0f8f6630-aa1b-44d3-9c6a-21865fd4c7d1</t>
  </si>
  <si>
    <t>https://diadoc.kontur.ru/143bcbfb-a011-4791-9316-981158fa5552/Document/Show?letterId=782697ea-5997-4955-aa63-50bef998fe32&amp;documentId=019f49be-1ca6-4d91-a444-2f5483d96c78</t>
  </si>
  <si>
    <t>https://diadoc.kontur.ru/143bcbfb-a011-4791-9316-981158fa5552/Document/Show?letterId=47659394-5709-4da8-bfdc-2c2f04988db2&amp;documentId=8c2a5bfe-1532-4a10-a93f-cfe93d8a711e</t>
  </si>
  <si>
    <t>https://diadoc.kontur.ru/143bcbfb-a011-4791-9316-981158fa5552/Document/Show?letterId=9076cf0f-1bf0-4d1f-9433-522d20c7d5a1&amp;documentId=d0067da8-b71c-469f-93c0-5c87e4182308</t>
  </si>
  <si>
    <t>https://diadoc.kontur.ru/143bcbfb-a011-4791-9316-981158fa5552/Document/Show?letterId=db376b16-1cb4-4239-beb9-ee503f9cd507&amp;documentId=9c8e359f-9aef-418f-b613-095beb4d7295</t>
  </si>
  <si>
    <t>https://diadoc.kontur.ru/143bcbfb-a011-4791-9316-981158fa5552/Document/Show?letterId=6865d3e3-793d-475f-9397-7fcfd588c1fa&amp;documentId=a89af7cf-fdd5-472f-a0e0-e9e83b185f0a</t>
  </si>
  <si>
    <t>https://diadoc.kontur.ru/143bcbfb-a011-4791-9316-981158fa5552/Document/Show?letterId=c918b21e-b2ff-4a70-b0dc-da50333da5de&amp;documentId=bb1eddfa-a1e6-40e1-ad04-12406420aa03</t>
  </si>
  <si>
    <t>https://diadoc.kontur.ru/143bcbfb-a011-4791-9316-981158fa5552/Document/Show?letterId=49a4072c-af42-465a-bb1f-35ea9238f02b&amp;documentId=027405d9-79d9-4d66-b9e4-d62ff028fd13</t>
  </si>
  <si>
    <t>https://diadoc.kontur.ru/143bcbfb-a011-4791-9316-981158fa5552/Document/Show?letterId=a05da0ca-6e12-447b-8634-258dc2edb4c4&amp;documentId=d1f8fbb9-c3ff-4868-9faf-e90af6d5555d</t>
  </si>
  <si>
    <t>https://diadoc.kontur.ru/143bcbfb-a011-4791-9316-981158fa5552/Document/Show?letterId=720068a1-81ca-41a6-8f11-04c9652451e8&amp;documentId=e08a5936-be50-4623-ad75-329dac3d904d</t>
  </si>
  <si>
    <t>https://diadoc.kontur.ru/143bcbfb-a011-4791-9316-981158fa5552/Document/Show?letterId=bafeda77-3b0a-41a1-9856-1b687903cd09&amp;documentId=011ebfc5-142c-41fb-8311-222a5a5f3934</t>
  </si>
  <si>
    <t>https://diadoc.kontur.ru/143bcbfb-a011-4791-9316-981158fa5552/Document/Show?letterId=3da82a2b-fe03-47b1-bb86-404fbc80f1c9&amp;documentId=3b3c2ceb-451d-4e9b-b399-578bd559db70</t>
  </si>
  <si>
    <t>https://diadoc.kontur.ru/143bcbfb-a011-4791-9316-981158fa5552/Document/Show?letterId=668a8c76-2c1d-4265-b48b-0db4ee0be382&amp;documentId=cb1b6312-0d1b-4476-abe8-977a088535c8</t>
  </si>
  <si>
    <t>https://diadoc.kontur.ru/143bcbfb-a011-4791-9316-981158fa5552/Document/Show?letterId=e423fcb5-715a-4a3d-b851-8f237260c8fb&amp;documentId=8faaf79c-ad27-4c0c-b39a-2b996196a399</t>
  </si>
  <si>
    <t>https://diadoc.kontur.ru/143bcbfb-a011-4791-9316-981158fa5552/Document/Show?letterId=f5edb3f0-2b87-47b2-82cf-dfdb570101da&amp;documentId=18c04b94-3f27-49a8-bd6b-3a5ead8acc84</t>
  </si>
  <si>
    <t>https://diadoc.kontur.ru/143bcbfb-a011-4791-9316-981158fa5552/Document/Show?letterId=9c4fcdda-1272-47b8-8007-f90be10e3cee&amp;documentId=c610d73a-f6cc-42eb-90bb-104a60fc70bb</t>
  </si>
  <si>
    <t>https://diadoc.kontur.ru/143bcbfb-a011-4791-9316-981158fa5552/Document/Show?letterId=698ff8be-fbe0-4c10-bf0d-45a7b345f332&amp;documentId=910323bb-96d8-4f5a-b62a-26b2c0f06bf5</t>
  </si>
  <si>
    <t>ООО Диалог Столица</t>
  </si>
  <si>
    <t>https://diadoc.kontur.ru/143bcbfb-a011-4791-9316-981158fa5552/Document/Show?letterId=e8131a3b-c0a0-473e-a230-43add18d823c&amp;documentId=d88fe2ca-db53-4a51-a103-57075926d0a0</t>
  </si>
  <si>
    <t>https://diadoc.kontur.ru/143bcbfb-a011-4791-9316-981158fa5552/Document/Show?letterId=b4fafa72-6fb6-4b3e-a538-0604840b8934&amp;documentId=378367ab-ee72-4f1d-b07f-1e738500fbe6</t>
  </si>
  <si>
    <t>https://diadoc.kontur.ru/143bcbfb-a011-4791-9316-981158fa5552/Document/Show?letterId=a23f1ffe-9776-43d3-b63b-868bfe8b14db&amp;documentId=7615fcef-ca09-4bf1-9dff-c203b1f1f70d</t>
  </si>
  <si>
    <t>https://diadoc.kontur.ru/143bcbfb-a011-4791-9316-981158fa5552/Document/Show?letterId=1f827ea6-7d0c-40f1-92d7-d086bfbb3706&amp;documentId=81088be2-a56d-46ac-8f5a-3d95a18b48f3</t>
  </si>
  <si>
    <t>доп.39</t>
  </si>
  <si>
    <t>https://diadoc.kontur.ru/143bcbfb-a011-4791-9316-981158fa5552/Document/Show?letterId=c3c72f3f-7e10-4fb5-812e-f47f46344c48&amp;documentId=816ffbbd-c1a4-47fe-97a0-2428adb7d241</t>
  </si>
  <si>
    <t>https://diadoc.kontur.ru/143bcbfb-a011-4791-9316-981158fa5552/Document/Show?letterId=a9e4daa2-834d-4d2d-a00b-35b3f43e155f&amp;documentId=7b84f306-a465-4168-befd-5fee8a72adac</t>
  </si>
  <si>
    <t>https://diadoc.kontur.ru/143bcbfb-a011-4791-9316-981158fa5552/Document/Show?letterId=0368ea5f-02f8-403f-a3d2-61ce2f18f1d7&amp;documentId=d1484451-2249-4347-8bdd-4e63dac0332d</t>
  </si>
  <si>
    <t>https://diadoc.kontur.ru/143bcbfb-a011-4791-9316-981158fa5552/Document/Show?letterId=c38507de-6c1b-45b4-8e32-eca84409af08&amp;documentId=685417f2-2dfd-419b-af4d-7d1b25f5edbd</t>
  </si>
  <si>
    <t>https://diadoc.kontur.ru/143bcbfb-a011-4791-9316-981158fa5552/Document/Show?letterId=c977703b-f6fd-42d5-a4b9-2c0b502b4f26&amp;documentId=10a15897-c5d7-4d08-ab47-5f09d3d00e34</t>
  </si>
  <si>
    <t>https://diadoc.kontur.ru/143bcbfb-a011-4791-9316-981158fa5552/Document/Show?letterId=07cafeb1-1db2-433f-a915-5f1523e5007b&amp;documentId=d91e5cc6-5f8a-431f-95d8-d0accbad90d2</t>
  </si>
  <si>
    <t>доп.37</t>
  </si>
  <si>
    <t>Машков</t>
  </si>
  <si>
    <t>Тата Лысогорова (36 6)</t>
  </si>
  <si>
    <t>маруев</t>
  </si>
  <si>
    <t>доп 9</t>
  </si>
  <si>
    <t>труфанов</t>
  </si>
  <si>
    <t>алкотуса 16 окт</t>
  </si>
  <si>
    <t>Девочка ДПД</t>
  </si>
  <si>
    <t>подписка консультант +</t>
  </si>
  <si>
    <t>ИП Бабаянц М.В.</t>
  </si>
  <si>
    <t>доп.42</t>
  </si>
  <si>
    <t>доп.41</t>
  </si>
  <si>
    <t>доп.43</t>
  </si>
  <si>
    <t>фесенко</t>
  </si>
  <si>
    <t>кисляков</t>
  </si>
  <si>
    <t>Авиасейлз бизнес ООО</t>
  </si>
  <si>
    <t>островок</t>
  </si>
  <si>
    <t>заявка 10</t>
  </si>
  <si>
    <t>заявка 11</t>
  </si>
  <si>
    <t>заявка 12</t>
  </si>
  <si>
    <t>https://diadoc.kontur.ru/143bcbfb-a011-4791-9316-981158fa5552/Document/Show?letterId=3efff1f7-48a7-41f6-bf65-fb18431cae3e&amp;documentId=6e9fbf66-e818-4e65-b203-a7af6b965c37</t>
  </si>
  <si>
    <t>https://diadoc.kontur.ru/143bcbfb-a011-4791-9316-981158fa5552/Document/Show?letterId=36647b51-ecfc-4787-8840-5c3a8c492c0e&amp;documentId=6c34c3d2-8c1e-4482-b87a-923e4cbfb805</t>
  </si>
  <si>
    <t>https://diadoc.kontur.ru/143bcbfb-a011-4791-9316-981158fa5552/Document/Show?letterId=8ec8b6c5-fcc2-4c87-a092-78ca80715b3b&amp;documentId=5198b80a-7ff4-41fb-ad85-c445d1cd3d86</t>
  </si>
  <si>
    <t>бизнес вечер 16.10 Панасюк</t>
  </si>
  <si>
    <t>Мошков 2 кв</t>
  </si>
  <si>
    <t>Галактионов 2 кв</t>
  </si>
  <si>
    <t>бизнес вечер 16.10 Мошков крупье</t>
  </si>
  <si>
    <t>доп.48</t>
  </si>
  <si>
    <t>НДС 1\3</t>
  </si>
  <si>
    <t>СТраховые взносы</t>
  </si>
  <si>
    <t>доп 14</t>
  </si>
  <si>
    <t>https://diadoc.kontur.ru/143bcbfb-a011-4791-9316-981158fa5552/Document/Show?letterId=e8164b12-d029-44f5-b162-cf8858c754e3&amp;documentId=979ac81a-349c-4de8-bf76-7158c05e9ff3</t>
  </si>
  <si>
    <t>ноябрь 2025</t>
  </si>
  <si>
    <t>доп 17</t>
  </si>
  <si>
    <t>доп 13</t>
  </si>
  <si>
    <t>доп 12</t>
  </si>
  <si>
    <t>прил 6</t>
  </si>
  <si>
    <t>прил 5</t>
  </si>
  <si>
    <t>прил 3</t>
  </si>
  <si>
    <t>прил 4</t>
  </si>
  <si>
    <t>доп.44</t>
  </si>
  <si>
    <t>АПР ЕВРАЗИЯ ООО</t>
  </si>
  <si>
    <t>отпускные Монич</t>
  </si>
  <si>
    <t>СММ сент и окт</t>
  </si>
  <si>
    <t>пятигорск</t>
  </si>
  <si>
    <t>https://diadoc.kontur.ru/143bcbfb-a011-4791-9316-981158fa5552/Document/Show?letterId=cc2a3603-9eae-4e96-bb45-db8b895ae77c&amp;documentId=c6d935ce-4ecb-4b63-98a7-ceb15e9bfc23</t>
  </si>
  <si>
    <t>https://diadoc.kontur.ru/143bcbfb-a011-4791-9316-981158fa5552/Document/Show?letterId=f31692ed-3ad3-4bf7-8073-c329c306cc89&amp;documentId=3a32df82-7f7a-4cbe-a2b7-46a10ceab2a5</t>
  </si>
  <si>
    <t>ООО Стимул Плюс</t>
  </si>
  <si>
    <t>https://diadoc.kontur.ru/143bcbfb-a011-4791-9316-981158fa5552/Document/Show?letterId=cdd0478c-f5e7-4d6d-b016-2c09273a62df&amp;documentId=caa83369-418c-4e33-a5c0-456926bb213c</t>
  </si>
  <si>
    <t>https://diadoc.kontur.ru/143bcbfb-a011-4791-9316-981158fa5552/Document/Show?letterId=d03c4c2d-1aeb-45f9-bec5-431827ebdf54&amp;documentId=ec3efc5d-770d-4730-9d43-662e612acd9f</t>
  </si>
  <si>
    <t>ООО УК МАКСАВИТ</t>
  </si>
  <si>
    <t>https://diadoc.kontur.ru/143bcbfb-a011-4791-9316-981158fa5552/Document/Show?letterId=5471b259-771b-4587-acfb-c2997a514364&amp;documentId=3b889a09-7318-460c-b864-93626719ad04</t>
  </si>
  <si>
    <t>https://diadoc.kontur.ru/143bcbfb-a011-4791-9316-981158fa5552/Document/Show?letterId=ed9eebe3-5f02-47ac-a08d-331ceea85aba&amp;documentId=e8df5b01-7578-4343-bd11-15790fcdd13d</t>
  </si>
  <si>
    <t>https://diadoc.kontur.ru/143bcbfb-a011-4791-9316-981158fa5552/Document/Show?letterId=78a40f16-3e8c-458d-bfe9-f2307c783fe5&amp;documentId=71a8f8cc-04e7-4716-a0ac-b73df6cea4fb</t>
  </si>
  <si>
    <t>ООО Стратегия Фарма</t>
  </si>
  <si>
    <t>https://diadoc.kontur.ru/143bcbfb-a011-4791-9316-981158fa5552/Document/Show?letterId=a1111f8a-6ee7-4fea-b326-0026b70ee851&amp;documentId=d648b668-10a0-449c-9fe7-df3172b4e986</t>
  </si>
  <si>
    <t>https://diadoc.kontur.ru/143bcbfb-a011-4791-9316-981158fa5552/Document/Show?letterId=d3b79fdc-bfe5-43c2-afbd-c199b4d2ce61&amp;documentId=638cfb04-5bc2-4b49-a505-ee1e3d900f43</t>
  </si>
  <si>
    <t>ООО УК АС Фармия</t>
  </si>
  <si>
    <t>https://diadoc.kontur.ru/143bcbfb-a011-4791-9316-981158fa5552/Document/Show?letterId=a9abe691-f7a4-4493-a2ec-497e8c53dda8&amp;documentId=6ac7bbad-ad4c-42d2-b0f7-55eeafb71f2b</t>
  </si>
  <si>
    <t>https://diadoc.kontur.ru/143bcbfb-a011-4791-9316-981158fa5552/Document/Show?letterId=592b393c-7d4b-4f13-af37-4588078d7a33&amp;documentId=6009fbc1-9a07-4a55-aeab-24f7d54ca46e</t>
  </si>
  <si>
    <t>ООО ДИАЛОГ СТОЛИЦА</t>
  </si>
  <si>
    <t>https://diadoc.kontur.ru/143bcbfb-a011-4791-9316-981158fa5552/Document/Show?letterId=3c913486-db36-45e2-bf65-c389e7abf983&amp;documentId=e39ab9a4-7a27-4e67-9ae1-b8c981a305f0</t>
  </si>
  <si>
    <t>https://diadoc.kontur.ru/143bcbfb-a011-4791-9316-981158fa5552/Document/Show?letterId=f2961c4c-4098-4546-97e2-67a2d08ad69d&amp;documentId=71acb375-97a2-4f47-bbb7-bf1d89f4c08e</t>
  </si>
  <si>
    <t>https://diadoc.kontur.ru/143bcbfb-a011-4791-9316-981158fa5552/Document/Show?letterId=a4a3bcf7-2488-40ea-b5f2-d2ab86059d2d&amp;documentId=4b4bbbe7-4c31-48a9-b5ff-1160e5072be1</t>
  </si>
  <si>
    <t>https://diadoc.kontur.ru/143bcbfb-a011-4791-9316-981158fa5552/Document/Show?letterId=7ecba576-f9c4-42b4-811c-02d0f285511b&amp;documentId=dbb61677-3bbb-4377-afb2-a859cedf88c6</t>
  </si>
  <si>
    <t>https://diadoc.kontur.ru/143bcbfb-a011-4791-9316-981158fa5552/Document/Show?letterId=5dd90c29-8e39-44c7-a39a-762faf9ea701&amp;documentId=cfe28bf0-0f35-4a5a-ae1a-d1e66d8011ff</t>
  </si>
  <si>
    <t>https://diadoc.kontur.ru/143bcbfb-a011-4791-9316-981158fa5552/Document/Show?letterId=2883e681-04fb-4a93-ab71-e1d30f34093f&amp;documentId=77dd12a4-9fed-47ee-911a-868e2ef63a8c</t>
  </si>
  <si>
    <t>https://diadoc.kontur.ru/143bcbfb-a011-4791-9316-981158fa5552/Document/Show?letterId=2c9aed66-b9f3-48bf-a8aa-d2221638750d&amp;documentId=ea9f046d-cb97-41c6-8d5a-88810ca27ea6</t>
  </si>
  <si>
    <t>https://diadoc.kontur.ru/143bcbfb-a011-4791-9316-981158fa5552/Document/Show?letterId=d4ef1a25-3da0-412b-82f2-8c1c2fe5d7ba&amp;documentId=f32eb8c3-e118-48da-b6c9-077226b6996a</t>
  </si>
  <si>
    <t>https://diadoc.kontur.ru/143bcbfb-a011-4791-9316-981158fa5552/Document/Show?letterId=eafe18ec-ef5d-4162-9a80-6e63d26c2e2e&amp;documentId=fbf828d2-8f86-41d8-b997-cc6c75ae4630</t>
  </si>
  <si>
    <t>Осадчук Отпускные</t>
  </si>
  <si>
    <t>доп 16</t>
  </si>
  <si>
    <t>доп 11</t>
  </si>
  <si>
    <t>доп 15</t>
  </si>
  <si>
    <t>Труфанов</t>
  </si>
  <si>
    <t>тата 36 6</t>
  </si>
  <si>
    <t>https://diadoc.kontur.ru/143bcbfb-a011-4791-9316-981158fa5552/Document/Show?letterId=11a2b728-e312-45d0-98a5-787cf976d436&amp;documentId=49194ed1-d87d-41ab-832c-4c33a46fd171</t>
  </si>
  <si>
    <t>https://diadoc.kontur.ru/143bcbfb-a011-4791-9316-981158fa5552/Document/Show?letterId=57ebe262-1fed-4c64-81e3-5335a5f44f34&amp;documentId=146a1a5d-612e-4cfe-ae1b-c718e4d2ac1a</t>
  </si>
  <si>
    <t>https://diadoc.kontur.ru/143bcbfb-a011-4791-9316-981158fa5552/Document/Show?letterId=dd5a5c26-b8f9-4b7f-b0b7-aadfbeaa5904&amp;documentId=64c8f50c-f335-4d39-b068-7248736d2183</t>
  </si>
  <si>
    <t>https://diadoc.kontur.ru/143bcbfb-a011-4791-9316-981158fa5552/Document/Show?letterId=1207c285-044b-4f7f-b7be-e4d2cf10974f&amp;documentId=752bda27-ae3e-485b-9d3b-cf944ff6626e</t>
  </si>
  <si>
    <t>https://diadoc.kontur.ru/143bcbfb-a011-4791-9316-981158fa5552/Document/Show?letterId=8e0cc3db-f1b9-41a2-aae8-b41849d9c6c0&amp;documentId=a99c3156-0832-4318-82de-200ad1fdc2b7</t>
  </si>
  <si>
    <t>https://diadoc.kontur.ru/143bcbfb-a011-4791-9316-981158fa5552/Document/Show?letterId=ab886e17-85c4-4298-8217-7fa4d50ffced&amp;documentId=81716950-346c-4e02-b91f-ccf9b80a29b8</t>
  </si>
  <si>
    <t>https://diadoc.kontur.ru/143bcbfb-a011-4791-9316-981158fa5552/Document/Show?letterId=34cada05-df94-4a0b-8830-f679d01bf0fe&amp;documentId=f92dde46-c89e-463e-add8-2ee27904ed8d</t>
  </si>
  <si>
    <t>https://diadoc.kontur.ru/143bcbfb-a011-4791-9316-981158fa5552/Document/Show?letterId=bba83097-99e5-4a4b-b68f-9f8bda303cfc&amp;documentId=d303964f-83f1-411d-bd79-228429f9e1d2</t>
  </si>
  <si>
    <t>https://diadoc.kontur.ru/143bcbfb-a011-4791-9316-981158fa5552/Document/Show?letterId=9721fdda-b941-4452-922c-37c9826f1d21&amp;documentId=eee3703c-b75a-40f8-b46d-357bcba309b9</t>
  </si>
  <si>
    <t>https://diadoc.kontur.ru/143bcbfb-a011-4791-9316-981158fa5552/Document/Show?letterId=22f26a6c-b42c-45b2-a583-bbf25ada4028&amp;documentId=6b8cf472-c1a7-4de7-9e4c-e38cdb89523d</t>
  </si>
  <si>
    <t>https://diadoc.kontur.ru/143bcbfb-a011-4791-9316-981158fa5552/Document/Show?letterId=49b60183-90a1-42ed-8795-670776463a07&amp;documentId=52db6eaf-d963-4fd6-967d-f4d420e1372a</t>
  </si>
  <si>
    <t>https://diadoc.kontur.ru/143bcbfb-a011-4791-9316-981158fa5552/Document/Show?letterId=fc5fbb0b-f96a-4839-96f4-ea639f09ae4f&amp;documentId=d6c9bc6b-de8d-4782-8b7e-e597be1f3be5</t>
  </si>
  <si>
    <t>https://diadoc.kontur.ru/143bcbfb-a011-4791-9316-981158fa5552/Document/Show?letterId=3194380c-fcc5-4c18-8b33-ba38bd2a388f&amp;documentId=1cec0f46-8f8d-46c5-bb1d-bee934c9e0ef</t>
  </si>
  <si>
    <t>Уборка</t>
  </si>
  <si>
    <t>кофе\молоко</t>
  </si>
  <si>
    <t>зарплата октябрь</t>
  </si>
  <si>
    <t>Бельченко октябрь</t>
  </si>
  <si>
    <t xml:space="preserve">Бельченко сбер </t>
  </si>
  <si>
    <t>ЮЭМДЖИ ГРУПП ООО</t>
  </si>
  <si>
    <t>https://diadoc.kontur.ru/143bcbfb-a011-4791-9316-981158fa5552/Document/Show?letterId=a9c822e4-8adf-445f-a21a-2d4d69b7bd47&amp;documentId=d80bbe16-d979-40fd-8347-a7fd823e64f9</t>
  </si>
  <si>
    <t>Гресева</t>
  </si>
  <si>
    <t>Кисляков</t>
  </si>
  <si>
    <t>сервера Страхов</t>
  </si>
  <si>
    <t xml:space="preserve">Маруев </t>
  </si>
  <si>
    <t>https://diadoc.kontur.ru/143bcbfb-a011-4791-9316-981158fa5552/Document/Show?letterId=5e896231-c7f8-4c2a-ac8d-ba9d7fc799c9&amp;documentId=95aa98c1-5342-4127-a534-0eb7f7f75fab</t>
  </si>
  <si>
    <t>монич</t>
  </si>
  <si>
    <t>смирнова</t>
  </si>
  <si>
    <t>софт Страхов лицензия</t>
  </si>
  <si>
    <t>КИМ</t>
  </si>
  <si>
    <t>ЯНДЕКС ООО</t>
  </si>
  <si>
    <t>Каса Пикасса ООО</t>
  </si>
  <si>
    <t>https://diadoc.kontur.ru/143bcbfb-a011-4791-9316-981158fa5552/Document/Show?letterId=6c3e6c36-fdff-4875-bad6-43223ee8955d&amp;documentId=4266a9d9-e49b-4046-8100-04b2bae04f9b</t>
  </si>
  <si>
    <t>доп 23</t>
  </si>
  <si>
    <t>доп 22</t>
  </si>
  <si>
    <t>доп 18</t>
  </si>
  <si>
    <t>доп 20</t>
  </si>
  <si>
    <t>доп 21</t>
  </si>
  <si>
    <t>доп 19</t>
  </si>
  <si>
    <t>ИП Ненашеев</t>
  </si>
  <si>
    <t>диджитал йолка</t>
  </si>
  <si>
    <t>Совкомбанк</t>
  </si>
  <si>
    <t>Мошков</t>
  </si>
  <si>
    <t>Мошков Алцея Гипцефол</t>
  </si>
  <si>
    <t>ИП Бойко</t>
  </si>
  <si>
    <t>фотограф на 26 ноября</t>
  </si>
  <si>
    <t>доп.40</t>
  </si>
  <si>
    <t>доп.46</t>
  </si>
  <si>
    <t>доп.51</t>
  </si>
  <si>
    <t>https://diadoc.kontur.ru/143bcbfb-a011-4791-9316-981158fa5552/Document/Show?letterId=670c8a5b-267e-49f8-be25-f309a9138fe0&amp;documentId=8a2e42e1-eedd-427e-b193-9eb616395f94</t>
  </si>
  <si>
    <t>https://diadoc.kontur.ru/143bcbfb-a011-4791-9316-981158fa5552/Document/Show?letterId=3194380c-fcc5-4c18-8b33-ba38bd2a388f&amp;documentId=a87ff1c9-3b14-4f4f-914d-57b55301d6da</t>
  </si>
  <si>
    <t>доп 30</t>
  </si>
  <si>
    <t>доп 27</t>
  </si>
  <si>
    <t>доп 25</t>
  </si>
  <si>
    <t>доп 29</t>
  </si>
  <si>
    <t>доп 24</t>
  </si>
  <si>
    <t>доп 26</t>
  </si>
  <si>
    <t>доп 28</t>
  </si>
  <si>
    <t>тула</t>
  </si>
  <si>
    <t>Подарки Мошков</t>
  </si>
  <si>
    <t>Подарки Галактионов</t>
  </si>
  <si>
    <t>страхов расходы</t>
  </si>
  <si>
    <t>пакеты и печать</t>
  </si>
  <si>
    <t>https://diadoc.kontur.ru/143bcbfb-a011-4791-9316-981158fa5552/Document/Show?letterId=c5f90c63-27b2-49dd-a90a-78889d910179&amp;documentId=d62da887-2ee3-4d27-ad2c-a813cfbb4b19</t>
  </si>
  <si>
    <t>СОВКОМБАНК</t>
  </si>
  <si>
    <t>комисссия за кредит</t>
  </si>
  <si>
    <t>https://diadoc.kontur.ru/143bcbfb-a011-4791-9316-981158fa5552/Document/Show?letterId=e2b97922-76af-401c-8d71-8bae1543a67a&amp;documentId=8774184d-a367-4844-b220-322a5adb9e63</t>
  </si>
  <si>
    <t>сертификат др альфа</t>
  </si>
  <si>
    <t>КРЕДИТЫ</t>
  </si>
  <si>
    <t>тильда на год</t>
  </si>
  <si>
    <t>кофе молоко</t>
  </si>
  <si>
    <t>https://diadoc.kontur.ru/143bcbfb-a011-4791-9316-981158fa5552/Document/Show?letterId=b03d904a-39e4-4c27-8a31-221360d09ee0&amp;documentId=7facf6ec-842b-4795-b575-993255bcabc3</t>
  </si>
  <si>
    <t>https://diadoc.kontur.ru/143bcbfb-a011-4791-9316-981158fa5552/Document/Show?letterId=77c0c4ec-aaa2-4ec2-842a-6ef97e00d996&amp;documentId=54c64017-f5a6-469b-8c60-21bf0a967b93</t>
  </si>
  <si>
    <t>https://diadoc.kontur.ru/143bcbfb-a011-4791-9316-981158fa5552/Document/Show?letterId=0aff3d5d-2ca6-48d4-ac92-aff03861d2aa&amp;documentId=a9305771-a829-4ca4-9eda-60916719ebd0</t>
  </si>
  <si>
    <t>https://diadoc.kontur.ru/143bcbfb-a011-4791-9316-981158fa5552/Document/Show?letterId=6ba7ee26-eb91-46a2-bfc1-7dd4719cdfa2&amp;documentId=d54d372f-eddf-469d-b805-f7662f057eb5</t>
  </si>
  <si>
    <t>https://diadoc.kontur.ru/143bcbfb-a011-4791-9316-981158fa5552/Document/Show?letterId=4a99c625-5b3f-4885-9f6b-5013da47f93c&amp;documentId=8c2d4424-dc33-4cb9-b257-83f29e8f90b0</t>
  </si>
  <si>
    <t>https://diadoc.kontur.ru/143bcbfb-a011-4791-9316-981158fa5552/Document/Show?letterId=882d3df2-fbf3-4410-9c2d-c3d06a40aa2e&amp;documentId=082384be-4c5f-4995-a71f-09002aaa704c</t>
  </si>
  <si>
    <t>https://diadoc.kontur.ru/143bcbfb-a011-4791-9316-981158fa5552/Document/Show?letterId=b8fd295d-dce2-4b68-b89e-1003fb10ed16&amp;documentId=374bb855-d64b-401d-adf7-c8094bef55c9</t>
  </si>
  <si>
    <t>https://diadoc.kontur.ru/143bcbfb-a011-4791-9316-981158fa5552/Document/Show?letterId=2609aeff-980c-444c-b93e-db240fc7047e&amp;documentId=ee904d8b-f306-44a2-8b43-ac6246defd6d</t>
  </si>
  <si>
    <t>https://diadoc.kontur.ru/143bcbfb-a011-4791-9316-981158fa5552/Document/Show?letterId=c6cbd1d4-e6f8-432a-984c-e7b3d31b0290&amp;documentId=104fb744-17b9-4701-ba3f-d5024e8cd55b</t>
  </si>
  <si>
    <t>https://diadoc.kontur.ru/143bcbfb-a011-4791-9316-981158fa5552/Document/Show?letterId=3ce304ec-cbfd-4f19-836d-abff59299593&amp;documentId=bf0c1e44-371a-4a47-a50d-aa14755525ba</t>
  </si>
  <si>
    <t>https://diadoc.kontur.ru/143bcbfb-a011-4791-9316-981158fa5552/Document/Show?letterId=993a066e-77b7-4c16-8501-ecd8dcfc23b6&amp;documentId=19b3c2e4-88e7-4e92-947e-49efdb5ef278</t>
  </si>
  <si>
    <t>https://diadoc.kontur.ru/143bcbfb-a011-4791-9316-981158fa5552/Document/Show?letterId=d70e4cfb-c82d-4c45-b518-127b0540de62&amp;documentId=3a1fa4e2-fe89-4360-8d0f-b9ef5749dc96</t>
  </si>
  <si>
    <t>https://diadoc.kontur.ru/143bcbfb-a011-4791-9316-981158fa5552/Document/Show?letterId=30035e51-43db-4535-ba13-f5641fe93966&amp;documentId=028f9a64-186d-4bce-adc0-a81368bfa169</t>
  </si>
  <si>
    <t>https://diadoc.kontur.ru/143bcbfb-a011-4791-9316-981158fa5552/Document/Show?letterId=0c82e0d1-bc33-40a7-9bc7-a549065d5542&amp;documentId=a65dce2d-17df-44d4-b711-32a8d560ca42</t>
  </si>
  <si>
    <t>https://diadoc.kontur.ru/143bcbfb-a011-4791-9316-981158fa5552/Document/Show?letterId=f503bbf9-570e-4abf-98fc-226b6f39a740&amp;documentId=178ba51a-20c2-4486-b6e3-9fffb3a3fcca</t>
  </si>
  <si>
    <t>ООО СПРАВМЕДИКА</t>
  </si>
  <si>
    <t>https://diadoc.kontur.ru/143bcbfb-a011-4791-9316-981158fa5552/Document/Show?letterId=f0deca9c-8ddd-41c5-9af5-bc8ecd3b320e&amp;documentId=07551aa6-6d4f-46ab-823c-7614c24a6547</t>
  </si>
  <si>
    <t>https://diadoc.kontur.ru/143bcbfb-a011-4791-9316-981158fa5552/Document/Show?letterId=2c81fbe2-ef36-4d32-8292-d6b77555b8d6&amp;documentId=e6f85f72-d7a9-4d70-86a8-9a811f7b421e</t>
  </si>
  <si>
    <t>марк дир бедбум</t>
  </si>
  <si>
    <t>Глактионов</t>
  </si>
  <si>
    <t>% совкомбанк</t>
  </si>
  <si>
    <t>уборка и курьер</t>
  </si>
  <si>
    <t>доп.45</t>
  </si>
  <si>
    <t>доп.47</t>
  </si>
  <si>
    <t>https://diadoc.kontur.ru/143bcbfb-a011-4791-9316-981158fa5552/Document/Show?letterId=3dededb3-772d-4665-a84f-20da9c0f3cc1&amp;documentId=ce2d2736-a486-4d27-9756-eb1db75494af</t>
  </si>
  <si>
    <t>доп.49</t>
  </si>
  <si>
    <t>доп.50</t>
  </si>
  <si>
    <t>доп.53</t>
  </si>
  <si>
    <t>https://diadoc.kontur.ru/143bcbfb-a011-4791-9316-981158fa5552/Document/Show?letterId=2783d019-de8c-42d9-a150-ba102089fa26&amp;documentId=bd34bef5-3746-490f-9d14-bbd10610f4d0</t>
  </si>
  <si>
    <t>https://diadoc.kontur.ru/143bcbfb-a011-4791-9316-981158fa5552/Document/Show?letterId=054ff587-05b3-45b9-8389-cf04c897f569&amp;documentId=9db951fd-8df4-4d05-b3b9-85388a58a24a</t>
  </si>
  <si>
    <t>1-й НОСОРОГ ООО</t>
  </si>
  <si>
    <t>https://diadoc.kontur.ru/143bcbfb-a011-4791-9316-981158fa5552/Document/Show?letterId=5eaf7844-2b7c-4989-920b-fce928efadcd&amp;documentId=b80ddf12-f79b-423c-b55d-125ab9a86376</t>
  </si>
  <si>
    <t>https://diadoc.kontur.ru/143bcbfb-a011-4791-9316-981158fa5552/Document/Show?letterId=5eaf7844-2b7c-4989-920b-fce928efadcd&amp;documentId=5a4b6839-73ae-47f0-90db-889f849da06a</t>
  </si>
  <si>
    <t>https://diadoc.kontur.ru/143bcbfb-a011-4791-9316-981158fa5552/Document/Show?letterId=5eaf7844-2b7c-4989-920b-fce928efadcd&amp;documentId=719f5579-f97c-41ff-bf18-dcc0ae500b4e</t>
  </si>
  <si>
    <t>https://diadoc.kontur.ru/143bcbfb-a011-4791-9316-981158fa5552/Document/Show?letterId=5eaf7844-2b7c-4989-920b-fce928efadcd&amp;documentId=c589d3b7-c4d8-4e73-9eef-9bf55e229743</t>
  </si>
  <si>
    <t>обслуживание счета (агрегированное с сентября)</t>
  </si>
  <si>
    <t>https://diadoc.kontur.ru/143bcbfb-a011-4791-9316-981158fa5552/Document/Show?letterId=53e92712-121c-4544-b162-d775d3f922a1&amp;documentId=8ab8562c-fada-4c86-8419-241464599769</t>
  </si>
  <si>
    <t>возврат части налогов</t>
  </si>
  <si>
    <t>https://diadoc.kontur.ru/143bcbfb-a011-4791-9316-981158fa5552/Document/Show?letterId=8a05a0c3-6060-41f1-a52d-444a221ab950&amp;documentId=b6627caf-93d0-44a8-bdbd-374923afb19d</t>
  </si>
  <si>
    <t>ООО РС ХЕЛС</t>
  </si>
  <si>
    <t>https://diadoc.kontur.ru/143bcbfb-a011-4791-9316-981158fa5552/Document/Show?letterId=192fef06-6a4c-4d51-94fd-875f0f61ac26&amp;documentId=a847ddb5-ef20-424e-9c95-1e8a034d3cd0</t>
  </si>
  <si>
    <t>https://diadoc.kontur.ru/143bcbfb-a011-4791-9316-981158fa5552/Document/Show?letterId=b64ea5ff-1467-43f1-9967-b642c69cef82&amp;documentId=e2be96d3-531a-4955-ad8a-59bed77bec0a</t>
  </si>
  <si>
    <t>https://diadoc.kontur.ru/143bcbfb-a011-4791-9316-981158fa5552/Document/Show?letterId=57603e34-4e33-4331-9860-4af4591aa1c8&amp;documentId=445b800e-c5e5-43ef-9c3a-c082abb7f0a6</t>
  </si>
  <si>
    <t>АКВАРЕЛЬ ООО</t>
  </si>
  <si>
    <t>https://diadoc.kontur.ru/143bcbfb-a011-4791-9316-981158fa5552/Document/Show?letterId=7fc23dd3-179a-4b87-98b4-2860584779df&amp;documentId=e17881a0-ba1d-4990-b474-c6671a467a7d</t>
  </si>
  <si>
    <t>https://diadoc.kontur.ru/143bcbfb-a011-4791-9316-981158fa5552/Document/Show?letterId=a9c323cb-8e0f-4f86-808c-7d31d5cf2948&amp;documentId=1f2ddb45-a5d4-4b7c-a61e-8832ff66b3a9</t>
  </si>
  <si>
    <t>https://diadoc.kontur.ru/143bcbfb-a011-4791-9316-981158fa5552/Document/Show?letterId=817ec3b4-3c70-457c-8558-4ba8d947e336&amp;documentId=5e353021-e32c-46dd-8324-9e27258137e1</t>
  </si>
  <si>
    <t>https://diadoc.kontur.ru/143bcbfb-a011-4791-9316-981158fa5552/Document/Show?letterId=840c9d6f-36a7-4081-9e28-0c47a099ff63&amp;documentId=9ed6230b-3ad9-4b39-a5b8-d68d03bb3662</t>
  </si>
  <si>
    <t>https://diadoc.kontur.ru/143bcbfb-a011-4791-9316-981158fa5552/Document/Show?letterId=24fd1603-e802-4b3b-9bb3-e848badd4e10&amp;documentId=364928cc-e611-44f7-9a69-c4af70c1815a</t>
  </si>
  <si>
    <t>https://diadoc.kontur.ru/143bcbfb-a011-4791-9316-981158fa5552/Document/Show?letterId=ef1bf757-e4b8-4b4b-bc4d-2e6443c8fada&amp;documentId=f4a5c8ce-d474-4ac8-a3df-b3f493a2cb4e</t>
  </si>
  <si>
    <t>ИП Ненашев</t>
  </si>
  <si>
    <t>доп подарки Галактионов</t>
  </si>
  <si>
    <t>прил 7</t>
  </si>
  <si>
    <t>прил 8</t>
  </si>
  <si>
    <t>прил 9</t>
  </si>
  <si>
    <t>прил 10</t>
  </si>
  <si>
    <t>прил 15</t>
  </si>
  <si>
    <t>прил 14</t>
  </si>
  <si>
    <t>прил 13</t>
  </si>
  <si>
    <t>прил 11</t>
  </si>
  <si>
    <t>прил 12</t>
  </si>
  <si>
    <t>прил 16</t>
  </si>
  <si>
    <t>ООО КБП (Кванза баинг партнер)</t>
  </si>
  <si>
    <t>https://diadoc.kontur.ru/143bcbfb-a011-4791-9316-981158fa5552/Document/Show?letterId=49f8d886-2333-487a-9fe1-a3e925e5c5e0&amp;documentId=004f7f64-f701-4e67-aebf-ec04c1ff251a</t>
  </si>
  <si>
    <t>https://diadoc.kontur.ru/143bcbfb-a011-4791-9316-981158fa5552/Document/Show?letterId=edb40b63-1ac7-475b-82ce-5804b7aa5060&amp;documentId=28a09c43-fde9-40b3-8a9d-c846d2169d9d</t>
  </si>
  <si>
    <t>https://diadoc.kontur.ru/143bcbfb-a011-4791-9316-981158fa5552/Document/Show?letterId=d8970c73-1d94-4dd5-94c6-b8daacdce479&amp;documentId=3dc8a699-5cfe-4b45-93b3-6f48b5b39f6c</t>
  </si>
  <si>
    <t>https://diadoc.kontur.ru/143bcbfb-a011-4791-9316-981158fa5552/Document/Show?letterId=5e551b5f-128b-405b-a824-ab686e287e61&amp;documentId=f22fc52a-b188-4b95-b1ce-688c20c299f5</t>
  </si>
  <si>
    <t>https://diadoc.kontur.ru/143bcbfb-a011-4791-9316-981158fa5552/Document/Show?letterId=4eec2be8-1fd4-4b16-8a52-49c8cd8757db&amp;documentId=4c854900-0322-46a0-8b83-723f9b577b1a</t>
  </si>
  <si>
    <t>https://diadoc.kontur.ru/143bcbfb-a011-4791-9316-981158fa5552/Document/Show?letterId=15034155-b7bd-4c98-a265-3bf08ff0e291&amp;documentId=d36816a4-ff51-478d-869d-870a58130a02</t>
  </si>
  <si>
    <t>Подарки Панасюк</t>
  </si>
  <si>
    <t xml:space="preserve">СММ </t>
  </si>
  <si>
    <t>Страхов сервера</t>
  </si>
  <si>
    <t>Алко подарки на новый год сотрудникам</t>
  </si>
  <si>
    <t>алко подарки клиенты панасюк</t>
  </si>
  <si>
    <t>https://diadoc.kontur.ru/143bcbfb-a011-4791-9316-981158fa5552/Document/Show?letterId=98695eda-a130-4fdf-bd90-6b0062b7129f&amp;documentId=edd22eb1-b570-4eda-96db-e3df85c1d913</t>
  </si>
  <si>
    <t>Пушкарева</t>
  </si>
  <si>
    <t>банковское обслуживание</t>
  </si>
  <si>
    <t>4 квартал 2025</t>
  </si>
  <si>
    <t>коммиссия за переводы</t>
  </si>
  <si>
    <t>% за кеш ДЕН за 4 месяца</t>
  </si>
  <si>
    <t>% по займу</t>
  </si>
  <si>
    <t>Филиал Корпоративный ПАО Совкомбанк</t>
  </si>
  <si>
    <t>Уборка и доставка</t>
  </si>
  <si>
    <t>доп 32</t>
  </si>
  <si>
    <t>доп 31</t>
  </si>
  <si>
    <t>доп 33</t>
  </si>
  <si>
    <t>доп 34</t>
  </si>
  <si>
    <t>доп 38</t>
  </si>
  <si>
    <t>доп 37</t>
  </si>
  <si>
    <t>доп 40</t>
  </si>
  <si>
    <t>доп 35</t>
  </si>
  <si>
    <t>доп 39</t>
  </si>
  <si>
    <t>доп 36</t>
  </si>
  <si>
    <t>https://diadoc.kontur.ru/143bcbfb-a011-4791-9316-981158fa5552/Document/Show?letterId=1710f601-7b01-4ccf-a605-a9623a4eff15&amp;documentId=980dbccd-9bd6-47b1-bd73-7ee05d4086e2</t>
  </si>
  <si>
    <t>https://diadoc.kontur.ru/143bcbfb-a011-4791-9316-981158fa5552/Document/Show?letterId=45030b21-0ced-4b9f-b625-d489f33f4b78&amp;documentId=7f05f9a8-514c-48ad-accd-7efbb41b673d</t>
  </si>
  <si>
    <t>https://diadoc.kontur.ru/143bcbfb-a011-4791-9316-981158fa5552/Document/Show?letterId=bc2d7172-30b8-4df7-b189-4d381e7e1464&amp;documentId=040d9202-6f4d-44d2-bb62-ac528a43ac74</t>
  </si>
  <si>
    <t>https://diadoc.kontur.ru/143bcbfb-a011-4791-9316-981158fa5552/Document/Show?letterId=0131766d-4859-4ab3-93ec-b60a225d2606&amp;documentId=45d80c42-5969-4860-8c9c-787cc698ce76</t>
  </si>
  <si>
    <t>https://diadoc.kontur.ru/143bcbfb-a011-4791-9316-981158fa5552/Document/Show?letterId=6e74dcfe-00e4-4ca4-a1c8-7617d75ed5a9&amp;documentId=0618d4c3-afc5-4c44-a0fe-f88f9b70d7b9</t>
  </si>
  <si>
    <t>https://diadoc.kontur.ru/143bcbfb-a011-4791-9316-981158fa5552/Document/Show?letterId=c4939b2b-653f-4893-be2c-ff66e55eef43&amp;documentId=4b82ff3b-2f93-4ea5-a333-ff6980c38b20</t>
  </si>
  <si>
    <t>https://diadoc.kontur.ru/143bcbfb-a011-4791-9316-981158fa5552/Document/Show?letterId=228e04d9-a70a-401c-a518-5d3a4cf459b0&amp;documentId=90a263de-ab33-430a-bdb6-78315cc775aa</t>
  </si>
  <si>
    <t>https://diadoc.kontur.ru/143bcbfb-a011-4791-9316-981158fa5552/Document/Show?letterId=a564108a-2d7d-40b8-b16d-969d40d4b953&amp;documentId=576a321f-0fb6-410e-9fe1-90e0a818c001</t>
  </si>
  <si>
    <t>АРТЭС ООО</t>
  </si>
  <si>
    <t>https://diadoc.kontur.ru/143bcbfb-a011-4791-9316-981158fa5552/Document/Show?letterId=c42e6fb4-5b0b-4369-858b-887a1db0ee75&amp;documentId=ed9c04cd-fc2f-4e29-ade7-969035859c43</t>
  </si>
  <si>
    <t>https://diadoc.kontur.ru/143bcbfb-a011-4791-9316-981158fa5552/Document/Show?letterId=f8ca75b5-02e3-46b7-a859-2119ed683b1e&amp;documentId=11efe480-6cbc-408e-9599-a5a5b5c3b112</t>
  </si>
  <si>
    <t>ВАПТЕКЕ ООО</t>
  </si>
  <si>
    <t>https://diadoc.kontur.ru/143bcbfb-a011-4791-9316-981158fa5552/Document/Show?letterId=d791faae-962c-4f07-a43c-910d20e241c0&amp;documentId=55009ba1-372f-4688-9166-d09b4871deb4</t>
  </si>
  <si>
    <t>https://diadoc.kontur.ru/143bcbfb-a011-4791-9316-981158fa5552/Document/Show?letterId=98ad6b33-9582-41d4-94b6-15f718bc5f10&amp;documentId=24b413b2-fbdc-49f6-b0aa-2fd32745f326</t>
  </si>
  <si>
    <t>https://diadoc.kontur.ru/143bcbfb-a011-4791-9316-981158fa5552/Document/Show?letterId=27c2b50b-4dca-4220-b610-e16d6baf4638&amp;documentId=f2bad1f5-7162-4b26-8e69-b2f7c0f0f0b7</t>
  </si>
  <si>
    <t>https://diadoc.kontur.ru/143bcbfb-a011-4791-9316-981158fa5552/Document/Show?letterId=85bfd75c-6d41-4d83-9e7c-23d4f2e74b2a&amp;documentId=3d58da3e-8876-4a69-8e2e-7a26ad11de94</t>
  </si>
  <si>
    <t>https://diadoc.kontur.ru/143bcbfb-a011-4791-9316-981158fa5552/Document/Show?letterId=a0eb1cf0-d9bb-4862-92c0-9fd720cce951&amp;documentId=404c4574-b5de-4909-aa21-dc5f5afd2dad</t>
  </si>
  <si>
    <t>https://diadoc.kontur.ru/143bcbfb-a011-4791-9316-981158fa5552/Document/Show?letterId=652aaf65-0f08-4c4d-839a-f18ca60887bb&amp;documentId=6d34912c-f118-428f-8d1f-a0d349a46a28</t>
  </si>
  <si>
    <t>https://diadoc.kontur.ru/143bcbfb-a011-4791-9316-981158fa5552/Document/Show?letterId=ca065ce1-b3a3-40bc-9d94-c508bc9508e7&amp;documentId=c2aea2c7-4e3a-4216-a3fe-3d7022054866</t>
  </si>
  <si>
    <t>ООО СКЛАД ЗДОРОВЬЯ</t>
  </si>
  <si>
    <t>https://diadoc.kontur.ru/143bcbfb-a011-4791-9316-981158fa5552/Document/Show?letterId=4133615c-6f79-446c-810f-ef334ae3add8&amp;documentId=a5fbf13b-aa0c-4166-8328-5c29ac9b4990</t>
  </si>
  <si>
    <t>https://diadoc.kontur.ru/143bcbfb-a011-4791-9316-981158fa5552/Document/Show?letterId=93bf5dd7-dbf7-441a-9815-279b71c0750a&amp;documentId=0cd90d0c-2639-4e34-8630-3410e9e7f8cf</t>
  </si>
  <si>
    <t>https://diadoc.kontur.ru/143bcbfb-a011-4791-9316-981158fa5552/Document/Show?letterId=7c281eed-2246-4370-8562-c1b51e37e355&amp;documentId=acf2eb54-11f5-4c19-be31-37eabcd16b13</t>
  </si>
  <si>
    <t>https://diadoc.kontur.ru/143bcbfb-a011-4791-9316-981158fa5552/Document/Show?letterId=fe64ecf1-b90e-43c7-8c57-15213550f604&amp;documentId=541c3314-1589-4f6e-a773-a805f156e116</t>
  </si>
  <si>
    <t>https://diadoc.kontur.ru/143bcbfb-a011-4791-9316-981158fa5552/Document/Show?letterId=2f175839-eb01-4c75-9cf6-d27779d456e2&amp;documentId=d667cb9d-aa17-4860-b3dd-d221d9d243d5</t>
  </si>
  <si>
    <t>https://diadoc.kontur.ru/143bcbfb-a011-4791-9316-981158fa5552/Document/Show?letterId=c6135ba6-ac21-4b25-9eca-17a8e17ff067&amp;documentId=94197b6f-c5ff-47ae-b8f1-268d3cee17a5</t>
  </si>
  <si>
    <t>https://diadoc.kontur.ru/143bcbfb-a011-4791-9316-981158fa5552/Document/Show?letterId=f9580fd3-e9d8-44e9-b81c-6e9e743f012b&amp;documentId=872097e9-3498-47d9-af46-bb23af6ad0b3</t>
  </si>
  <si>
    <t>https://diadoc.kontur.ru/143bcbfb-a011-4791-9316-981158fa5552/Document/Show?letterId=6f5950f8-254d-4c0a-b50e-0367afe9549f&amp;documentId=83ff6128-427a-4518-87ef-1c454f582ec9</t>
  </si>
  <si>
    <t>https://diadoc.kontur.ru/143bcbfb-a011-4791-9316-981158fa5552/Document/Show?letterId=bd3bda2d-b217-4d35-ac72-d9e241d98fc3&amp;documentId=2a1a8d4b-6b98-4f23-b433-5cc13e61e8b2</t>
  </si>
  <si>
    <t>ДИАЛОГ СТОЛИЦА ООО</t>
  </si>
  <si>
    <t>https://diadoc.kontur.ru/143bcbfb-a011-4791-9316-981158fa5552/Document/Show?letterId=b934d342-00a8-40b1-8843-6cd7a921ce70&amp;documentId=4554c2cc-4e97-4e18-879c-258a7d232815</t>
  </si>
  <si>
    <t>https://diadoc.kontur.ru/143bcbfb-a011-4791-9316-981158fa5552/Document/Show?letterId=3eb37e1b-7202-4719-a79b-ca1aa623a011&amp;documentId=d304f0c0-6e51-4e9e-8de5-5c0e6e329788</t>
  </si>
  <si>
    <t>https://diadoc.kontur.ru/143bcbfb-a011-4791-9316-981158fa5552/Document/Show?letterId=c3e9e78d-86c3-441d-b648-eda1df85a7d5&amp;documentId=e526d194-c8b9-4ffe-808b-adb2ef7421f2</t>
  </si>
  <si>
    <t>https://diadoc.kontur.ru/143bcbfb-a011-4791-9316-981158fa5552/Document/Show?letterId=c431b440-2ae6-4ca4-a8f6-f7da2126c20c&amp;documentId=5b7b879e-72fb-442c-8b08-b0ffa3c30ece</t>
  </si>
  <si>
    <t>https://diadoc.kontur.ru/143bcbfb-a011-4791-9316-981158fa5552/Document/Show?letterId=04d393c2-9d30-45a6-80a5-32011a512139&amp;documentId=a79335db-2827-40ff-a760-e5cc213a8860</t>
  </si>
  <si>
    <t>https://diadoc.kontur.ru/143bcbfb-a011-4791-9316-981158fa5552/Document/Show?letterId=8ee5c6e0-9a3e-4d07-bc73-c4eed2b3f290&amp;documentId=0735308e-dbe4-4d30-8e1f-3c4f395e36ee</t>
  </si>
  <si>
    <t>ООО СДЭК-ГЛОБАЛ</t>
  </si>
  <si>
    <t>https://diadoc.kontur.ru/143bcbfb-a011-4791-9316-981158fa5552/Document/Show?letterId=4b5a4dbe-01bd-4df3-8e13-82f55ccdb01c&amp;documentId=6eb03693-2947-4c29-92ea-12d316a24fd4</t>
  </si>
  <si>
    <t>https://diadoc.kontur.ru/143bcbfb-a011-4791-9316-981158fa5552/Document/Show?letterId=8970bff1-e5f7-46ff-b22c-98ea0f03fd5e&amp;documentId=67c83b4f-4cb1-41e1-a442-630db3b74919</t>
  </si>
  <si>
    <t>Мошков сертификат для АС Диалог на ДР</t>
  </si>
  <si>
    <t>https://diadoc.kontur.ru/143bcbfb-a011-4791-9316-981158fa5552/Document/Show?letterId=fb42f87a-9e21-43d6-92b4-2fee31035a6d&amp;documentId=c0019cca-09a6-4cea-bbca-624f9f808739</t>
  </si>
  <si>
    <t>https://diadoc.kontur.ru/143bcbfb-a011-4791-9316-981158fa5552/Document/Show?letterId=40bb4938-8f95-4200-9505-b15f5dd0000b&amp;documentId=fedbfc4a-29a8-4637-bcff-e62cccf33266</t>
  </si>
  <si>
    <t>ОКТЯБРЬ 2025</t>
  </si>
  <si>
    <t>Маруев</t>
  </si>
  <si>
    <t>Галактионов</t>
  </si>
  <si>
    <t>ТАНДЕР АО</t>
  </si>
  <si>
    <t>Семейная аптека АПРЕЛЬ ООО</t>
  </si>
  <si>
    <t>https://diadoc.kontur.ru/143bcbfb-a011-4791-9316-981158fa5552/Document/Show?letterId=384383b2-8003-40c4-8cec-72b8a52e0dbc&amp;documentId=f4c5f9e3-29f8-45f9-b2a3-8c099d0475ca</t>
  </si>
  <si>
    <t>бельченко январь (билеты)</t>
  </si>
  <si>
    <t>отпускные Бельченко и Бельченко</t>
  </si>
  <si>
    <t>РУНА АО</t>
  </si>
  <si>
    <t>https://diadoc.kontur.ru/143bcbfb-a011-4791-9316-981158fa5552/Document/Show?letterId=26b3d75a-0c90-479f-a2d2-c3e5bf81b96a&amp;documentId=f62f33ac-61b6-4fdc-a707-73568fd4a28e</t>
  </si>
  <si>
    <t>доп 48</t>
  </si>
  <si>
    <t>доп 49</t>
  </si>
  <si>
    <t>доп 41</t>
  </si>
  <si>
    <t>доп 43</t>
  </si>
  <si>
    <t>доп 44</t>
  </si>
  <si>
    <t>доп 47</t>
  </si>
  <si>
    <t>доп 46</t>
  </si>
  <si>
    <t>доп 42</t>
  </si>
  <si>
    <t>АГЕНТСТВО АЙ-КОМ ООО</t>
  </si>
  <si>
    <t>прилож.2</t>
  </si>
  <si>
    <t>ФЕВРАЛЬ 2026</t>
  </si>
  <si>
    <t>отпускные Смирнова</t>
  </si>
  <si>
    <t>ООО АВИАСЕЙЛС БИЗНЕС</t>
  </si>
  <si>
    <t xml:space="preserve">Сочи </t>
  </si>
  <si>
    <t>ООО АГЕНТИКА ТРЕВЭЛ</t>
  </si>
  <si>
    <t>https://diadoc.kontur.ru/143bcbfb-a011-4791-9316-981158fa5552/Document/Show?letterId=154be005-e688-4ec1-8e60-f77395473a6d&amp;documentId=b067a84f-e4d8-425f-a213-83f1d44fa8f3</t>
  </si>
  <si>
    <t>https://diadoc.kontur.ru/143bcbfb-a011-4791-9316-981158fa5552/Document/Show?letterId=9fe8ce22-13d1-47e7-a2bc-364da12a2fb2&amp;documentId=dfce7bdc-1b05-47d9-a7fe-e5f0bcbacefa</t>
  </si>
  <si>
    <t>https://diadoc.kontur.ru/143bcbfb-a011-4791-9316-981158fa5552/Document/Show?letterId=c5856917-9196-4263-b81e-712cadd76fd3&amp;documentId=18b964b0-bd1a-4f7f-adf1-1443068a5f33</t>
  </si>
  <si>
    <t>https://diadoc.kontur.ru/143bcbfb-a011-4791-9316-981158fa5552/Document/Show?letterId=9ceeaa68-fe5e-4fb1-bd24-09f99a8ac461&amp;documentId=88550d99-b2ac-4cd8-a74a-83ab62dd6044</t>
  </si>
  <si>
    <t>https://diadoc.kontur.ru/143bcbfb-a011-4791-9316-981158fa5552/Document/Show?letterId=b1377ed6-2469-45c0-9265-a8534a42a0d5&amp;documentId=58ae2b68-41e3-4404-b490-45597600916c</t>
  </si>
  <si>
    <t>https://diadoc.kontur.ru/143bcbfb-a011-4791-9316-981158fa5552/Document/Show?letterId=ebb5bf81-43e6-4cb3-9eda-ab8df7e790f2&amp;documentId=5ce8f534-a14a-4f15-ba7e-c78a6ea27cd3</t>
  </si>
  <si>
    <t>https://diadoc.kontur.ru/143bcbfb-a011-4791-9316-981158fa5552/Document/Show?letterId=21553b03-ea50-4398-9085-8295819d48b6&amp;documentId=fd893793-d1e4-4b20-bf25-d7aaa4ea7713</t>
  </si>
  <si>
    <t>https://diadoc.kontur.ru/143bcbfb-a011-4791-9316-981158fa5552/Document/Show?letterId=dcac5cf5-aa6c-48e2-a0b3-41e93a3df83b&amp;documentId=c9fc30da-628a-452a-bec5-0872bc9cb197</t>
  </si>
  <si>
    <t>https://diadoc.kontur.ru/143bcbfb-a011-4791-9316-981158fa5552/Document/Show?letterId=69805eab-90d5-4718-a0aa-8e302783ad53&amp;documentId=c03937c8-5b51-492d-a820-b0a7599d707b</t>
  </si>
  <si>
    <t>https://diadoc.kontur.ru/143bcbfb-a011-4791-9316-981158fa5552/Document/Show?letterId=825cccaf-c321-49df-90f6-a064e1160cd3&amp;documentId=f498e7e3-3663-4678-b57f-7bc5684d9bd1</t>
  </si>
  <si>
    <t>https://diadoc.kontur.ru/143bcbfb-a011-4791-9316-981158fa5552/Document/Show?letterId=b44c2423-c84f-46d1-adcc-131244103b2e&amp;documentId=74f69ac8-40ff-44a1-9223-9c8618e53755</t>
  </si>
  <si>
    <t>https://diadoc.kontur.ru/143bcbfb-a011-4791-9316-981158fa5552/Document/Show?letterId=2f172acf-379d-4714-84db-7ad339a6fe85&amp;documentId=81dea985-dff3-4ff3-af59-b05fc43deb50</t>
  </si>
  <si>
    <t>ООО РИГЛА</t>
  </si>
  <si>
    <t>https://diadoc.kontur.ru/143bcbfb-a011-4791-9316-981158fa5552/Document/Show?letterId=225949d8-6d5e-4ad5-9829-33a9d335f597&amp;documentId=63cf2d0e-4c61-448f-a8c4-53d6ad61d867</t>
  </si>
  <si>
    <t>https://diadoc.kontur.ru/143bcbfb-a011-4791-9316-981158fa5552/Document/Show?letterId=31fb641a-de3f-4659-959b-0ae3dff9e547&amp;documentId=1c9c7a67-6f18-4443-9094-564bada06fcf</t>
  </si>
  <si>
    <t>казахи</t>
  </si>
  <si>
    <t>подарки Фесенко</t>
  </si>
  <si>
    <t>Вита в гостях</t>
  </si>
  <si>
    <t>уборка</t>
  </si>
  <si>
    <t>мошков</t>
  </si>
  <si>
    <t>https://diadoc.kontur.ru/143bcbfb-a011-4791-9316-981158fa5552/Document/Show?letterId=8ee8a976-f00a-4e84-b853-03768fe898ce&amp;documentId=f8aedfbc-bd84-435e-82c1-43255699a270</t>
  </si>
  <si>
    <t>1-й НОСОРОГ</t>
  </si>
  <si>
    <t>https://diadoc.kontur.ru/143bcbfb-a011-4791-9316-981158fa5552/Document/Show?letterId=e7c47839-26e2-4dd5-ade1-7ea822e020ae&amp;documentId=da2bb7ed-fa60-4038-9f0f-ef16abc55729</t>
  </si>
  <si>
    <t>https://diadoc.kontur.ru/143bcbfb-a011-4791-9316-981158fa5552/Document/Show?letterId=0e5c649e-0572-4fa0-9160-e3973968bf7e&amp;documentId=9b0741bb-5d02-4488-a405-4020c3298720</t>
  </si>
  <si>
    <t>https://diadoc.kontur.ru/143bcbfb-a011-4791-9316-981158fa5552/Document/Show?letterId=dd10f44a-7994-400f-b80d-645ca8baf74e&amp;documentId=79ed5b38-c0d4-406d-a247-ec899c857418</t>
  </si>
  <si>
    <t>https://diadoc.kontur.ru/143bcbfb-a011-4791-9316-981158fa5552/Document/Show?letterId=55140d23-0dd3-4eda-9cf1-d19e3cb00909&amp;documentId=85e9cdf1-3834-4258-89bc-b69d93d96b11</t>
  </si>
  <si>
    <t>https://diadoc.kontur.ru/143bcbfb-a011-4791-9316-981158fa5552/Document/Show?letterId=b52e47c3-ef57-4e63-9fd5-57ca4b1f4e92&amp;documentId=ee25193c-8518-450c-ae7a-91dc5ad4f90a</t>
  </si>
  <si>
    <t>ИП ЮДИНА</t>
  </si>
  <si>
    <t>https://diadoc.kontur.ru/143bcbfb-a011-4791-9316-981158fa5552/Document/Show?letterId=342dc386-32e3-419c-bb98-34cf2da9fbfd&amp;documentId=794976b0-d3fd-40f2-a605-38f0f5db4bfd</t>
  </si>
  <si>
    <t>https://diadoc.kontur.ru/143bcbfb-a011-4791-9316-981158fa5552/Document/Show?letterId=d9279394-7d96-4ce6-9eb3-c3326757947f&amp;documentId=a1fd0e84-4b35-4f2c-8946-787242a90bec</t>
  </si>
  <si>
    <t>https://diadoc.kontur.ru/143bcbfb-a011-4791-9316-981158fa5552/Document/Show?letterId=5e407b51-c41d-42d8-acf8-4d912ce437a1&amp;documentId=c3bdac37-9b1c-4229-95c6-6f9dcf73c82c</t>
  </si>
  <si>
    <t>https://diadoc.kontur.ru/143bcbfb-a011-4791-9316-981158fa5552/Document/Show?letterId=1547ce2e-09ef-479a-a996-9dcacd503375&amp;documentId=69067028-b9de-4987-83a5-441a758ac513</t>
  </si>
  <si>
    <t>https://diadoc.kontur.ru/143bcbfb-a011-4791-9316-981158fa5552/Document/Show?letterId=5d93fe71-7a72-440c-86f3-f64b8cb8183d&amp;documentId=9c113cd6-c0eb-4b86-9006-054413711c03</t>
  </si>
  <si>
    <t>https://diadoc.kontur.ru/143bcbfb-a011-4791-9316-981158fa5552/Document/Show?letterId=e45194ea-5845-4b01-8e55-34162c61d984&amp;documentId=f530cbee-4b57-45d7-bebe-4c271899a841</t>
  </si>
  <si>
    <t>https://diadoc.kontur.ru/143bcbfb-a011-4791-9316-981158fa5552/Document/Show?letterId=310ea64b-e7e1-4da5-9da5-83d975ed42fc&amp;documentId=dfaabaef-08cb-40ab-9cc9-24217c12a558</t>
  </si>
  <si>
    <t>https://diadoc.kontur.ru/143bcbfb-a011-4791-9316-981158fa5552/Document/Show?letterId=f0ac8d91-31f3-433f-bee8-420dff5dd6e1&amp;documentId=d4b4f450-7b45-4622-a59c-eac1bb7292fa</t>
  </si>
  <si>
    <t>https://diadoc.kontur.ru/143bcbfb-a011-4791-9316-981158fa5552/Document/Show?letterId=75fb56e4-2230-4bbf-9883-90a806859047&amp;documentId=58127eb9-76ce-4515-9e5b-0a901a55e803</t>
  </si>
  <si>
    <t>https://diadoc.kontur.ru/143bcbfb-a011-4791-9316-981158fa5552/Document/Show?letterId=db44565f-083e-440c-845a-174d92909030&amp;documentId=0050a7ea-1221-47b2-84b7-a57918a6b0bf</t>
  </si>
  <si>
    <t>https://diadoc.kontur.ru/143bcbfb-a011-4791-9316-981158fa5552/Document/Show?letterId=eb8acc77-5e54-478c-bb95-13184e3398a2&amp;documentId=c080b16a-c2fd-4907-ac74-b287f85dfc56</t>
  </si>
  <si>
    <t>СДЭК-ГЛОБАЛ ООО</t>
  </si>
  <si>
    <t>https://diadoc.kontur.ru/143bcbfb-a011-4791-9316-981158fa5552/Document/Show?letterId=61e70252-c8a9-4506-b2cb-32259429c819&amp;documentId=26b9a91d-6a51-4c0e-9d41-91f7515a0f4c</t>
  </si>
  <si>
    <t>СКЛАД ЗДОРОВЬЯ ООО</t>
  </si>
  <si>
    <t>https://diadoc.kontur.ru/143bcbfb-a011-4791-9316-981158fa5552/Document/Show?letterId=413ae4c5-6df9-482a-b082-22ca92d2e70b&amp;documentId=964320f7-048e-4b0b-b646-cf8f584a95d0</t>
  </si>
  <si>
    <t>https://diadoc.kontur.ru/143bcbfb-a011-4791-9316-981158fa5552/Document/Show?letterId=ed899ccd-2232-45db-a144-dcad56db8e7e&amp;documentId=41f5580e-67e4-4221-85b5-45087f709fc6</t>
  </si>
  <si>
    <t>https://diadoc.kontur.ru/143bcbfb-a011-4791-9316-981158fa5552/Document/Show?letterId=0d8c3c7e-ac91-40db-b83e-6c86d5bdb5f7&amp;documentId=a172d17d-e69e-4e70-8244-06d2752051f4</t>
  </si>
  <si>
    <t>ООО Бионика Медиа</t>
  </si>
  <si>
    <t>сочи Настя Денис</t>
  </si>
  <si>
    <t>https://diadoc.kontur.ru/143bcbfb-a011-4791-9316-981158fa5552/Document/Show?letterId=15034155-b7bd-4c98-a265-3bf08ff0e291&amp;documentId=60d76719-e307-4e1d-b94c-915cc957917a</t>
  </si>
  <si>
    <t>доп.52</t>
  </si>
  <si>
    <t>прил 18</t>
  </si>
  <si>
    <t>прил 19</t>
  </si>
  <si>
    <t>прил 17</t>
  </si>
  <si>
    <t>прил 20</t>
  </si>
  <si>
    <t>прил 21</t>
  </si>
  <si>
    <t>Отпусскные Фесенко</t>
  </si>
  <si>
    <t>% по займу совкомбанк</t>
  </si>
  <si>
    <t>доп.55</t>
  </si>
  <si>
    <t>прил 23</t>
  </si>
  <si>
    <t>прил 26</t>
  </si>
  <si>
    <t>прил 22</t>
  </si>
  <si>
    <t>прил 24</t>
  </si>
  <si>
    <t>прил 25</t>
  </si>
  <si>
    <t>цветы ОМД</t>
  </si>
  <si>
    <t>встречи бельченко</t>
  </si>
  <si>
    <t>https://diadoc.kontur.ru/143bcbfb-a011-4791-9316-981158fa5552/Document/Show?letterId=8e867b76-4f44-4791-8c39-a52bc9d4f555&amp;documentId=6eca9342-799b-4e81-9109-fee31fe38bb1</t>
  </si>
  <si>
    <t>https://diadoc.kontur.ru/143bcbfb-a011-4791-9316-981158fa5552/Document/Show?letterId=2999b18c-1069-4cdc-b7e3-fbb9870bd995&amp;documentId=16a0ad5e-76f7-4f67-8b57-90cc2b5887ab</t>
  </si>
  <si>
    <t>ПРОФБУХ ООО</t>
  </si>
  <si>
    <t>маруев зп + отпускные</t>
  </si>
  <si>
    <t>Макаров Отпускные</t>
  </si>
  <si>
    <t>прилож.1</t>
  </si>
  <si>
    <t>Аванс февраль</t>
  </si>
  <si>
    <t>https://diadoc.kontur.ru/143bcbfb-a011-4791-9316-981158fa5552/Document/Show?letterId=827464e0-40d8-4578-9faf-0761f27457d8&amp;documentId=9b247bbe-e231-436e-ae45-1a9717699c8c</t>
  </si>
  <si>
    <t>МЕДИАПУЛ ООО</t>
  </si>
  <si>
    <t>МАРТ 2026</t>
  </si>
  <si>
    <t>МАНГО ТЕЛКОМ ООО</t>
  </si>
  <si>
    <t>МАЙЛСТОУН ООО</t>
  </si>
  <si>
    <t>доп. 2</t>
  </si>
  <si>
    <t>КЛС</t>
  </si>
  <si>
    <t>ФЕРОН</t>
  </si>
  <si>
    <t>пушкарева</t>
  </si>
  <si>
    <t>Бельченко встреча</t>
  </si>
  <si>
    <t>доп.54</t>
  </si>
  <si>
    <t>КУРСЫ для KRKA (Мошков)</t>
  </si>
  <si>
    <t>уборка\доставка</t>
  </si>
  <si>
    <t>февраль + подарки мошков</t>
  </si>
  <si>
    <t>https://diadoc.kontur.ru/143bcbfb-a011-4791-9316-981158fa5552/Document/Show?letterId=27d70c45-54cd-49a6-9cff-d527caa5ee14&amp;documentId=c7e99bc4-d62d-4a54-830e-d79f33ad5340</t>
  </si>
  <si>
    <t>https://diadoc.kontur.ru/143bcbfb-a011-4791-9316-981158fa5552/Document/Show?letterId=ecbb7d5f-d3dc-425c-81ba-b0bf45b471f4&amp;documentId=63384e52-9630-4a96-88f6-5c82a2d330ff</t>
  </si>
  <si>
    <t>https://diadoc.kontur.ru/143bcbfb-a011-4791-9316-981158fa5552/Document/Show?letterId=e91923db-c20b-453f-8881-af8d24c6cd1b&amp;documentId=e96c0dd4-875e-4b71-a012-07892b780550</t>
  </si>
  <si>
    <t>https://diadoc.kontur.ru/143bcbfb-a011-4791-9316-981158fa5552/Document/Show?letterId=2a34e760-ea76-4579-8472-5efa8dc66a48&amp;documentId=c5b7b8b8-b875-4b83-8eb4-d619c6087541</t>
  </si>
  <si>
    <t>https://diadoc.kontur.ru/143bcbfb-a011-4791-9316-981158fa5552/Document/Show?letterId=3e510957-2355-401d-bc7c-781663fc69ad&amp;documentId=c96f5753-ade4-42e8-8adc-0d237e1dad84</t>
  </si>
  <si>
    <t>https://diadoc.kontur.ru/143bcbfb-a011-4791-9316-981158fa5552/Document/Show?letterId=6a84c0fb-c9fd-4077-bbab-d953d3fc79b4&amp;documentId=c05f8c7f-1494-4f95-a252-cd948122601a</t>
  </si>
  <si>
    <t>СПРАВМЕДИКА ООО</t>
  </si>
  <si>
    <t>https://diadoc.kontur.ru/143bcbfb-a011-4791-9316-981158fa5552/Document/Show?letterId=7af83a52-b15b-4278-a472-9b838b104b4a&amp;documentId=75d89c46-453f-4eb0-8e48-2f2979bf6393</t>
  </si>
  <si>
    <t>https://diadoc.kontur.ru/143bcbfb-a011-4791-9316-981158fa5552/Document/Show?letterId=7c4a926e-9403-455d-beef-6b34bdd04f73&amp;documentId=2d07fc5e-498d-4098-b877-69847791d378</t>
  </si>
  <si>
    <t>https://diadoc.kontur.ru/143bcbfb-a011-4791-9316-981158fa5552/Document/Show?letterId=900b4763-c437-45b5-826f-b9a0a25a5330&amp;documentId=2d71adb8-8df0-4d4f-ba9b-923c4aa74a70</t>
  </si>
  <si>
    <t>https://diadoc.kontur.ru/143bcbfb-a011-4791-9316-981158fa5552/Document/Show?letterId=df6c64cf-da25-4b0f-aae2-34e35fa10e60&amp;documentId=f4693d93-13c5-448f-9b1e-f7c732d6da7a</t>
  </si>
  <si>
    <t>https://diadoc.kontur.ru/143bcbfb-a011-4791-9316-981158fa5552/Document/Show?letterId=49193383-09c3-43eb-9a28-19f3f6d0e5c2&amp;documentId=2d849c00-eaa4-4ffb-9072-cca04e9381ef</t>
  </si>
  <si>
    <t>https://diadoc.kontur.ru/143bcbfb-a011-4791-9316-981158fa5552/Document/Show?letterId=119a09f3-f2a3-4daa-9e2d-2b93a70412fd&amp;documentId=f5b675c1-33d8-41a2-8964-367c9be6a44a</t>
  </si>
  <si>
    <t>https://diadoc.kontur.ru/143bcbfb-a011-4791-9316-981158fa5552/Document/Show?letterId=be3cb00d-e323-4557-a0f4-99e2d58af618&amp;documentId=165f255d-3fa0-4b92-8c84-bda6016b87f7</t>
  </si>
  <si>
    <t>https://diadoc.kontur.ru/143bcbfb-a011-4791-9316-981158fa5552/Document/Show?letterId=84f228e4-cd77-4822-85d3-776ae785c07a&amp;documentId=b7d7e336-5c67-430a-9629-8f91ebc74866</t>
  </si>
  <si>
    <t>https://diadoc.kontur.ru/143bcbfb-a011-4791-9316-981158fa5552/Document/Show?letterId=f4a2eaed-148d-49c4-a354-b09a8c82c5a5&amp;documentId=0594cab0-db84-449c-91da-6004c47b2a13</t>
  </si>
  <si>
    <t>https://diadoc.kontur.ru/143bcbfb-a011-4791-9316-981158fa5552/Document/Show?letterId=66b216b4-2b5d-4e25-ba8a-3da3d3f99363&amp;documentId=c07bc25d-8f2c-4115-8a9b-adff56116e63</t>
  </si>
  <si>
    <t>АС ГЗ ООО</t>
  </si>
  <si>
    <t>https://diadoc.kontur.ru/143bcbfb-a011-4791-9316-981158fa5552/Document/Show?letterId=759f86f6-76d9-4feb-86d1-80c9b98c432c&amp;documentId=4cbeb285-1f0f-4d4d-aaaa-7d5abe4033d8</t>
  </si>
  <si>
    <t>https://diadoc.kontur.ru/143bcbfb-a011-4791-9316-981158fa5552/Document/Show?letterId=db1c440e-ec0c-44cf-8719-f63ce144db66&amp;documentId=f07dbac4-4403-42fd-be04-8db001a9e619</t>
  </si>
  <si>
    <t>https://diadoc.kontur.ru/143bcbfb-a011-4791-9316-981158fa5552/Document/Show?letterId=0255abf0-81fd-448b-a588-3205d0cd3f13&amp;documentId=cec7508a-bf7c-4455-b3c9-a7611aef89db</t>
  </si>
  <si>
    <t>https://diadoc.kontur.ru/143bcbfb-a011-4791-9316-981158fa5552/Document/Show?letterId=c2f17112-0e48-4ce9-bdf2-ee8c7c014478&amp;documentId=6d5eaa7c-910e-413a-b7d0-e3975f5e2843</t>
  </si>
  <si>
    <t>https://diadoc.kontur.ru/143bcbfb-a011-4791-9316-981158fa5552/Document/Show?letterId=f87df7f6-2bb1-4694-a47c-f4188629e0d4&amp;documentId=25b14db0-56c3-48d0-a83f-3038ec24d73f</t>
  </si>
  <si>
    <t>https://diadoc.kontur.ru/143bcbfb-a011-4791-9316-981158fa5552/Document/Show?letterId=1aa6209c-5e53-41dc-9f16-2988ec0bbfec&amp;documentId=3665e6a9-095c-49b7-9631-bf8e1d1e8594</t>
  </si>
  <si>
    <t>БАРАНОВ ИП</t>
  </si>
  <si>
    <t>https://diadoc.kontur.ru/143bcbfb-a011-4791-9316-981158fa5552/Document/Show?letterId=49866e71-0204-4022-8abc-17fe3c187895&amp;documentId=70c14b3a-6553-47d9-b81a-9ffbb2fa847b</t>
  </si>
  <si>
    <t>https://diadoc.kontur.ru/143bcbfb-a011-4791-9316-981158fa5552/Document/Show?letterId=1780b2fe-9cfa-4f82-80f6-0eeee1e03c8e&amp;documentId=26002ed0-1915-4d31-87e5-8a86048521f7</t>
  </si>
  <si>
    <t>https://diadoc.kontur.ru/143bcbfb-a011-4791-9316-981158fa5552/Document/Show?letterId=9a611717-196b-4f82-bd5d-cb269ac2e9f8&amp;documentId=cc41f331-d973-4975-b355-1cbe04f53186</t>
  </si>
  <si>
    <t>https://diadoc.kontur.ru/143bcbfb-a011-4791-9316-981158fa5552/Document/Show?letterId=218e010e-f3e0-4989-8a73-3797ed5ee59b&amp;documentId=b699ec11-0899-4aed-97fa-625f1afa5e3d</t>
  </si>
  <si>
    <t>https://diadoc.kontur.ru/143bcbfb-a011-4791-9316-981158fa5552/Document/Show?letterId=5fdb1a44-9baf-47eb-842b-6acbc7ddccf9&amp;documentId=9db51031-e3ef-435d-86e5-a39d08d9f504</t>
  </si>
  <si>
    <t>https://diadoc.kontur.ru/143bcbfb-a011-4791-9316-981158fa5552/Document/Show?letterId=8c16f1ba-008c-40f2-9fe1-59b0885ee6fb&amp;documentId=4c509f09-484d-45d7-8dce-ff3be5c473b8</t>
  </si>
  <si>
    <t>https://diadoc.kontur.ru/143bcbfb-a011-4791-9316-981158fa5552/Document/Show?letterId=a1b4e62e-e172-4a2d-9e2a-6ea9b46b90b9&amp;documentId=64bf4581-e7de-47b0-92b4-da25d1457dc7</t>
  </si>
  <si>
    <t>МЕДИАСКАУТ ООО</t>
  </si>
  <si>
    <t>https://diadoc.kontur.ru/143bcbfb-a011-4791-9316-981158fa5552/Document/Show?letterId=f3f19811-34ed-4c4b-93ae-562e90203721&amp;documentId=b36b9b4a-82fd-4595-9957-1dc45b92b5e6</t>
  </si>
  <si>
    <t>https://diadoc.kontur.ru/143bcbfb-a011-4791-9316-981158fa5552/Document/Show?letterId=413ae4c5-6df9-482a-b082-22ca92d2e70b&amp;documentId=ff99aca6-4f9b-48d4-a7fd-9cb160eefaab</t>
  </si>
  <si>
    <t>https://diadoc.kontur.ru/143bcbfb-a011-4791-9316-981158fa5552/Document/Show?letterId=5f3bc295-d9f8-468b-b342-12c2ba753431&amp;documentId=d2940d09-bb8a-467e-84ac-6c7f946feba3</t>
  </si>
  <si>
    <t>https://diadoc.kontur.ru/143bcbfb-a011-4791-9316-981158fa5552/Document/Show?letterId=efca05e8-008e-4c24-8154-21a16bb8fdd6&amp;documentId=b4e0f55e-e9df-4d53-a7e5-8ba32e19c078</t>
  </si>
  <si>
    <t>https://diadoc.kontur.ru/143bcbfb-a011-4791-9316-981158fa5552/Document/Show?letterId=4456e15a-888c-4a6b-b293-4784a7198fc7&amp;documentId=5584c831-f62e-4b10-8e21-673c69487cfc</t>
  </si>
  <si>
    <t>https://diadoc.kontur.ru/143bcbfb-a011-4791-9316-981158fa5552/Document/Show?letterId=6cf6035f-5cce-4a6c-9f92-8a77a4c78a04&amp;documentId=d0d5efba-3652-48b3-9fc8-9456a40fc154</t>
  </si>
  <si>
    <t>https://diadoc.kontur.ru/143bcbfb-a011-4791-9316-981158fa5552/Document/Show?letterId=cb36d0d8-ec9e-4d80-8807-b6215bf382d2&amp;documentId=bcbd3044-1186-4312-bde2-2a1193515f0b</t>
  </si>
  <si>
    <t>погашение транша</t>
  </si>
  <si>
    <t>обслуживание по март</t>
  </si>
  <si>
    <t>https://diadoc.kontur.ru/143bcbfb-a011-4791-9316-981158fa5552/Document/Show?letterId=702fb48b-387e-42de-a358-da047076a928&amp;documentId=be450958-17e0-4153-9905-a1fa534021b7</t>
  </si>
  <si>
    <t>ЮМАТОВ ИП</t>
  </si>
  <si>
    <t>https://diadoc.kontur.ru/143bcbfb-a011-4791-9316-981158fa5552/Document/Show?letterId=65531235-4208-449c-900c-9403da181468&amp;documentId=badfe800-210c-400d-8dbe-8a7f049ff133</t>
  </si>
  <si>
    <t>Расходы Страхов</t>
  </si>
  <si>
    <t>обслуживание по февраль</t>
  </si>
  <si>
    <t>https://diadoc.kontur.ru/143bcbfb-a011-4791-9316-981158fa5552/Document/Show?letterId=e7b4aa3b-f23a-4428-952b-f971bcdc5397&amp;documentId=ccec127b-592f-4bc2-a56d-c65df272cd12</t>
  </si>
  <si>
    <t>МЕСТО ООО</t>
  </si>
  <si>
    <t>корп 8\23</t>
  </si>
  <si>
    <t>закрытоие процентов</t>
  </si>
  <si>
    <t>Страховые</t>
  </si>
  <si>
    <t>отпускные</t>
  </si>
  <si>
    <t>прил 27</t>
  </si>
  <si>
    <t>https://diadoc.kontur.ru/143bcbfb-a011-4791-9316-981158fa5552/Document/Show?letterId=b8b3e2a0-7ad4-48fe-af40-0f96792891db&amp;documentId=f5125117-1b52-42f7-9c6a-14b75e02f7be</t>
  </si>
  <si>
    <t>Иванова СММ</t>
  </si>
  <si>
    <t>АйПи веб-сервисы ООО</t>
  </si>
  <si>
    <t>СЛ МЕДИА ООО</t>
  </si>
  <si>
    <t>прилож.3</t>
  </si>
  <si>
    <t>АПРЕЛЬ 2026</t>
  </si>
  <si>
    <t>https://diadoc.kontur.ru/143bcbfb-a011-4791-9316-981158fa5552/Document/Show?letterId=1ed916a0-6410-4c4d-aceb-b7dd2bf4247f&amp;documentId=4ca4f187-3a42-4a08-babe-85939d64fd6a</t>
  </si>
  <si>
    <t>Хостинг доменов</t>
  </si>
  <si>
    <t>Жукова</t>
  </si>
  <si>
    <t>Дамир подарок</t>
  </si>
  <si>
    <t>СТрахов расходы</t>
  </si>
  <si>
    <t>1с проф</t>
  </si>
  <si>
    <t>контур</t>
  </si>
  <si>
    <t>https://diadoc.kontur.ru/143bcbfb-a011-4791-9316-981158fa5552/Document/Show?letterId=7fc5788f-89b5-447d-9881-43f3c97e2323&amp;documentId=6f6071f9-2efc-44b4-9fbb-d6b131f08d12</t>
  </si>
  <si>
    <t>https://diadoc.kontur.ru/143bcbfb-a011-4791-9316-981158fa5552/Document/Show?letterId=5808f768-42c1-4217-8d6b-fdce0684c2ee&amp;documentId=304a006d-0fac-4fbe-b2c1-ffa014dab62a</t>
  </si>
  <si>
    <t>https://diadoc.kontur.ru/143bcbfb-a011-4791-9316-981158fa5552/Document/Show?letterId=78dbfd93-6074-4599-910f-9f0129031109&amp;documentId=681328fb-4b0c-47f3-b845-eb6cc98f9904</t>
  </si>
  <si>
    <t>https://diadoc.kontur.ru/143bcbfb-a011-4791-9316-981158fa5552/Document/Show?letterId=1fb73252-3fcb-4168-a3fc-4851c5af8e45&amp;documentId=2faeccac-577f-4e8e-bbb4-a45dc5780316</t>
  </si>
  <si>
    <t>https://diadoc.kontur.ru/143bcbfb-a011-4791-9316-981158fa5552/Document/Show?letterId=9a35ac9b-5c32-45f3-a348-f9baafa5810d&amp;documentId=a3615829-5f0b-4dfe-b72a-d8dfc3107206</t>
  </si>
  <si>
    <t>https://diadoc.kontur.ru/143bcbfb-a011-4791-9316-981158fa5552/Document/Show?letterId=69fa01ee-ab55-4b04-89a3-901c726af803&amp;documentId=a53a5e52-09f7-4f6c-8bdd-67f59e34aac9</t>
  </si>
  <si>
    <t>https://diadoc.kontur.ru/143bcbfb-a011-4791-9316-981158fa5552/Document/Show?letterId=3677d583-b940-4cbb-8698-5884056feca5&amp;documentId=02a4113d-da6a-4f20-93e1-44a1a2171d03</t>
  </si>
  <si>
    <t>https://diadoc.kontur.ru/143bcbfb-a011-4791-9316-981158fa5552/Document/Show?letterId=56f590a6-cb5a-4458-8eab-6f858629c1f4&amp;documentId=39f7107c-3ad4-48e4-b2d8-a90b94c6def0</t>
  </si>
  <si>
    <t>https://diadoc.kontur.ru/143bcbfb-a011-4791-9316-981158fa5552/Document/Show?letterId=343ca88c-40d6-4bfd-807f-e4ec0717292f&amp;documentId=db8857a7-dd1f-4945-8e91-e6932c1de6a3</t>
  </si>
  <si>
    <t>https://diadoc.kontur.ru/143bcbfb-a011-4791-9316-981158fa5552/Document/Show?letterId=af8c11d2-4ca3-42bd-91a0-c75a5b9b8c5b&amp;documentId=cbc58300-1aaa-40e2-8f28-e30f51be077b</t>
  </si>
  <si>
    <t>https://diadoc.kontur.ru/143bcbfb-a011-4791-9316-981158fa5552/Document/Show?letterId=ffb21ed2-ab90-42a9-b646-93513ff3c389&amp;documentId=30a6567f-2b73-4d1e-b171-22508b081824</t>
  </si>
  <si>
    <t>https://diadoc.kontur.ru/143bcbfb-a011-4791-9316-981158fa5552/Document/Show?letterId=c9de2b6b-57be-4806-9094-3d6286fd290e&amp;documentId=7d7db28b-fa32-4764-afb8-cad500988698</t>
  </si>
  <si>
    <t>https://diadoc.kontur.ru/143bcbfb-a011-4791-9316-981158fa5552/Document/Show?letterId=8c72f54f-1a87-4c87-ac9a-fde0210f5426&amp;documentId=809cf9a3-e494-4cb6-8e60-c49cb03e9544</t>
  </si>
  <si>
    <t>https://diadoc.kontur.ru/143bcbfb-a011-4791-9316-981158fa5552/Document/Show?letterId=bb8bdfb4-06c1-4cb0-9909-19f91f20bace&amp;documentId=c4fdac5a-032d-4489-85b2-dcd583bc12b2</t>
  </si>
  <si>
    <t>https://diadoc.kontur.ru/143bcbfb-a011-4791-9316-981158fa5552/Document/Show?letterId=2cba2a74-280f-4afa-89f2-f8bbe4a669a2&amp;documentId=84d911e8-3334-4159-9787-d376a00be6a6</t>
  </si>
  <si>
    <t>https://diadoc.kontur.ru/143bcbfb-a011-4791-9316-981158fa5552/Document/Show?letterId=068d61ba-399d-46be-9330-cd9fa4b0373b&amp;documentId=4e8a092d-3ccd-4211-bb20-3b5ec96a6d0d</t>
  </si>
  <si>
    <t>https://diadoc.kontur.ru/143bcbfb-a011-4791-9316-981158fa5552/Document/Show?letterId=d9df7932-4d45-41b1-8d63-a527795a992c&amp;documentId=b5cec1d0-09d0-4e71-9ade-9c4b83a2c11f</t>
  </si>
  <si>
    <t>https://diadoc.kontur.ru/143bcbfb-a011-4791-9316-981158fa5552/Document/Show?letterId=e80adb33-b69b-49a0-8f87-7a543df8834a&amp;documentId=15f073ff-d008-4a2f-928e-086bf1dee039</t>
  </si>
  <si>
    <t>https://diadoc.kontur.ru/143bcbfb-a011-4791-9316-981158fa5552/Document/Show?letterId=c4cf630e-d6b6-4e24-ad27-57ad49ffc205&amp;documentId=6ef5637a-a6b9-45cd-ad75-9665f4b2d1a4</t>
  </si>
  <si>
    <t>СТРОЙ ФОНД ООО</t>
  </si>
  <si>
    <t>https://diadoc.kontur.ru/143bcbfb-a011-4791-9316-981158fa5552/Document/Show?letterId=d7b790f6-7166-4d80-96f3-e4d88c983fa3&amp;documentId=17e7734c-4125-4e61-8c5c-1366d62e8da4</t>
  </si>
  <si>
    <t>https://diadoc.kontur.ru/143bcbfb-a011-4791-9316-981158fa5552/Document/Show?letterId=ac52346e-bf78-4a2d-adee-d9f67960df15&amp;documentId=1d25d7b4-942f-4314-8bfd-18ae86b082bf</t>
  </si>
  <si>
    <t>https://diadoc.kontur.ru/143bcbfb-a011-4791-9316-981158fa5552/Document/Show?letterId=e98d54d2-ad35-48f8-8b25-2c6cd56716e3&amp;documentId=6c5d0304-afdf-4b91-8bd3-1977c77b6ac1</t>
  </si>
  <si>
    <t>https://diadoc.kontur.ru/143bcbfb-a011-4791-9316-981158fa5552/Document/Show?letterId=7460f5eb-0c19-481b-9376-88c668ca0fb8&amp;documentId=711bf0e7-8e18-4d83-b1a8-778c620bca84</t>
  </si>
  <si>
    <t>ИП Жучкова(сандоз берлин)</t>
  </si>
  <si>
    <t>https://diadoc.kontur.ru/143bcbfb-a011-4791-9316-981158fa5552/Document/Show?letterId=5acf97b0-5759-4edd-bc36-a6f89d40f630&amp;documentId=f4567fce-5da0-4b71-9930-5f2fbb290aae</t>
  </si>
  <si>
    <t>https://diadoc.kontur.ru/143bcbfb-a011-4791-9316-981158fa5552/Document/Show?letterId=caf89eb2-d425-42d1-9575-3898ff0de94c&amp;documentId=db284f76-fce1-47b5-8e98-e42adb594dd3</t>
  </si>
  <si>
    <t>ХАЙЛОАДС ЛАБС ООО</t>
  </si>
  <si>
    <t>https://diadoc.kontur.ru/143bcbfb-a011-4791-9316-981158fa5552/Document/Show?letterId=d251dbd2-00a7-4e8c-a63f-3db965931f8f&amp;documentId=24f5e24b-51ee-4d1c-abff-f7d22f4caedd</t>
  </si>
  <si>
    <t>https://diadoc.kontur.ru/143bcbfb-a011-4791-9316-981158fa5552/Document/Show?letterId=b39813b3-5b01-4b88-a761-dc5b3655bbcf&amp;documentId=a2c50634-5c29-4d13-8e81-ccd6e405fd9a</t>
  </si>
  <si>
    <t>https://diadoc.kontur.ru/143bcbfb-a011-4791-9316-981158fa5552/Document/Show?letterId=0d1ccfad-fe02-4796-ae6b-f2ca769deb1c&amp;documentId=30077457-3994-4591-a03c-f0b3eb34eaa3</t>
  </si>
  <si>
    <t>https://diadoc.kontur.ru/143bcbfb-a011-4791-9316-981158fa5552/Document/Show?letterId=81b53cb6-086c-4347-b29d-3c303225f6a6&amp;documentId=45ae48d6-9bef-46b0-9924-ca35150fec37</t>
  </si>
  <si>
    <t>https://diadoc.kontur.ru/143bcbfb-a011-4791-9316-981158fa5552/Document/Show?letterId=3b91fbe6-6f3d-4ab0-bb53-5d211b23ce25&amp;documentId=e574b7ae-c124-4a0b-9fb0-7b0fa3927253</t>
  </si>
  <si>
    <t>https://diadoc.kontur.ru/143bcbfb-a011-4791-9316-981158fa5552/Document/Show?letterId=6d268c79-c8a4-456a-99de-fc7c3765e9a1&amp;documentId=4cf8d00b-4d60-4f61-99c5-e08591547696</t>
  </si>
  <si>
    <t>https://diadoc.kontur.ru/143bcbfb-a011-4791-9316-981158fa5552/Document/Show?letterId=5bf8f87e-f244-4beb-9436-e2be778006af&amp;documentId=81668505-400a-4172-8ec7-e6a593b03d08</t>
  </si>
  <si>
    <t>1 квартал 2026</t>
  </si>
  <si>
    <t>Оплата комиссии за переводы</t>
  </si>
  <si>
    <t>Встречи 009 Медиаплатформа</t>
  </si>
  <si>
    <t>Бельченко встречи</t>
  </si>
  <si>
    <t>Мероприятие в Нижнем</t>
  </si>
  <si>
    <t>ким</t>
  </si>
  <si>
    <t>обслуживание</t>
  </si>
  <si>
    <t>Бельченко НН</t>
  </si>
  <si>
    <t>билеты ужин НН</t>
  </si>
  <si>
    <t>УК АС ФАРМИЯ ООО</t>
  </si>
  <si>
    <t>доработки</t>
  </si>
  <si>
    <t>МАЙ 2026</t>
  </si>
  <si>
    <t>номер мегафон</t>
  </si>
  <si>
    <t xml:space="preserve">возврат переплаты </t>
  </si>
  <si>
    <t>https://diadoc.kontur.ru/143bcbfb-a011-4791-9316-981158fa5552/Document/Show?letterId=09b205ea-e2a4-4c2e-99c3-3db2d810c1a0&amp;documentId=95942fce-afd2-4fb3-bf35-3045ebe876e8</t>
  </si>
  <si>
    <t>https://diadoc.kontur.ru/143bcbfb-a011-4791-9316-981158fa5552/Document/Show?letterId=e6637a4f-cbf9-410b-910c-0506cdd93282&amp;documentId=a2639514-eba1-4edf-a71c-fc4a71c46d98</t>
  </si>
  <si>
    <t>https://diadoc.kontur.ru/143bcbfb-a011-4791-9316-981158fa5552/Document/Show?letterId=6417ffc8-d96a-432d-b52c-2784eb2aa8bb&amp;documentId=324d3248-8e06-41d8-a39e-b3ed8cac5121</t>
  </si>
  <si>
    <t>https://diadoc.kontur.ru/143bcbfb-a011-4791-9316-981158fa5552/Document/Show?letterId=5e331f6c-7d8d-48a1-9f42-1841c1ac2a0b&amp;documentId=484cf056-fb03-43ac-8d48-86e8d678b05a</t>
  </si>
  <si>
    <t>https://diadoc.kontur.ru/143bcbfb-a011-4791-9316-981158fa5552/Document/Show?letterId=1ba1216e-7e03-4237-8662-9ff6a46013d0&amp;documentId=b838eec1-5b13-490c-ad72-9c543cd75aa9</t>
  </si>
  <si>
    <t>УК МАКСАВИТ ООО</t>
  </si>
  <si>
    <t>https://diadoc.kontur.ru/143bcbfb-a011-4791-9316-981158fa5552/Document/Show?letterId=b60fd94a-e54a-4629-8652-4c7af22befb7&amp;documentId=57c79e3e-301f-4ed5-ac36-a337a7392433</t>
  </si>
  <si>
    <t>https://diadoc.kontur.ru/143bcbfb-a011-4791-9316-981158fa5552/Document/Show?letterId=becafda8-34af-4d3d-a725-07f0ef6ca034&amp;documentId=b05f539a-5e14-442a-9dc0-fcc97fb39e20</t>
  </si>
  <si>
    <t>https://diadoc.kontur.ru/143bcbfb-a011-4791-9316-981158fa5552/Document/Show?letterId=abcbc392-9647-45ae-a097-e1d31046d200&amp;documentId=71b866b1-78fe-44e7-a313-4022e29b57e1</t>
  </si>
  <si>
    <t>https://diadoc.kontur.ru/143bcbfb-a011-4791-9316-981158fa5552/Document/Show?letterId=4859c3c9-f9bf-495a-8a4d-36de3ce88e5f&amp;documentId=779130fc-4a14-4ffa-bf14-c744ac852b76</t>
  </si>
  <si>
    <t>ФАРМЛИНК ООО</t>
  </si>
  <si>
    <t>https://diadoc.kontur.ru/143bcbfb-a011-4791-9316-981158fa5552/Document/Show?letterId=d71659c6-c67c-420e-b5df-5b5f47058605&amp;documentId=9d7b57c4-92e5-4d3b-ac11-d42abb81784e</t>
  </si>
  <si>
    <t>https://diadoc.kontur.ru/143bcbfb-a011-4791-9316-981158fa5552/Document/Show?letterId=dc786c82-0b59-4d56-a4d6-a5e29b4ca072&amp;documentId=1affe272-ddce-4705-9f23-a5b7968685a9</t>
  </si>
  <si>
    <t>https://diadoc.kontur.ru/143bcbfb-a011-4791-9316-981158fa5552/Document/Show?letterId=c9cee682-11ae-49c2-a465-03a9bafafd05&amp;documentId=0d59c052-b3cf-478e-b0dc-95f99b184fa1</t>
  </si>
  <si>
    <t>https://diadoc.kontur.ru/143bcbfb-a011-4791-9316-981158fa5552/Document/Show?letterId=b292a11e-9200-449d-a9c1-c5f192096c92&amp;documentId=5092b113-26b2-4e09-b4c7-be1dca1e65d4</t>
  </si>
  <si>
    <t>https://diadoc.kontur.ru/143bcbfb-a011-4791-9316-981158fa5552/Document/Show?letterId=8ae13650-6b6f-4235-88bd-15778e7ec3ea&amp;documentId=46dd8d93-098e-40ad-8442-7a833eccfe4b</t>
  </si>
  <si>
    <t>https://diadoc.kontur.ru/143bcbfb-a011-4791-9316-981158fa5552/Document/Show?letterId=2f10000d-a26f-4cb1-b791-5b237172d259&amp;documentId=b4a06b20-0c22-40a0-9bdb-6b707b039d92</t>
  </si>
  <si>
    <t>https://diadoc.kontur.ru/143bcbfb-a011-4791-9316-981158fa5552/Document/Show?letterId=a314516e-977d-4ec5-9f54-2cd5e73619c5&amp;documentId=258df2d7-d64c-4981-9849-88b30194036c</t>
  </si>
  <si>
    <t>https://diadoc.kontur.ru/143bcbfb-a011-4791-9316-981158fa5552/Document/Show?letterId=04043d33-ec2b-4156-af42-8abd2cb9b87c&amp;documentId=f7dba997-021d-4799-af63-bbd03d6fa506</t>
  </si>
  <si>
    <t>https://diadoc.kontur.ru/143bcbfb-a011-4791-9316-981158fa5552/Document/Show?letterId=7d84c023-9e39-430f-8397-e10e10f4ed60&amp;documentId=9f24bd2e-d55f-4a2f-a08a-b2875397ea86</t>
  </si>
  <si>
    <t>https://diadoc.kontur.ru/143bcbfb-a011-4791-9316-981158fa5552/Document/Show?letterId=47af1caf-998e-4949-b71a-53f4aa71749f&amp;documentId=c0700a65-2090-4fa2-888d-dc9414e58477</t>
  </si>
  <si>
    <t>https://diadoc.kontur.ru/143bcbfb-a011-4791-9316-981158fa5552/Document/Show?letterId=66fbe587-cd34-4ab7-9c83-3e4d1279b411&amp;documentId=cdfdeb5b-84ef-4d1e-9fdc-8f53622cfb7e</t>
  </si>
  <si>
    <t>https://diadoc.kontur.ru/143bcbfb-a011-4791-9316-981158fa5552/Document/Show?letterId=95dafece-8aae-44bd-8f23-8012a2b08fbe&amp;documentId=89a5cf88-81ad-4018-bf78-c892f1b25837</t>
  </si>
  <si>
    <t>https://diadoc.kontur.ru/143bcbfb-a011-4791-9316-981158fa5552/Document/Show?letterId=2b20247e-5dc6-47da-827d-3eb91bd8dd18&amp;documentId=c1619bc6-7dcf-4b2b-ad3b-d9b840d10967</t>
  </si>
  <si>
    <t>https://diadoc.kontur.ru/143bcbfb-a011-4791-9316-981158fa5552/Document/Show?letterId=9cff3236-78f7-4b34-b989-e605bf8726e5&amp;documentId=9af3430e-d964-4483-b39e-40fc9d8b1956</t>
  </si>
  <si>
    <t>ДАГФАРМ+ ООО</t>
  </si>
  <si>
    <t>https://diadoc.kontur.ru/143bcbfb-a011-4791-9316-981158fa5552/Document/Show?letterId=815ccbc5-fa73-4511-a6a1-e45441b3358c&amp;documentId=f01f3865-1182-4014-8a11-8cced776d5cb</t>
  </si>
  <si>
    <t>ОБРАЗ ООО</t>
  </si>
  <si>
    <t>https://diadoc.kontur.ru/143bcbfb-a011-4791-9316-981158fa5552/Document/Show?letterId=4c89e0d4-86be-4266-9c3e-f30705f014cb&amp;documentId=ace5acdd-9834-4d90-be4b-d13d5e4b7697</t>
  </si>
  <si>
    <t>СУПЕРФАРМА ООО</t>
  </si>
  <si>
    <t>https://diadoc.kontur.ru/143bcbfb-a011-4791-9316-981158fa5552/Document/Show?letterId=54cba202-a0e0-47a0-8ff1-73159fa4c17d&amp;documentId=38c939f6-a6e3-4bbd-a06e-a29002539603</t>
  </si>
  <si>
    <t>https://diadoc.kontur.ru/143bcbfb-a011-4791-9316-981158fa5552/Document/Show?letterId=18545447-a94c-4e27-a83c-083930633211&amp;documentId=03f20043-e8db-4ccf-a282-8654d1088242</t>
  </si>
  <si>
    <t>https://diadoc.kontur.ru/143bcbfb-a011-4791-9316-981158fa5552/Document/Show?letterId=5cdfe22e-2e0a-434d-ba86-082b4c1886c5&amp;documentId=ea13ec2d-bd12-43bf-9df4-2580572f6c6b</t>
  </si>
  <si>
    <t>https://diadoc.kontur.ru/143bcbfb-a011-4791-9316-981158fa5552/Document/Show?letterId=f0a3b601-bca9-491d-8bc1-cb97266b5d4a&amp;documentId=bf7bf7d0-41f4-41e4-a94e-3c2bc4ce8f7d</t>
  </si>
  <si>
    <t>https://diadoc.kontur.ru/143bcbfb-a011-4791-9316-981158fa5552/Document/Show?letterId=4c51c22f-ae13-423d-987e-26ac5ebe6f4f&amp;documentId=ef359a5f-ea5a-48ad-ae7e-2de5a045ff67</t>
  </si>
  <si>
    <t>https://diadoc.kontur.ru/143bcbfb-a011-4791-9316-981158fa5552/Document/Show?letterId=12480386-11fa-4471-beaf-295474d91189&amp;documentId=cd440105-461b-4a6c-ad9b-8bdfa1f48d52</t>
  </si>
  <si>
    <t>https://diadoc.kontur.ru/143bcbfb-a011-4791-9316-981158fa5552/Document/Show?letterId=5c5f993f-de68-48cd-b155-1c4edbe12f2a&amp;documentId=c097e817-2724-456e-a7f4-57897306aeab</t>
  </si>
  <si>
    <t>https://diadoc.kontur.ru/143bcbfb-a011-4791-9316-981158fa5552/Document/Show?letterId=0cbef995-bd57-4b3d-a458-f2a759707603&amp;documentId=4c7d8e79-a33b-47fc-b107-6b481e587c1e</t>
  </si>
  <si>
    <t>https://diadoc.kontur.ru/143bcbfb-a011-4791-9316-981158fa5552/Document/Show?letterId=004f923c-3dea-43a4-bb0c-6afc607d9040&amp;documentId=09b0a8b4-9c4f-4278-922b-b965b2105779</t>
  </si>
  <si>
    <t>https://diadoc.kontur.ru/143bcbfb-a011-4791-9316-981158fa5552/Document/Show?letterId=e5af945b-4aba-4076-a3ad-a9246301a469&amp;documentId=d43e8676-c270-465b-b098-d66a50a3c54e</t>
  </si>
  <si>
    <t>https://diadoc.kontur.ru/143bcbfb-a011-4791-9316-981158fa5552/Document/Show?letterId=0ef93c44-860f-47ca-a4b2-74af2089e85a&amp;documentId=52341e7f-8433-4398-ae30-87326196ab59</t>
  </si>
  <si>
    <t>ЮДИНА ИП</t>
  </si>
  <si>
    <t>https://diadoc.kontur.ru/143bcbfb-a011-4791-9316-981158fa5552/Document/Show?letterId=1eaaa5e0-6315-4523-90b8-3205dc6dc873&amp;documentId=ed51117f-a7fb-4e47-9e09-ac33c5e09c6e</t>
  </si>
  <si>
    <t>РА АДВИЗОР ООО</t>
  </si>
  <si>
    <t>Апрель Мошков</t>
  </si>
  <si>
    <t>ИВАНОВА СММ</t>
  </si>
  <si>
    <t>Фесенко</t>
  </si>
  <si>
    <t>АЛЬФАРМ ООО</t>
  </si>
  <si>
    <t>КИРДЯПКИНА</t>
  </si>
  <si>
    <t>МУВИ 360 ООО</t>
  </si>
  <si>
    <t>прилож. 9</t>
  </si>
  <si>
    <t>прил 31</t>
  </si>
  <si>
    <t>прил 28</t>
  </si>
  <si>
    <t>прил 29</t>
  </si>
  <si>
    <t>прил 30</t>
  </si>
  <si>
    <t>прил 32</t>
  </si>
  <si>
    <t>https://diadoc.kontur.ru/143bcbfb-a011-4791-9316-981158fa5552/Document/Show?letterId=627a160c-47f0-4ca2-bb55-0f805a513fe9&amp;documentId=7e00d698-2828-4057-a878-db59fcb80d0a</t>
  </si>
  <si>
    <t>https://diadoc.kontur.ru/143bcbfb-a011-4791-9316-981158fa5552/Document/Show?letterId=8a9831ad-ffd2-4cab-8299-38869cb6f474&amp;documentId=f305c817-0afc-4767-acd0-3e0db61a574e</t>
  </si>
  <si>
    <t>2 квартал 2026</t>
  </si>
  <si>
    <t>АРТИКС ИС ООО</t>
  </si>
  <si>
    <t>ИЮНЬ 2026</t>
  </si>
  <si>
    <t>отпускные свиридова панасюк</t>
  </si>
  <si>
    <t>Битрикс на год</t>
  </si>
  <si>
    <t>галактионов</t>
  </si>
  <si>
    <t>ВКЛ АЛЬФА</t>
  </si>
  <si>
    <t>подарок польза</t>
  </si>
  <si>
    <t>май апрель страхов</t>
  </si>
  <si>
    <t>https://diadoc.kontur.ru/143bcbfb-a011-4791-9316-981158fa5552/Document/Show?letterId=7c20b40d-7e4e-4af4-a671-d5d1e1a738fd&amp;documentId=1a2d6508-5aec-4b5c-b1ae-4ae9d6b1b54d</t>
  </si>
  <si>
    <t>https://diadoc.kontur.ru/143bcbfb-a011-4791-9316-981158fa5552/Document/Show?letterId=ccdea01a-8a39-482d-b898-0de9c608822e&amp;documentId=f1011318-7a5d-4de9-bb4c-dca0a338f0fb</t>
  </si>
  <si>
    <t>https://diadoc.kontur.ru/143bcbfb-a011-4791-9316-981158fa5552/Document/Show?letterId=ded8d047-5473-4dee-905d-d9cfea774f13&amp;documentId=5735f02c-e9f4-426f-ab34-1d5671339581</t>
  </si>
  <si>
    <t>https://diadoc.kontur.ru/143bcbfb-a011-4791-9316-981158fa5552/Document/Show?letterId=75e957f8-ed6f-47ec-baeb-b3a9c0680301&amp;documentId=691bf167-80cd-431b-acb2-34fd8ef06a17</t>
  </si>
  <si>
    <t>https://diadoc.kontur.ru/143bcbfb-a011-4791-9316-981158fa5552/Document/Show?letterId=782f3c0e-ae64-4a6e-a894-dece63d5e605&amp;documentId=8a01f810-1038-4753-a763-b59fe873597f</t>
  </si>
  <si>
    <t>https://diadoc.kontur.ru/143bcbfb-a011-4791-9316-981158fa5552/Document/Show?letterId=609047ad-3c3f-486f-a47d-8b8dd1fb3337&amp;documentId=ecb05302-61ed-45fe-89de-2a765214c050</t>
  </si>
  <si>
    <t>https://diadoc.kontur.ru/143bcbfb-a011-4791-9316-981158fa5552/Document/Show?letterId=93209b40-bf12-40e3-ab42-7634f1d8a14d&amp;documentId=c533b0c9-0fb4-42f5-b421-9f62960a2eba</t>
  </si>
  <si>
    <t>АСНА ООО</t>
  </si>
  <si>
    <t>https://diadoc.kontur.ru/143bcbfb-a011-4791-9316-981158fa5552/Document/Show?letterId=a34ff519-b042-437a-9773-0387801981d6&amp;documentId=79db9b88-842b-4633-8322-44a33eed2b3b</t>
  </si>
  <si>
    <t>https://diadoc.kontur.ru/143bcbfb-a011-4791-9316-981158fa5552/Document/Show?letterId=a9ee80c0-ca71-4f69-8db4-90f71cd1c50b&amp;documentId=f325b4d8-ba04-462a-8776-c63bacfdf598</t>
  </si>
  <si>
    <t>https://diadoc.kontur.ru/143bcbfb-a011-4791-9316-981158fa5552/Document/Show?letterId=daf7fb6b-a054-4e4d-afbf-9e43052a257b&amp;documentId=b10cf8c8-8fcf-454a-980c-fcd5cab8d025</t>
  </si>
  <si>
    <t>ИНСТАМАРТ СЕРВИС ООО</t>
  </si>
  <si>
    <t>https://diadoc.kontur.ru/143bcbfb-a011-4791-9316-981158fa5552/Document/Show?letterId=bceb80d4-f047-4129-a8cb-ad0cb85fa121&amp;documentId=2ce75ac8-2660-4478-9757-88d54bf1630a</t>
  </si>
  <si>
    <t>https://diadoc.kontur.ru/143bcbfb-a011-4791-9316-981158fa5552/Document/Show?letterId=00ecaded-0e6f-434b-83b3-1347bccfa3f0&amp;documentId=22135980-87c1-4fd8-8135-ab6403f7de50</t>
  </si>
  <si>
    <t>https://diadoc.kontur.ru/143bcbfb-a011-4791-9316-981158fa5552/Document/Show?letterId=6d0f6201-4762-4c41-b76f-60d1e9743362&amp;documentId=02613cba-362e-477d-b7cd-2532946f0b78</t>
  </si>
  <si>
    <t>https://diadoc.kontur.ru/143bcbfb-a011-4791-9316-981158fa5552/Document/Show?letterId=17006d9a-1708-484e-aadb-3e760e15ddcb&amp;documentId=b405ee0e-8aed-4a64-b8e2-edb899d5fdcd</t>
  </si>
  <si>
    <t>https://diadoc.kontur.ru/143bcbfb-a011-4791-9316-981158fa5552/Document/Show?letterId=371d4358-15bb-4e77-9551-0f948afbd262&amp;documentId=b48a3da3-2df4-43fa-b92d-dd5c96634ba1</t>
  </si>
  <si>
    <t>https://diadoc.kontur.ru/143bcbfb-a011-4791-9316-981158fa5552/Document/Show?letterId=261fbf37-43e3-46c8-837b-7b6ecd3f918b&amp;documentId=cdc1878d-c465-4a84-a849-ac533dbfeeb3</t>
  </si>
  <si>
    <t>https://diadoc.kontur.ru/143bcbfb-a011-4791-9316-981158fa5552/Document/Show?letterId=b9caab3c-c05c-4308-8c29-75c4c9c8edda&amp;documentId=7304f70d-305e-422c-a535-f5a90fbbc890</t>
  </si>
  <si>
    <t>https://diadoc.kontur.ru/143bcbfb-a011-4791-9316-981158fa5552/Document/Show?letterId=45801c01-f09d-4af3-90f6-045dc693139b&amp;documentId=f692b675-4ab9-4d04-8ee2-e29d00726869</t>
  </si>
  <si>
    <t>https://diadoc.kontur.ru/143bcbfb-a011-4791-9316-981158fa5552/Document/Show?letterId=a42eecbb-9775-4f26-af52-8cd1d00ed6b3&amp;documentId=b3f843d3-d0ec-47d9-9eb7-c391094ba0ea</t>
  </si>
  <si>
    <t>https://diadoc.kontur.ru/143bcbfb-a011-4791-9316-981158fa5552/Document/Show?letterId=d881f219-e6c9-42cb-abd3-4c34a052e905&amp;documentId=b3ecab16-5972-4b80-b9ed-07ce1d5c797b</t>
  </si>
  <si>
    <t>https://diadoc.kontur.ru/143bcbfb-a011-4791-9316-981158fa5552/Document/Show?letterId=950a6112-56eb-4fd2-88bd-6c799f0064d5&amp;documentId=d4955632-008e-4fb5-b4c9-4f8f65d99784</t>
  </si>
  <si>
    <t>https://diadoc.kontur.ru/143bcbfb-a011-4791-9316-981158fa5552/Document/Show?letterId=3a584bf6-6b11-4c46-a962-40ab2da51a13&amp;documentId=2614ab8a-7ab4-4436-85dd-488deecb3278</t>
  </si>
  <si>
    <t>https://diadoc.kontur.ru/143bcbfb-a011-4791-9316-981158fa5552/Document/Show?letterId=a39058dc-8704-48e7-8cf0-93d46226b1d7&amp;documentId=be3dee4c-2b4a-445d-970a-4bd90b5cd7eb</t>
  </si>
  <si>
    <t>https://diadoc.kontur.ru/143bcbfb-a011-4791-9316-981158fa5552/Document/Show?letterId=48ac646b-ea14-4093-9075-f83bc497ab0a&amp;documentId=b2fe384f-3932-4ed0-b760-1ee7fde5e72f</t>
  </si>
  <si>
    <t>ИП БАранов</t>
  </si>
  <si>
    <t>https://diadoc.kontur.ru/143bcbfb-a011-4791-9316-981158fa5552/Document/Show?letterId=69c2e14d-b937-4574-b966-30a4f44ef15a&amp;documentId=17b39527-08b9-42f8-9550-57dc1eda4a96</t>
  </si>
  <si>
    <t>https://diadoc.kontur.ru/143bcbfb-a011-4791-9316-981158fa5552/Document/Show?letterId=0d15473e-b751-4057-a90c-e3c571e30f86&amp;documentId=ec3c6fd7-4f85-453e-a3d9-f6cfcb33215c</t>
  </si>
  <si>
    <t>https://diadoc.kontur.ru/143bcbfb-a011-4791-9316-981158fa5552/Document/Show?letterId=6711871a-38ae-4817-8f08-f72f3ce731d2&amp;documentId=89741e31-8043-4804-9ba3-e7686d9407b3</t>
  </si>
  <si>
    <t>РА СА МЕДИА ООО</t>
  </si>
  <si>
    <t>https://diadoc.kontur.ru/143bcbfb-a011-4791-9316-981158fa5552/Document/Show?letterId=e978cc7c-7bdc-4740-866e-8024d84ffa69&amp;documentId=4b431f97-fcac-4398-92e7-7cb89cbf9dc8</t>
  </si>
  <si>
    <t>1-й Носорог ООО</t>
  </si>
  <si>
    <t>https://diadoc.kontur.ru/143bcbfb-a011-4791-9316-981158fa5552/Document/Show?letterId=842bfdca-f9a3-40f0-82de-0403ac735772&amp;documentId=9ebec755-0b59-43ad-96d2-1cc347997f53</t>
  </si>
  <si>
    <t>https://diadoc.kontur.ru/143bcbfb-a011-4791-9316-981158fa5552/Document/Show?letterId=52c72e72-38d2-4505-8a8c-22e71e5e4d02&amp;documentId=1fa21038-e9a6-48b7-bf2b-c5dafc4a167e</t>
  </si>
  <si>
    <t>https://diadoc.kontur.ru/143bcbfb-a011-4791-9316-981158fa5552/Document/Show?letterId=fafd7e45-4208-4088-964e-f0fdebc2d3ce&amp;documentId=63212a1b-2727-4a1f-a280-1071f96c8c3f</t>
  </si>
  <si>
    <t>https://diadoc.kontur.ru/143bcbfb-a011-4791-9316-981158fa5552/Document/Show?letterId=c0cf880c-d621-4af4-9abb-af6ad949d4f6&amp;documentId=6b7327a0-9bae-4820-b0c4-f5eb8c9f115b</t>
  </si>
  <si>
    <t>ПЛАН ОПЛАТ</t>
  </si>
  <si>
    <t>https://diadoc.kontur.ru/143bcbfb-a011-4791-9316-981158fa5552/Document/Show?letterId=42bc427d-8d82-4180-8d60-3a184b71a8e8&amp;documentId=805c912d-767c-43dc-9d91-b9e93c2408aa</t>
  </si>
  <si>
    <t>https://diadoc.kontur.ru/143bcbfb-a011-4791-9316-981158fa5552/Document/Show?letterId=10044a03-e3b4-4ed6-baee-b0739bcf7967&amp;documentId=a991c2eb-3f15-4740-a6ab-f603665acae8</t>
  </si>
  <si>
    <t>https://diadoc.kontur.ru/143bcbfb-a011-4791-9316-981158fa5552/Document/Show?letterId=4473d02c-fb60-46c4-ac8c-ea3a1a8b6085&amp;documentId=b5cb445e-75e8-4015-9c5c-5f85fc14313a</t>
  </si>
  <si>
    <t>https://diadoc.kontur.ru/143bcbfb-a011-4791-9316-981158fa5552/Document/Show?letterId=19d102ab-6689-430d-8674-8b8e8474540c&amp;documentId=04042b3f-c326-431f-a8d1-e081a78e5cdf</t>
  </si>
  <si>
    <t>https://diadoc.kontur.ru/143bcbfb-a011-4791-9316-981158fa5552/Document/Show?letterId=36383976-7b4f-4ad6-a9e0-8a6e183857bb&amp;documentId=6aac0b78-ce26-4a80-ac09-974c3a107a79</t>
  </si>
  <si>
    <t>https://diadoc.kontur.ru/143bcbfb-a011-4791-9316-981158fa5552/Document/Show?letterId=6428ea23-f882-4c96-8955-93b9331a3bfc&amp;documentId=78730e18-5f18-4155-981c-c14a5d2882e5</t>
  </si>
  <si>
    <t>https://diadoc.kontur.ru/143bcbfb-a011-4791-9316-981158fa5552/Document/Show?letterId=038a41ad-f5f0-4c99-a4dd-2d500396cfe8&amp;documentId=5276b146-bfa1-4f5e-b11e-4d83bf39d687</t>
  </si>
  <si>
    <t>https://diadoc.kontur.ru/143bcbfb-a011-4791-9316-981158fa5552/Document/Show?letterId=f4be3736-5369-45c8-ae3d-376f1b3fd6f9&amp;documentId=b29a2089-3e9d-42de-bc6e-9e7fdc32252b</t>
  </si>
  <si>
    <t>https://diadoc.kontur.ru/143bcbfb-a011-4791-9316-981158fa5552/Document/Show?letterId=89c5904a-f67b-44ac-a2e4-c55fff2f7e9c&amp;documentId=398ffad9-b5cb-41ea-b4ac-a391b2f4a000</t>
  </si>
  <si>
    <t>https://diadoc.kontur.ru/143bcbfb-a011-4791-9316-981158fa5552/Document/Show?letterId=806791c0-d0db-4ab0-85cb-9c2198e91c35&amp;documentId=e2e58fa3-f390-438f-9aef-6af64416c724</t>
  </si>
  <si>
    <t>https://diadoc.kontur.ru/143bcbfb-a011-4791-9316-981158fa5552/Document/Show?letterId=835c5275-bca0-4ed0-b922-024d614ac443&amp;documentId=f74d33b2-5029-49a4-a181-e7a3a665afd1</t>
  </si>
  <si>
    <t>https://diadoc.kontur.ru/143bcbfb-a011-4791-9316-981158fa5552/Document/Show?letterId=b3473fbb-c59d-4089-83cd-84ec50dbd06e&amp;documentId=4da59815-1154-4c54-9935-2f781e351083</t>
  </si>
  <si>
    <t>https://diadoc.kontur.ru/143bcbfb-a011-4791-9316-981158fa5552/Document/Show?letterId=f366cbe4-52b5-4ee6-9b1f-4624c605cb73&amp;documentId=791711df-680c-4d76-9cb1-3ee193ffd3ec</t>
  </si>
  <si>
    <t>https://diadoc.kontur.ru/143bcbfb-a011-4791-9316-981158fa5552/Document/Show?letterId=7d7b2f8e-1ee5-4daf-a831-1624e99000fe&amp;documentId=eab42024-ad1d-4e78-950f-feae5ce2f760</t>
  </si>
  <si>
    <t>https://diadoc.kontur.ru/143bcbfb-a011-4791-9316-981158fa5552/Document/Show?letterId=ddaac848-a5fd-40d3-af27-76454bb18edf&amp;documentId=258cf525-bbdc-4356-85e7-610ffc6598c6</t>
  </si>
  <si>
    <t>https://diadoc.kontur.ru/143bcbfb-a011-4791-9316-981158fa5552/Document/Show?letterId=2871c562-7aaf-40b2-8a03-420e6a82584c&amp;documentId=204fc85c-9e65-4a7e-8855-691ef3c917f1</t>
  </si>
  <si>
    <t>https://diadoc.kontur.ru/143bcbfb-a011-4791-9316-981158fa5552/Document/Show?letterId=2f3b4130-75a6-4056-ace9-550336e71307&amp;documentId=51cf06e0-55f6-4ca1-bd55-363dacb7f9f0</t>
  </si>
  <si>
    <t>https://diadoc.kontur.ru/143bcbfb-a011-4791-9316-981158fa5552/Document/Show?letterId=a3c78b46-f4d2-4121-bb10-74158dfd6793&amp;documentId=b4c97021-cb67-49ef-a795-e50535d9543a</t>
  </si>
  <si>
    <t>https://diadoc.kontur.ru/143bcbfb-a011-4791-9316-981158fa5552/Document/Show?letterId=dadcd697-3c12-42a3-8a7a-51ed08e5df4d&amp;documentId=e17fc989-3e3c-4dfb-ab14-ced67dba76bc</t>
  </si>
  <si>
    <t>https://diadoc.kontur.ru/143bcbfb-a011-4791-9316-981158fa5552/Document/Show?letterId=0e13f548-f28b-4376-bdcf-52ae075e7a08&amp;documentId=17a50612-3bbb-49d8-afc5-7148eb0b4f8f</t>
  </si>
  <si>
    <t>https://diadoc.kontur.ru/143bcbfb-a011-4791-9316-981158fa5552/Document/Show?letterId=0ccfa86f-39d4-4d1b-be2c-5f25741f7daf&amp;documentId=8f31e534-02bc-4234-ae39-71674f7333c8</t>
  </si>
  <si>
    <t>Бойко ИП</t>
  </si>
  <si>
    <t>https://diadoc.kontur.ru/143bcbfb-a011-4791-9316-981158fa5552/Document/Show?letterId=6659861f-1dab-4487-b563-1946e2f24413&amp;documentId=2e090b30-6a77-467e-8eec-fe06689050f4</t>
  </si>
  <si>
    <t>https://diadoc.kontur.ru/143bcbfb-a011-4791-9316-981158fa5552/Document/Show?letterId=2775662f-eec9-4a60-a916-c4df1d627047&amp;documentId=0a365092-f7f6-43f8-a1b3-240f0aaf7b32</t>
  </si>
  <si>
    <t>Жмакина ИП</t>
  </si>
  <si>
    <t>https://diadoc.kontur.ru/143bcbfb-a011-4791-9316-981158fa5552/Document/Show?letterId=aa3edc3f-178e-4902-99e5-aecb7d1b57fa&amp;documentId=72a8a61e-17b1-42b9-a47b-ebc4fa3be7ec</t>
  </si>
  <si>
    <t>Юдина ИП</t>
  </si>
  <si>
    <t>ПЛАН ПОСТУПЛЕНИЙ</t>
  </si>
  <si>
    <t>прилож. 8</t>
  </si>
  <si>
    <t>https://diadoc.kontur.ru/143bcbfb-a011-4791-9316-981158fa5552/Document/Show?letterId=956f0ab5-2f70-46d4-9bf6-b2a92b9bb754&amp;documentId=f3ed91c5-8f95-4cce-ba1f-3ce482ad9358</t>
  </si>
  <si>
    <t>https://diadoc.kontur.ru/143bcbfb-a011-4791-9316-981158fa5552/Document/Show?letterId=956f0ab5-2f70-46d4-9bf6-b2a92b9bb754&amp;documentId=fdbc64f8-3e1d-4435-be5c-2bcb1019b194</t>
  </si>
  <si>
    <t>прил 37</t>
  </si>
  <si>
    <t>прил 36</t>
  </si>
  <si>
    <t>прил 38</t>
  </si>
  <si>
    <t>прил 33</t>
  </si>
  <si>
    <t>прил 35</t>
  </si>
  <si>
    <t>прил 34</t>
  </si>
  <si>
    <t>прил 39</t>
  </si>
  <si>
    <t>ПЕНИ</t>
  </si>
  <si>
    <t>Стимул Плюс ООО</t>
  </si>
  <si>
    <t>https://diadoc.kontur.ru/143bcbfb-a011-4791-9316-981158fa5552/Document/Show?letterId=fd2b0862-1b3a-4529-96b2-c58762ea7b31&amp;documentId=ab3d9a99-87cb-436a-b8c6-a6697b21d2c3</t>
  </si>
  <si>
    <t>ИА РИАЛВЕБ ООО</t>
  </si>
  <si>
    <t>заявка 1</t>
  </si>
  <si>
    <t>прил 49</t>
  </si>
  <si>
    <t>прил 44</t>
  </si>
  <si>
    <t>прил 50</t>
  </si>
  <si>
    <t>прил 51</t>
  </si>
  <si>
    <t>прил 41</t>
  </si>
  <si>
    <t>прил 42</t>
  </si>
  <si>
    <t>прил 43</t>
  </si>
  <si>
    <t>прил 52</t>
  </si>
  <si>
    <t>прил 40</t>
  </si>
  <si>
    <t>прил 45</t>
  </si>
  <si>
    <t>прил 46</t>
  </si>
  <si>
    <t>прил 47</t>
  </si>
  <si>
    <t>ИА РиалВеб ООО</t>
  </si>
  <si>
    <t>https://diadoc.kontur.ru/143bcbfb-a011-4791-9316-981158fa5552/Document/Show?letterId=c92d1eb6-96b5-4c1f-b273-34b69d6b1380&amp;documentId=0a073607-65e7-49ec-af0e-93078d6c12d5</t>
  </si>
  <si>
    <t>https://diadoc.kontur.ru/143bcbfb-a011-4791-9316-981158fa5552/Document/Show?letterId=01c026cf-6cdf-4024-98e3-0465782be651&amp;documentId=4a210e87-2891-48a7-ba9a-45bfa77e4f0f</t>
  </si>
  <si>
    <t>https://diadoc.kontur.ru/143bcbfb-a011-4791-9316-981158fa5552/Document/Show?letterId=039d5d5c-26fd-4010-8a52-22555a247894&amp;documentId=496cf022-8cb3-4aab-b343-c43486d1ac77</t>
  </si>
  <si>
    <t>СЛ Медиа ООО</t>
  </si>
  <si>
    <t>https://diadoc.kontur.ru/143bcbfb-a011-4791-9316-981158fa5552/Document/Show?letterId=9b0ae595-6ca6-437a-a828-dab5b7ff5525&amp;documentId=3c9dc1e2-3883-4099-bf69-0382cdf3f685</t>
  </si>
  <si>
    <t>https://diadoc.kontur.ru/143bcbfb-a011-4791-9316-981158fa5552/Document/Show?letterId=d16c11ad-354e-490c-8238-a552337a125e&amp;documentId=580c4c16-82b6-418f-ad80-cbeaadc7a42b</t>
  </si>
  <si>
    <t>https://diadoc.kontur.ru/143bcbfb-a011-4791-9316-981158fa5552/Document/Show?letterId=d125730d-ad3e-4b60-9f3d-2e9aace06576&amp;documentId=2c03950e-8f58-4a90-a405-114b48708b68</t>
  </si>
  <si>
    <t>https://diadoc.kontur.ru/143bcbfb-a011-4791-9316-981158fa5552/Document/Show?letterId=d99fd79d-eac6-4b97-889b-8d0b0f2c7fe4&amp;documentId=f61b3fde-ad8d-4eab-be18-55c7d45b6151</t>
  </si>
  <si>
    <t>https://diadoc.kontur.ru/143bcbfb-a011-4791-9316-981158fa5552/Document/Show?letterId=05cc28b9-0466-49f0-acaf-d5dbd8277bfb&amp;documentId=c3901c23-fa91-46a4-9280-fea2fee69062</t>
  </si>
  <si>
    <t>https://diadoc.kontur.ru/143bcbfb-a011-4791-9316-981158fa5552/Document/Show?letterId=a24ce90d-513e-4d56-95ad-9a89d80b8840&amp;documentId=17708629-e336-4aa8-80c7-aa44c5bd0aa6</t>
  </si>
  <si>
    <t>https://diadoc.kontur.ru/143bcbfb-a011-4791-9316-981158fa5552/Document/Show?letterId=12536c44-e276-4e7a-9d00-b74aaa12beb1&amp;documentId=5d9fa914-0fa2-47d8-a3a7-6cd26c448a6b</t>
  </si>
  <si>
    <t>https://diadoc.kontur.ru/143bcbfb-a011-4791-9316-981158fa5552/Document/Show?letterId=db2de8ce-2d3b-43c7-848c-707bc8d28031&amp;documentId=9928d71c-4ab5-443b-b06a-7867134b623d</t>
  </si>
  <si>
    <t>https://diadoc.kontur.ru/143bcbfb-a011-4791-9316-981158fa5552/Document/Show?letterId=16f8b829-ad8b-47ce-baea-af58bd51ffd3&amp;documentId=06560331-2780-45d3-848b-fffb3b9ade68</t>
  </si>
  <si>
    <t>https://diadoc.kontur.ru/143bcbfb-a011-4791-9316-981158fa5552/Document/Show?letterId=77bcab81-8dbc-40a5-9426-139d89021392&amp;documentId=b2d467cf-0bb8-4a82-8b57-efde35e46a08</t>
  </si>
  <si>
    <t>план</t>
  </si>
  <si>
    <t>https://diadoc.kontur.ru/143bcbfb-a011-4791-9316-981158fa5552/Document/Show?letterId=dd2864e7-4846-4f21-ae18-96b5a847d062&amp;documentId=15f0b90b-b3a5-4203-adc8-69be8c1ad44e</t>
  </si>
  <si>
    <t>https://diadoc.kontur.ru/143bcbfb-a011-4791-9316-981158fa5552/Document/Show?letterId=621b1889-47c4-4b58-9eb3-c1f0eb4164fd&amp;documentId=4475674f-2bf7-4c27-aa22-446b346dba2e</t>
  </si>
  <si>
    <t>https://diadoc.kontur.ru/143bcbfb-a011-4791-9316-981158fa5552/Document/Show?letterId=c6143c3d-a3ee-4201-9960-7cfbf887da9b&amp;documentId=98015da2-d27a-4175-8a43-46fb1658a852</t>
  </si>
  <si>
    <t>https://diadoc.kontur.ru/143bcbfb-a011-4791-9316-981158fa5552/Document/Show?letterId=9546b3c1-318d-4910-9518-264fc1658f12&amp;documentId=8d12483d-be65-4533-9737-bdb26b2cf3e9</t>
  </si>
  <si>
    <t>https://diadoc.kontur.ru/143bcbfb-a011-4791-9316-981158fa5552/Document/Show?letterId=a4c734ed-8c9d-4e32-af7c-373c63cc3c9c&amp;documentId=b48e45c7-0b4f-432f-bff0-0849815866b3</t>
  </si>
  <si>
    <t>https://diadoc.kontur.ru/143bcbfb-a011-4791-9316-981158fa5552/Document/Show?letterId=012f9b88-20c5-4043-a3a6-e55543cf4764&amp;documentId=82a11ec7-8fd4-4203-8361-f9d0bee5af7c</t>
  </si>
  <si>
    <t>https://diadoc.kontur.ru/143bcbfb-a011-4791-9316-981158fa5552/Document/Show?letterId=e5c6115d-7dfc-4f08-8687-567f7ff99e59&amp;documentId=877d5ac6-5f37-4b75-a48b-93aaad0a5d66</t>
  </si>
  <si>
    <t>https://diadoc.kontur.ru/143bcbfb-a011-4791-9316-981158fa5552/Document/Show?letterId=c7d3cc59-3d6e-432c-92ab-9615d3c28eeb&amp;documentId=fe9b5983-5512-4941-95b6-de2cadaf2331</t>
  </si>
  <si>
    <t>https://diadoc.kontur.ru/143bcbfb-a011-4791-9316-981158fa5552/Document/Show?letterId=f8c54795-cd96-4ad6-a7bb-7c383b7f9ca4&amp;documentId=acc9ca41-e1ef-452e-ab63-2c74f58ed994</t>
  </si>
  <si>
    <t>https://diadoc.kontur.ru/143bcbfb-a011-4791-9316-981158fa5552/Document/Show?letterId=61574900-a784-4a9b-8e30-7fd450e598e7&amp;documentId=42ec49ea-592a-4d11-8069-99d04c36b4a0</t>
  </si>
  <si>
    <t>https://diadoc.kontur.ru/143bcbfb-a011-4791-9316-981158fa5552/Document/Show?letterId=e24340b3-6edd-429e-9edb-f9362117ce24&amp;documentId=ffb0dc67-bb0e-4163-83a1-6c68b58ec2cf</t>
  </si>
  <si>
    <t>https://diadoc.kontur.ru/143bcbfb-a011-4791-9316-981158fa5552/Document/Show?letterId=f0063dbf-d9e3-4693-8cda-863a0dfbb688&amp;documentId=7d90346c-d8dc-49e3-b58f-1c1549741a13</t>
  </si>
  <si>
    <t>https://diadoc.kontur.ru/143bcbfb-a011-4791-9316-981158fa5552/Document/Show?letterId=059df006-4e9e-4dba-9cbc-d33173355cb1&amp;documentId=5113825b-9a7f-4f34-843a-ed84b8373dc6</t>
  </si>
  <si>
    <t>https://diadoc.kontur.ru/143bcbfb-a011-4791-9316-981158fa5552/Document/Show?letterId=0efa181f-58d6-4cf3-aa5d-441072319aa5&amp;documentId=64a9c66c-0ea2-4723-a2ad-06de138923b5</t>
  </si>
  <si>
    <t>https://diadoc.kontur.ru/143bcbfb-a011-4791-9316-981158fa5552/Document/Show?letterId=e0e5dcb7-8239-45b8-9ec8-b61ac3ec9bdf&amp;documentId=ab8bb09a-d9cb-43a6-8945-25a7780073b6</t>
  </si>
  <si>
    <t>https://diadoc.kontur.ru/143bcbfb-a011-4791-9316-981158fa5552/Document/Show?letterId=d552d6ff-4f85-4683-a7bc-a536594280a0&amp;documentId=fc65e6ef-9b0b-43a6-873f-e2b121d4161f</t>
  </si>
  <si>
    <t>https://diadoc.kontur.ru/143bcbfb-a011-4791-9316-981158fa5552/Document/Show?letterId=e77e3966-232d-479d-9d43-a8c12f994134&amp;documentId=f388a60f-55c8-44bf-b246-01de8ab4faec</t>
  </si>
  <si>
    <t>https://diadoc.kontur.ru/143bcbfb-a011-4791-9316-981158fa5552/Document/Show?letterId=645a8528-9315-4b11-8943-2978197d4448&amp;documentId=542c5cf8-e8a4-44f2-83c8-ba8953e02417</t>
  </si>
  <si>
    <t>https://diadoc.kontur.ru/143bcbfb-a011-4791-9316-981158fa5552/Document/Show?letterId=a6a7e649-ecc9-41ef-94c6-1d952efab1b7&amp;documentId=0d9e43a4-b9e4-436c-a723-eea2184dab37</t>
  </si>
  <si>
    <t>https://diadoc.kontur.ru/143bcbfb-a011-4791-9316-981158fa5552/Document/Show?letterId=765e61f2-9272-419d-96e9-83267cbb7e21&amp;documentId=6083f87b-8c41-40f0-9146-fbccde4e710e</t>
  </si>
  <si>
    <t>https://diadoc.kontur.ru/143bcbfb-a011-4791-9316-981158fa5552/Document/Show?letterId=1b48e064-9515-4c91-9863-4bba4a8abdf4&amp;documentId=6bc10b50-55fa-43bd-ab4d-96382712c340</t>
  </si>
  <si>
    <t>https://diadoc.kontur.ru/143bcbfb-a011-4791-9316-981158fa5552/Document/Show?letterId=e67afb5a-353a-476d-a8af-c4da25748e5f&amp;documentId=b8a52f7b-45b8-44c6-b6d9-38e1daf4e445</t>
  </si>
  <si>
    <t>https://diadoc.kontur.ru/143bcbfb-a011-4791-9316-981158fa5552/Document/Show?letterId=3ce6c9b0-26da-42b7-847e-af79bc91c80f&amp;documentId=d49c96b3-8099-488a-bc93-d54ff534d66c</t>
  </si>
  <si>
    <t>https://diadoc.kontur.ru/143bcbfb-a011-4791-9316-981158fa5552/Document/Show?letterId=1cc3f4a9-6385-4dec-8c52-412192aeff3f&amp;documentId=04258556-9dab-4caf-a748-5281629398dc</t>
  </si>
  <si>
    <t>https://diadoc.kontur.ru/143bcbfb-a011-4791-9316-981158fa5552/Document/Show?letterId=7883e8d4-ba8e-425a-9a7a-cb423e52ea2c&amp;documentId=fe16a98a-f042-4bf2-acc7-7f4200dbdc2a</t>
  </si>
  <si>
    <t>https://diadoc.kontur.ru/143bcbfb-a011-4791-9316-981158fa5552/Document/Show?letterId=ede9debb-c5bf-4059-8c5f-557e13c886b2&amp;documentId=192f6b20-2148-4e87-bfee-7e895034cc33</t>
  </si>
  <si>
    <t>https://diadoc.kontur.ru/143bcbfb-a011-4791-9316-981158fa5552/Document/Show?letterId=0d1e6074-107a-4682-92a8-c221ac31a989&amp;documentId=610edafc-2f84-4938-8cc3-0c1ddb32cae7</t>
  </si>
  <si>
    <t>ПОЛЬЗА.РУ ООО</t>
  </si>
  <si>
    <t>скан на телефоне</t>
  </si>
  <si>
    <t>https://diadoc.kontur.ru/143bcbfb-a011-4791-9316-981158fa5552/Document/Show?letterId=187594bc-1b6d-4ec8-af86-6ff03cc2452d&amp;documentId=4cfffafa-215b-4190-931a-1dbef978825f</t>
  </si>
  <si>
    <t>https://diadoc.kontur.ru/143bcbfb-a011-4791-9316-981158fa5552/Document/Show?letterId=83ccaece-6a7d-47ed-8f74-6741096a4a16&amp;documentId=f848bae6-055c-45da-aaa2-3632f50ad8b2</t>
  </si>
  <si>
    <t>https://diadoc.kontur.ru/143bcbfb-a011-4791-9316-981158fa5552/Document/Show?letterId=1ae0d383-0eb1-44f7-a339-257595a0f683&amp;documentId=15a4ca90-67cf-4271-8874-35b9804e94d3</t>
  </si>
  <si>
    <t>https://diadoc.kontur.ru/143bcbfb-a011-4791-9316-981158fa5552/Document/Show?letterId=f0e3540a-27e9-49e6-bee7-5ee96db843d0&amp;documentId=d7720a5d-b175-43b7-9b8a-9e9bf9bd3c74</t>
  </si>
  <si>
    <t>Медиа Платформа ООО</t>
  </si>
  <si>
    <t>https://diadoc.kontur.ru/143bcbfb-a011-4791-9316-981158fa5552/Document/Show?letterId=a4851260-c2ed-4f72-ba22-bc1e89ffd649&amp;documentId=7628f2d3-573b-49ed-bf24-b69e56a60e2d</t>
  </si>
  <si>
    <t>прил 48</t>
  </si>
  <si>
    <t>заявка 3</t>
  </si>
  <si>
    <t>заявка 2</t>
  </si>
  <si>
    <t>прил 59</t>
  </si>
  <si>
    <t>ГРУПФОРМЕДИА ООО</t>
  </si>
  <si>
    <t>прил 60</t>
  </si>
  <si>
    <t>прил 61</t>
  </si>
  <si>
    <t>прил 53</t>
  </si>
  <si>
    <t>прил 54</t>
  </si>
  <si>
    <t>прил 55</t>
  </si>
  <si>
    <t>прил 58</t>
  </si>
  <si>
    <t>прил 57</t>
  </si>
  <si>
    <t>прил 62</t>
  </si>
  <si>
    <t>https://diadoc.kontur.ru/143bcbfb-a011-4791-9316-981158fa5552/Document/Show?letterId=f5ff46af-b8f1-48a2-a8d1-84e2bec82c5f&amp;documentId=8c07ba04-7099-495b-993d-a6c9af17d2b0</t>
  </si>
  <si>
    <t>https://diadoc.kontur.ru/143bcbfb-a011-4791-9316-981158fa5552/Document/Show?letterId=3aec0bf9-c689-4a6a-b6d8-1675cb55b9d7&amp;documentId=8d65c22f-a5e1-4c62-9b4c-65729a38495f</t>
  </si>
  <si>
    <t>https://diadoc.kontur.ru/143bcbfb-a011-4791-9316-981158fa5552/Document/Show?letterId=52a525f0-9969-46d7-aca4-6dc67dad8814&amp;documentId=448447cd-617f-4e1f-8eba-77c221e125df</t>
  </si>
  <si>
    <t>https://diadoc.kontur.ru/143bcbfb-a011-4791-9316-981158fa5552/Document/Show?letterId=295e5d51-9da5-40a7-b931-1e9419bc48ac&amp;documentId=b37643b4-02d6-4979-86a5-f38b0afc6c35</t>
  </si>
  <si>
    <t>https://diadoc.kontur.ru/143bcbfb-a011-4791-9316-981158fa5552/Document/Show?letterId=823dfe3e-5293-410b-b71e-584c0b364328&amp;documentId=4f45020b-d13f-4c0c-86fb-f677b2315080</t>
  </si>
  <si>
    <t>https://diadoc.kontur.ru/143bcbfb-a011-4791-9316-981158fa5552/Document/Show?letterId=c7ca688e-eef4-4c88-bf11-9a66f2435d1a&amp;documentId=fb5d4ab2-a2bf-446b-a9b2-97666e85be1a</t>
  </si>
  <si>
    <t>https://diadoc.kontur.ru/143bcbfb-a011-4791-9316-981158fa5552/Document/Show?letterId=3dc44a38-548a-41fb-9d77-15c7a6cb1026&amp;documentId=94beae58-8407-4b91-af83-e9b947eba9df</t>
  </si>
  <si>
    <t>https://diadoc.kontur.ru/143bcbfb-a011-4791-9316-981158fa5552/Document/Show?letterId=ff4dd3ab-3d87-4a25-a936-a7647a5224e3&amp;documentId=725fad13-7064-4833-88b1-1e56ff3beacc</t>
  </si>
  <si>
    <t>https://diadoc.kontur.ru/143bcbfb-a011-4791-9316-981158fa5552/Document/Show?letterId=101a8092-fb55-4197-b5d9-9e7e6b10c722&amp;documentId=99ba59b3-edae-4ff8-ba93-4bef2588d6b0</t>
  </si>
  <si>
    <t>https://diadoc.kontur.ru/143bcbfb-a011-4791-9316-981158fa5552/Document/Show?letterId=fea58452-55ed-47c9-9950-94e287bbabb8&amp;documentId=9923ca09-de26-48bf-bfa3-a40dba3343f0</t>
  </si>
  <si>
    <t>https://diadoc.kontur.ru/143bcbfb-a011-4791-9316-981158fa5552/Document/Show?letterId=1cb8bbf5-e751-4d58-b435-fb3391f191f7&amp;documentId=8e224695-48f6-4ec2-a5be-920df882d63b</t>
  </si>
  <si>
    <t>https://diadoc.kontur.ru/143bcbfb-a011-4791-9316-981158fa5552/Document/Show?letterId=2e6dc395-6472-4d45-b03d-c03a4b982d00&amp;documentId=79485ede-de58-4534-bcf9-b9b0e4c300f1</t>
  </si>
  <si>
    <t>https://diadoc.kontur.ru/143bcbfb-a011-4791-9316-981158fa5552/Document/Show?letterId=d55b4c4e-2c2e-4a1f-9d7b-28af32c33cb2&amp;documentId=fdae5776-a7ac-4896-af2e-4146411cdcee</t>
  </si>
  <si>
    <t>https://diadoc.kontur.ru/143bcbfb-a011-4791-9316-981158fa5552/Document/Show?letterId=39a60b6b-a7b5-4c68-b92c-f097396ef9f9&amp;documentId=256678d7-5183-454e-bde7-197cc47bfd65</t>
  </si>
  <si>
    <t>https://diadoc.kontur.ru/143bcbfb-a011-4791-9316-981158fa5552/Document/Show?letterId=edc88a6e-1da3-4f64-9116-4695a6878f74&amp;documentId=725d5f33-19e9-4029-a286-baeca38740c4</t>
  </si>
  <si>
    <t>https://diadoc.kontur.ru/143bcbfb-a011-4791-9316-981158fa5552/Document/Show?letterId=66462f78-0cbf-448d-8eba-9725a8e5f8ea&amp;documentId=57eaf20a-4ef0-42bc-9eb9-be03b89ce11e</t>
  </si>
  <si>
    <t>https://diadoc.kontur.ru/143bcbfb-a011-4791-9316-981158fa5552/Document/Show?letterId=eedbf2ce-1aea-4acc-b545-8e45600083fe&amp;documentId=8fe1a89b-e9fa-4989-a08f-cb680969a805</t>
  </si>
  <si>
    <t>https://diadoc.kontur.ru/143bcbfb-a011-4791-9316-981158fa5552/Document/Show?letterId=fa78d78b-01b8-4f27-a131-78ab3ad6a019&amp;documentId=810b09cc-c244-4489-aecc-daca78aebfd7</t>
  </si>
  <si>
    <t>СТРАТЕГИЯ ФАРМА ООО</t>
  </si>
  <si>
    <t>https://diadoc.kontur.ru/143bcbfb-a011-4791-9316-981158fa5552/Document/Show?letterId=55569e60-45ec-4483-b608-2287933f3f8d&amp;documentId=af3e5f0f-35ac-4d8b-aa0b-5f71f4f397ba</t>
  </si>
  <si>
    <t>РАСХОДЫ</t>
  </si>
  <si>
    <t>Дельта</t>
  </si>
  <si>
    <t>2026 год</t>
  </si>
  <si>
    <t>ИЮЛЬ 2026</t>
  </si>
  <si>
    <t>АВГУСТ 2026</t>
  </si>
  <si>
    <t>СЕНТЯБРЬ 2026</t>
  </si>
  <si>
    <t>3 квартал 2026</t>
  </si>
  <si>
    <t>Октябрь 2026</t>
  </si>
  <si>
    <t>НОЯБРЬ 2026</t>
  </si>
  <si>
    <t>ДЕКАБРЬ 2026</t>
  </si>
  <si>
    <t>4 квартал 2026</t>
  </si>
  <si>
    <t>СОТРУДНИКИ</t>
  </si>
  <si>
    <t>ПЛОЩАДКИ</t>
  </si>
  <si>
    <t>ПРОЕКТНЫЕ РАСХОДЫ</t>
  </si>
  <si>
    <t>РАЗРАБОТКА и IT</t>
  </si>
  <si>
    <t>2025 год</t>
  </si>
  <si>
    <t>Октябрь 2025</t>
  </si>
  <si>
    <t xml:space="preserve">средние показатели 2026 </t>
  </si>
  <si>
    <t>ОКТЯБРЬ 2026</t>
  </si>
  <si>
    <t>ИТОГО</t>
  </si>
  <si>
    <t>ПЛАН ФАРМА</t>
  </si>
  <si>
    <t>ЗАКУПКА</t>
  </si>
  <si>
    <t xml:space="preserve">СК </t>
  </si>
  <si>
    <t>Налоги</t>
  </si>
  <si>
    <t>Бонусы</t>
  </si>
  <si>
    <t xml:space="preserve">Промежуточная </t>
  </si>
  <si>
    <t>Маржа</t>
  </si>
  <si>
    <t>статичные расходы</t>
  </si>
  <si>
    <t>ФОТ с налогами</t>
  </si>
  <si>
    <t>Разработка</t>
  </si>
  <si>
    <t>Офис</t>
  </si>
  <si>
    <t>на балансе</t>
  </si>
  <si>
    <t>к оплатам</t>
  </si>
  <si>
    <t>обязательные платежи</t>
  </si>
  <si>
    <t>площадки</t>
  </si>
  <si>
    <t>ск 4 кв</t>
  </si>
  <si>
    <t>бонусы</t>
  </si>
  <si>
    <t>налог на рекламу</t>
  </si>
  <si>
    <t>необходимые платежи</t>
  </si>
  <si>
    <t>пугачев</t>
  </si>
  <si>
    <t>юматов</t>
  </si>
  <si>
    <t>снайпера</t>
  </si>
  <si>
    <t>остаточные</t>
  </si>
  <si>
    <t>СF</t>
  </si>
  <si>
    <t>Реализация</t>
  </si>
  <si>
    <t>Расходы</t>
  </si>
  <si>
    <t>поступлени - расходы</t>
  </si>
  <si>
    <t>реализация - расходы</t>
  </si>
  <si>
    <t>2023 - 2024</t>
  </si>
  <si>
    <t>июль</t>
  </si>
  <si>
    <t>август</t>
  </si>
  <si>
    <t>сентябрь</t>
  </si>
  <si>
    <t>октябрь</t>
  </si>
  <si>
    <t>декабрь</t>
  </si>
  <si>
    <t>январь</t>
  </si>
  <si>
    <t>февраль</t>
  </si>
  <si>
    <t>март</t>
  </si>
  <si>
    <t>апрель</t>
  </si>
  <si>
    <t>май</t>
  </si>
  <si>
    <t>ИТОГ НАКОПИТЕЛЬНЫЙ</t>
  </si>
  <si>
    <t>Продукты реализация (с ндс)</t>
  </si>
  <si>
    <t>DSP</t>
  </si>
  <si>
    <t>Динамический ремаркетинг (агентские)</t>
  </si>
  <si>
    <t>Динамический ремаркетинг (прямые клиенты</t>
  </si>
  <si>
    <t>Фарм продукт (агентские)</t>
  </si>
  <si>
    <t>Фарм продукт (прямые)</t>
  </si>
  <si>
    <t>Фарм сделки (ДПД)</t>
  </si>
  <si>
    <t>бинофарм РОССТ</t>
  </si>
  <si>
    <t>бинофарм СТРАЛИНК</t>
  </si>
  <si>
    <t>Индор</t>
  </si>
  <si>
    <t>Транзит ригла</t>
  </si>
  <si>
    <t>бустер</t>
  </si>
  <si>
    <t>Маржа грязь</t>
  </si>
  <si>
    <t>Продукты себестоимость (с ндс)</t>
  </si>
  <si>
    <t>Динамический ремаркетинг</t>
  </si>
  <si>
    <t>Фарм продукт (аптеки база)</t>
  </si>
  <si>
    <t>Фонд оплаты труда</t>
  </si>
  <si>
    <t>Генеральный директор</t>
  </si>
  <si>
    <t>Коммерческий директор</t>
  </si>
  <si>
    <t>Операционный директор</t>
  </si>
  <si>
    <t>Рук группы аккаунтов</t>
  </si>
  <si>
    <t>Аккаунт</t>
  </si>
  <si>
    <t>Аккаунт ДПД</t>
  </si>
  <si>
    <t>Аккаунт ИРИС</t>
  </si>
  <si>
    <t>Директор по продажам</t>
  </si>
  <si>
    <t>Директор по работе с КК</t>
  </si>
  <si>
    <t>Продавец</t>
  </si>
  <si>
    <t>Рук группы медиа</t>
  </si>
  <si>
    <t>Траффик менеджер</t>
  </si>
  <si>
    <t>Бухгалтер</t>
  </si>
  <si>
    <t>Юрист</t>
  </si>
  <si>
    <t>Бонусный фонд</t>
  </si>
  <si>
    <t>Прочие расходы</t>
  </si>
  <si>
    <t>Представительские расходы</t>
  </si>
  <si>
    <t>Подарки</t>
  </si>
  <si>
    <t>Рабочее место</t>
  </si>
  <si>
    <t>Аренда офиса</t>
  </si>
  <si>
    <t>Офисные расходы</t>
  </si>
  <si>
    <t>Лев (долг)</t>
  </si>
  <si>
    <t>Накладные юр лицо</t>
  </si>
  <si>
    <t>Прогноз прибыли (от продаж)</t>
  </si>
  <si>
    <t>Налоги на ФОТ</t>
  </si>
  <si>
    <t>Налог на прибыль</t>
  </si>
  <si>
    <t>Состав средств</t>
  </si>
  <si>
    <t xml:space="preserve">Себестоимость </t>
  </si>
  <si>
    <t>Доля фот к реализации (с налогами)</t>
  </si>
  <si>
    <t>Доля прочих расходов к реализации</t>
  </si>
  <si>
    <t>Налоговая нагрузка (+фот)</t>
  </si>
  <si>
    <t>Доля прибыли</t>
  </si>
  <si>
    <t>Выход в Дивы</t>
  </si>
  <si>
    <t xml:space="preserve">Маржа </t>
  </si>
  <si>
    <t>Фарм продукт (сделки)</t>
  </si>
  <si>
    <t>Аккаунт директор</t>
  </si>
  <si>
    <t>Аккаунт менеджер</t>
  </si>
  <si>
    <t>СММ</t>
  </si>
  <si>
    <t>Прочие расходы без ндс</t>
  </si>
  <si>
    <t>Прочие расходы с ндс</t>
  </si>
  <si>
    <t>расходы кеш (цена с ндс)</t>
  </si>
  <si>
    <t>кеш зп</t>
  </si>
  <si>
    <t>ремонт офиса</t>
  </si>
  <si>
    <t>август 2025</t>
  </si>
  <si>
    <t>Должность</t>
  </si>
  <si>
    <t>ФИО</t>
  </si>
  <si>
    <t>ОКЛАД полный</t>
  </si>
  <si>
    <t>Оклад ОФ</t>
  </si>
  <si>
    <t>Аванс</t>
  </si>
  <si>
    <t>Выплата</t>
  </si>
  <si>
    <t>Премия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</si>
  <si>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</si>
  <si>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</si>
  <si>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</si>
  <si>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</si>
  <si>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</si>
  <si>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</si>
  <si>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</si>
  <si>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</si>
  <si>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</si>
  <si>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</si>
  <si>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</si>
  <si>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</si>
  <si>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</si>
  <si>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</si>
  <si>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</si>
  <si>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</si>
  <si>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</si>
  <si>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К выплате</t>
  </si>
  <si>
    <t>Итого</t>
  </si>
  <si>
    <t>Дмитрий Бельченко</t>
  </si>
  <si>
    <t>Руководитель баинга</t>
  </si>
  <si>
    <t>Александр Страхов</t>
  </si>
  <si>
    <t>Смирнова Жанна</t>
  </si>
  <si>
    <t>Денис Макаров</t>
  </si>
  <si>
    <t>Мария Осадчук</t>
  </si>
  <si>
    <t>Надежда Шальнева</t>
  </si>
  <si>
    <t>Дарья Гресева</t>
  </si>
  <si>
    <t>Директор по  продажам</t>
  </si>
  <si>
    <t>Андрей Мошков</t>
  </si>
  <si>
    <t>Аналитик</t>
  </si>
  <si>
    <t>ДПД Девочка</t>
  </si>
  <si>
    <t>Аккаутн менеджер</t>
  </si>
  <si>
    <t>Монич Валерия</t>
  </si>
  <si>
    <t>SMM</t>
  </si>
  <si>
    <t>Оксана Иванова</t>
  </si>
  <si>
    <t>аккаунт ИРИС</t>
  </si>
  <si>
    <t>Патрисия Свиридова</t>
  </si>
  <si>
    <t>Помощник аккаунта</t>
  </si>
  <si>
    <t>Юлия Кирдяпкина</t>
  </si>
  <si>
    <t>Руководитель продаж</t>
  </si>
  <si>
    <t>Галактионов Денис</t>
  </si>
  <si>
    <t>Менеджер по продажам</t>
  </si>
  <si>
    <t>Владимир Маруев</t>
  </si>
  <si>
    <t>Директор по продукту</t>
  </si>
  <si>
    <t>Никита Труфанов</t>
  </si>
  <si>
    <t>Алексей Кисляков</t>
  </si>
  <si>
    <t>Исполнительный директор</t>
  </si>
  <si>
    <t>Панасюк Анастасия</t>
  </si>
  <si>
    <t>Менеджер партнерской сети</t>
  </si>
  <si>
    <t>Фесенко Вероника</t>
  </si>
  <si>
    <t xml:space="preserve">Младший аккаунт менеджер </t>
  </si>
  <si>
    <t>Жукова Ксения</t>
  </si>
  <si>
    <t>Элеанора Кирилюк</t>
  </si>
  <si>
    <t>Вадим Акимов</t>
  </si>
  <si>
    <t>Андрей Романович</t>
  </si>
  <si>
    <t>Екатерина Кан</t>
  </si>
  <si>
    <t>Александр Андриянов</t>
  </si>
  <si>
    <t>Ярослав Новиков</t>
  </si>
  <si>
    <t>За какой месяц</t>
  </si>
  <si>
    <t>Сумма</t>
  </si>
  <si>
    <t>Формат</t>
  </si>
  <si>
    <t>Комментарии</t>
  </si>
  <si>
    <t>Оклад Доплата</t>
  </si>
  <si>
    <t>Переплата за март</t>
  </si>
  <si>
    <t>Переплата за март. НА</t>
  </si>
  <si>
    <t>Переплата за март. АВ</t>
  </si>
  <si>
    <t>Оклад Аванс</t>
  </si>
  <si>
    <t>НА</t>
  </si>
  <si>
    <t>АВ</t>
  </si>
  <si>
    <t>Остаток квартирник</t>
  </si>
  <si>
    <t>Бонус</t>
  </si>
  <si>
    <t>оплата доли</t>
  </si>
  <si>
    <t>3 квартал</t>
  </si>
  <si>
    <t>годовой</t>
  </si>
  <si>
    <t>остаток с 500</t>
  </si>
  <si>
    <t xml:space="preserve">июнь </t>
  </si>
  <si>
    <t>Total 2024</t>
  </si>
  <si>
    <t>CEO</t>
  </si>
  <si>
    <t>Макаров Денис</t>
  </si>
  <si>
    <t>accountant</t>
  </si>
  <si>
    <t>Жанна</t>
  </si>
  <si>
    <t>Chief accountant</t>
  </si>
  <si>
    <t>Премии Аккаунты</t>
  </si>
  <si>
    <t>COO</t>
  </si>
  <si>
    <t>CCO</t>
  </si>
  <si>
    <t>Бельченко Дмитрий</t>
  </si>
  <si>
    <t>CPO</t>
  </si>
  <si>
    <t>Sales-manager</t>
  </si>
  <si>
    <t>Романович Андрей</t>
  </si>
  <si>
    <t>Sales-manager Bonus</t>
  </si>
  <si>
    <t xml:space="preserve">trafic </t>
  </si>
  <si>
    <t>Саша Страхов</t>
  </si>
  <si>
    <t>PR partner (1/2)</t>
  </si>
  <si>
    <t>Lawyer</t>
  </si>
  <si>
    <t>Document manager</t>
  </si>
  <si>
    <t>Проуктолог DSP</t>
  </si>
  <si>
    <t>Проуктолог перфом</t>
  </si>
  <si>
    <t>Проуктолог фарма</t>
  </si>
  <si>
    <t>Проуктолог ТВ</t>
  </si>
  <si>
    <t>бухгалтерия</t>
  </si>
  <si>
    <t>презентации</t>
  </si>
  <si>
    <t>Сумма ФОТ на руки</t>
  </si>
  <si>
    <t>Tax</t>
  </si>
  <si>
    <t>Total costs</t>
  </si>
  <si>
    <t>кредит</t>
  </si>
  <si>
    <t>Дебет БН</t>
  </si>
  <si>
    <t>Кредит БН</t>
  </si>
  <si>
    <t>Кредит</t>
  </si>
  <si>
    <t>Дебет</t>
  </si>
  <si>
    <t>оплачено</t>
  </si>
  <si>
    <t>Налоги Ндс</t>
  </si>
  <si>
    <t>Налоги Прибыль</t>
  </si>
  <si>
    <t>налоги 23</t>
  </si>
  <si>
    <t>ООО МЕДИАСКАУТ</t>
  </si>
  <si>
    <t>РОССТ</t>
  </si>
  <si>
    <t>февраль март</t>
  </si>
  <si>
    <t>1С Битрикс</t>
  </si>
  <si>
    <t>ООО МедиаСкаут</t>
  </si>
  <si>
    <t>СК 1 квартал</t>
  </si>
  <si>
    <t>ООО ОМД НОВУС</t>
  </si>
  <si>
    <t>ООО МАЙ ПЕРФОМАНС ЭЙДЖЕНСИ</t>
  </si>
  <si>
    <t>разработка</t>
  </si>
  <si>
    <t>ск 1 2 кв</t>
  </si>
  <si>
    <t>ООО Агентство САПЕ</t>
  </si>
  <si>
    <t>ИП Пугачев ДД</t>
  </si>
  <si>
    <t>ghjxtt</t>
  </si>
  <si>
    <t>баннеры окт</t>
  </si>
  <si>
    <t>ООО ХЕАЛС МЕДИА</t>
  </si>
  <si>
    <t>подрядчики</t>
  </si>
  <si>
    <t>Долги</t>
  </si>
  <si>
    <t>дивиденты</t>
  </si>
  <si>
    <t>мероприятия</t>
  </si>
  <si>
    <t>ООО ФЬЮЧЕ ЛАБ</t>
  </si>
  <si>
    <t>ООО УК НЕКТАРИН</t>
  </si>
  <si>
    <t>ООО Ай-Гуру</t>
  </si>
  <si>
    <t>ООО Уайт бокс медиа</t>
  </si>
  <si>
    <t>ООО 9 ЯРДОВ</t>
  </si>
  <si>
    <t>паблишер</t>
  </si>
  <si>
    <t>ООО Медиаскаут</t>
  </si>
  <si>
    <t>9 Ярдов ООО</t>
  </si>
  <si>
    <t>ООО Фьюче ЛАб</t>
  </si>
  <si>
    <t>ООО Мегабайт</t>
  </si>
  <si>
    <t>ООО Р-Конф</t>
  </si>
  <si>
    <t>ДПД Медиа ООО</t>
  </si>
  <si>
    <t>ООО Яндекс</t>
  </si>
  <si>
    <t>Подписки</t>
  </si>
  <si>
    <t>банк</t>
  </si>
  <si>
    <t>план оплат</t>
  </si>
  <si>
    <t>ООО КМБ (кванза медиа баинг)</t>
  </si>
  <si>
    <t>План поступлений</t>
  </si>
  <si>
    <t>годовое закрытие</t>
  </si>
  <si>
    <t>Адлабс.ру ООО</t>
  </si>
  <si>
    <t>https://diadoc.kontur.ru/143bcbfb-a011-4791-9316-981158fa5552/Document/Show?letterId=dafe52e4-1567-4340-9ce4-b299d11bfdb2&amp;documentId=c81320ef-1d10-4453-937f-848a6f029f9b</t>
  </si>
  <si>
    <t>прогноз</t>
  </si>
  <si>
    <t>пени</t>
  </si>
  <si>
    <t>518850.30</t>
  </si>
  <si>
    <t>доп 51</t>
  </si>
  <si>
    <t>Семеная аптека АПРЕЛЬ ООО</t>
  </si>
  <si>
    <t>Штатные сотрудники</t>
  </si>
  <si>
    <t>на 01.01.2026</t>
  </si>
  <si>
    <t>Отбор:</t>
  </si>
  <si>
    <t>Организация Равно "ПРОГРАММАТИК МЕДИА ООО" И
 Работающие сотрудники</t>
  </si>
  <si>
    <t>ПРОГРАММАТИК МЕДИА ООО</t>
  </si>
  <si>
    <t>Подразделение</t>
  </si>
  <si>
    <t>Сотрудник</t>
  </si>
  <si>
    <t>Табельный номер</t>
  </si>
  <si>
    <t>Тарифная ставка</t>
  </si>
  <si>
    <t>Дата приема</t>
  </si>
  <si>
    <t>дни неотгулянного отпуска</t>
  </si>
  <si>
    <t>ЗП на руки</t>
  </si>
  <si>
    <t>Основное подразделение</t>
  </si>
  <si>
    <t>Бельченко Дмитрий Николаевич</t>
  </si>
  <si>
    <t>344 900</t>
  </si>
  <si>
    <t>300 063,00 ₽</t>
  </si>
  <si>
    <t>Бельченко Надежда Александровна</t>
  </si>
  <si>
    <t>92 000</t>
  </si>
  <si>
    <t>80 040,00 ₽</t>
  </si>
  <si>
    <t>Галактионов Денис Владимирович</t>
  </si>
  <si>
    <t>Руководитель отдела продаж</t>
  </si>
  <si>
    <t>310 345</t>
  </si>
  <si>
    <t>270 000,15 ₽</t>
  </si>
  <si>
    <t>Гресева Дарья Романовна</t>
  </si>
  <si>
    <t>138 000</t>
  </si>
  <si>
    <t>120 060,00 ₽</t>
  </si>
  <si>
    <t>Жукова Ксения Анатольевна</t>
  </si>
  <si>
    <t>Младший аккаунт менеджер</t>
  </si>
  <si>
    <t>97 702</t>
  </si>
  <si>
    <t>85 000,74 ₽</t>
  </si>
  <si>
    <t>Кисляков Алексей Алексеевич</t>
  </si>
  <si>
    <t>155 200</t>
  </si>
  <si>
    <t>135 024,00 ₽</t>
  </si>
  <si>
    <t>Макаров Денис Сергеевич</t>
  </si>
  <si>
    <t>252 900</t>
  </si>
  <si>
    <t>220 023,00 ₽</t>
  </si>
  <si>
    <t>Маруев Владимир Николаевич</t>
  </si>
  <si>
    <t>Менеджер отдела продаж</t>
  </si>
  <si>
    <t>172 500</t>
  </si>
  <si>
    <t>150 075,00 ₽</t>
  </si>
  <si>
    <t>Монич Валерия Руслановна</t>
  </si>
  <si>
    <t>103 500</t>
  </si>
  <si>
    <t>90 045,00 ₽</t>
  </si>
  <si>
    <t>Мошков Андрей Александрович</t>
  </si>
  <si>
    <t>Осадчук Мария Алексеевна</t>
  </si>
  <si>
    <t>114 943</t>
  </si>
  <si>
    <t>100 000,41 ₽</t>
  </si>
  <si>
    <t>Панасюк Анастасия Владимировна</t>
  </si>
  <si>
    <t>574 713</t>
  </si>
  <si>
    <t>500 000,31 ₽</t>
  </si>
  <si>
    <t>Свиридова Патрисия Артуровна</t>
  </si>
  <si>
    <t>46 050</t>
  </si>
  <si>
    <t>40 063,50 ₽</t>
  </si>
  <si>
    <t>Соловьева Жанна Евгеньевна</t>
  </si>
  <si>
    <t>Страхов Александр Александрович</t>
  </si>
  <si>
    <t>183 910</t>
  </si>
  <si>
    <t>160 001,70 ₽</t>
  </si>
  <si>
    <t>Труфанов Никита Сергеевич</t>
  </si>
  <si>
    <t>287 400</t>
  </si>
  <si>
    <t>250 038,00 ₽</t>
  </si>
  <si>
    <t>Фесенко Вероника Сергеевна</t>
  </si>
  <si>
    <t>206 897</t>
  </si>
  <si>
    <t>180 000,39 ₽</t>
  </si>
  <si>
    <t>Шальнев Александр Викторович</t>
  </si>
  <si>
    <t>264 368</t>
  </si>
  <si>
    <t>230 000,16 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</si>
</sst>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р.-419]#,##0.00"/>
    <numFmt numFmtId="165" formatCode="dd.MM.yyyy"/>
    <numFmt numFmtId="166" formatCode="dd.mm.yyyy"/>
    <numFmt numFmtId="167" formatCode="d.m.yyyy"/>
    <numFmt numFmtId="168" formatCode="[$р.-419]#,##0"/>
    <numFmt numFmtId="169" formatCode="_-* #,##0.00\ &quot;₽&quot;_-;\-* #,##0.00\ &quot;₽&quot;_-;_-* &quot;-&quot;??\ &quot;₽&quot;_-;_-@"/>
    <numFmt numFmtId="170" formatCode="0.00000"/>
    <numFmt numFmtId="171" formatCode="[$р.]#,##0.00"/>
  </numFmts>
  <fonts count="103">
    <font>
      <sz val="10.0"/>
      <color rgb="FF000000"/>
      <name val="Calibri"/>
      <scheme val="minor"/>
    </font>
    <font>
      <b/>
      <sz val="13.0"/>
      <color theme="1"/>
      <name val="Courier New"/>
    </font>
    <font>
      <b/>
      <sz val="11.0"/>
      <color theme="1"/>
      <name val="Courier New"/>
    </font>
    <font>
      <b/>
      <sz val="12.0"/>
      <color theme="1"/>
      <name val="Courier New"/>
    </font>
    <font>
      <b/>
      <sz val="16.0"/>
      <color rgb="FFFFFFFF"/>
      <name val="Courier New"/>
    </font>
    <font>
      <b/>
      <sz val="16.0"/>
      <color rgb="FF000000"/>
      <name val="Courier New"/>
    </font>
    <font>
      <b/>
      <sz val="13.0"/>
      <color rgb="FF000000"/>
      <name val="Courier New"/>
    </font>
    <font>
      <b/>
      <sz val="10.0"/>
      <color rgb="FF000000"/>
      <name val="Courier New"/>
    </font>
    <font>
      <b/>
      <sz val="10.0"/>
      <color theme="1"/>
      <name val="Courier New"/>
    </font>
    <font>
      <sz val="10.0"/>
      <color theme="1"/>
      <name val="Courier New"/>
    </font>
    <font/>
    <font>
      <b/>
      <sz val="9.0"/>
      <color theme="1"/>
      <name val="Courier New"/>
    </font>
    <font>
      <b/>
      <color theme="1"/>
      <name val="Courier New"/>
    </font>
    <font>
      <b/>
      <sz val="8.0"/>
      <color theme="1"/>
      <name val="Courier New"/>
    </font>
    <font>
      <b/>
      <color rgb="FF000000"/>
      <name val="Courier New"/>
    </font>
    <font>
      <b/>
      <sz val="11.0"/>
      <color rgb="FF000000"/>
      <name val="Courier New"/>
    </font>
    <font>
      <color theme="1"/>
      <name val="Calibri"/>
      <scheme val="minor"/>
    </font>
    <font>
      <color theme="1"/>
      <name val="Courier New"/>
    </font>
    <font>
      <b/>
      <sz val="11.0"/>
      <color rgb="FFFFFFFF"/>
      <name val="Courier New"/>
    </font>
    <font>
      <sz val="11.0"/>
      <color theme="1"/>
      <name val="Courier New"/>
    </font>
    <font>
      <b/>
      <sz val="11.0"/>
      <color rgb="FFFFC000"/>
      <name val="Courier New"/>
    </font>
    <font>
      <sz val="11.0"/>
      <color rgb="FFCC0000"/>
      <name val="Courier New"/>
    </font>
    <font>
      <sz val="10.0"/>
      <color rgb="FFCC0000"/>
      <name val="Courier New"/>
    </font>
    <font>
      <b/>
      <sz val="11.0"/>
      <color rgb="FFCC0000"/>
      <name val="Courier New"/>
    </font>
    <font>
      <b/>
      <sz val="11.0"/>
      <color theme="5"/>
      <name val="Courier New"/>
    </font>
    <font>
      <b/>
      <sz val="11.0"/>
      <color rgb="FFFF00FF"/>
      <name val="Courier New"/>
    </font>
    <font>
      <b/>
      <u/>
      <sz val="11.0"/>
      <color rgb="FF000000"/>
      <name val="Courier New"/>
    </font>
    <font>
      <b/>
      <sz val="11.0"/>
      <color rgb="FF00B0F0"/>
      <name val="Courier New"/>
    </font>
    <font>
      <b/>
      <sz val="11.0"/>
      <color rgb="FF030306"/>
      <name val="Courier New"/>
    </font>
    <font>
      <b/>
      <sz val="11.0"/>
      <color rgb="FFFF0000"/>
      <name val="Courier New"/>
    </font>
    <font>
      <b/>
      <u/>
      <sz val="11.0"/>
      <color rgb="FF0000FF"/>
      <name val="Courier New"/>
    </font>
    <font>
      <b/>
      <sz val="11.0"/>
      <color rgb="FF38761D"/>
      <name val="Courier New"/>
    </font>
    <font>
      <b/>
      <u/>
      <sz val="11.0"/>
      <color rgb="FF0563C1"/>
      <name val="Courier New"/>
    </font>
    <font>
      <b/>
      <sz val="11.0"/>
      <color rgb="FF0000FF"/>
      <name val="Courier New"/>
    </font>
    <font>
      <b/>
      <u/>
      <sz val="11.0"/>
      <color rgb="FF0000FF"/>
      <name val="Courier New"/>
    </font>
    <font>
      <b/>
      <u/>
      <sz val="11.0"/>
      <color rgb="FF434343"/>
      <name val="Courier New"/>
    </font>
    <font>
      <b/>
      <u/>
      <sz val="11.0"/>
      <color rgb="FF0000FF"/>
      <name val="Courier New"/>
    </font>
    <font>
      <b/>
      <sz val="11.0"/>
      <color rgb="FF434343"/>
      <name val="Courier New"/>
    </font>
    <font>
      <b/>
      <sz val="11.0"/>
      <color rgb="FFBFE0F6"/>
      <name val="Courier New"/>
    </font>
    <font>
      <b/>
      <sz val="11.0"/>
      <color rgb="FFB10202"/>
      <name val="Courier New"/>
    </font>
    <font>
      <b/>
      <sz val="12.0"/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sz val="10.0"/>
      <color rgb="FF000000"/>
      <name val="Courier New"/>
    </font>
    <font>
      <sz val="9.0"/>
      <color theme="1"/>
      <name val="Courier New"/>
    </font>
    <font>
      <sz val="9.0"/>
      <color rgb="FF000000"/>
      <name val="Courier New"/>
    </font>
    <font>
      <b/>
      <sz val="11.0"/>
      <color theme="1"/>
      <name val="Calibri"/>
    </font>
    <font>
      <b/>
      <sz val="14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i/>
      <sz val="11.0"/>
      <color rgb="FFFF0000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i/>
      <sz val="12.0"/>
      <color theme="1"/>
      <name val="Calibri"/>
    </font>
    <font>
      <color theme="1"/>
      <name val="Calibri"/>
    </font>
    <font>
      <b/>
      <i/>
      <sz val="11.0"/>
      <color rgb="FF00B0F0"/>
      <name val="Calibri"/>
    </font>
    <font>
      <b/>
      <sz val="11.0"/>
      <color rgb="FF00B0F0"/>
      <name val="Calibri"/>
    </font>
    <font>
      <b/>
      <i/>
      <sz val="14.0"/>
      <color theme="1"/>
      <name val="Calibri"/>
    </font>
    <font>
      <sz val="8.0"/>
      <color theme="1"/>
      <name val="Calibri"/>
      <scheme val="minor"/>
    </font>
    <font>
      <b/>
      <sz val="8.0"/>
      <color theme="1"/>
      <name val="Calibri"/>
    </font>
    <font>
      <sz val="14.0"/>
      <color theme="1"/>
      <name val="Calibri"/>
      <scheme val="minor"/>
    </font>
    <font>
      <i/>
      <sz val="11.0"/>
      <color rgb="FF000000"/>
      <name val="Calibri"/>
    </font>
    <font>
      <b/>
      <sz val="12.0"/>
      <color theme="1"/>
      <name val="Roboto Mono"/>
    </font>
    <font>
      <b/>
      <sz val="10.0"/>
      <color theme="1"/>
      <name val="Roboto Mono"/>
    </font>
    <font>
      <color theme="1"/>
      <name val="Impact"/>
    </font>
    <font>
      <color rgb="FF000000"/>
      <name val="Calibri"/>
      <scheme val="minor"/>
    </font>
    <font>
      <color rgb="FFFF0000"/>
      <name val="Calibri"/>
      <scheme val="minor"/>
    </font>
    <font>
      <color theme="1"/>
      <name val="Oswald"/>
    </font>
    <font>
      <sz val="10.0"/>
      <color theme="1"/>
      <name val="Oswald"/>
    </font>
    <font>
      <sz val="10.0"/>
      <color theme="1"/>
      <name val="Calibri"/>
    </font>
    <font>
      <color rgb="FF434343"/>
      <name val="Roboto"/>
    </font>
    <font>
      <b/>
      <sz val="9.0"/>
      <color theme="1"/>
      <name val="Arial"/>
    </font>
    <font>
      <sz val="9.0"/>
      <color theme="1"/>
      <name val="Arial"/>
    </font>
    <font>
      <b/>
      <sz val="9.0"/>
      <color theme="1"/>
      <name val="Calibri"/>
      <scheme val="minor"/>
    </font>
    <font>
      <b/>
      <sz val="11.0"/>
      <color theme="1"/>
      <name val="Calibri"/>
      <scheme val="minor"/>
    </font>
    <font>
      <b/>
      <color rgb="FF000000"/>
      <name val="Calibri"/>
      <scheme val="minor"/>
    </font>
    <font>
      <b/>
      <sz val="10.0"/>
      <color rgb="FFFFFFFF"/>
      <name val="Courier New"/>
    </font>
    <font>
      <b/>
      <sz val="11.0"/>
      <color theme="7"/>
      <name val="Courier New"/>
    </font>
    <font>
      <b/>
      <sz val="11.0"/>
      <color theme="9"/>
      <name val="Courier New"/>
    </font>
    <font>
      <b/>
      <sz val="10.0"/>
      <color rgb="FFCC0000"/>
      <name val="Courier New"/>
    </font>
    <font>
      <b/>
      <sz val="10.0"/>
      <color theme="5"/>
      <name val="Courier New"/>
    </font>
    <font>
      <b/>
      <sz val="10.0"/>
      <color rgb="FFFF00FF"/>
      <name val="Courier New"/>
    </font>
    <font>
      <b/>
      <u/>
      <sz val="10.0"/>
      <color rgb="FF000000"/>
      <name val="Courier New"/>
    </font>
    <font>
      <b/>
      <sz val="10.0"/>
      <color rgb="FF00B0F0"/>
      <name val="Courier New"/>
    </font>
    <font>
      <b/>
      <sz val="12.0"/>
      <color rgb="FF030306"/>
      <name val="System-ui"/>
    </font>
    <font>
      <b/>
      <sz val="10.0"/>
      <color rgb="FFFF0000"/>
      <name val="Courier New"/>
    </font>
    <font>
      <b/>
      <sz val="11.0"/>
      <color rgb="FF70AD47"/>
      <name val="Courier New"/>
    </font>
    <font>
      <b/>
      <sz val="12.0"/>
      <color rgb="FF030306"/>
      <name val="Arial"/>
    </font>
    <font>
      <b/>
      <sz val="10.0"/>
      <color rgb="FF38761D"/>
      <name val="Courier New"/>
    </font>
    <font>
      <b/>
      <u/>
      <sz val="10.0"/>
      <color rgb="FF0000FF"/>
      <name val="Courier New"/>
    </font>
    <font>
      <b/>
      <u/>
      <sz val="10.0"/>
      <color rgb="FF0563C1"/>
      <name val="Courier New"/>
    </font>
    <font>
      <b/>
      <i/>
      <sz val="10.0"/>
      <color theme="1"/>
      <name val="Courier New"/>
    </font>
    <font>
      <b/>
      <color rgb="FF0000FF"/>
      <name val="Courier New"/>
    </font>
    <font>
      <b/>
      <sz val="10.0"/>
      <color rgb="FF0000FF"/>
      <name val="Courier New"/>
    </font>
    <font>
      <b/>
      <u/>
      <sz val="10.0"/>
      <color rgb="FF0000FF"/>
      <name val="Courier New"/>
    </font>
    <font>
      <b/>
      <u/>
      <sz val="10.0"/>
      <color rgb="FF434343"/>
      <name val="Courier New"/>
    </font>
    <font>
      <b/>
      <u/>
      <sz val="10.0"/>
      <color rgb="FF0000FF"/>
      <name val="Courier New"/>
    </font>
    <font>
      <sz val="8.0"/>
      <color theme="1"/>
      <name val="Arial"/>
    </font>
    <font>
      <b/>
      <sz val="18.0"/>
      <color rgb="FF003F2F"/>
      <name val="Arial"/>
    </font>
    <font>
      <b/>
      <sz val="14.0"/>
      <color theme="1"/>
      <name val="Arial"/>
    </font>
    <font>
      <sz val="14.0"/>
      <color rgb="FF003F2F"/>
      <name val="Arial"/>
    </font>
    <font>
      <color rgb="FF003F2F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  <fill>
      <patternFill patternType="solid">
        <fgColor rgb="FF38761D"/>
        <bgColor rgb="FF38761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3F4F5"/>
        <bgColor rgb="FFF3F4F5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70AD47"/>
        <bgColor rgb="FF70AD47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6F8F9"/>
        <bgColor rgb="FFF6F8F9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  <fill>
      <patternFill patternType="solid">
        <fgColor rgb="FFD6E5CB"/>
        <bgColor rgb="FFD6E5CB"/>
      </patternFill>
    </fill>
    <fill>
      <patternFill patternType="solid">
        <fgColor rgb="FFE4F0DD"/>
        <bgColor rgb="FFE4F0DD"/>
      </patternFill>
    </fill>
  </fills>
  <borders count="5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/>
      <bottom style="medium">
        <color rgb="FF000000"/>
      </bottom>
    </border>
    <border>
      <lef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/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A0A0A0"/>
      </left>
      <top style="thin">
        <color rgb="FFA0A0A0"/>
      </top>
      <bottom style="thin">
        <color rgb="FFA0A0A0"/>
      </bottom>
    </border>
    <border>
      <top style="thin">
        <color rgb="FFA0A0A0"/>
      </top>
      <bottom style="thin">
        <color rgb="FFA0A0A0"/>
      </bottom>
    </border>
    <border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CC8BD"/>
      </left>
      <top style="thin">
        <color rgb="FFACC8BD"/>
      </top>
      <bottom style="thin">
        <color rgb="FFACC8BD"/>
      </bottom>
    </border>
    <border>
      <top style="thin">
        <color rgb="FFACC8BD"/>
      </top>
      <bottom style="thin">
        <color rgb="FFACC8BD"/>
      </bottom>
    </border>
    <border>
      <right style="thin">
        <color rgb="FFACC8BD"/>
      </right>
      <top style="thin">
        <color rgb="FFACC8BD"/>
      </top>
      <bottom style="thin">
        <color rgb="FFACC8BD"/>
      </bottom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</border>
  </borders>
  <cellStyleXfs count="1">
    <xf borderId="0" fillId="0" fontId="0" numFmtId="0" applyAlignment="1" applyFont="1"/>
  </cellStyleXfs>
  <cellXfs count="75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2" fontId="2" numFmtId="164" xfId="0" applyAlignment="1" applyBorder="1" applyFont="1" applyNumberFormat="1">
      <alignment horizontal="center" readingOrder="0" shrinkToFit="0" vertical="center" wrapText="1"/>
    </xf>
    <xf borderId="2" fillId="2" fontId="2" numFmtId="2" xfId="0" applyAlignment="1" applyBorder="1" applyFont="1" applyNumberFormat="1">
      <alignment horizontal="center" readingOrder="0" vertical="center"/>
    </xf>
    <xf borderId="3" fillId="2" fontId="2" numFmtId="2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vertical="center"/>
    </xf>
    <xf borderId="0" fillId="3" fontId="4" numFmtId="164" xfId="0" applyAlignment="1" applyFill="1" applyFont="1" applyNumberFormat="1">
      <alignment horizontal="center" readingOrder="0" vertical="center"/>
    </xf>
    <xf borderId="0" fillId="4" fontId="4" numFmtId="2" xfId="0" applyAlignment="1" applyFill="1" applyFont="1" applyNumberFormat="1">
      <alignment horizontal="center" readingOrder="0" vertical="center"/>
    </xf>
    <xf borderId="0" fillId="5" fontId="5" numFmtId="2" xfId="0" applyAlignment="1" applyFill="1" applyFont="1" applyNumberFormat="1">
      <alignment horizontal="center" readingOrder="0" vertical="center"/>
    </xf>
    <xf borderId="0" fillId="0" fontId="6" numFmtId="0" xfId="0" applyAlignment="1" applyFont="1">
      <alignment horizontal="left" vertical="center"/>
    </xf>
    <xf borderId="0" fillId="0" fontId="7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1" fillId="0" fontId="10" numFmtId="0" xfId="0" applyBorder="1" applyFont="1"/>
    <xf borderId="4" fillId="2" fontId="2" numFmtId="164" xfId="0" applyAlignment="1" applyBorder="1" applyFont="1" applyNumberFormat="1">
      <alignment horizontal="center" vertical="center"/>
    </xf>
    <xf borderId="4" fillId="2" fontId="2" numFmtId="2" xfId="0" applyAlignment="1" applyBorder="1" applyFont="1" applyNumberFormat="1">
      <alignment horizontal="center" vertical="center"/>
    </xf>
    <xf borderId="5" fillId="2" fontId="2" numFmtId="2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center" readingOrder="0" vertical="center"/>
    </xf>
    <xf borderId="0" fillId="6" fontId="11" numFmtId="164" xfId="0" applyAlignment="1" applyFill="1" applyFont="1" applyNumberFormat="1">
      <alignment horizontal="center" readingOrder="0" vertical="center"/>
    </xf>
    <xf borderId="0" fillId="6" fontId="11" numFmtId="2" xfId="0" applyAlignment="1" applyFont="1" applyNumberFormat="1">
      <alignment horizontal="center" vertical="center"/>
    </xf>
    <xf borderId="0" fillId="6" fontId="11" numFmtId="2" xfId="0" applyAlignment="1" applyFont="1" applyNumberFormat="1">
      <alignment horizontal="center" readingOrder="0" vertical="center"/>
    </xf>
    <xf borderId="0" fillId="0" fontId="7" numFmtId="4" xfId="0" applyAlignment="1" applyFont="1" applyNumberFormat="1">
      <alignment horizontal="center" readingOrder="0" vertical="center"/>
    </xf>
    <xf borderId="0" fillId="0" fontId="12" numFmtId="164" xfId="0" applyAlignment="1" applyFont="1" applyNumberFormat="1">
      <alignment horizontal="center" vertical="center"/>
    </xf>
    <xf borderId="0" fillId="0" fontId="8" numFmtId="4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13" numFmtId="164" xfId="0" applyAlignment="1" applyFont="1" applyNumberFormat="1">
      <alignment horizontal="center" readingOrder="0" vertical="center"/>
    </xf>
    <xf borderId="0" fillId="0" fontId="8" numFmtId="2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left" readingOrder="0" vertical="center"/>
    </xf>
    <xf borderId="0" fillId="0" fontId="9" numFmtId="0" xfId="0" applyAlignment="1" applyFont="1">
      <alignment horizontal="center"/>
    </xf>
    <xf borderId="1" fillId="7" fontId="1" numFmtId="164" xfId="0" applyAlignment="1" applyBorder="1" applyFill="1" applyFont="1" applyNumberFormat="1">
      <alignment horizontal="center" readingOrder="0" shrinkToFit="0" vertical="center" wrapText="1"/>
    </xf>
    <xf borderId="2" fillId="7" fontId="2" numFmtId="164" xfId="0" applyAlignment="1" applyBorder="1" applyFont="1" applyNumberFormat="1">
      <alignment horizontal="center" readingOrder="0" vertical="center"/>
    </xf>
    <xf borderId="2" fillId="7" fontId="2" numFmtId="2" xfId="0" applyAlignment="1" applyBorder="1" applyFont="1" applyNumberFormat="1">
      <alignment horizontal="center" readingOrder="0" vertical="center"/>
    </xf>
    <xf borderId="3" fillId="7" fontId="2" numFmtId="2" xfId="0" applyAlignment="1" applyBorder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borderId="4" fillId="7" fontId="15" numFmtId="164" xfId="0" applyAlignment="1" applyBorder="1" applyFont="1" applyNumberFormat="1">
      <alignment horizontal="center" readingOrder="0" vertical="center"/>
    </xf>
    <xf borderId="4" fillId="7" fontId="15" numFmtId="2" xfId="0" applyAlignment="1" applyBorder="1" applyFont="1" applyNumberFormat="1">
      <alignment horizontal="center" readingOrder="0" vertical="center"/>
    </xf>
    <xf borderId="5" fillId="7" fontId="15" numFmtId="2" xfId="0" applyAlignment="1" applyBorder="1" applyFont="1" applyNumberFormat="1">
      <alignment horizontal="center" readingOrder="0" vertical="center"/>
    </xf>
    <xf borderId="0" fillId="0" fontId="16" numFmtId="2" xfId="0" applyFont="1" applyNumberFormat="1"/>
    <xf borderId="0" fillId="0" fontId="8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0" fillId="0" fontId="1" numFmtId="2" xfId="0" applyAlignment="1" applyFont="1" applyNumberFormat="1">
      <alignment horizontal="center" readingOrder="0" vertical="center"/>
    </xf>
    <xf borderId="0" fillId="0" fontId="12" numFmtId="2" xfId="0" applyAlignment="1" applyFont="1" applyNumberFormat="1">
      <alignment horizontal="center" vertical="center"/>
    </xf>
    <xf borderId="0" fillId="0" fontId="17" numFmtId="2" xfId="0" applyFont="1" applyNumberFormat="1"/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2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18" numFmtId="49" xfId="0" applyAlignment="1" applyFont="1" applyNumberFormat="1">
      <alignment horizontal="left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6" fillId="0" fontId="15" numFmtId="165" xfId="0" applyAlignment="1" applyBorder="1" applyFont="1" applyNumberFormat="1">
      <alignment horizontal="center" readingOrder="0" shrinkToFit="0" vertical="center" wrapText="0"/>
    </xf>
    <xf borderId="6" fillId="8" fontId="20" numFmtId="164" xfId="0" applyAlignment="1" applyBorder="1" applyFill="1" applyFont="1" applyNumberFormat="1">
      <alignment horizontal="center" readingOrder="0" shrinkToFit="0" vertical="center" wrapText="0"/>
    </xf>
    <xf borderId="6" fillId="8" fontId="15" numFmtId="2" xfId="0" applyAlignment="1" applyBorder="1" applyFont="1" applyNumberFormat="1">
      <alignment shrinkToFit="0" vertical="center" wrapText="0"/>
    </xf>
    <xf borderId="6" fillId="8" fontId="15" numFmtId="2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6" fillId="7" fontId="2" numFmtId="49" xfId="0" applyAlignment="1" applyBorder="1" applyFont="1" applyNumberFormat="1">
      <alignment horizontal="center" readingOrder="0" shrinkToFit="0" vertical="center" wrapText="0"/>
    </xf>
    <xf borderId="6" fillId="5" fontId="2" numFmtId="2" xfId="0" applyAlignment="1" applyBorder="1" applyFont="1" applyNumberFormat="1">
      <alignment horizontal="center" readingOrder="0" shrinkToFit="0" vertical="center" wrapText="0"/>
    </xf>
    <xf borderId="6" fillId="5" fontId="2" numFmtId="2" xfId="0" applyAlignment="1" applyBorder="1" applyFont="1" applyNumberFormat="1">
      <alignment horizontal="center" shrinkToFit="0" vertical="center" wrapText="0"/>
    </xf>
    <xf borderId="6" fillId="0" fontId="15" numFmtId="49" xfId="0" applyAlignment="1" applyBorder="1" applyFont="1" applyNumberFormat="1">
      <alignment readingOrder="0" shrinkToFit="0" vertical="center" wrapText="0"/>
    </xf>
    <xf borderId="6" fillId="0" fontId="15" numFmtId="0" xfId="0" applyAlignment="1" applyBorder="1" applyFont="1">
      <alignment horizontal="center" readingOrder="0" shrinkToFit="0" vertical="center" wrapText="0"/>
    </xf>
    <xf borderId="0" fillId="0" fontId="19" numFmtId="0" xfId="0" applyAlignment="1" applyFont="1">
      <alignment horizontal="center" shrinkToFit="0" vertical="center" wrapText="0"/>
    </xf>
    <xf borderId="6" fillId="0" fontId="15" numFmtId="0" xfId="0" applyAlignment="1" applyBorder="1" applyFont="1">
      <alignment horizontal="left" readingOrder="0" shrinkToFit="0" vertical="center" wrapText="0"/>
    </xf>
    <xf borderId="0" fillId="0" fontId="9" numFmtId="0" xfId="0" applyFont="1"/>
    <xf borderId="6" fillId="0" fontId="15" numFmtId="49" xfId="0" applyAlignment="1" applyBorder="1" applyFont="1" applyNumberFormat="1">
      <alignment horizontal="center" readingOrder="0" shrinkToFit="0" vertical="center" wrapText="0"/>
    </xf>
    <xf borderId="6" fillId="0" fontId="15" numFmtId="49" xfId="0" applyAlignment="1" applyBorder="1" applyFont="1" applyNumberFormat="1">
      <alignment readingOrder="0" shrinkToFit="0" vertical="center" wrapText="0"/>
    </xf>
    <xf borderId="6" fillId="7" fontId="2" numFmtId="49" xfId="0" applyAlignment="1" applyBorder="1" applyFont="1" applyNumberFormat="1">
      <alignment horizontal="center" shrinkToFit="0" vertical="center" wrapText="0"/>
    </xf>
    <xf borderId="6" fillId="9" fontId="2" numFmtId="165" xfId="0" applyAlignment="1" applyBorder="1" applyFill="1" applyFont="1" applyNumberFormat="1">
      <alignment horizontal="center" readingOrder="0" shrinkToFit="0" vertical="center" wrapText="0"/>
    </xf>
    <xf borderId="6" fillId="8" fontId="2" numFmtId="2" xfId="0" applyAlignment="1" applyBorder="1" applyFont="1" applyNumberFormat="1">
      <alignment shrinkToFit="0" vertical="center" wrapText="0"/>
    </xf>
    <xf borderId="6" fillId="8" fontId="2" numFmtId="2" xfId="0" applyAlignment="1" applyBorder="1" applyFont="1" applyNumberFormat="1">
      <alignment readingOrder="0" shrinkToFit="0" vertical="center" wrapText="0"/>
    </xf>
    <xf borderId="6" fillId="0" fontId="15" numFmtId="49" xfId="0" applyAlignment="1" applyBorder="1" applyFont="1" applyNumberForma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left" readingOrder="0" shrinkToFit="0" vertical="center" wrapText="0"/>
    </xf>
    <xf borderId="6" fillId="7" fontId="2" numFmtId="164" xfId="0" applyAlignment="1" applyBorder="1" applyFont="1" applyNumberFormat="1">
      <alignment horizontal="center" readingOrder="0" shrinkToFit="0" vertical="center" wrapText="0"/>
    </xf>
    <xf borderId="6" fillId="0" fontId="15" numFmtId="0" xfId="0" applyAlignment="1" applyBorder="1" applyFont="1">
      <alignment readingOrder="0" shrinkToFit="0" vertical="center" wrapText="0"/>
    </xf>
    <xf borderId="6" fillId="0" fontId="2" numFmtId="165" xfId="0" applyAlignment="1" applyBorder="1" applyFont="1" applyNumberFormat="1">
      <alignment horizontal="center" readingOrder="0" shrinkToFit="0" vertical="center" wrapText="0"/>
    </xf>
    <xf borderId="6" fillId="0" fontId="15" numFmtId="0" xfId="0" applyAlignment="1" applyBorder="1" applyFont="1">
      <alignment horizontal="center" readingOrder="0" shrinkToFit="0" vertical="center" wrapText="0"/>
    </xf>
    <xf borderId="6" fillId="0" fontId="15" numFmtId="0" xfId="0" applyAlignment="1" applyBorder="1" applyFont="1">
      <alignment shrinkToFit="0" vertical="center" wrapText="0"/>
    </xf>
    <xf borderId="6" fillId="0" fontId="15" numFmtId="0" xfId="0" applyAlignment="1" applyBorder="1" applyFont="1">
      <alignment readingOrder="0" shrinkToFit="0" vertical="center" wrapText="0"/>
    </xf>
    <xf borderId="0" fillId="0" fontId="15" numFmtId="49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6" fillId="0" fontId="2" numFmtId="9" xfId="0" applyAlignment="1" applyBorder="1" applyFont="1" applyNumberFormat="1">
      <alignment horizontal="center" readingOrder="0" shrinkToFit="0" vertical="center" wrapText="0"/>
    </xf>
    <xf borderId="6" fillId="0" fontId="2" numFmtId="9" xfId="0" applyAlignment="1" applyBorder="1" applyFont="1" applyNumberFormat="1">
      <alignment horizontal="left" readingOrder="0" shrinkToFit="0" vertical="center" wrapText="0"/>
    </xf>
    <xf borderId="6" fillId="0" fontId="15" numFmtId="49" xfId="0" applyAlignment="1" applyBorder="1" applyFont="1" applyNumberFormat="1">
      <alignment horizontal="left" readingOrder="0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6" fillId="0" fontId="15" numFmtId="0" xfId="0" applyAlignment="1" applyBorder="1" applyFont="1">
      <alignment readingOrder="0" shrinkToFit="0" vertical="center" wrapText="0"/>
    </xf>
    <xf borderId="6" fillId="0" fontId="15" numFmtId="49" xfId="0" applyAlignment="1" applyBorder="1" applyFont="1" applyNumberFormat="1">
      <alignment horizontal="center" readingOrder="0" shrinkToFit="0" vertical="center" wrapText="0"/>
    </xf>
    <xf borderId="6" fillId="0" fontId="15" numFmtId="0" xfId="0" applyAlignment="1" applyBorder="1" applyFont="1">
      <alignment readingOrder="0" shrinkToFit="0" vertical="center" wrapText="0"/>
    </xf>
    <xf borderId="6" fillId="10" fontId="15" numFmtId="0" xfId="0" applyAlignment="1" applyBorder="1" applyFill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6" fillId="10" fontId="15" numFmtId="49" xfId="0" applyAlignment="1" applyBorder="1" applyFont="1" applyNumberFormat="1">
      <alignment horizontal="center" readingOrder="0" shrinkToFit="0" vertical="center" wrapText="0"/>
    </xf>
    <xf borderId="6" fillId="0" fontId="15" numFmtId="164" xfId="0" applyAlignment="1" applyBorder="1" applyFont="1" applyNumberFormat="1">
      <alignment readingOrder="0"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0" fontId="22" numFmtId="0" xfId="0" applyFont="1"/>
    <xf borderId="0" fillId="0" fontId="23" numFmtId="165" xfId="0" applyAlignment="1" applyFont="1" applyNumberFormat="1">
      <alignment horizontal="center" readingOrder="0" shrinkToFit="0" vertical="center" wrapText="0"/>
    </xf>
    <xf borderId="6" fillId="8" fontId="23" numFmtId="2" xfId="0" applyAlignment="1" applyBorder="1" applyFont="1" applyNumberFormat="1">
      <alignment shrinkToFit="0" vertical="center" wrapText="0"/>
    </xf>
    <xf borderId="6" fillId="8" fontId="23" numFmtId="2" xfId="0" applyAlignment="1" applyBorder="1" applyFont="1" applyNumberFormat="1">
      <alignment readingOrder="0" shrinkToFit="0" vertical="center" wrapText="0"/>
    </xf>
    <xf borderId="6" fillId="7" fontId="23" numFmtId="164" xfId="0" applyAlignment="1" applyBorder="1" applyFont="1" applyNumberFormat="1">
      <alignment horizontal="center" readingOrder="0" shrinkToFit="0" vertical="center" wrapText="0"/>
    </xf>
    <xf borderId="6" fillId="0" fontId="23" numFmtId="0" xfId="0" applyAlignment="1" applyBorder="1" applyFont="1">
      <alignment horizontal="center" readingOrder="0" shrinkToFit="0" vertical="center" wrapText="0"/>
    </xf>
    <xf borderId="6" fillId="0" fontId="23" numFmtId="0" xfId="0" applyAlignment="1" applyBorder="1" applyFont="1">
      <alignment horizontal="left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6" fillId="11" fontId="2" numFmtId="0" xfId="0" applyAlignment="1" applyBorder="1" applyFill="1" applyFont="1">
      <alignment horizontal="center" readingOrder="0" shrinkToFit="0" vertical="center" wrapText="0"/>
    </xf>
    <xf borderId="6" fillId="11" fontId="2" numFmtId="0" xfId="0" applyAlignment="1" applyBorder="1" applyFont="1">
      <alignment horizontal="left" readingOrder="0" shrinkToFit="0" vertical="center" wrapText="0"/>
    </xf>
    <xf borderId="6" fillId="12" fontId="15" numFmtId="0" xfId="0" applyAlignment="1" applyBorder="1" applyFill="1" applyFont="1">
      <alignment horizontal="center" readingOrder="0" shrinkToFit="0" vertical="center" wrapText="0"/>
    </xf>
    <xf borderId="6" fillId="12" fontId="15" numFmtId="0" xfId="0" applyAlignment="1" applyBorder="1" applyFont="1">
      <alignment horizontal="left" readingOrder="0" shrinkToFit="0" vertical="center" wrapText="0"/>
    </xf>
    <xf borderId="6" fillId="8" fontId="24" numFmtId="2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6" fillId="8" fontId="15" numFmtId="2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6" fillId="8" fontId="25" numFmtId="2" xfId="0" applyAlignment="1" applyBorder="1" applyFont="1" applyNumberFormat="1">
      <alignment readingOrder="0" shrinkToFit="0" vertical="center" wrapText="0"/>
    </xf>
    <xf borderId="6" fillId="0" fontId="15" numFmtId="0" xfId="0" applyAlignment="1" applyBorder="1" applyFont="1">
      <alignment readingOrder="0" shrinkToFit="0" vertical="center" wrapText="0"/>
    </xf>
    <xf borderId="6" fillId="0" fontId="26" numFmtId="0" xfId="0" applyAlignment="1" applyBorder="1" applyFont="1">
      <alignment horizontal="center" readingOrder="0" shrinkToFit="0" vertical="center" wrapText="0"/>
    </xf>
    <xf borderId="6" fillId="0" fontId="15" numFmtId="164" xfId="0" applyAlignment="1" applyBorder="1" applyFont="1" applyNumberFormat="1">
      <alignment horizontal="center" readingOrder="0" shrinkToFit="0" vertical="center" wrapText="0"/>
    </xf>
    <xf borderId="6" fillId="8" fontId="25" numFmtId="2" xfId="0" applyAlignment="1" applyBorder="1" applyFont="1" applyNumberFormat="1">
      <alignment shrinkToFit="0" vertical="center" wrapText="0"/>
    </xf>
    <xf borderId="6" fillId="13" fontId="2" numFmtId="0" xfId="0" applyAlignment="1" applyBorder="1" applyFill="1" applyFont="1">
      <alignment horizontal="center" readingOrder="0" shrinkToFit="0" vertical="center" wrapText="0"/>
    </xf>
    <xf borderId="6" fillId="0" fontId="2" numFmtId="166" xfId="0" applyAlignment="1" applyBorder="1" applyFont="1" applyNumberFormat="1">
      <alignment horizontal="center" readingOrder="0" shrinkToFit="0" vertical="center" wrapText="0"/>
    </xf>
    <xf borderId="6" fillId="8" fontId="15" numFmtId="2" xfId="0" applyAlignment="1" applyBorder="1" applyFont="1" applyNumberFormat="1">
      <alignment shrinkToFit="0" vertical="center" wrapText="0"/>
    </xf>
    <xf borderId="6" fillId="8" fontId="27" numFmtId="2" xfId="0" applyAlignment="1" applyBorder="1" applyFont="1" applyNumberFormat="1">
      <alignment readingOrder="0" shrinkToFit="0" vertical="center" wrapText="0"/>
    </xf>
    <xf borderId="6" fillId="12" fontId="28" numFmtId="0" xfId="0" applyAlignment="1" applyBorder="1" applyFont="1">
      <alignment horizontal="left" readingOrder="0" shrinkToFit="0" vertical="center" wrapText="0"/>
    </xf>
    <xf borderId="6" fillId="0" fontId="2" numFmtId="167" xfId="0" applyAlignment="1" applyBorder="1" applyFont="1" applyNumberFormat="1">
      <alignment horizontal="center" readingOrder="0" shrinkToFit="0" vertical="center" wrapText="0"/>
    </xf>
    <xf borderId="6" fillId="14" fontId="15" numFmtId="0" xfId="0" applyAlignment="1" applyBorder="1" applyFill="1" applyFont="1">
      <alignment horizontal="center" readingOrder="0" shrinkToFit="0" vertical="center" wrapText="0"/>
    </xf>
    <xf borderId="6" fillId="0" fontId="15" numFmtId="0" xfId="0" applyAlignment="1" applyBorder="1" applyFont="1">
      <alignment horizontal="left" readingOrder="0" shrinkToFit="0" vertical="center" wrapText="0"/>
    </xf>
    <xf borderId="6" fillId="8" fontId="29" numFmtId="2" xfId="0" applyAlignment="1" applyBorder="1" applyFont="1" applyNumberFormat="1">
      <alignment readingOrder="0" shrinkToFit="0" vertical="center" wrapText="0"/>
    </xf>
    <xf borderId="6" fillId="2" fontId="15" numFmtId="0" xfId="0" applyAlignment="1" applyBorder="1" applyFont="1">
      <alignment horizontal="center" readingOrder="0" shrinkToFit="0" vertical="center" wrapText="0"/>
    </xf>
    <xf borderId="6" fillId="8" fontId="2" numFmtId="0" xfId="0" applyAlignment="1" applyBorder="1" applyFont="1">
      <alignment horizontal="center" readingOrder="0" shrinkToFit="0" vertical="center" wrapText="0"/>
    </xf>
    <xf borderId="0" fillId="0" fontId="19" numFmtId="167" xfId="0" applyAlignment="1" applyFont="1" applyNumberFormat="1">
      <alignment horizontal="center" readingOrder="0" shrinkToFit="0" vertical="center" wrapText="0"/>
    </xf>
    <xf borderId="6" fillId="8" fontId="29" numFmtId="164" xfId="0" applyAlignment="1" applyBorder="1" applyFont="1" applyNumberFormat="1">
      <alignment horizontal="center" readingOrder="0" shrinkToFit="0" vertical="center" wrapText="0"/>
    </xf>
    <xf borderId="6" fillId="0" fontId="30" numFmtId="0" xfId="0" applyAlignment="1" applyBorder="1" applyFont="1">
      <alignment horizontal="left" readingOrder="0" shrinkToFit="0" vertical="center" wrapText="0"/>
    </xf>
    <xf borderId="6" fillId="15" fontId="15" numFmtId="0" xfId="0" applyAlignment="1" applyBorder="1" applyFill="1" applyFont="1">
      <alignment horizontal="center" readingOrder="0" shrinkToFit="0" vertical="center" wrapText="0"/>
    </xf>
    <xf borderId="6" fillId="8" fontId="31" numFmtId="2" xfId="0" applyAlignment="1" applyBorder="1" applyFont="1" applyNumberFormat="1">
      <alignment readingOrder="0" shrinkToFit="0" vertical="center" wrapText="0"/>
    </xf>
    <xf borderId="6" fillId="0" fontId="2" numFmtId="165" xfId="0" applyAlignment="1" applyBorder="1" applyFont="1" applyNumberFormat="1">
      <alignment horizontal="center" shrinkToFit="0" vertical="center" wrapText="0"/>
    </xf>
    <xf borderId="6" fillId="0" fontId="15" numFmtId="49" xfId="0" applyAlignment="1" applyBorder="1" applyFont="1" applyNumberFormat="1">
      <alignment readingOrder="0" shrinkToFit="0" vertical="center" wrapText="0"/>
    </xf>
    <xf borderId="6" fillId="0" fontId="32" numFmtId="0" xfId="0" applyAlignment="1" applyBorder="1" applyFont="1">
      <alignment horizontal="left" readingOrder="0" shrinkToFit="0" vertical="center" wrapText="0"/>
    </xf>
    <xf borderId="6" fillId="16" fontId="15" numFmtId="0" xfId="0" applyAlignment="1" applyBorder="1" applyFill="1" applyFont="1">
      <alignment horizontal="center" readingOrder="0" shrinkToFit="0" vertical="center" wrapText="0"/>
    </xf>
    <xf borderId="6" fillId="0" fontId="33" numFmtId="0" xfId="0" applyAlignment="1" applyBorder="1" applyFont="1">
      <alignment horizontal="center" readingOrder="0" shrinkToFit="0" vertical="center" wrapText="0"/>
    </xf>
    <xf borderId="6" fillId="7" fontId="33" numFmtId="164" xfId="0" applyAlignment="1" applyBorder="1" applyFont="1" applyNumberFormat="1">
      <alignment horizontal="center" readingOrder="0" shrinkToFit="0" vertical="center" wrapText="0"/>
    </xf>
    <xf borderId="6" fillId="17" fontId="15" numFmtId="0" xfId="0" applyAlignment="1" applyBorder="1" applyFill="1" applyFont="1">
      <alignment horizontal="center" readingOrder="0" shrinkToFit="0" vertical="center" wrapText="0"/>
    </xf>
    <xf borderId="6" fillId="0" fontId="34" numFmtId="0" xfId="0" applyAlignment="1" applyBorder="1" applyFont="1">
      <alignment horizontal="left" readingOrder="0" shrinkToFit="0" vertical="center" wrapText="0"/>
    </xf>
    <xf borderId="6" fillId="2" fontId="15" numFmtId="49" xfId="0" applyAlignment="1" applyBorder="1" applyFont="1" applyNumberFormat="1">
      <alignment horizontal="center" readingOrder="0" shrinkToFit="0" vertical="center" wrapText="0"/>
    </xf>
    <xf borderId="6" fillId="18" fontId="15" numFmtId="0" xfId="0" applyAlignment="1" applyBorder="1" applyFill="1" applyFont="1">
      <alignment horizontal="center" readingOrder="0" shrinkToFit="0" vertical="center" wrapText="0"/>
    </xf>
    <xf borderId="6" fillId="0" fontId="19" numFmtId="0" xfId="0" applyAlignment="1" applyBorder="1" applyFont="1">
      <alignment horizontal="center" shrinkToFit="0" vertical="center" wrapText="0"/>
    </xf>
    <xf borderId="6" fillId="0" fontId="35" numFmtId="0" xfId="0" applyAlignment="1" applyBorder="1" applyFont="1">
      <alignment horizontal="left" readingOrder="0" shrinkToFit="0" vertical="center" wrapText="0"/>
    </xf>
    <xf borderId="6" fillId="0" fontId="2" numFmtId="165" xfId="0" applyAlignment="1" applyBorder="1" applyFont="1" applyNumberFormat="1">
      <alignment horizontal="center" readingOrder="0" shrinkToFit="0" vertical="center" wrapText="0"/>
    </xf>
    <xf borderId="6" fillId="2" fontId="2" numFmtId="49" xfId="0" applyAlignment="1" applyBorder="1" applyFont="1" applyNumberFormat="1">
      <alignment horizontal="center" shrinkToFit="0" vertical="center" wrapText="0"/>
    </xf>
    <xf borderId="6" fillId="8" fontId="33" numFmtId="164" xfId="0" applyAlignment="1" applyBorder="1" applyFont="1" applyNumberFormat="1">
      <alignment horizontal="center" readingOrder="0" shrinkToFit="0" vertical="center" wrapText="0"/>
    </xf>
    <xf borderId="6" fillId="14" fontId="15" numFmtId="49" xfId="0" applyAlignment="1" applyBorder="1" applyFont="1" applyNumberFormat="1">
      <alignment horizontal="center" readingOrder="0" shrinkToFit="0" vertical="center" wrapText="0"/>
    </xf>
    <xf borderId="6" fillId="7" fontId="2" numFmtId="164" xfId="0" applyAlignment="1" applyBorder="1" applyFont="1" applyNumberForma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6" fillId="0" fontId="36" numFmtId="49" xfId="0" applyAlignment="1" applyBorder="1" applyFont="1" applyNumberFormat="1">
      <alignment horizontal="left" readingOrder="0" shrinkToFit="0" vertical="center" wrapText="0"/>
    </xf>
    <xf borderId="6" fillId="8" fontId="2" numFmtId="2" xfId="0" applyAlignment="1" applyBorder="1" applyFont="1" applyNumberFormat="1">
      <alignment horizontal="center" readingOrder="0" shrinkToFit="0" vertical="center" wrapText="0"/>
    </xf>
    <xf borderId="6" fillId="10" fontId="2" numFmtId="0" xfId="0" applyAlignment="1" applyBorder="1" applyFont="1">
      <alignment horizontal="center" readingOrder="0" shrinkToFit="0" vertical="center" wrapText="0"/>
    </xf>
    <xf borderId="6" fillId="0" fontId="19" numFmtId="166" xfId="0" applyAlignment="1" applyBorder="1" applyFont="1" applyNumberFormat="1">
      <alignment horizontal="center" readingOrder="0" shrinkToFit="0" vertical="center" wrapText="0"/>
    </xf>
    <xf borderId="6" fillId="8" fontId="37" numFmtId="2" xfId="0" applyAlignment="1" applyBorder="1" applyFont="1" applyNumberFormat="1">
      <alignment readingOrder="0" shrinkToFit="0" vertical="center" wrapText="0"/>
    </xf>
    <xf borderId="6" fillId="8" fontId="37" numFmtId="2" xfId="0" applyAlignment="1" applyBorder="1" applyFont="1" applyNumberFormat="1">
      <alignment shrinkToFit="0" vertical="center" wrapText="0"/>
    </xf>
    <xf borderId="6" fillId="8" fontId="37" numFmtId="2" xfId="0" applyAlignment="1" applyBorder="1" applyFont="1" applyNumberFormat="1">
      <alignment horizontal="right" shrinkToFit="0" vertical="center" wrapText="0"/>
    </xf>
    <xf borderId="6" fillId="12" fontId="38" numFmtId="0" xfId="0" applyAlignment="1" applyBorder="1" applyFont="1">
      <alignment horizontal="center" shrinkToFit="0" vertical="center" wrapText="0"/>
    </xf>
    <xf borderId="6" fillId="5" fontId="37" numFmtId="2" xfId="0" applyAlignment="1" applyBorder="1" applyFont="1" applyNumberFormat="1">
      <alignment horizontal="center" shrinkToFit="0" vertical="center" wrapText="0"/>
    </xf>
    <xf borderId="6" fillId="12" fontId="39" numFmtId="0" xfId="0" applyAlignment="1" applyBorder="1" applyFont="1">
      <alignment shrinkToFit="0" vertical="center" wrapText="0"/>
    </xf>
    <xf borderId="6" fillId="12" fontId="2" numFmtId="49" xfId="0" applyAlignment="1" applyBorder="1" applyFont="1" applyNumberFormat="1">
      <alignment horizontal="center" shrinkToFit="0" vertical="center" wrapText="0"/>
    </xf>
    <xf borderId="6" fillId="19" fontId="38" numFmtId="0" xfId="0" applyAlignment="1" applyBorder="1" applyFill="1" applyFont="1">
      <alignment horizontal="center" shrinkToFit="0" vertical="center" wrapText="0"/>
    </xf>
    <xf borderId="6" fillId="19" fontId="39" numFmtId="0" xfId="0" applyAlignment="1" applyBorder="1" applyFont="1">
      <alignment shrinkToFit="0" vertical="center" wrapText="0"/>
    </xf>
    <xf borderId="6" fillId="19" fontId="2" numFmtId="49" xfId="0" applyAlignment="1" applyBorder="1" applyFont="1" applyNumberForma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15" numFmtId="0" xfId="0" applyAlignment="1" applyBorder="1" applyFont="1">
      <alignment shrinkToFit="0" vertical="center" wrapText="0"/>
    </xf>
    <xf borderId="6" fillId="0" fontId="15" numFmtId="49" xfId="0" applyAlignment="1" applyBorder="1" applyFont="1" applyNumberForma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15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19" numFmtId="14" xfId="0" applyAlignment="1" applyBorder="1" applyFont="1" applyNumberFormat="1">
      <alignment horizontal="center" shrinkToFit="0" vertical="center" wrapText="0"/>
    </xf>
    <xf borderId="6" fillId="8" fontId="2" numFmtId="0" xfId="0" applyAlignment="1" applyBorder="1" applyFont="1">
      <alignment horizontal="center" shrinkToFit="0" vertical="center" wrapText="0"/>
    </xf>
    <xf borderId="0" fillId="8" fontId="2" numFmtId="0" xfId="0" applyAlignment="1" applyFont="1">
      <alignment horizontal="center" shrinkToFit="0" vertical="center" wrapText="0"/>
    </xf>
    <xf borderId="0" fillId="8" fontId="2" numFmtId="2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7" fontId="2" numFmtId="49" xfId="0" applyAlignment="1" applyFont="1" applyNumberFormat="1">
      <alignment horizontal="center" shrinkToFit="0" vertical="center" wrapText="0"/>
    </xf>
    <xf borderId="0" fillId="5" fontId="2" numFmtId="2" xfId="0" applyAlignment="1" applyFont="1" applyNumberForma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6" numFmtId="0" xfId="0" applyAlignment="1" applyFont="1">
      <alignment horizontal="left" readingOrder="0"/>
    </xf>
    <xf borderId="0" fillId="20" fontId="40" numFmtId="164" xfId="0" applyAlignment="1" applyFill="1" applyFont="1" applyNumberFormat="1">
      <alignment horizontal="center"/>
    </xf>
    <xf borderId="5" fillId="21" fontId="40" numFmtId="164" xfId="0" applyAlignment="1" applyBorder="1" applyFill="1" applyFont="1" applyNumberFormat="1">
      <alignment horizontal="center"/>
    </xf>
    <xf borderId="7" fillId="0" fontId="10" numFmtId="0" xfId="0" applyBorder="1" applyFont="1"/>
    <xf borderId="8" fillId="22" fontId="40" numFmtId="164" xfId="0" applyAlignment="1" applyBorder="1" applyFill="1" applyFont="1" applyNumberFormat="1">
      <alignment horizontal="center"/>
    </xf>
    <xf borderId="0" fillId="16" fontId="40" numFmtId="164" xfId="0" applyAlignment="1" applyFont="1" applyNumberFormat="1">
      <alignment horizontal="center"/>
    </xf>
    <xf borderId="0" fillId="0" fontId="16" numFmtId="0" xfId="0" applyAlignment="1" applyFont="1">
      <alignment horizontal="left"/>
    </xf>
    <xf borderId="0" fillId="20" fontId="16" numFmtId="0" xfId="0" applyAlignment="1" applyFont="1">
      <alignment horizontal="center"/>
    </xf>
    <xf borderId="8" fillId="0" fontId="16" numFmtId="0" xfId="0" applyAlignment="1" applyBorder="1" applyFont="1">
      <alignment horizontal="center"/>
    </xf>
    <xf borderId="1" fillId="0" fontId="16" numFmtId="0" xfId="0" applyAlignment="1" applyBorder="1" applyFont="1">
      <alignment horizontal="center"/>
    </xf>
    <xf borderId="1" fillId="0" fontId="16" numFmtId="0" xfId="0" applyAlignment="1" applyBorder="1" applyFont="1">
      <alignment horizontal="center" readingOrder="0"/>
    </xf>
    <xf borderId="6" fillId="0" fontId="16" numFmtId="0" xfId="0" applyAlignment="1" applyBorder="1" applyFont="1">
      <alignment horizontal="left"/>
    </xf>
    <xf borderId="6" fillId="20" fontId="16" numFmtId="0" xfId="0" applyAlignment="1" applyBorder="1" applyFont="1">
      <alignment readingOrder="0"/>
    </xf>
    <xf borderId="6" fillId="0" fontId="16" numFmtId="0" xfId="0" applyBorder="1" applyFont="1"/>
    <xf borderId="6" fillId="0" fontId="16" numFmtId="0" xfId="0" applyAlignment="1" applyBorder="1" applyFont="1">
      <alignment readingOrder="0"/>
    </xf>
    <xf borderId="0" fillId="0" fontId="41" numFmtId="0" xfId="0" applyAlignment="1" applyFont="1">
      <alignment horizontal="left" readingOrder="0" shrinkToFit="0" vertical="bottom" wrapText="0"/>
    </xf>
    <xf borderId="6" fillId="0" fontId="41" numFmtId="0" xfId="0" applyAlignment="1" applyBorder="1" applyFont="1">
      <alignment horizontal="left" readingOrder="0" shrinkToFit="0" vertical="bottom" wrapText="0"/>
    </xf>
    <xf borderId="6" fillId="20" fontId="42" numFmtId="164" xfId="0" applyBorder="1" applyFont="1" applyNumberFormat="1"/>
    <xf borderId="6" fillId="7" fontId="42" numFmtId="164" xfId="0" applyBorder="1" applyFont="1" applyNumberFormat="1"/>
    <xf borderId="6" fillId="23" fontId="42" numFmtId="164" xfId="0" applyBorder="1" applyFill="1" applyFont="1" applyNumberFormat="1"/>
    <xf borderId="6" fillId="22" fontId="42" numFmtId="164" xfId="0" applyBorder="1" applyFont="1" applyNumberFormat="1"/>
    <xf borderId="6" fillId="16" fontId="42" numFmtId="164" xfId="0" applyBorder="1" applyFont="1" applyNumberFormat="1"/>
    <xf borderId="0" fillId="0" fontId="41" numFmtId="10" xfId="0" applyAlignment="1" applyFont="1" applyNumberFormat="1">
      <alignment horizontal="left" readingOrder="0" shrinkToFit="0" vertical="bottom" wrapText="0"/>
    </xf>
    <xf borderId="6" fillId="0" fontId="41" numFmtId="0" xfId="0" applyAlignment="1" applyBorder="1" applyFont="1">
      <alignment horizontal="left" readingOrder="0" shrinkToFit="0" vertical="bottom" wrapText="0"/>
    </xf>
    <xf borderId="6" fillId="13" fontId="43" numFmtId="0" xfId="0" applyAlignment="1" applyBorder="1" applyFont="1">
      <alignment horizontal="left" readingOrder="0" shrinkToFit="0" vertical="bottom" wrapText="0"/>
    </xf>
    <xf borderId="6" fillId="13" fontId="42" numFmtId="164" xfId="0" applyBorder="1" applyFont="1" applyNumberFormat="1"/>
    <xf borderId="6" fillId="7" fontId="42" numFmtId="164" xfId="0" applyAlignment="1" applyBorder="1" applyFont="1" applyNumberFormat="1">
      <alignment readingOrder="0"/>
    </xf>
    <xf borderId="6" fillId="23" fontId="42" numFmtId="164" xfId="0" applyAlignment="1" applyBorder="1" applyFont="1" applyNumberFormat="1">
      <alignment readingOrder="0"/>
    </xf>
    <xf borderId="6" fillId="22" fontId="42" numFmtId="164" xfId="0" applyAlignment="1" applyBorder="1" applyFont="1" applyNumberFormat="1">
      <alignment readingOrder="0"/>
    </xf>
    <xf borderId="0" fillId="20" fontId="16" numFmtId="0" xfId="0" applyFont="1"/>
    <xf borderId="0" fillId="0" fontId="42" numFmtId="0" xfId="0" applyAlignment="1" applyFont="1">
      <alignment horizontal="left" readingOrder="0"/>
    </xf>
    <xf borderId="0" fillId="20" fontId="42" numFmtId="10" xfId="0" applyFont="1" applyNumberFormat="1"/>
    <xf borderId="0" fillId="0" fontId="42" numFmtId="10" xfId="0" applyAlignment="1" applyFont="1" applyNumberFormat="1">
      <alignment horizontal="center"/>
    </xf>
    <xf borderId="0" fillId="16" fontId="42" numFmtId="10" xfId="0" applyAlignment="1" applyFont="1" applyNumberFormat="1">
      <alignment horizontal="center"/>
    </xf>
    <xf borderId="0" fillId="0" fontId="16" numFmtId="10" xfId="0" applyFont="1" applyNumberFormat="1"/>
    <xf borderId="0" fillId="0" fontId="16" numFmtId="164" xfId="0" applyFont="1" applyNumberFormat="1"/>
    <xf borderId="0" fillId="0" fontId="16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0" fontId="42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0" fontId="42" numFmtId="0" xfId="0" applyAlignment="1" applyFont="1">
      <alignment horizontal="center"/>
    </xf>
    <xf borderId="0" fillId="6" fontId="40" numFmtId="0" xfId="0" applyAlignment="1" applyFont="1">
      <alignment readingOrder="0"/>
    </xf>
    <xf borderId="0" fillId="6" fontId="40" numFmtId="164" xfId="0" applyAlignment="1" applyFont="1" applyNumberFormat="1">
      <alignment horizontal="right" readingOrder="0"/>
    </xf>
    <xf borderId="0" fillId="6" fontId="40" numFmtId="164" xfId="0" applyAlignment="1" applyFont="1" applyNumberFormat="1">
      <alignment horizontal="right"/>
    </xf>
    <xf borderId="0" fillId="23" fontId="40" numFmtId="0" xfId="0" applyAlignment="1" applyFont="1">
      <alignment readingOrder="0"/>
    </xf>
    <xf borderId="0" fillId="23" fontId="40" numFmtId="164" xfId="0" applyAlignment="1" applyFont="1" applyNumberFormat="1">
      <alignment horizontal="right"/>
    </xf>
    <xf borderId="0" fillId="23" fontId="40" numFmtId="164" xfId="0" applyAlignment="1" applyFont="1" applyNumberFormat="1">
      <alignment horizontal="right" readingOrder="0"/>
    </xf>
    <xf borderId="0" fillId="0" fontId="16" numFmtId="164" xfId="0" applyAlignment="1" applyFont="1" applyNumberFormat="1">
      <alignment horizontal="right"/>
    </xf>
    <xf borderId="0" fillId="0" fontId="42" numFmtId="164" xfId="0" applyAlignment="1" applyFont="1" applyNumberFormat="1">
      <alignment horizontal="right"/>
    </xf>
    <xf borderId="0" fillId="0" fontId="16" numFmtId="9" xfId="0" applyAlignment="1" applyFont="1" applyNumberFormat="1">
      <alignment readingOrder="0"/>
    </xf>
    <xf borderId="0" fillId="0" fontId="16" numFmtId="10" xfId="0" applyAlignment="1" applyFont="1" applyNumberFormat="1">
      <alignment readingOrder="0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164" xfId="0" applyAlignment="1" applyFont="1" applyNumberFormat="1">
      <alignment horizontal="right" readingOrder="0"/>
    </xf>
    <xf borderId="0" fillId="2" fontId="42" numFmtId="0" xfId="0" applyAlignment="1" applyFont="1">
      <alignment readingOrder="0"/>
    </xf>
    <xf borderId="0" fillId="2" fontId="42" numFmtId="164" xfId="0" applyAlignment="1" applyFont="1" applyNumberFormat="1">
      <alignment horizontal="right"/>
    </xf>
    <xf borderId="0" fillId="13" fontId="16" numFmtId="0" xfId="0" applyAlignment="1" applyFont="1">
      <alignment readingOrder="0"/>
    </xf>
    <xf borderId="0" fillId="13" fontId="16" numFmtId="2" xfId="0" applyAlignment="1" applyFont="1" applyNumberFormat="1">
      <alignment readingOrder="0"/>
    </xf>
    <xf borderId="0" fillId="10" fontId="16" numFmtId="0" xfId="0" applyAlignment="1" applyFont="1">
      <alignment readingOrder="0"/>
    </xf>
    <xf borderId="0" fillId="10" fontId="16" numFmtId="164" xfId="0" applyFont="1" applyNumberFormat="1"/>
    <xf borderId="0" fillId="0" fontId="16" numFmtId="0" xfId="0" applyAlignment="1" applyFont="1">
      <alignment readingOrder="0" shrinkToFit="0" vertical="center" wrapText="1"/>
    </xf>
    <xf borderId="0" fillId="9" fontId="16" numFmtId="0" xfId="0" applyAlignment="1" applyFont="1">
      <alignment readingOrder="0"/>
    </xf>
    <xf borderId="0" fillId="9" fontId="16" numFmtId="167" xfId="0" applyAlignment="1" applyFont="1" applyNumberFormat="1">
      <alignment readingOrder="0"/>
    </xf>
    <xf borderId="0" fillId="9" fontId="16" numFmtId="164" xfId="0" applyAlignment="1" applyFont="1" applyNumberFormat="1">
      <alignment readingOrder="0"/>
    </xf>
    <xf borderId="0" fillId="0" fontId="16" numFmtId="164" xfId="0" applyAlignment="1" applyFont="1" applyNumberFormat="1">
      <alignment vertical="center"/>
    </xf>
    <xf borderId="0" fillId="9" fontId="16" numFmtId="166" xfId="0" applyAlignment="1" applyFont="1" applyNumberFormat="1">
      <alignment readingOrder="0"/>
    </xf>
    <xf borderId="0" fillId="24" fontId="16" numFmtId="0" xfId="0" applyAlignment="1" applyFill="1" applyFont="1">
      <alignment readingOrder="0"/>
    </xf>
    <xf borderId="0" fillId="24" fontId="16" numFmtId="167" xfId="0" applyAlignment="1" applyFont="1" applyNumberFormat="1">
      <alignment readingOrder="0"/>
    </xf>
    <xf borderId="0" fillId="24" fontId="16" numFmtId="164" xfId="0" applyAlignment="1" applyFont="1" applyNumberFormat="1">
      <alignment readingOrder="0"/>
    </xf>
    <xf borderId="0" fillId="0" fontId="16" numFmtId="164" xfId="0" applyAlignment="1" applyFont="1" applyNumberFormat="1">
      <alignment readingOrder="0" vertical="center"/>
    </xf>
    <xf borderId="0" fillId="24" fontId="16" numFmtId="166" xfId="0" applyAlignment="1" applyFont="1" applyNumberFormat="1">
      <alignment readingOrder="0"/>
    </xf>
    <xf borderId="0" fillId="24" fontId="16" numFmtId="0" xfId="0" applyFont="1"/>
    <xf borderId="0" fillId="10" fontId="16" numFmtId="0" xfId="0" applyFont="1"/>
    <xf borderId="0" fillId="10" fontId="16" numFmtId="164" xfId="0" applyAlignment="1" applyFont="1" applyNumberFormat="1">
      <alignment readingOrder="0"/>
    </xf>
    <xf borderId="0" fillId="0" fontId="16" numFmtId="164" xfId="0" applyAlignment="1" applyFont="1" applyNumberFormat="1">
      <alignment readingOrder="0"/>
    </xf>
    <xf borderId="0" fillId="0" fontId="40" numFmtId="0" xfId="0" applyAlignment="1" applyFont="1">
      <alignment horizontal="center" readingOrder="0" vertical="center"/>
    </xf>
    <xf borderId="0" fillId="0" fontId="9" numFmtId="164" xfId="0" applyAlignment="1" applyFont="1" applyNumberFormat="1">
      <alignment horizontal="center" readingOrder="0" vertical="center"/>
    </xf>
    <xf borderId="0" fillId="0" fontId="9" numFmtId="1" xfId="0" applyAlignment="1" applyFont="1" applyNumberFormat="1">
      <alignment horizontal="center" readingOrder="0" vertical="center"/>
    </xf>
    <xf borderId="0" fillId="0" fontId="40" numFmtId="168" xfId="0" applyAlignment="1" applyFont="1" applyNumberFormat="1">
      <alignment horizontal="center" readingOrder="0" vertical="center"/>
    </xf>
    <xf borderId="0" fillId="0" fontId="40" numFmtId="168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readingOrder="0" vertical="center"/>
    </xf>
    <xf borderId="0" fillId="12" fontId="44" numFmtId="164" xfId="0" applyAlignment="1" applyFont="1" applyNumberFormat="1">
      <alignment horizontal="center" vertical="center"/>
    </xf>
    <xf borderId="0" fillId="25" fontId="45" numFmtId="165" xfId="0" applyAlignment="1" applyFill="1" applyFont="1" applyNumberFormat="1">
      <alignment horizontal="center" readingOrder="0" vertical="center"/>
    </xf>
    <xf borderId="0" fillId="25" fontId="45" numFmtId="164" xfId="0" applyAlignment="1" applyFont="1" applyNumberFormat="1">
      <alignment horizontal="center" readingOrder="0" vertical="center"/>
    </xf>
    <xf borderId="1" fillId="25" fontId="45" numFmtId="164" xfId="0" applyAlignment="1" applyBorder="1" applyFont="1" applyNumberFormat="1">
      <alignment horizontal="center" readingOrder="0" vertical="center"/>
    </xf>
    <xf borderId="0" fillId="25" fontId="46" numFmtId="164" xfId="0" applyAlignment="1" applyFont="1" applyNumberFormat="1">
      <alignment horizontal="center" vertical="center"/>
    </xf>
    <xf borderId="0" fillId="25" fontId="11" numFmtId="164" xfId="0" applyAlignment="1" applyFont="1" applyNumberFormat="1">
      <alignment horizontal="center" readingOrder="0" vertical="center"/>
    </xf>
    <xf borderId="0" fillId="0" fontId="16" numFmtId="165" xfId="0" applyFont="1" applyNumberFormat="1"/>
    <xf borderId="0" fillId="0" fontId="47" numFmtId="17" xfId="0" applyFont="1" applyNumberFormat="1"/>
    <xf borderId="5" fillId="0" fontId="47" numFmtId="17" xfId="0" applyBorder="1" applyFont="1" applyNumberFormat="1"/>
    <xf borderId="7" fillId="0" fontId="47" numFmtId="17" xfId="0" applyBorder="1" applyFont="1" applyNumberFormat="1"/>
    <xf borderId="9" fillId="0" fontId="47" numFmtId="0" xfId="0" applyAlignment="1" applyBorder="1" applyFont="1">
      <alignment horizontal="center" vertical="center"/>
    </xf>
    <xf borderId="10" fillId="20" fontId="48" numFmtId="0" xfId="0" applyAlignment="1" applyBorder="1" applyFont="1">
      <alignment horizontal="center" vertical="center"/>
    </xf>
    <xf borderId="11" fillId="20" fontId="48" numFmtId="169" xfId="0" applyBorder="1" applyFont="1" applyNumberFormat="1"/>
    <xf borderId="12" fillId="20" fontId="48" numFmtId="169" xfId="0" applyBorder="1" applyFont="1" applyNumberFormat="1"/>
    <xf borderId="13" fillId="20" fontId="48" numFmtId="169" xfId="0" applyBorder="1" applyFont="1" applyNumberFormat="1"/>
    <xf borderId="14" fillId="20" fontId="48" numFmtId="169" xfId="0" applyBorder="1" applyFont="1" applyNumberFormat="1"/>
    <xf borderId="15" fillId="20" fontId="48" numFmtId="169" xfId="0" applyBorder="1" applyFont="1" applyNumberFormat="1"/>
    <xf borderId="16" fillId="20" fontId="48" numFmtId="169" xfId="0" applyBorder="1" applyFont="1" applyNumberFormat="1"/>
    <xf borderId="0" fillId="0" fontId="49" numFmtId="0" xfId="0" applyAlignment="1" applyFont="1">
      <alignment horizontal="right" vertical="center"/>
    </xf>
    <xf borderId="0" fillId="0" fontId="50" numFmtId="169" xfId="0" applyFont="1" applyNumberFormat="1"/>
    <xf borderId="8" fillId="0" fontId="50" numFmtId="169" xfId="0" applyBorder="1" applyFont="1" applyNumberFormat="1"/>
    <xf borderId="1" fillId="0" fontId="50" numFmtId="169" xfId="0" applyAlignment="1" applyBorder="1" applyFont="1" applyNumberFormat="1">
      <alignment readingOrder="0"/>
    </xf>
    <xf borderId="0" fillId="0" fontId="50" numFmtId="169" xfId="0" applyAlignment="1" applyFont="1" applyNumberFormat="1">
      <alignment readingOrder="0"/>
    </xf>
    <xf borderId="17" fillId="0" fontId="47" numFmtId="169" xfId="0" applyAlignment="1" applyBorder="1" applyFont="1" applyNumberFormat="1">
      <alignment horizontal="center" vertical="center"/>
    </xf>
    <xf borderId="0" fillId="0" fontId="49" numFmtId="0" xfId="0" applyAlignment="1" applyFont="1">
      <alignment horizontal="right"/>
    </xf>
    <xf borderId="0" fillId="0" fontId="49" numFmtId="169" xfId="0" applyAlignment="1" applyFont="1" applyNumberFormat="1">
      <alignment readingOrder="0"/>
    </xf>
    <xf borderId="1" fillId="0" fontId="50" numFmtId="169" xfId="0" applyBorder="1" applyFont="1" applyNumberFormat="1"/>
    <xf borderId="0" fillId="0" fontId="49" numFmtId="169" xfId="0" applyFont="1" applyNumberFormat="1"/>
    <xf borderId="0" fillId="0" fontId="49" numFmtId="0" xfId="0" applyAlignment="1" applyFont="1">
      <alignment horizontal="right" readingOrder="0"/>
    </xf>
    <xf borderId="18" fillId="10" fontId="50" numFmtId="169" xfId="0" applyBorder="1" applyFont="1" applyNumberFormat="1"/>
    <xf borderId="1" fillId="0" fontId="49" numFmtId="169" xfId="0" applyAlignment="1" applyBorder="1" applyFont="1" applyNumberFormat="1">
      <alignment readingOrder="0"/>
    </xf>
    <xf borderId="0" fillId="0" fontId="51" numFmtId="0" xfId="0" applyAlignment="1" applyFont="1">
      <alignment horizontal="right"/>
    </xf>
    <xf borderId="0" fillId="0" fontId="52" numFmtId="169" xfId="0" applyFont="1" applyNumberFormat="1"/>
    <xf borderId="1" fillId="0" fontId="51" numFmtId="169" xfId="0" applyBorder="1" applyFont="1" applyNumberFormat="1"/>
    <xf borderId="0" fillId="0" fontId="51" numFmtId="169" xfId="0" applyFont="1" applyNumberFormat="1"/>
    <xf borderId="17" fillId="0" fontId="53" numFmtId="169" xfId="0" applyAlignment="1" applyBorder="1" applyFont="1" applyNumberFormat="1">
      <alignment horizontal="center" vertical="center"/>
    </xf>
    <xf borderId="8" fillId="0" fontId="50" numFmtId="0" xfId="0" applyBorder="1" applyFont="1"/>
    <xf borderId="1" fillId="0" fontId="50" numFmtId="0" xfId="0" applyBorder="1" applyFont="1"/>
    <xf borderId="17" fillId="0" fontId="50" numFmtId="0" xfId="0" applyAlignment="1" applyBorder="1" applyFont="1">
      <alignment horizontal="center" vertical="center"/>
    </xf>
    <xf borderId="19" fillId="13" fontId="48" numFmtId="0" xfId="0" applyAlignment="1" applyBorder="1" applyFont="1">
      <alignment horizontal="center" vertical="center"/>
    </xf>
    <xf borderId="20" fillId="13" fontId="48" numFmtId="169" xfId="0" applyBorder="1" applyFont="1" applyNumberFormat="1"/>
    <xf borderId="21" fillId="13" fontId="48" numFmtId="169" xfId="0" applyBorder="1" applyFont="1" applyNumberFormat="1"/>
    <xf borderId="22" fillId="13" fontId="48" numFmtId="169" xfId="0" applyBorder="1" applyFont="1" applyNumberFormat="1"/>
    <xf borderId="23" fillId="13" fontId="48" numFmtId="169" xfId="0" applyBorder="1" applyFont="1" applyNumberFormat="1"/>
    <xf borderId="24" fillId="13" fontId="48" numFmtId="169" xfId="0" applyBorder="1" applyFont="1" applyNumberFormat="1"/>
    <xf borderId="25" fillId="13" fontId="48" numFmtId="169" xfId="0" applyBorder="1" applyFont="1" applyNumberFormat="1"/>
    <xf borderId="26" fillId="13" fontId="48" numFmtId="169" xfId="0" applyBorder="1" applyFont="1" applyNumberFormat="1"/>
    <xf borderId="0" fillId="13" fontId="16" numFmtId="0" xfId="0" applyFont="1"/>
    <xf borderId="19" fillId="26" fontId="48" numFmtId="0" xfId="0" applyAlignment="1" applyBorder="1" applyFill="1" applyFont="1">
      <alignment horizontal="center" vertical="center"/>
    </xf>
    <xf borderId="20" fillId="26" fontId="48" numFmtId="169" xfId="0" applyBorder="1" applyFont="1" applyNumberFormat="1"/>
    <xf borderId="21" fillId="26" fontId="48" numFmtId="169" xfId="0" applyBorder="1" applyFont="1" applyNumberFormat="1"/>
    <xf borderId="22" fillId="26" fontId="48" numFmtId="169" xfId="0" applyBorder="1" applyFont="1" applyNumberFormat="1"/>
    <xf borderId="23" fillId="26" fontId="48" numFmtId="169" xfId="0" applyBorder="1" applyFont="1" applyNumberFormat="1"/>
    <xf borderId="27" fillId="26" fontId="48" numFmtId="169" xfId="0" applyBorder="1" applyFont="1" applyNumberFormat="1"/>
    <xf borderId="26" fillId="26" fontId="48" numFmtId="169" xfId="0" applyBorder="1" applyFont="1" applyNumberFormat="1"/>
    <xf borderId="18" fillId="27" fontId="49" numFmtId="0" xfId="0" applyAlignment="1" applyBorder="1" applyFill="1" applyFont="1">
      <alignment horizontal="right"/>
    </xf>
    <xf borderId="18" fillId="27" fontId="50" numFmtId="169" xfId="0" applyBorder="1" applyFont="1" applyNumberFormat="1"/>
    <xf borderId="28" fillId="27" fontId="50" numFmtId="169" xfId="0" applyBorder="1" applyFont="1" applyNumberFormat="1"/>
    <xf borderId="29" fillId="27" fontId="50" numFmtId="169" xfId="0" applyBorder="1" applyFont="1" applyNumberFormat="1"/>
    <xf borderId="30" fillId="27" fontId="50" numFmtId="169" xfId="0" applyBorder="1" applyFont="1" applyNumberFormat="1"/>
    <xf borderId="31" fillId="27" fontId="50" numFmtId="169" xfId="0" applyBorder="1" applyFont="1" applyNumberFormat="1"/>
    <xf borderId="10" fillId="28" fontId="48" numFmtId="0" xfId="0" applyAlignment="1" applyBorder="1" applyFill="1" applyFont="1">
      <alignment horizontal="center" vertical="center"/>
    </xf>
    <xf borderId="11" fillId="28" fontId="48" numFmtId="169" xfId="0" applyBorder="1" applyFont="1" applyNumberFormat="1"/>
    <xf borderId="12" fillId="28" fontId="48" numFmtId="169" xfId="0" applyBorder="1" applyFont="1" applyNumberFormat="1"/>
    <xf borderId="13" fillId="28" fontId="48" numFmtId="169" xfId="0" applyBorder="1" applyFont="1" applyNumberFormat="1"/>
    <xf borderId="14" fillId="28" fontId="48" numFmtId="169" xfId="0" applyBorder="1" applyFont="1" applyNumberFormat="1"/>
    <xf borderId="15" fillId="28" fontId="48" numFmtId="169" xfId="0" applyBorder="1" applyFont="1" applyNumberFormat="1"/>
    <xf borderId="16" fillId="28" fontId="48" numFmtId="169" xfId="0" applyBorder="1" applyFont="1" applyNumberFormat="1"/>
    <xf borderId="0" fillId="0" fontId="54" numFmtId="0" xfId="0" applyAlignment="1" applyFont="1">
      <alignment horizontal="right"/>
    </xf>
    <xf borderId="8" fillId="0" fontId="50" numFmtId="169" xfId="0" applyAlignment="1" applyBorder="1" applyFont="1" applyNumberFormat="1">
      <alignment readingOrder="0"/>
    </xf>
    <xf borderId="0" fillId="0" fontId="54" numFmtId="0" xfId="0" applyAlignment="1" applyFont="1">
      <alignment horizontal="right" readingOrder="0"/>
    </xf>
    <xf borderId="8" fillId="0" fontId="52" numFmtId="169" xfId="0" applyBorder="1" applyFont="1" applyNumberFormat="1"/>
    <xf borderId="1" fillId="0" fontId="52" numFmtId="169" xfId="0" applyBorder="1" applyFont="1" applyNumberFormat="1"/>
    <xf borderId="8" fillId="0" fontId="55" numFmtId="169" xfId="0" applyAlignment="1" applyBorder="1" applyFont="1" applyNumberFormat="1">
      <alignment vertical="bottom"/>
    </xf>
    <xf borderId="1" fillId="0" fontId="55" numFmtId="169" xfId="0" applyAlignment="1" applyBorder="1" applyFont="1" applyNumberFormat="1">
      <alignment vertical="bottom"/>
    </xf>
    <xf borderId="10" fillId="29" fontId="48" numFmtId="0" xfId="0" applyAlignment="1" applyBorder="1" applyFill="1" applyFont="1">
      <alignment horizontal="center" vertical="center"/>
    </xf>
    <xf borderId="11" fillId="29" fontId="48" numFmtId="169" xfId="0" applyBorder="1" applyFont="1" applyNumberFormat="1"/>
    <xf borderId="12" fillId="29" fontId="48" numFmtId="169" xfId="0" applyBorder="1" applyFont="1" applyNumberFormat="1"/>
    <xf borderId="13" fillId="29" fontId="48" numFmtId="169" xfId="0" applyBorder="1" applyFont="1" applyNumberFormat="1"/>
    <xf borderId="14" fillId="29" fontId="48" numFmtId="169" xfId="0" applyBorder="1" applyFont="1" applyNumberFormat="1"/>
    <xf borderId="15" fillId="29" fontId="48" numFmtId="169" xfId="0" applyBorder="1" applyFont="1" applyNumberFormat="1"/>
    <xf borderId="16" fillId="29" fontId="48" numFmtId="169" xfId="0" applyBorder="1" applyFont="1" applyNumberFormat="1"/>
    <xf borderId="10" fillId="30" fontId="48" numFmtId="0" xfId="0" applyAlignment="1" applyBorder="1" applyFill="1" applyFont="1">
      <alignment horizontal="center" vertical="center"/>
    </xf>
    <xf borderId="11" fillId="30" fontId="48" numFmtId="9" xfId="0" applyBorder="1" applyFont="1" applyNumberFormat="1"/>
    <xf borderId="12" fillId="30" fontId="48" numFmtId="9" xfId="0" applyBorder="1" applyFont="1" applyNumberFormat="1"/>
    <xf borderId="13" fillId="30" fontId="48" numFmtId="9" xfId="0" applyBorder="1" applyFont="1" applyNumberFormat="1"/>
    <xf borderId="14" fillId="30" fontId="48" numFmtId="9" xfId="0" applyBorder="1" applyFont="1" applyNumberFormat="1"/>
    <xf borderId="15" fillId="30" fontId="48" numFmtId="9" xfId="0" applyBorder="1" applyFont="1" applyNumberFormat="1"/>
    <xf borderId="16" fillId="30" fontId="48" numFmtId="169" xfId="0" applyBorder="1" applyFont="1" applyNumberFormat="1"/>
    <xf borderId="0" fillId="0" fontId="50" numFmtId="9" xfId="0" applyFont="1" applyNumberFormat="1"/>
    <xf borderId="8" fillId="0" fontId="50" numFmtId="9" xfId="0" applyBorder="1" applyFont="1" applyNumberFormat="1"/>
    <xf borderId="1" fillId="0" fontId="50" numFmtId="9" xfId="0" applyBorder="1" applyFont="1" applyNumberFormat="1"/>
    <xf borderId="17" fillId="0" fontId="47" numFmtId="9" xfId="0" applyBorder="1" applyFont="1" applyNumberFormat="1"/>
    <xf borderId="0" fillId="0" fontId="56" numFmtId="0" xfId="0" applyAlignment="1" applyFont="1">
      <alignment horizontal="right"/>
    </xf>
    <xf borderId="0" fillId="0" fontId="57" numFmtId="9" xfId="0" applyFont="1" applyNumberFormat="1"/>
    <xf borderId="8" fillId="0" fontId="57" numFmtId="9" xfId="0" applyBorder="1" applyFont="1" applyNumberFormat="1"/>
    <xf borderId="1" fillId="0" fontId="57" numFmtId="9" xfId="0" applyBorder="1" applyFont="1" applyNumberFormat="1"/>
    <xf borderId="17" fillId="0" fontId="57" numFmtId="9" xfId="0" applyBorder="1" applyFont="1" applyNumberFormat="1"/>
    <xf borderId="0" fillId="0" fontId="57" numFmtId="0" xfId="0" applyFont="1"/>
    <xf borderId="10" fillId="29" fontId="58" numFmtId="0" xfId="0" applyAlignment="1" applyBorder="1" applyFont="1">
      <alignment horizontal="right"/>
    </xf>
    <xf borderId="32" fillId="29" fontId="48" numFmtId="169" xfId="0" applyBorder="1" applyFont="1" applyNumberFormat="1"/>
    <xf borderId="3" fillId="0" fontId="50" numFmtId="0" xfId="0" applyBorder="1" applyFont="1"/>
    <xf borderId="33" fillId="0" fontId="50" numFmtId="0" xfId="0" applyBorder="1" applyFont="1"/>
    <xf borderId="0" fillId="0" fontId="48" numFmtId="1" xfId="0" applyAlignment="1" applyFont="1" applyNumberFormat="1">
      <alignment horizontal="center" vertical="center"/>
    </xf>
    <xf borderId="5" fillId="23" fontId="48" numFmtId="1" xfId="0" applyAlignment="1" applyBorder="1" applyFont="1" applyNumberFormat="1">
      <alignment horizontal="center" readingOrder="0" vertical="center"/>
    </xf>
    <xf borderId="34" fillId="23" fontId="48" numFmtId="1" xfId="0" applyBorder="1" applyFont="1" applyNumberFormat="1"/>
    <xf borderId="5" fillId="23" fontId="48" numFmtId="1" xfId="0" applyBorder="1" applyFont="1" applyNumberFormat="1"/>
    <xf borderId="4" fillId="23" fontId="48" numFmtId="1" xfId="0" applyAlignment="1" applyBorder="1" applyFont="1" applyNumberFormat="1">
      <alignment horizontal="center" vertical="center"/>
    </xf>
    <xf borderId="0" fillId="0" fontId="16" numFmtId="1" xfId="0" applyFont="1" applyNumberFormat="1"/>
    <xf borderId="0" fillId="0" fontId="59" numFmtId="1" xfId="0" applyFont="1" applyNumberFormat="1"/>
    <xf borderId="3" fillId="0" fontId="10" numFmtId="0" xfId="0" applyBorder="1" applyFont="1"/>
    <xf borderId="35" fillId="23" fontId="60" numFmtId="1" xfId="0" applyAlignment="1" applyBorder="1" applyFont="1" applyNumberFormat="1">
      <alignment readingOrder="0"/>
    </xf>
    <xf borderId="3" fillId="23" fontId="60" numFmtId="1" xfId="0" applyAlignment="1" applyBorder="1" applyFont="1" applyNumberFormat="1">
      <alignment readingOrder="0"/>
    </xf>
    <xf borderId="2" fillId="23" fontId="60" numFmtId="1" xfId="0" applyAlignment="1" applyBorder="1" applyFont="1" applyNumberFormat="1">
      <alignment readingOrder="0"/>
    </xf>
    <xf borderId="0" fillId="0" fontId="61" numFmtId="1" xfId="0" applyFont="1" applyNumberFormat="1"/>
    <xf borderId="5" fillId="2" fontId="48" numFmtId="1" xfId="0" applyAlignment="1" applyBorder="1" applyFont="1" applyNumberFormat="1">
      <alignment horizontal="center" readingOrder="0" vertical="center"/>
    </xf>
    <xf borderId="34" fillId="2" fontId="48" numFmtId="1" xfId="0" applyAlignment="1" applyBorder="1" applyFont="1" applyNumberFormat="1">
      <alignment readingOrder="0"/>
    </xf>
    <xf borderId="5" fillId="2" fontId="48" numFmtId="1" xfId="0" applyAlignment="1" applyBorder="1" applyFont="1" applyNumberFormat="1">
      <alignment readingOrder="0"/>
    </xf>
    <xf borderId="4" fillId="2" fontId="48" numFmtId="1" xfId="0" applyAlignment="1" applyBorder="1" applyFont="1" applyNumberFormat="1">
      <alignment horizontal="center" vertical="center"/>
    </xf>
    <xf borderId="35" fillId="2" fontId="60" numFmtId="1" xfId="0" applyAlignment="1" applyBorder="1" applyFont="1" applyNumberFormat="1">
      <alignment readingOrder="0"/>
    </xf>
    <xf borderId="3" fillId="2" fontId="60" numFmtId="1" xfId="0" applyAlignment="1" applyBorder="1" applyFont="1" applyNumberFormat="1">
      <alignment readingOrder="0"/>
    </xf>
    <xf borderId="2" fillId="2" fontId="60" numFmtId="170" xfId="0" applyAlignment="1" applyBorder="1" applyFont="1" applyNumberFormat="1">
      <alignment readingOrder="0"/>
    </xf>
    <xf borderId="0" fillId="0" fontId="47" numFmtId="1" xfId="0" applyAlignment="1" applyFont="1" applyNumberFormat="1">
      <alignment readingOrder="0"/>
    </xf>
    <xf borderId="8" fillId="0" fontId="47" numFmtId="1" xfId="0" applyAlignment="1" applyBorder="1" applyFont="1" applyNumberFormat="1">
      <alignment readingOrder="0"/>
    </xf>
    <xf borderId="36" fillId="0" fontId="47" numFmtId="1" xfId="0" applyAlignment="1" applyBorder="1" applyFont="1" applyNumberFormat="1">
      <alignment horizontal="center" vertical="center"/>
    </xf>
    <xf borderId="37" fillId="0" fontId="47" numFmtId="1" xfId="0" applyAlignment="1" applyBorder="1" applyFont="1" applyNumberFormat="1">
      <alignment horizontal="center" vertical="center"/>
    </xf>
    <xf borderId="0" fillId="20" fontId="48" numFmtId="1" xfId="0" applyAlignment="1" applyFont="1" applyNumberFormat="1">
      <alignment horizontal="center" vertical="center"/>
    </xf>
    <xf borderId="38" fillId="20" fontId="48" numFmtId="1" xfId="0" applyAlignment="1" applyBorder="1" applyFont="1" applyNumberFormat="1">
      <alignment horizontal="center" vertical="center"/>
    </xf>
    <xf borderId="39" fillId="20" fontId="48" numFmtId="1" xfId="0" applyBorder="1" applyFont="1" applyNumberFormat="1"/>
    <xf borderId="40" fillId="20" fontId="48" numFmtId="1" xfId="0" applyBorder="1" applyFont="1" applyNumberFormat="1"/>
    <xf borderId="38" fillId="20" fontId="48" numFmtId="1" xfId="0" applyBorder="1" applyFont="1" applyNumberFormat="1"/>
    <xf borderId="41" fillId="20" fontId="48" numFmtId="1" xfId="0" applyBorder="1" applyFont="1" applyNumberFormat="1"/>
    <xf borderId="42" fillId="20" fontId="48" numFmtId="1" xfId="0" applyBorder="1" applyFont="1" applyNumberFormat="1"/>
    <xf borderId="6" fillId="20" fontId="48" numFmtId="1" xfId="0" applyBorder="1" applyFont="1" applyNumberFormat="1"/>
    <xf borderId="0" fillId="0" fontId="49" numFmtId="1" xfId="0" applyAlignment="1" applyFont="1" applyNumberFormat="1">
      <alignment horizontal="right" vertical="center"/>
    </xf>
    <xf borderId="0" fillId="0" fontId="50" numFmtId="1" xfId="0" applyAlignment="1" applyFont="1" applyNumberFormat="1">
      <alignment readingOrder="0"/>
    </xf>
    <xf borderId="0" fillId="0" fontId="49" numFmtId="1" xfId="0" applyAlignment="1" applyFont="1" applyNumberFormat="1">
      <alignment horizontal="right"/>
    </xf>
    <xf borderId="0" fillId="0" fontId="49" numFmtId="1" xfId="0" applyAlignment="1" applyFont="1" applyNumberFormat="1">
      <alignment horizontal="right" readingOrder="0"/>
    </xf>
    <xf borderId="0" fillId="0" fontId="49" numFmtId="1" xfId="0" applyAlignment="1" applyFont="1" applyNumberFormat="1">
      <alignment readingOrder="0"/>
    </xf>
    <xf borderId="0" fillId="0" fontId="50" numFmtId="1" xfId="0" applyFont="1" applyNumberFormat="1"/>
    <xf borderId="0" fillId="0" fontId="51" numFmtId="1" xfId="0" applyAlignment="1" applyFont="1" applyNumberFormat="1">
      <alignment horizontal="right"/>
    </xf>
    <xf borderId="0" fillId="0" fontId="52" numFmtId="1" xfId="0" applyAlignment="1" applyFont="1" applyNumberFormat="1">
      <alignment readingOrder="0"/>
    </xf>
    <xf borderId="36" fillId="0" fontId="53" numFmtId="1" xfId="0" applyAlignment="1" applyBorder="1" applyFont="1" applyNumberFormat="1">
      <alignment horizontal="center" vertical="center"/>
    </xf>
    <xf borderId="8" fillId="0" fontId="16" numFmtId="1" xfId="0" applyBorder="1" applyFont="1" applyNumberFormat="1"/>
    <xf borderId="36" fillId="0" fontId="16" numFmtId="1" xfId="0" applyBorder="1" applyFont="1" applyNumberFormat="1"/>
    <xf borderId="0" fillId="26" fontId="48" numFmtId="1" xfId="0" applyAlignment="1" applyFont="1" applyNumberFormat="1">
      <alignment horizontal="center" vertical="center"/>
    </xf>
    <xf borderId="38" fillId="26" fontId="48" numFmtId="1" xfId="0" applyAlignment="1" applyBorder="1" applyFont="1" applyNumberFormat="1">
      <alignment horizontal="center" vertical="center"/>
    </xf>
    <xf borderId="39" fillId="26" fontId="48" numFmtId="1" xfId="0" applyBorder="1" applyFont="1" applyNumberFormat="1"/>
    <xf borderId="40" fillId="26" fontId="48" numFmtId="1" xfId="0" applyBorder="1" applyFont="1" applyNumberFormat="1"/>
    <xf borderId="38" fillId="26" fontId="48" numFmtId="1" xfId="0" applyBorder="1" applyFont="1" applyNumberFormat="1"/>
    <xf borderId="41" fillId="26" fontId="48" numFmtId="1" xfId="0" applyBorder="1" applyFont="1" applyNumberFormat="1"/>
    <xf borderId="42" fillId="26" fontId="48" numFmtId="1" xfId="0" applyBorder="1" applyFont="1" applyNumberFormat="1"/>
    <xf borderId="6" fillId="26" fontId="48" numFmtId="1" xfId="0" applyBorder="1" applyFont="1" applyNumberFormat="1"/>
    <xf borderId="0" fillId="0" fontId="49" numFmtId="1" xfId="0" applyAlignment="1" applyFont="1" applyNumberFormat="1">
      <alignment horizontal="right" readingOrder="0" vertical="center"/>
    </xf>
    <xf borderId="0" fillId="27" fontId="49" numFmtId="1" xfId="0" applyAlignment="1" applyFont="1" applyNumberFormat="1">
      <alignment horizontal="right" readingOrder="0"/>
    </xf>
    <xf borderId="18" fillId="27" fontId="49" numFmtId="1" xfId="0" applyAlignment="1" applyBorder="1" applyFont="1" applyNumberFormat="1">
      <alignment horizontal="right"/>
    </xf>
    <xf borderId="8" fillId="0" fontId="50" numFmtId="1" xfId="0" applyBorder="1" applyFont="1" applyNumberFormat="1"/>
    <xf borderId="1" fillId="0" fontId="50" numFmtId="1" xfId="0" applyBorder="1" applyFont="1" applyNumberFormat="1"/>
    <xf borderId="36" fillId="0" fontId="50" numFmtId="1" xfId="0" applyAlignment="1" applyBorder="1" applyFont="1" applyNumberFormat="1">
      <alignment horizontal="center" vertical="center"/>
    </xf>
    <xf borderId="0" fillId="28" fontId="48" numFmtId="1" xfId="0" applyAlignment="1" applyFont="1" applyNumberFormat="1">
      <alignment horizontal="center" vertical="center"/>
    </xf>
    <xf borderId="10" fillId="28" fontId="48" numFmtId="1" xfId="0" applyAlignment="1" applyBorder="1" applyFont="1" applyNumberFormat="1">
      <alignment horizontal="center" vertical="center"/>
    </xf>
    <xf borderId="11" fillId="28" fontId="48" numFmtId="1" xfId="0" applyBorder="1" applyFont="1" applyNumberFormat="1"/>
    <xf borderId="12" fillId="28" fontId="48" numFmtId="1" xfId="0" applyBorder="1" applyFont="1" applyNumberFormat="1"/>
    <xf borderId="13" fillId="28" fontId="48" numFmtId="1" xfId="0" applyBorder="1" applyFont="1" applyNumberFormat="1"/>
    <xf borderId="14" fillId="28" fontId="48" numFmtId="1" xfId="0" applyBorder="1" applyFont="1" applyNumberFormat="1"/>
    <xf borderId="43" fillId="28" fontId="48" numFmtId="1" xfId="0" applyBorder="1" applyFont="1" applyNumberFormat="1"/>
    <xf borderId="44" fillId="28" fontId="48" numFmtId="1" xfId="0" applyBorder="1" applyFont="1" applyNumberFormat="1"/>
    <xf borderId="0" fillId="0" fontId="54" numFmtId="1" xfId="0" applyAlignment="1" applyFont="1" applyNumberFormat="1">
      <alignment horizontal="right"/>
    </xf>
    <xf borderId="0" fillId="0" fontId="54" numFmtId="1" xfId="0" applyAlignment="1" applyFont="1" applyNumberFormat="1">
      <alignment horizontal="right" readingOrder="0"/>
    </xf>
    <xf borderId="0" fillId="0" fontId="62" numFmtId="1" xfId="0" applyAlignment="1" applyFont="1" applyNumberFormat="1">
      <alignment horizontal="right" readingOrder="0"/>
    </xf>
    <xf borderId="0" fillId="0" fontId="41" numFmtId="1" xfId="0" applyAlignment="1" applyFont="1" applyNumberFormat="1">
      <alignment readingOrder="0"/>
    </xf>
    <xf borderId="0" fillId="0" fontId="52" numFmtId="1" xfId="0" applyFont="1" applyNumberFormat="1"/>
    <xf borderId="8" fillId="0" fontId="52" numFmtId="1" xfId="0" applyBorder="1" applyFont="1" applyNumberFormat="1"/>
    <xf borderId="1" fillId="0" fontId="52" numFmtId="1" xfId="0" applyBorder="1" applyFont="1" applyNumberFormat="1"/>
    <xf borderId="10" fillId="28" fontId="48" numFmtId="1" xfId="0" applyAlignment="1" applyBorder="1" applyFont="1" applyNumberFormat="1">
      <alignment horizontal="center" readingOrder="0" vertical="center"/>
    </xf>
    <xf borderId="8" fillId="0" fontId="55" numFmtId="1" xfId="0" applyAlignment="1" applyBorder="1" applyFont="1" applyNumberFormat="1">
      <alignment vertical="bottom"/>
    </xf>
    <xf borderId="1" fillId="0" fontId="55" numFmtId="1" xfId="0" applyAlignment="1" applyBorder="1" applyFont="1" applyNumberFormat="1">
      <alignment vertical="bottom"/>
    </xf>
    <xf borderId="8" fillId="0" fontId="50" numFmtId="1" xfId="0" applyAlignment="1" applyBorder="1" applyFont="1" applyNumberFormat="1">
      <alignment readingOrder="0"/>
    </xf>
    <xf borderId="0" fillId="29" fontId="48" numFmtId="1" xfId="0" applyAlignment="1" applyFont="1" applyNumberFormat="1">
      <alignment horizontal="center" vertical="center"/>
    </xf>
    <xf borderId="10" fillId="29" fontId="48" numFmtId="1" xfId="0" applyAlignment="1" applyBorder="1" applyFont="1" applyNumberFormat="1">
      <alignment horizontal="center" readingOrder="0" vertical="center"/>
    </xf>
    <xf borderId="11" fillId="29" fontId="48" numFmtId="1" xfId="0" applyBorder="1" applyFont="1" applyNumberFormat="1"/>
    <xf borderId="44" fillId="29" fontId="48" numFmtId="1" xfId="0" applyBorder="1" applyFont="1" applyNumberFormat="1"/>
    <xf borderId="0" fillId="30" fontId="48" numFmtId="1" xfId="0" applyAlignment="1" applyFont="1" applyNumberFormat="1">
      <alignment horizontal="center" vertical="center"/>
    </xf>
    <xf borderId="10" fillId="30" fontId="48" numFmtId="1" xfId="0" applyAlignment="1" applyBorder="1" applyFont="1" applyNumberFormat="1">
      <alignment horizontal="center" vertical="center"/>
    </xf>
    <xf borderId="11" fillId="30" fontId="48" numFmtId="1" xfId="0" applyBorder="1" applyFont="1" applyNumberFormat="1"/>
    <xf borderId="12" fillId="30" fontId="48" numFmtId="1" xfId="0" applyBorder="1" applyFont="1" applyNumberFormat="1"/>
    <xf borderId="13" fillId="30" fontId="48" numFmtId="1" xfId="0" applyBorder="1" applyFont="1" applyNumberFormat="1"/>
    <xf borderId="14" fillId="30" fontId="48" numFmtId="1" xfId="0" applyBorder="1" applyFont="1" applyNumberFormat="1"/>
    <xf borderId="43" fillId="30" fontId="48" numFmtId="1" xfId="0" applyBorder="1" applyFont="1" applyNumberFormat="1"/>
    <xf borderId="44" fillId="30" fontId="48" numFmtId="1" xfId="0" applyBorder="1" applyFont="1" applyNumberFormat="1"/>
    <xf borderId="36" fillId="0" fontId="47" numFmtId="1" xfId="0" applyBorder="1" applyFont="1" applyNumberFormat="1"/>
    <xf borderId="0" fillId="0" fontId="56" numFmtId="1" xfId="0" applyAlignment="1" applyFont="1" applyNumberFormat="1">
      <alignment horizontal="right"/>
    </xf>
    <xf borderId="0" fillId="0" fontId="57" numFmtId="1" xfId="0" applyFont="1" applyNumberFormat="1"/>
    <xf borderId="8" fillId="0" fontId="57" numFmtId="1" xfId="0" applyBorder="1" applyFont="1" applyNumberFormat="1"/>
    <xf borderId="1" fillId="0" fontId="57" numFmtId="1" xfId="0" applyBorder="1" applyFont="1" applyNumberFormat="1"/>
    <xf borderId="36" fillId="0" fontId="57" numFmtId="1" xfId="0" applyBorder="1" applyFont="1" applyNumberFormat="1"/>
    <xf borderId="3" fillId="0" fontId="50" numFmtId="1" xfId="0" applyBorder="1" applyFont="1" applyNumberFormat="1"/>
    <xf borderId="33" fillId="0" fontId="50" numFmtId="1" xfId="0" applyBorder="1" applyFont="1" applyNumberFormat="1"/>
    <xf borderId="2" fillId="0" fontId="50" numFmtId="1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63" numFmtId="164" xfId="0" applyAlignment="1" applyFont="1" applyNumberFormat="1">
      <alignment horizontal="center" vertical="center"/>
    </xf>
    <xf borderId="0" fillId="0" fontId="64" numFmtId="164" xfId="0" applyAlignment="1" applyFont="1" applyNumberFormat="1">
      <alignment horizontal="center" vertical="center"/>
    </xf>
    <xf borderId="0" fillId="0" fontId="16" numFmtId="164" xfId="0" applyAlignment="1" applyFont="1" applyNumberFormat="1">
      <alignment horizontal="center" readingOrder="0" vertical="center"/>
    </xf>
    <xf borderId="0" fillId="0" fontId="42" numFmtId="164" xfId="0" applyAlignment="1" applyFont="1" applyNumberFormat="1">
      <alignment horizontal="center" vertical="center"/>
    </xf>
    <xf borderId="0" fillId="0" fontId="42" numFmtId="0" xfId="0" applyAlignment="1" applyFont="1">
      <alignment horizontal="center" vertical="center"/>
    </xf>
    <xf borderId="0" fillId="0" fontId="65" numFmtId="0" xfId="0" applyAlignment="1" applyFont="1">
      <alignment horizontal="center" readingOrder="0" vertical="center"/>
    </xf>
    <xf borderId="0" fillId="2" fontId="65" numFmtId="168" xfId="0" applyAlignment="1" applyFont="1" applyNumberFormat="1">
      <alignment horizontal="center" readingOrder="0" vertical="center"/>
    </xf>
    <xf borderId="0" fillId="2" fontId="65" numFmtId="0" xfId="0" applyAlignment="1" applyFont="1">
      <alignment horizontal="center" readingOrder="0" vertical="center"/>
    </xf>
    <xf borderId="0" fillId="7" fontId="65" numFmtId="0" xfId="0" applyAlignment="1" applyFont="1">
      <alignment horizontal="center" readingOrder="0" vertical="center"/>
    </xf>
    <xf borderId="3" fillId="0" fontId="65" numFmtId="164" xfId="0" applyAlignment="1" applyBorder="1" applyFont="1" applyNumberFormat="1">
      <alignment horizontal="center" readingOrder="0" vertical="center"/>
    </xf>
    <xf borderId="35" fillId="0" fontId="65" numFmtId="164" xfId="0" applyAlignment="1" applyBorder="1" applyFont="1" applyNumberFormat="1">
      <alignment horizontal="center" readingOrder="0" vertical="center"/>
    </xf>
    <xf borderId="35" fillId="0" fontId="65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65" numFmtId="164" xfId="0" applyAlignment="1" applyFont="1" applyNumberFormat="1">
      <alignment horizontal="center" readingOrder="0" vertical="center"/>
    </xf>
    <xf borderId="8" fillId="0" fontId="42" numFmtId="164" xfId="0" applyAlignment="1" applyBorder="1" applyFont="1" applyNumberFormat="1">
      <alignment horizontal="center" readingOrder="0" vertical="center"/>
    </xf>
    <xf borderId="8" fillId="2" fontId="16" numFmtId="2" xfId="0" applyAlignment="1" applyBorder="1" applyFont="1" applyNumberFormat="1">
      <alignment horizontal="center" readingOrder="0" vertical="center"/>
    </xf>
    <xf borderId="0" fillId="2" fontId="16" numFmtId="164" xfId="0" applyAlignment="1" applyFont="1" applyNumberFormat="1">
      <alignment horizontal="center" vertical="center"/>
    </xf>
    <xf borderId="0" fillId="7" fontId="16" numFmtId="164" xfId="0" applyAlignment="1" applyFont="1" applyNumberFormat="1">
      <alignment horizontal="center" vertical="center"/>
    </xf>
    <xf borderId="8" fillId="0" fontId="16" numFmtId="164" xfId="0" applyAlignment="1" applyBorder="1" applyFont="1" applyNumberFormat="1">
      <alignment horizontal="center" vertical="center"/>
    </xf>
    <xf borderId="0" fillId="0" fontId="16" numFmtId="164" xfId="0" applyAlignment="1" applyFont="1" applyNumberFormat="1">
      <alignment horizontal="center" vertical="center"/>
    </xf>
    <xf borderId="0" fillId="31" fontId="16" numFmtId="164" xfId="0" applyAlignment="1" applyFill="1" applyFont="1" applyNumberFormat="1">
      <alignment horizontal="center" vertical="center"/>
    </xf>
    <xf borderId="0" fillId="31" fontId="16" numFmtId="164" xfId="0" applyAlignment="1" applyFont="1" applyNumberFormat="1">
      <alignment horizontal="center" readingOrder="0" vertical="center"/>
    </xf>
    <xf borderId="0" fillId="15" fontId="16" numFmtId="164" xfId="0" applyAlignment="1" applyFont="1" applyNumberFormat="1">
      <alignment horizontal="center" vertical="center"/>
    </xf>
    <xf borderId="8" fillId="9" fontId="42" numFmtId="164" xfId="0" applyAlignment="1" applyBorder="1" applyFont="1" applyNumberFormat="1">
      <alignment horizontal="center" readingOrder="0" vertical="center"/>
    </xf>
    <xf borderId="0" fillId="0" fontId="42" numFmtId="164" xfId="0" applyAlignment="1" applyFont="1" applyNumberFormat="1">
      <alignment horizontal="center" readingOrder="0" vertical="center"/>
    </xf>
    <xf borderId="0" fillId="9" fontId="42" numFmtId="164" xfId="0" applyAlignment="1" applyFont="1" applyNumberFormat="1">
      <alignment horizontal="center" readingOrder="0" vertical="center"/>
    </xf>
    <xf borderId="0" fillId="0" fontId="66" numFmtId="0" xfId="0" applyAlignment="1" applyFont="1">
      <alignment horizontal="center" readingOrder="0" vertical="center"/>
    </xf>
    <xf borderId="0" fillId="2" fontId="16" numFmtId="2" xfId="0" applyAlignment="1" applyFont="1" applyNumberFormat="1">
      <alignment horizontal="center" readingOrder="0" vertical="center"/>
    </xf>
    <xf borderId="0" fillId="0" fontId="67" numFmtId="0" xfId="0" applyAlignment="1" applyFont="1">
      <alignment horizontal="center" readingOrder="0" vertical="center"/>
    </xf>
    <xf borderId="0" fillId="0" fontId="16" numFmtId="168" xfId="0" applyAlignment="1" applyFont="1" applyNumberFormat="1">
      <alignment horizontal="center" vertical="center"/>
    </xf>
    <xf borderId="8" fillId="2" fontId="16" numFmtId="164" xfId="0" applyAlignment="1" applyBorder="1" applyFont="1" applyNumberFormat="1">
      <alignment horizontal="center" vertical="center"/>
    </xf>
    <xf borderId="0" fillId="13" fontId="42" numFmtId="164" xfId="0" applyAlignment="1" applyFont="1" applyNumberFormat="1">
      <alignment horizontal="center" readingOrder="0" vertical="center"/>
    </xf>
    <xf borderId="0" fillId="13" fontId="42" numFmtId="164" xfId="0" applyAlignment="1" applyFont="1" applyNumberFormat="1">
      <alignment horizontal="center" vertical="center"/>
    </xf>
    <xf borderId="8" fillId="2" fontId="16" numFmtId="164" xfId="0" applyAlignment="1" applyBorder="1" applyFont="1" applyNumberFormat="1">
      <alignment horizontal="center" readingOrder="0" vertical="center"/>
    </xf>
    <xf borderId="0" fillId="2" fontId="16" numFmtId="168" xfId="0" applyAlignment="1" applyFont="1" applyNumberFormat="1">
      <alignment horizontal="center" readingOrder="0" vertical="center"/>
    </xf>
    <xf borderId="0" fillId="7" fontId="16" numFmtId="164" xfId="0" applyAlignment="1" applyFont="1" applyNumberFormat="1">
      <alignment horizontal="center" readingOrder="0" vertical="center"/>
    </xf>
    <xf borderId="0" fillId="0" fontId="42" numFmtId="1" xfId="0" applyAlignment="1" applyFont="1" applyNumberFormat="1">
      <alignment horizontal="center" readingOrder="0" vertical="center"/>
    </xf>
    <xf borderId="0" fillId="2" fontId="16" numFmtId="1" xfId="0" applyAlignment="1" applyFont="1" applyNumberFormat="1">
      <alignment horizontal="center" readingOrder="0" vertical="center"/>
    </xf>
    <xf borderId="0" fillId="0" fontId="42" numFmtId="2" xfId="0" applyAlignment="1" applyFont="1" applyNumberFormat="1">
      <alignment horizontal="center" readingOrder="0" vertical="center"/>
    </xf>
    <xf borderId="0" fillId="0" fontId="68" numFmtId="0" xfId="0" applyAlignment="1" applyFont="1">
      <alignment horizontal="center" readingOrder="0" vertical="center"/>
    </xf>
    <xf borderId="0" fillId="0" fontId="69" numFmtId="0" xfId="0" applyAlignment="1" applyFont="1">
      <alignment horizontal="center" readingOrder="0" shrinkToFit="0" vertical="center" wrapText="0"/>
    </xf>
    <xf borderId="0" fillId="0" fontId="68" numFmtId="0" xfId="0" applyAlignment="1" applyFont="1">
      <alignment horizontal="center" readingOrder="0" shrinkToFit="0" vertical="center" wrapText="0"/>
    </xf>
    <xf borderId="0" fillId="0" fontId="68" numFmtId="168" xfId="0" applyAlignment="1" applyFont="1" applyNumberFormat="1">
      <alignment horizontal="center" readingOrder="0" shrinkToFit="0" vertical="center" wrapText="0"/>
    </xf>
    <xf borderId="0" fillId="0" fontId="70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166" xfId="0" applyAlignment="1" applyFont="1" applyNumberFormat="1">
      <alignment horizontal="center" readingOrder="0" shrinkToFit="0" vertical="center" wrapText="0"/>
    </xf>
    <xf borderId="0" fillId="0" fontId="16" numFmtId="168" xfId="0" applyAlignment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8" fillId="0" fontId="16" numFmtId="164" xfId="0" applyAlignment="1" applyBorder="1" applyFont="1" applyNumberFormat="1">
      <alignment horizontal="center"/>
    </xf>
    <xf borderId="0" fillId="0" fontId="16" numFmtId="164" xfId="0" applyAlignment="1" applyFont="1" applyNumberFormat="1">
      <alignment horizontal="center"/>
    </xf>
    <xf borderId="0" fillId="0" fontId="16" numFmtId="0" xfId="0" applyAlignment="1" applyFont="1">
      <alignment horizontal="center" shrinkToFit="0" vertical="center" wrapText="0"/>
    </xf>
    <xf borderId="0" fillId="0" fontId="16" numFmtId="168" xfId="0" applyAlignment="1" applyFont="1" applyNumberFormat="1">
      <alignment horizontal="center" shrinkToFit="0" vertical="center" wrapText="0"/>
    </xf>
    <xf borderId="0" fillId="0" fontId="65" numFmtId="0" xfId="0" applyAlignment="1" applyFont="1">
      <alignment horizontal="center" readingOrder="0"/>
    </xf>
    <xf borderId="0" fillId="0" fontId="16" numFmtId="2" xfId="0" applyAlignment="1" applyFont="1" applyNumberFormat="1">
      <alignment horizontal="center"/>
    </xf>
    <xf borderId="0" fillId="0" fontId="70" numFmtId="0" xfId="0" applyAlignment="1" applyFont="1">
      <alignment horizontal="center" shrinkToFit="0" vertical="bottom" wrapText="0"/>
    </xf>
    <xf borderId="0" fillId="0" fontId="70" numFmtId="0" xfId="0" applyAlignment="1" applyFont="1">
      <alignment horizontal="center" shrinkToFit="0" vertical="bottom" wrapText="0"/>
    </xf>
    <xf borderId="0" fillId="0" fontId="67" numFmtId="0" xfId="0" applyAlignment="1" applyFont="1">
      <alignment horizontal="center" readingOrder="0"/>
    </xf>
    <xf borderId="0" fillId="0" fontId="16" numFmtId="167" xfId="0" applyAlignment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167" xfId="0" applyAlignment="1" applyFont="1" applyNumberFormat="1">
      <alignment horizontal="center" readingOrder="0" shrinkToFit="0" vertical="center" wrapText="0"/>
    </xf>
    <xf borderId="0" fillId="0" fontId="16" numFmtId="168" xfId="0" applyAlignment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6" numFmtId="165" xfId="0" applyAlignment="1" applyFont="1" applyNumberFormat="1">
      <alignment horizontal="center" readingOrder="0" shrinkToFit="0" vertical="center" wrapText="0"/>
    </xf>
    <xf borderId="0" fillId="0" fontId="16" numFmtId="164" xfId="0" applyAlignment="1" applyFont="1" applyNumberFormat="1">
      <alignment horizontal="center" readingOrder="0"/>
    </xf>
    <xf borderId="0" fillId="0" fontId="16" numFmtId="168" xfId="0" applyAlignment="1" applyFont="1" applyNumberFormat="1">
      <alignment horizontal="center" shrinkToFit="0" vertical="center" wrapText="0"/>
    </xf>
    <xf borderId="0" fillId="0" fontId="16" numFmtId="165" xfId="0" applyAlignment="1" applyFont="1" applyNumberFormat="1">
      <alignment horizontal="center" readingOrder="0" shrinkToFit="0" vertical="center" wrapText="0"/>
    </xf>
    <xf borderId="0" fillId="0" fontId="55" numFmtId="0" xfId="0" applyAlignment="1" applyFont="1">
      <alignment horizontal="center" vertical="center"/>
    </xf>
    <xf borderId="0" fillId="0" fontId="55" numFmtId="164" xfId="0" applyAlignment="1" applyFont="1" applyNumberFormat="1">
      <alignment horizontal="center" vertical="center"/>
    </xf>
    <xf borderId="0" fillId="0" fontId="16" numFmtId="0" xfId="0" applyAlignment="1" applyFont="1">
      <alignment horizontal="center" readingOrder="0" shrinkToFit="0" vertical="center" wrapText="0"/>
    </xf>
    <xf borderId="45" fillId="12" fontId="71" numFmtId="168" xfId="0" applyAlignment="1" applyBorder="1" applyFont="1" applyNumberFormat="1">
      <alignment horizontal="center" shrinkToFit="0" vertical="center" wrapText="0"/>
    </xf>
    <xf borderId="46" fillId="32" fontId="71" numFmtId="168" xfId="0" applyAlignment="1" applyBorder="1" applyFill="1" applyFont="1" applyNumberFormat="1">
      <alignment horizontal="center" shrinkToFit="0" vertical="center" wrapText="0"/>
    </xf>
    <xf borderId="45" fillId="12" fontId="71" numFmtId="168" xfId="0" applyAlignment="1" applyBorder="1" applyFont="1" applyNumberFormat="1">
      <alignment horizontal="center" readingOrder="0" shrinkToFit="0" vertical="center" wrapText="0"/>
    </xf>
    <xf borderId="6" fillId="0" fontId="72" numFmtId="0" xfId="0" applyAlignment="1" applyBorder="1" applyFont="1">
      <alignment horizontal="center" readingOrder="0" vertical="bottom"/>
    </xf>
    <xf borderId="6" fillId="10" fontId="72" numFmtId="0" xfId="0" applyAlignment="1" applyBorder="1" applyFont="1">
      <alignment horizontal="center" readingOrder="0" vertical="bottom"/>
    </xf>
    <xf borderId="6" fillId="0" fontId="72" numFmtId="0" xfId="0" applyAlignment="1" applyBorder="1" applyFont="1">
      <alignment horizontal="center"/>
    </xf>
    <xf borderId="6" fillId="0" fontId="72" numFmtId="0" xfId="0" applyAlignment="1" applyBorder="1" applyFont="1">
      <alignment horizontal="center" vertical="bottom"/>
    </xf>
    <xf borderId="6" fillId="0" fontId="73" numFmtId="171" xfId="0" applyAlignment="1" applyBorder="1" applyFont="1" applyNumberFormat="1">
      <alignment horizontal="center" readingOrder="0" vertical="bottom"/>
    </xf>
    <xf borderId="6" fillId="0" fontId="73" numFmtId="171" xfId="0" applyAlignment="1" applyBorder="1" applyFont="1" applyNumberFormat="1">
      <alignment horizontal="center" vertical="bottom"/>
    </xf>
    <xf borderId="6" fillId="10" fontId="73" numFmtId="171" xfId="0" applyAlignment="1" applyBorder="1" applyFont="1" applyNumberFormat="1">
      <alignment horizontal="center" readingOrder="0" vertical="bottom"/>
    </xf>
    <xf borderId="6" fillId="0" fontId="73" numFmtId="0" xfId="0" applyAlignment="1" applyBorder="1" applyFont="1">
      <alignment horizontal="center"/>
    </xf>
    <xf borderId="6" fillId="12" fontId="72" numFmtId="0" xfId="0" applyAlignment="1" applyBorder="1" applyFont="1">
      <alignment horizontal="center" vertical="bottom"/>
    </xf>
    <xf borderId="6" fillId="0" fontId="73" numFmtId="0" xfId="0" applyAlignment="1" applyBorder="1" applyFont="1">
      <alignment horizontal="center" readingOrder="0" vertical="bottom"/>
    </xf>
    <xf borderId="6" fillId="10" fontId="73" numFmtId="171" xfId="0" applyAlignment="1" applyBorder="1" applyFont="1" applyNumberFormat="1">
      <alignment horizontal="center" vertical="bottom"/>
    </xf>
    <xf borderId="6" fillId="13" fontId="73" numFmtId="171" xfId="0" applyAlignment="1" applyBorder="1" applyFont="1" applyNumberFormat="1">
      <alignment horizontal="center" readingOrder="0" vertical="bottom"/>
    </xf>
    <xf borderId="6" fillId="0" fontId="73" numFmtId="0" xfId="0" applyAlignment="1" applyBorder="1" applyFont="1">
      <alignment horizontal="center" vertical="bottom"/>
    </xf>
    <xf borderId="6" fillId="10" fontId="73" numFmtId="0" xfId="0" applyAlignment="1" applyBorder="1" applyFont="1">
      <alignment horizontal="center" vertical="bottom"/>
    </xf>
    <xf borderId="6" fillId="10" fontId="73" numFmtId="0" xfId="0" applyAlignment="1" applyBorder="1" applyFont="1">
      <alignment horizontal="center"/>
    </xf>
    <xf borderId="2" fillId="2" fontId="2" numFmtId="164" xfId="0" applyAlignment="1" applyBorder="1" applyFont="1" applyNumberFormat="1">
      <alignment horizontal="center" readingOrder="0" vertical="center"/>
    </xf>
    <xf borderId="3" fillId="2" fontId="2" numFmtId="164" xfId="0" applyAlignment="1" applyBorder="1" applyFont="1" applyNumberFormat="1">
      <alignment horizontal="center" readingOrder="0" shrinkToFit="0" vertical="center" wrapText="1"/>
    </xf>
    <xf borderId="0" fillId="24" fontId="3" numFmtId="164" xfId="0" applyAlignment="1" applyFont="1" applyNumberFormat="1">
      <alignment horizontal="center" readingOrder="0" vertical="center"/>
    </xf>
    <xf borderId="0" fillId="0" fontId="1" numFmtId="1" xfId="0" applyAlignment="1" applyFont="1" applyNumberFormat="1">
      <alignment horizontal="center" readingOrder="0" vertical="center"/>
    </xf>
    <xf borderId="0" fillId="0" fontId="42" numFmtId="0" xfId="0" applyAlignment="1" applyFont="1">
      <alignment horizontal="center" readingOrder="0" vertical="center"/>
    </xf>
    <xf borderId="0" fillId="0" fontId="42" numFmtId="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5" fillId="2" fontId="2" numFmtId="164" xfId="0" applyAlignment="1" applyBorder="1" applyFont="1" applyNumberFormat="1">
      <alignment horizontal="center" vertical="center"/>
    </xf>
    <xf borderId="0" fillId="24" fontId="11" numFmtId="164" xfId="0" applyAlignment="1" applyFont="1" applyNumberFormat="1">
      <alignment horizontal="center" readingOrder="0" vertical="center"/>
    </xf>
    <xf borderId="0" fillId="24" fontId="74" numFmtId="164" xfId="0" applyAlignment="1" applyFont="1" applyNumberFormat="1">
      <alignment horizontal="center" vertical="center"/>
    </xf>
    <xf borderId="0" fillId="0" fontId="42" numFmtId="4" xfId="0" applyAlignment="1" applyFont="1" applyNumberFormat="1">
      <alignment horizontal="center" vertical="center"/>
    </xf>
    <xf borderId="0" fillId="0" fontId="75" numFmtId="0" xfId="0" applyAlignment="1" applyFont="1">
      <alignment horizontal="center" vertical="center"/>
    </xf>
    <xf borderId="0" fillId="0" fontId="75" numFmtId="164" xfId="0" applyAlignment="1" applyFont="1" applyNumberFormat="1">
      <alignment horizontal="center" vertical="center"/>
    </xf>
    <xf borderId="0" fillId="0" fontId="8" numFmtId="1" xfId="0" applyAlignment="1" applyFont="1" applyNumberFormat="1">
      <alignment horizontal="center" readingOrder="0" vertical="center"/>
    </xf>
    <xf borderId="0" fillId="0" fontId="76" numFmtId="0" xfId="0" applyAlignment="1" applyFont="1">
      <alignment horizontal="center" vertical="center"/>
    </xf>
    <xf borderId="3" fillId="7" fontId="2" numFmtId="164" xfId="0" applyAlignment="1" applyBorder="1" applyFont="1" applyNumberForma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vertical="center"/>
    </xf>
    <xf borderId="5" fillId="7" fontId="15" numFmtId="164" xfId="0" applyAlignment="1" applyBorder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center" readingOrder="0" shrinkToFit="0" vertical="center" wrapText="1"/>
    </xf>
    <xf borderId="0" fillId="0" fontId="8" numFmtId="1" xfId="0" applyAlignment="1" applyFont="1" applyNumberFormat="1">
      <alignment horizontal="center" readingOrder="0" shrinkToFit="0" vertical="center" wrapText="1"/>
    </xf>
    <xf borderId="0" fillId="0" fontId="8" numFmtId="4" xfId="0" applyAlignment="1" applyFont="1" applyNumberFormat="1">
      <alignment horizontal="center" readingOrder="0" shrinkToFit="0" vertical="center" wrapText="1"/>
    </xf>
    <xf borderId="0" fillId="0" fontId="77" numFmtId="49" xfId="0" applyAlignment="1" applyFont="1" applyNumberFormat="1">
      <alignment horizontal="center" readingOrder="0" shrinkToFit="0" vertical="center" wrapText="1"/>
    </xf>
    <xf borderId="0" fillId="0" fontId="7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6" fillId="0" fontId="7" numFmtId="165" xfId="0" applyAlignment="1" applyBorder="1" applyFont="1" applyNumberFormat="1">
      <alignment horizontal="center" readingOrder="0" shrinkToFit="0" vertical="center" wrapText="0"/>
    </xf>
    <xf borderId="6" fillId="8" fontId="78" numFmtId="164" xfId="0" applyAlignment="1" applyBorder="1" applyFont="1" applyNumberFormat="1">
      <alignment horizontal="center" readingOrder="0" shrinkToFit="0" vertical="center" wrapText="0"/>
    </xf>
    <xf borderId="6" fillId="8" fontId="7" numFmtId="164" xfId="0" applyAlignment="1" applyBorder="1" applyFont="1" applyNumberFormat="1">
      <alignment horizontal="center" shrinkToFit="0" vertical="center" wrapText="0"/>
    </xf>
    <xf borderId="6" fillId="8" fontId="7" numFmtId="164" xfId="0" applyAlignment="1" applyBorder="1" applyFont="1" applyNumberFormat="1">
      <alignment horizontal="center" readingOrder="0" shrinkToFit="0" vertical="center" wrapText="0"/>
    </xf>
    <xf borderId="6" fillId="0" fontId="8" numFmtId="0" xfId="0" applyAlignment="1" applyBorder="1" applyFont="1">
      <alignment shrinkToFit="0" vertical="center" wrapText="0"/>
    </xf>
    <xf borderId="6" fillId="7" fontId="8" numFmtId="49" xfId="0" applyAlignment="1" applyBorder="1" applyFont="1" applyNumberFormat="1">
      <alignment horizontal="center" shrinkToFit="0" vertical="center" wrapText="0"/>
    </xf>
    <xf borderId="6" fillId="5" fontId="8" numFmtId="1" xfId="0" applyAlignment="1" applyBorder="1" applyFont="1" applyNumberFormat="1">
      <alignment horizontal="center" readingOrder="0" shrinkToFit="0" vertical="center" wrapText="0"/>
    </xf>
    <xf borderId="6" fillId="5" fontId="8" numFmtId="2" xfId="0" applyAlignment="1" applyBorder="1" applyFont="1" applyNumberFormat="1">
      <alignment horizontal="center" shrinkToFit="0" vertical="center" wrapText="0"/>
    </xf>
    <xf borderId="6" fillId="6" fontId="8" numFmtId="4" xfId="0" applyAlignment="1" applyBorder="1" applyFont="1" applyNumberFormat="1">
      <alignment horizontal="center" shrinkToFit="0" vertical="center" wrapText="0"/>
    </xf>
    <xf borderId="6" fillId="0" fontId="7" numFmtId="49" xfId="0" applyAlignment="1" applyBorder="1" applyFont="1" applyNumberFormat="1">
      <alignment horizontal="center" readingOrder="0" shrinkToFit="0" vertical="center" wrapText="0"/>
    </xf>
    <xf borderId="6" fillId="0" fontId="7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shrinkToFit="0" vertical="center" wrapText="0"/>
    </xf>
    <xf borderId="6" fillId="0" fontId="7" numFmtId="0" xfId="0" applyAlignment="1" applyBorder="1" applyFont="1">
      <alignment horizontal="left" readingOrder="0" shrinkToFit="0" vertical="center" wrapText="0"/>
    </xf>
    <xf borderId="6" fillId="0" fontId="8" numFmtId="0" xfId="0" applyAlignment="1" applyBorder="1" applyFont="1">
      <alignment readingOrder="0" shrinkToFit="0" vertical="center" wrapText="0"/>
    </xf>
    <xf borderId="6" fillId="6" fontId="8" numFmtId="4" xfId="0" applyAlignment="1" applyBorder="1" applyFont="1" applyNumberFormat="1">
      <alignment horizontal="center" readingOrder="0" shrinkToFit="0" vertical="center" wrapText="0"/>
    </xf>
    <xf borderId="6" fillId="0" fontId="8" numFmtId="0" xfId="0" applyAlignment="1" applyBorder="1" applyFont="1">
      <alignment readingOrder="0" shrinkToFit="0" vertical="center" wrapText="0"/>
    </xf>
    <xf borderId="6" fillId="7" fontId="8" numFmtId="49" xfId="0" applyAlignment="1" applyBorder="1" applyFont="1" applyNumberFormat="1">
      <alignment horizontal="center" readingOrder="0" shrinkToFit="0" vertical="center" wrapText="0"/>
    </xf>
    <xf borderId="6" fillId="9" fontId="8" numFmtId="165" xfId="0" applyAlignment="1" applyBorder="1" applyFont="1" applyNumberFormat="1">
      <alignment horizontal="center" readingOrder="0" shrinkToFit="0" vertical="center" wrapText="0"/>
    </xf>
    <xf borderId="6" fillId="8" fontId="8" numFmtId="164" xfId="0" applyAlignment="1" applyBorder="1" applyFont="1" applyNumberFormat="1">
      <alignment horizontal="center" shrinkToFit="0" vertical="center" wrapText="0"/>
    </xf>
    <xf borderId="6" fillId="8" fontId="8" numFmtId="164" xfId="0" applyAlignment="1" applyBorder="1" applyFont="1" applyNumberFormat="1">
      <alignment horizontal="center" readingOrder="0" shrinkToFit="0" vertical="center" wrapText="0"/>
    </xf>
    <xf borderId="6" fillId="0" fontId="7" numFmtId="49" xfId="0" applyAlignment="1" applyBorder="1" applyFont="1" applyNumberFormat="1">
      <alignment horizontal="center" shrinkToFit="0" vertical="center" wrapText="0"/>
    </xf>
    <xf borderId="6" fillId="0" fontId="8" numFmtId="0" xfId="0" applyAlignment="1" applyBorder="1" applyFont="1">
      <alignment horizontal="center" readingOrder="0" shrinkToFit="0" vertical="center" wrapText="0"/>
    </xf>
    <xf borderId="6" fillId="0" fontId="8" numFmtId="0" xfId="0" applyAlignment="1" applyBorder="1" applyFont="1">
      <alignment horizontal="left" readingOrder="0" shrinkToFit="0" vertical="center" wrapText="0"/>
    </xf>
    <xf borderId="6" fillId="0" fontId="8" numFmtId="165" xfId="0" applyAlignment="1" applyBorder="1" applyFont="1" applyNumberFormat="1">
      <alignment horizontal="center" readingOrder="0" shrinkToFit="0" vertical="center" wrapText="0"/>
    </xf>
    <xf borderId="6" fillId="0" fontId="7" numFmtId="49" xfId="0" applyAlignment="1" applyBorder="1" applyFont="1" applyNumberFormat="1">
      <alignment horizontal="center" readingOrder="0" shrinkToFit="0" vertical="center" wrapText="0"/>
    </xf>
    <xf borderId="6" fillId="0" fontId="7" numFmtId="0" xfId="0" applyAlignment="1" applyBorder="1" applyFont="1">
      <alignment horizontal="center" readingOrder="0" shrinkToFit="0" vertical="center" wrapText="0"/>
    </xf>
    <xf borderId="0" fillId="0" fontId="76" numFmtId="49" xfId="0" applyAlignment="1" applyFont="1" applyNumberForma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6" fillId="0" fontId="8" numFmtId="9" xfId="0" applyAlignment="1" applyBorder="1" applyFont="1" applyNumberFormat="1">
      <alignment horizontal="center" readingOrder="0" shrinkToFit="0" vertical="center" wrapText="0"/>
    </xf>
    <xf borderId="6" fillId="0" fontId="8" numFmtId="9" xfId="0" applyAlignment="1" applyBorder="1" applyFont="1" applyNumberFormat="1">
      <alignment horizontal="left" readingOrder="0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6" fillId="8" fontId="79" numFmtId="164" xfId="0" applyAlignment="1" applyBorder="1" applyFont="1" applyNumberFormat="1">
      <alignment horizontal="center" readingOrder="0" shrinkToFit="0" vertical="center" wrapText="0"/>
    </xf>
    <xf borderId="6" fillId="7" fontId="8" numFmtId="164" xfId="0" applyAlignment="1" applyBorder="1" applyFont="1" applyNumberFormat="1">
      <alignment horizontal="center" readingOrder="0" shrinkToFit="0" vertical="center" wrapText="0"/>
    </xf>
    <xf borderId="6" fillId="0" fontId="14" numFmtId="49" xfId="0" applyAlignment="1" applyBorder="1" applyFont="1" applyNumberFormat="1">
      <alignment horizontal="center" readingOrder="0" shrinkToFit="0" vertical="center" wrapText="0"/>
    </xf>
    <xf borderId="6" fillId="0" fontId="14" numFmtId="0" xfId="0" applyAlignment="1" applyBorder="1" applyFont="1">
      <alignment horizontal="center" readingOrder="0" shrinkToFit="0" vertical="center" wrapText="0"/>
    </xf>
    <xf borderId="6" fillId="5" fontId="8" numFmtId="2" xfId="0" applyAlignment="1" applyBorder="1" applyFont="1" applyNumberFormat="1">
      <alignment horizontal="center" readingOrder="0" shrinkToFit="0" vertical="center" wrapText="0"/>
    </xf>
    <xf borderId="0" fillId="0" fontId="22" numFmtId="0" xfId="0" applyAlignment="1" applyFont="1">
      <alignment shrinkToFit="0" vertical="center" wrapText="0"/>
    </xf>
    <xf borderId="0" fillId="0" fontId="80" numFmtId="165" xfId="0" applyAlignment="1" applyFont="1" applyNumberFormat="1">
      <alignment horizontal="center" readingOrder="0" shrinkToFit="0" vertical="center" wrapText="0"/>
    </xf>
    <xf borderId="6" fillId="8" fontId="80" numFmtId="164" xfId="0" applyAlignment="1" applyBorder="1" applyFont="1" applyNumberFormat="1">
      <alignment horizontal="center" shrinkToFit="0" vertical="center" wrapText="0"/>
    </xf>
    <xf borderId="6" fillId="8" fontId="80" numFmtId="164" xfId="0" applyAlignment="1" applyBorder="1" applyFont="1" applyNumberFormat="1">
      <alignment horizontal="center" readingOrder="0" shrinkToFit="0" vertical="center" wrapText="0"/>
    </xf>
    <xf borderId="6" fillId="0" fontId="80" numFmtId="0" xfId="0" applyAlignment="1" applyBorder="1" applyFont="1">
      <alignment readingOrder="0" shrinkToFit="0" vertical="center" wrapText="0"/>
    </xf>
    <xf borderId="6" fillId="7" fontId="80" numFmtId="164" xfId="0" applyAlignment="1" applyBorder="1" applyFont="1" applyNumberFormat="1">
      <alignment horizontal="center" readingOrder="0" shrinkToFit="0" vertical="center" wrapText="0"/>
    </xf>
    <xf borderId="6" fillId="6" fontId="80" numFmtId="4" xfId="0" applyAlignment="1" applyBorder="1" applyFont="1" applyNumberFormat="1">
      <alignment horizontal="center" shrinkToFit="0" vertical="center" wrapText="0"/>
    </xf>
    <xf borderId="6" fillId="0" fontId="80" numFmtId="0" xfId="0" applyAlignment="1" applyBorder="1" applyFont="1">
      <alignment horizontal="center" readingOrder="0" shrinkToFit="0" vertical="center" wrapText="0"/>
    </xf>
    <xf borderId="6" fillId="0" fontId="80" numFmtId="0" xfId="0" applyAlignment="1" applyBorder="1" applyFont="1">
      <alignment horizontal="left" readingOrder="0" shrinkToFit="0" vertical="center" wrapText="0"/>
    </xf>
    <xf borderId="0" fillId="0" fontId="8" numFmtId="165" xfId="0" applyAlignment="1" applyFont="1" applyNumberFormat="1">
      <alignment horizontal="center" readingOrder="0" shrinkToFit="0" vertical="center" wrapText="0"/>
    </xf>
    <xf borderId="6" fillId="11" fontId="8" numFmtId="0" xfId="0" applyAlignment="1" applyBorder="1" applyFont="1">
      <alignment horizontal="center" readingOrder="0" shrinkToFit="0" vertical="center" wrapText="0"/>
    </xf>
    <xf borderId="6" fillId="11" fontId="8" numFmtId="0" xfId="0" applyAlignment="1" applyBorder="1" applyFont="1">
      <alignment horizontal="left" readingOrder="0" shrinkToFit="0" vertical="center" wrapText="0"/>
    </xf>
    <xf borderId="6" fillId="12" fontId="7" numFmtId="0" xfId="0" applyAlignment="1" applyBorder="1" applyFont="1">
      <alignment horizontal="center" readingOrder="0" shrinkToFit="0" vertical="center" wrapText="0"/>
    </xf>
    <xf borderId="6" fillId="12" fontId="7" numFmtId="0" xfId="0" applyAlignment="1" applyBorder="1" applyFont="1">
      <alignment horizontal="left" readingOrder="0" shrinkToFit="0" vertical="center" wrapText="0"/>
    </xf>
    <xf borderId="6" fillId="8" fontId="81" numFmtId="164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6" fillId="6" fontId="7" numFmtId="4" xfId="0" applyAlignment="1" applyBorder="1" applyFont="1" applyNumberFormat="1">
      <alignment horizontal="center" readingOrder="0" shrinkToFit="0" vertical="center" wrapText="0"/>
    </xf>
    <xf borderId="6" fillId="0" fontId="12" numFmtId="0" xfId="0" applyAlignment="1" applyBorder="1" applyFont="1">
      <alignment horizontal="center" readingOrder="0" shrinkToFit="0" vertical="center" wrapText="0"/>
    </xf>
    <xf borderId="6" fillId="0" fontId="12" numFmtId="0" xfId="0" applyAlignment="1" applyBorder="1" applyFont="1">
      <alignment horizontal="left" readingOrder="0" shrinkToFit="0" vertical="center" wrapText="0"/>
    </xf>
    <xf borderId="6" fillId="8" fontId="7" numFmtId="164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left" shrinkToFit="0" vertical="center" wrapText="0"/>
    </xf>
    <xf borderId="6" fillId="0" fontId="12" numFmtId="0" xfId="0" applyAlignment="1" applyBorder="1" applyFont="1">
      <alignment shrinkToFit="0" vertical="center" wrapText="0"/>
    </xf>
    <xf borderId="6" fillId="7" fontId="12" numFmtId="164" xfId="0" applyAlignment="1" applyBorder="1" applyFont="1" applyNumberFormat="1">
      <alignment horizontal="center" shrinkToFit="0" vertical="center" wrapText="0"/>
    </xf>
    <xf borderId="6" fillId="0" fontId="42" numFmtId="0" xfId="0" applyAlignment="1" applyBorder="1" applyFont="1">
      <alignment horizontal="center" shrinkToFit="0" vertical="center" wrapText="0"/>
    </xf>
    <xf borderId="6" fillId="8" fontId="82" numFmtId="164" xfId="0" applyAlignment="1" applyBorder="1" applyFont="1" applyNumberFormat="1">
      <alignment horizontal="center" readingOrder="0" shrinkToFit="0" vertical="center" wrapText="0"/>
    </xf>
    <xf borderId="6" fillId="0" fontId="76" numFmtId="49" xfId="0" applyAlignment="1" applyBorder="1" applyFont="1" applyNumberFormat="1">
      <alignment horizontal="center" readingOrder="0" shrinkToFit="0" vertical="center" wrapText="0"/>
    </xf>
    <xf borderId="6" fillId="0" fontId="76" numFmtId="0" xfId="0" applyAlignment="1" applyBorder="1" applyFont="1">
      <alignment horizontal="center" readingOrder="0" shrinkToFit="0" vertical="center" wrapText="0"/>
    </xf>
    <xf borderId="6" fillId="0" fontId="7" numFmtId="49" xfId="0" applyAlignment="1" applyBorder="1" applyFont="1" applyNumberFormat="1">
      <alignment horizontal="center" readingOrder="0" shrinkToFit="0" vertical="center" wrapText="0"/>
    </xf>
    <xf borderId="6" fillId="0" fontId="83" numFmtId="0" xfId="0" applyAlignment="1" applyBorder="1" applyFont="1">
      <alignment horizontal="center" readingOrder="0" shrinkToFit="0" vertical="center" wrapText="0"/>
    </xf>
    <xf borderId="6" fillId="8" fontId="82" numFmtId="164" xfId="0" applyAlignment="1" applyBorder="1" applyFont="1" applyNumberFormat="1">
      <alignment horizontal="center" shrinkToFit="0" vertical="center" wrapText="0"/>
    </xf>
    <xf borderId="6" fillId="13" fontId="8" numFmtId="0" xfId="0" applyAlignment="1" applyBorder="1" applyFont="1">
      <alignment horizontal="center" readingOrder="0" shrinkToFit="0" vertical="center" wrapText="0"/>
    </xf>
    <xf borderId="6" fillId="0" fontId="8" numFmtId="166" xfId="0" applyAlignment="1" applyBorder="1" applyFont="1" applyNumberFormat="1">
      <alignment horizontal="center" readingOrder="0" shrinkToFit="0" vertical="center" wrapText="0"/>
    </xf>
    <xf borderId="6" fillId="8" fontId="7" numFmtId="164" xfId="0" applyAlignment="1" applyBorder="1" applyFont="1" applyNumberFormat="1">
      <alignment horizontal="center" shrinkToFit="0" vertical="center" wrapText="0"/>
    </xf>
    <xf borderId="6" fillId="5" fontId="8" numFmtId="1" xfId="0" applyAlignment="1" applyBorder="1" applyFont="1" applyNumberFormat="1">
      <alignment horizontal="center" shrinkToFit="0" vertical="center" wrapText="0"/>
    </xf>
    <xf borderId="6" fillId="5" fontId="8" numFmtId="164" xfId="0" applyAlignment="1" applyBorder="1" applyFont="1" applyNumberFormat="1">
      <alignment horizontal="center" shrinkToFit="0" vertical="center" wrapText="0"/>
    </xf>
    <xf borderId="6" fillId="8" fontId="84" numFmtId="164" xfId="0" applyAlignment="1" applyBorder="1" applyFont="1" applyNumberFormat="1">
      <alignment horizontal="center" readingOrder="0" shrinkToFit="0" vertical="center" wrapText="0"/>
    </xf>
    <xf borderId="6" fillId="12" fontId="85" numFmtId="0" xfId="0" applyAlignment="1" applyBorder="1" applyFont="1">
      <alignment horizontal="left" readingOrder="0" shrinkToFit="0" vertical="center" wrapText="0"/>
    </xf>
    <xf borderId="6" fillId="0" fontId="8" numFmtId="167" xfId="0" applyAlignment="1" applyBorder="1" applyFont="1" applyNumberFormat="1">
      <alignment horizontal="center" readingOrder="0" shrinkToFit="0" vertical="center" wrapText="0"/>
    </xf>
    <xf borderId="6" fillId="8" fontId="86" numFmtId="164" xfId="0" applyAlignment="1" applyBorder="1" applyFont="1" applyNumberFormat="1">
      <alignment horizontal="center" readingOrder="0" shrinkToFit="0" vertical="center" wrapText="0"/>
    </xf>
    <xf borderId="6" fillId="15" fontId="7" numFmtId="0" xfId="0" applyAlignment="1" applyBorder="1" applyFont="1">
      <alignment horizontal="center" readingOrder="0" shrinkToFit="0" vertical="center" wrapText="0"/>
    </xf>
    <xf borderId="6" fillId="10" fontId="7" numFmtId="49" xfId="0" applyAlignment="1" applyBorder="1" applyFont="1" applyNumberFormat="1">
      <alignment horizontal="center" readingOrder="0" shrinkToFit="0" vertical="center" wrapText="0"/>
    </xf>
    <xf borderId="6" fillId="12" fontId="12" numFmtId="49" xfId="0" applyAlignment="1" applyBorder="1" applyFont="1" applyNumberFormat="1">
      <alignment horizontal="center" shrinkToFit="0" vertical="center" wrapText="0"/>
    </xf>
    <xf borderId="6" fillId="19" fontId="12" numFmtId="49" xfId="0" applyAlignment="1" applyBorder="1" applyFont="1" applyNumberFormat="1">
      <alignment horizontal="center" shrinkToFit="0" vertical="center" wrapText="0"/>
    </xf>
    <xf borderId="6" fillId="12" fontId="12" numFmtId="49" xfId="0" applyAlignment="1" applyBorder="1" applyFont="1" applyNumberFormat="1">
      <alignment horizontal="center" shrinkToFit="0" vertical="center" wrapText="0"/>
    </xf>
    <xf borderId="6" fillId="8" fontId="87" numFmtId="164" xfId="0" applyAlignment="1" applyBorder="1" applyFont="1" applyNumberFormat="1">
      <alignment horizontal="center" shrinkToFit="0" vertical="center" wrapText="0"/>
    </xf>
    <xf borderId="6" fillId="12" fontId="88" numFmtId="0" xfId="0" applyAlignment="1" applyBorder="1" applyFont="1">
      <alignment horizontal="left" readingOrder="0" shrinkToFit="0" vertical="center" wrapText="0"/>
    </xf>
    <xf borderId="6" fillId="8" fontId="89" numFmtId="164" xfId="0" applyAlignment="1" applyBorder="1" applyFont="1" applyNumberFormat="1">
      <alignment horizontal="center" readingOrder="0" shrinkToFit="0" vertical="center" wrapText="0"/>
    </xf>
    <xf borderId="6" fillId="0" fontId="89" numFmtId="0" xfId="0" applyAlignment="1" applyBorder="1" applyFont="1">
      <alignment readingOrder="0" shrinkToFit="0" vertical="center" wrapText="0"/>
    </xf>
    <xf borderId="6" fillId="14" fontId="7" numFmtId="0" xfId="0" applyAlignment="1" applyBorder="1" applyFont="1">
      <alignment horizontal="center" readingOrder="0" shrinkToFit="0" vertical="center" wrapText="0"/>
    </xf>
    <xf borderId="6" fillId="0" fontId="7" numFmtId="164" xfId="0" applyAlignment="1" applyBorder="1" applyFont="1" applyNumberFormat="1">
      <alignment horizontal="center" readingOrder="0" shrinkToFit="0" vertical="center" wrapText="0"/>
    </xf>
    <xf borderId="6" fillId="8" fontId="87" numFmtId="0" xfId="0" applyAlignment="1" applyBorder="1" applyFont="1">
      <alignment horizontal="center" readingOrder="0" shrinkToFit="0" vertical="center" wrapText="0"/>
    </xf>
    <xf borderId="6" fillId="0" fontId="90" numFmtId="0" xfId="0" applyAlignment="1" applyBorder="1" applyFont="1">
      <alignment horizontal="left" readingOrder="0" shrinkToFit="0" vertical="center" wrapText="0"/>
    </xf>
    <xf borderId="6" fillId="0" fontId="12" numFmtId="165" xfId="0" applyAlignment="1" applyBorder="1" applyFont="1" applyNumberFormat="1">
      <alignment horizontal="center" shrinkToFit="0" vertical="center" wrapText="0"/>
    </xf>
    <xf borderId="6" fillId="8" fontId="87" numFmtId="0" xfId="0" applyAlignment="1" applyBorder="1" applyFont="1">
      <alignment horizontal="center" readingOrder="0" shrinkToFit="0" vertical="center" wrapText="0"/>
    </xf>
    <xf borderId="6" fillId="0" fontId="91" numFmtId="0" xfId="0" applyAlignment="1" applyBorder="1" applyFont="1">
      <alignment horizontal="left" readingOrder="0" shrinkToFit="0" vertical="center" wrapText="0"/>
    </xf>
    <xf borderId="6" fillId="5" fontId="92" numFmtId="1" xfId="0" applyAlignment="1" applyBorder="1" applyFont="1" applyNumberFormat="1">
      <alignment horizontal="center" readingOrder="0" shrinkToFit="0" vertical="center" wrapText="0"/>
    </xf>
    <xf borderId="6" fillId="5" fontId="92" numFmtId="2" xfId="0" applyAlignment="1" applyBorder="1" applyFont="1" applyNumberFormat="1">
      <alignment horizontal="center" shrinkToFit="0" vertical="center" wrapText="0"/>
    </xf>
    <xf borderId="6" fillId="5" fontId="12" numFmtId="1" xfId="0" applyAlignment="1" applyBorder="1" applyFont="1" applyNumberFormat="1">
      <alignment horizontal="center" shrinkToFit="0" vertical="center" wrapText="0"/>
    </xf>
    <xf borderId="6" fillId="5" fontId="12" numFmtId="2" xfId="0" applyAlignment="1" applyBorder="1" applyFont="1" applyNumberFormat="1">
      <alignment horizontal="center" shrinkToFit="0" vertical="center" wrapText="0"/>
    </xf>
    <xf borderId="6" fillId="5" fontId="12" numFmtId="1" xfId="0" applyAlignment="1" applyBorder="1" applyFont="1" applyNumberFormat="1">
      <alignment horizontal="center" readingOrder="0" shrinkToFit="0" vertical="center" wrapText="0"/>
    </xf>
    <xf borderId="6" fillId="0" fontId="12" numFmtId="165" xfId="0" applyAlignment="1" applyBorder="1" applyFont="1" applyNumberFormat="1">
      <alignment horizontal="center" readingOrder="0" shrinkToFit="0" vertical="center" wrapText="0"/>
    </xf>
    <xf borderId="6" fillId="16" fontId="7" numFmtId="0" xfId="0" applyAlignment="1" applyBorder="1" applyFont="1">
      <alignment horizontal="center" readingOrder="0" shrinkToFit="0" vertical="center" wrapText="0"/>
    </xf>
    <xf borderId="6" fillId="0" fontId="93" numFmtId="0" xfId="0" applyAlignment="1" applyBorder="1" applyFont="1">
      <alignment shrinkToFit="0" vertical="center" wrapText="0"/>
    </xf>
    <xf borderId="6" fillId="17" fontId="7" numFmtId="0" xfId="0" applyAlignment="1" applyBorder="1" applyFont="1">
      <alignment horizontal="center" readingOrder="0" shrinkToFit="0" vertical="center" wrapText="0"/>
    </xf>
    <xf borderId="6" fillId="0" fontId="7" numFmtId="49" xfId="0" applyAlignment="1" applyBorder="1" applyFont="1" applyNumberFormat="1">
      <alignment horizontal="center" readingOrder="0" shrinkToFit="0" vertical="center" wrapText="0"/>
    </xf>
    <xf borderId="6" fillId="0" fontId="94" numFmtId="0" xfId="0" applyAlignment="1" applyBorder="1" applyFont="1">
      <alignment readingOrder="0" shrinkToFit="0" vertical="center" wrapText="0"/>
    </xf>
    <xf borderId="6" fillId="7" fontId="94" numFmtId="164" xfId="0" applyAlignment="1" applyBorder="1" applyFont="1" applyNumberFormat="1">
      <alignment horizontal="center" readingOrder="0" shrinkToFit="0" vertical="center" wrapText="0"/>
    </xf>
    <xf borderId="6" fillId="2" fontId="7" numFmtId="0" xfId="0" applyAlignment="1" applyBorder="1" applyFont="1">
      <alignment horizontal="center" readingOrder="0" shrinkToFit="0" vertical="center" wrapText="0"/>
    </xf>
    <xf borderId="6" fillId="0" fontId="95" numFmtId="0" xfId="0" applyAlignment="1" applyBorder="1" applyFont="1">
      <alignment horizontal="left" readingOrder="0" shrinkToFit="0" vertical="center" wrapText="0"/>
    </xf>
    <xf borderId="6" fillId="10" fontId="7" numFmtId="0" xfId="0" applyAlignment="1" applyBorder="1" applyFont="1">
      <alignment horizontal="center" readingOrder="0" shrinkToFit="0" vertical="center" wrapText="0"/>
    </xf>
    <xf borderId="6" fillId="6" fontId="8" numFmtId="164" xfId="0" applyAlignment="1" applyBorder="1" applyFont="1" applyNumberFormat="1">
      <alignment horizontal="center" readingOrder="0" shrinkToFit="0" vertical="center" wrapText="0"/>
    </xf>
    <xf borderId="6" fillId="21" fontId="7" numFmtId="0" xfId="0" applyAlignment="1" applyBorder="1" applyFont="1">
      <alignment horizontal="center" readingOrder="0" shrinkToFit="0" vertical="center" wrapText="0"/>
    </xf>
    <xf borderId="6" fillId="0" fontId="94" numFmtId="0" xfId="0" applyAlignment="1" applyBorder="1" applyFont="1">
      <alignment readingOrder="0" shrinkToFit="0" vertical="center" wrapText="0"/>
    </xf>
    <xf borderId="6" fillId="18" fontId="7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6" fillId="0" fontId="9" numFmtId="0" xfId="0" applyAlignment="1" applyBorder="1" applyFont="1">
      <alignment shrinkToFit="0" vertical="center" wrapText="0"/>
    </xf>
    <xf borderId="6" fillId="0" fontId="96" numFmtId="0" xfId="0" applyAlignment="1" applyBorder="1" applyFont="1">
      <alignment horizontal="left" readingOrder="0" shrinkToFit="0" vertical="center" wrapText="0"/>
    </xf>
    <xf borderId="6" fillId="0" fontId="8" numFmtId="165" xfId="0" applyAlignment="1" applyBorder="1" applyFont="1" applyNumberFormat="1">
      <alignment horizontal="center" readingOrder="0" shrinkToFit="0" vertical="center" wrapText="0"/>
    </xf>
    <xf borderId="6" fillId="13" fontId="7" numFmtId="49" xfId="0" applyAlignment="1" applyBorder="1" applyFont="1" applyNumberFormat="1">
      <alignment horizontal="center" readingOrder="0" shrinkToFit="0" vertical="center" wrapText="0"/>
    </xf>
    <xf borderId="6" fillId="8" fontId="29" numFmtId="0" xfId="0" applyAlignment="1" applyBorder="1" applyFont="1">
      <alignment horizontal="center" readingOrder="0" shrinkToFit="0" vertical="center" wrapText="0"/>
    </xf>
    <xf borderId="6" fillId="2" fontId="7" numFmtId="49" xfId="0" applyAlignment="1" applyBorder="1" applyFont="1" applyNumberFormat="1">
      <alignment horizontal="center" readingOrder="0" shrinkToFit="0" vertical="center" wrapText="0"/>
    </xf>
    <xf borderId="6" fillId="2" fontId="12" numFmtId="49" xfId="0" applyAlignment="1" applyBorder="1" applyFont="1" applyNumberFormat="1">
      <alignment horizontal="center" shrinkToFit="0" vertical="center" wrapText="0"/>
    </xf>
    <xf borderId="6" fillId="14" fontId="7" numFmtId="49" xfId="0" applyAlignment="1" applyBorder="1" applyFont="1" applyNumberFormat="1">
      <alignment horizontal="center" readingOrder="0" shrinkToFit="0" vertical="center" wrapText="0"/>
    </xf>
    <xf borderId="6" fillId="6" fontId="9" numFmtId="4" xfId="0" applyAlignment="1" applyBorder="1" applyFont="1" applyNumberFormat="1">
      <alignment horizontal="center" readingOrder="0" shrinkToFit="0" vertical="center" wrapText="0"/>
    </xf>
    <xf borderId="6" fillId="0" fontId="8" numFmtId="0" xfId="0" applyAlignment="1" applyBorder="1" applyFont="1">
      <alignment readingOrder="0" shrinkToFit="0" vertical="center" wrapText="0"/>
    </xf>
    <xf borderId="6" fillId="7" fontId="8" numFmtId="164" xfId="0" applyAlignment="1" applyBorder="1" applyFont="1" applyNumberFormat="1">
      <alignment horizontal="center" shrinkToFit="0" vertical="center" wrapText="0"/>
    </xf>
    <xf borderId="6" fillId="0" fontId="7" numFmtId="49" xfId="0" applyAlignment="1" applyBorder="1" applyFont="1" applyNumberFormat="1">
      <alignment horizontal="center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6" fillId="0" fontId="8" numFmtId="165" xfId="0" applyAlignment="1" applyBorder="1" applyFont="1" applyNumberFormat="1">
      <alignment horizontal="center" shrinkToFit="0" vertical="center" wrapText="0"/>
    </xf>
    <xf borderId="6" fillId="8" fontId="29" numFmtId="164" xfId="0" applyAlignment="1" applyBorder="1" applyFont="1" applyNumberFormat="1">
      <alignment horizontal="center" shrinkToFit="0" vertical="center" wrapText="0"/>
    </xf>
    <xf borderId="6" fillId="0" fontId="97" numFmtId="49" xfId="0" applyAlignment="1" applyBorder="1" applyFont="1" applyNumberFormat="1">
      <alignment horizontal="left" readingOrder="0" shrinkToFit="0" vertical="center" wrapText="0"/>
    </xf>
    <xf borderId="0" fillId="8" fontId="8" numFmtId="164" xfId="0" applyAlignment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0" fillId="7" fontId="8" numFmtId="49" xfId="0" applyAlignment="1" applyFont="1" applyNumberFormat="1">
      <alignment horizontal="center" shrinkToFit="0" vertical="center" wrapText="0"/>
    </xf>
    <xf borderId="0" fillId="5" fontId="8" numFmtId="1" xfId="0" applyAlignment="1" applyFont="1" applyNumberFormat="1">
      <alignment horizontal="center" shrinkToFit="0" vertical="center" wrapText="0"/>
    </xf>
    <xf borderId="0" fillId="5" fontId="8" numFmtId="164" xfId="0" applyAlignment="1" applyFont="1" applyNumberFormat="1">
      <alignment horizontal="center" shrinkToFit="0" vertical="center" wrapText="0"/>
    </xf>
    <xf borderId="0" fillId="6" fontId="8" numFmtId="4" xfId="0" applyAlignment="1" applyFont="1" applyNumberFormat="1">
      <alignment horizontal="center" shrinkToFit="0" vertical="center" wrapText="0"/>
    </xf>
    <xf borderId="0" fillId="0" fontId="7" numFmtId="49" xfId="0" applyAlignment="1" applyFont="1" applyNumberFormat="1">
      <alignment horizontal="center" shrinkToFit="0" vertical="center" wrapText="0"/>
    </xf>
    <xf borderId="0" fillId="0" fontId="98" numFmtId="0" xfId="0" applyAlignment="1" applyFont="1">
      <alignment horizontal="left" shrinkToFit="0" vertical="bottom" wrapText="0"/>
    </xf>
    <xf borderId="0" fillId="0" fontId="99" numFmtId="0" xfId="0" applyAlignment="1" applyFont="1">
      <alignment horizontal="left" readingOrder="0" shrinkToFit="0" vertical="top" wrapText="0"/>
    </xf>
    <xf borderId="0" fillId="0" fontId="100" numFmtId="0" xfId="0" applyAlignment="1" applyFont="1">
      <alignment horizontal="left" readingOrder="0" shrinkToFit="0" vertical="bottom" wrapText="0"/>
    </xf>
    <xf borderId="0" fillId="0" fontId="98" numFmtId="0" xfId="0" applyAlignment="1" applyFont="1">
      <alignment shrinkToFit="0" vertical="bottom" wrapText="0"/>
    </xf>
    <xf borderId="0" fillId="0" fontId="98" numFmtId="0" xfId="0" applyAlignment="1" applyFont="1">
      <alignment horizontal="left" readingOrder="0" shrinkToFit="0" vertical="top" wrapText="0"/>
    </xf>
    <xf borderId="0" fillId="0" fontId="98" numFmtId="0" xfId="0" applyAlignment="1" applyFont="1">
      <alignment horizontal="left" readingOrder="0" vertical="top"/>
    </xf>
    <xf borderId="0" fillId="0" fontId="101" numFmtId="0" xfId="0" applyAlignment="1" applyFont="1">
      <alignment horizontal="left" readingOrder="0" shrinkToFit="0" wrapText="0"/>
    </xf>
    <xf borderId="47" fillId="33" fontId="102" numFmtId="0" xfId="0" applyAlignment="1" applyBorder="1" applyFill="1" applyFont="1">
      <alignment horizontal="left" readingOrder="0" vertical="top"/>
    </xf>
    <xf borderId="48" fillId="0" fontId="10" numFmtId="0" xfId="0" applyBorder="1" applyFont="1"/>
    <xf borderId="49" fillId="0" fontId="10" numFmtId="0" xfId="0" applyBorder="1" applyFont="1"/>
    <xf borderId="50" fillId="33" fontId="102" numFmtId="0" xfId="0" applyAlignment="1" applyBorder="1" applyFont="1">
      <alignment horizontal="left" readingOrder="0" vertical="top"/>
    </xf>
    <xf borderId="50" fillId="33" fontId="102" numFmtId="0" xfId="0" applyAlignment="1" applyBorder="1" applyFont="1">
      <alignment horizontal="left" readingOrder="0" vertical="top"/>
    </xf>
    <xf borderId="0" fillId="0" fontId="98" numFmtId="0" xfId="0" applyAlignment="1" applyFont="1">
      <alignment readingOrder="0" shrinkToFit="0" vertical="bottom" wrapText="0"/>
    </xf>
    <xf borderId="51" fillId="34" fontId="102" numFmtId="0" xfId="0" applyAlignment="1" applyBorder="1" applyFill="1" applyFont="1">
      <alignment horizontal="left" readingOrder="0" vertical="top"/>
    </xf>
    <xf borderId="52" fillId="0" fontId="10" numFmtId="0" xfId="0" applyBorder="1" applyFont="1"/>
    <xf borderId="53" fillId="0" fontId="10" numFmtId="0" xfId="0" applyBorder="1" applyFont="1"/>
    <xf borderId="51" fillId="0" fontId="73" numFmtId="0" xfId="0" applyAlignment="1" applyBorder="1" applyFont="1">
      <alignment horizontal="left" readingOrder="0" vertical="top"/>
    </xf>
    <xf borderId="54" fillId="0" fontId="73" numFmtId="0" xfId="0" applyAlignment="1" applyBorder="1" applyFont="1">
      <alignment horizontal="right" readingOrder="0" vertical="top"/>
    </xf>
    <xf borderId="54" fillId="0" fontId="73" numFmtId="166" xfId="0" applyAlignment="1" applyBorder="1" applyFont="1" applyNumberFormat="1">
      <alignment horizontal="left" readingOrder="0" vertical="top"/>
    </xf>
    <xf borderId="54" fillId="10" fontId="73" numFmtId="0" xfId="0" applyAlignment="1" applyBorder="1" applyFont="1">
      <alignment horizontal="left" readingOrder="0" vertical="top"/>
    </xf>
    <xf borderId="0" fillId="0" fontId="98" numFmtId="0" xfId="0" applyAlignment="1" applyFont="1">
      <alignment readingOrder="0" vertical="bottom"/>
    </xf>
    <xf borderId="54" fillId="0" fontId="73" numFmtId="0" xfId="0" applyAlignment="1" applyBorder="1" applyFont="1">
      <alignment horizontal="left" readingOrder="0" vertical="top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>
        <color rgb="FF6AA84F"/>
      </font>
      <fill>
        <patternFill patternType="solid">
          <fgColor rgb="FFB7E1CD"/>
          <bgColor rgb="FFB7E1CD"/>
        </patternFill>
      </fill>
      <border/>
    </dxf>
    <dxf>
      <font>
        <color rgb="FFCC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4" pivot="0" name="CF B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Зарплатная ведомость-style">
      <tableStyleElement dxfId="1" type="headerRow"/>
      <tableStyleElement dxfId="2" type="firstRowStripe"/>
      <tableStyleElement dxfId="8" type="secondRowStripe"/>
      <tableStyleElement dxfId="4" size="0" type="wholeTable"/>
    </tableStyle>
    <tableStyle count="4" pivot="0" name="CF OL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O2880" displayName="Таблица2_2" name="Таблица2_2" id="1">
  <autoFilter ref="$A$8:$O$2880"/>
  <tableColumns count="15">
    <tableColumn name="Дата" id="1"/>
    <tableColumn name="статус" id="2"/>
    <tableColumn name="поступления" id="3"/>
    <tableColumn name="списания" id="4"/>
    <tableColumn name="Банк" id="5"/>
    <tableColumn name="ПЕРИОД" id="6"/>
    <tableColumn name="НДС" id="7"/>
    <tableColumn name="НДС ФАКТ" id="8"/>
    <tableColumn name="Статья" id="9"/>
    <tableColumn name="Контрагент" id="10"/>
    <tableColumn name="№ дс" id="11"/>
    <tableColumn name="Счет" id="12"/>
    <tableColumn name="Счет от дата" id="13"/>
    <tableColumn name="Просрочка дней" id="14"/>
    <tableColumn name="Назначение" id="15"/>
  </tableColumns>
  <tableStyleInfo name="CF BEST-style" showColumnStripes="0" showFirstColumn="1" showLastColumn="1" showRowStripes="1"/>
</table>
</file>

<file path=xl/tables/table2.xml><?xml version="1.0" encoding="utf-8"?>
<table xmlns="http://schemas.openxmlformats.org/spreadsheetml/2006/main" ref="B35:H543" displayName="Таблица1" name="Таблица1" id="2">
  <autoFilter ref="$B$35:$H$543"/>
  <tableColumns count="7">
    <tableColumn name="За какой месяц" id="1"/>
    <tableColumn name="Должность" id="2"/>
    <tableColumn name="ФИО" id="3"/>
    <tableColumn name="Дата" id="4"/>
    <tableColumn name="Сумма" id="5"/>
    <tableColumn name="Формат" id="6"/>
    <tableColumn name="Комментарии" id="7"/>
  </tableColumns>
  <tableStyleInfo name="Зарплатная ведомость-style" showColumnStripes="0" showFirstColumn="1" showLastColumn="1" showRowStripes="1"/>
</table>
</file>

<file path=xl/tables/table3.xml><?xml version="1.0" encoding="utf-8"?>
<table xmlns="http://schemas.openxmlformats.org/spreadsheetml/2006/main" ref="A8:Q2917" displayName="Таблица2" name="Таблица2" id="3">
  <autoFilter ref="$A$8:$Q$2917"/>
  <tableColumns count="17">
    <tableColumn name="Дата" id="1"/>
    <tableColumn name="статус" id="2"/>
    <tableColumn name="Дебет БН" id="3"/>
    <tableColumn name="Кредит БН" id="4"/>
    <tableColumn name="Банк" id="5"/>
    <tableColumn name="ПЕРИОД" id="6"/>
    <tableColumn name="НДС" id="7"/>
    <tableColumn name="НДС ФАКТ" id="8"/>
    <tableColumn name="Кредит" id="9"/>
    <tableColumn name="Дебет" id="10"/>
    <tableColumn name="Статья" id="11"/>
    <tableColumn name="Контрагент" id="12"/>
    <tableColumn name="№ дс" id="13"/>
    <tableColumn name="Счет" id="14"/>
    <tableColumn name="Счет от дата" id="15"/>
    <tableColumn name="Просрочка дней" id="16"/>
    <tableColumn name="Назначение" id="17"/>
  </tableColumns>
  <tableStyleInfo name="CF O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iadoc.kontur.ru/143bcbfb-a011-4791-9316-981158fa5552/Document/Show?letterId=78a40f16-3e8c-458d-bfe9-f2307c783fe5&amp;documentId=71a8f8cc-04e7-4716-a0ac-b73df6cea4fb" TargetMode="External"/><Relationship Id="rId194" Type="http://schemas.openxmlformats.org/officeDocument/2006/relationships/hyperlink" Target="https://diadoc.kontur.ru/143bcbfb-a011-4791-9316-981158fa5552/Document/Show?letterId=592b393c-7d4b-4f13-af37-4588078d7a33&amp;documentId=6009fbc1-9a07-4a55-aeab-24f7d54ca46e" TargetMode="External"/><Relationship Id="rId193" Type="http://schemas.openxmlformats.org/officeDocument/2006/relationships/hyperlink" Target="https://diadoc.kontur.ru/143bcbfb-a011-4791-9316-981158fa5552/Document/Show?letterId=a9abe691-f7a4-4493-a2ec-497e8c53dda8&amp;documentId=6ac7bbad-ad4c-42d2-b0f7-55eeafb71f2b" TargetMode="External"/><Relationship Id="rId192" Type="http://schemas.openxmlformats.org/officeDocument/2006/relationships/hyperlink" Target="https://diadoc.kontur.ru/143bcbfb-a011-4791-9316-981158fa5552/Document/Show?letterId=d3b79fdc-bfe5-43c2-afbd-c199b4d2ce61&amp;documentId=638cfb04-5bc2-4b49-a505-ee1e3d900f43" TargetMode="External"/><Relationship Id="rId191" Type="http://schemas.openxmlformats.org/officeDocument/2006/relationships/hyperlink" Target="https://diadoc.kontur.ru/143bcbfb-a011-4791-9316-981158fa5552/Document/Show?letterId=a1111f8a-6ee7-4fea-b326-0026b70ee851&amp;documentId=d648b668-10a0-449c-9fe7-df3172b4e986" TargetMode="External"/><Relationship Id="rId187" Type="http://schemas.openxmlformats.org/officeDocument/2006/relationships/hyperlink" Target="https://diadoc.kontur.ru/143bcbfb-a011-4791-9316-981158fa5552/Document/Show?letterId=d03c4c2d-1aeb-45f9-bec5-431827ebdf54&amp;documentId=ec3efc5d-770d-4730-9d43-662e612acd9f" TargetMode="External"/><Relationship Id="rId186" Type="http://schemas.openxmlformats.org/officeDocument/2006/relationships/hyperlink" Target="https://diadoc.kontur.ru/143bcbfb-a011-4791-9316-981158fa5552/Document/Show?letterId=cdd0478c-f5e7-4d6d-b016-2c09273a62df&amp;documentId=caa83369-418c-4e33-a5c0-456926bb213c" TargetMode="External"/><Relationship Id="rId185" Type="http://schemas.openxmlformats.org/officeDocument/2006/relationships/hyperlink" Target="https://diadoc.kontur.ru/143bcbfb-a011-4791-9316-981158fa5552/Document/Show?letterId=3efff1f7-48a7-41f6-bf65-fb18431cae3e&amp;documentId=6e9fbf66-e818-4e65-b203-a7af6b965c37" TargetMode="External"/><Relationship Id="rId184" Type="http://schemas.openxmlformats.org/officeDocument/2006/relationships/hyperlink" Target="https://diadoc.kontur.ru/143bcbfb-a011-4791-9316-981158fa5552/Document/Show?letterId=f31692ed-3ad3-4bf7-8073-c329c306cc89&amp;documentId=3a32df82-7f7a-4cbe-a2b7-46a10ceab2a5" TargetMode="External"/><Relationship Id="rId189" Type="http://schemas.openxmlformats.org/officeDocument/2006/relationships/hyperlink" Target="https://diadoc.kontur.ru/143bcbfb-a011-4791-9316-981158fa5552/Document/Show?letterId=ed9eebe3-5f02-47ac-a08d-331ceea85aba&amp;documentId=e8df5b01-7578-4343-bd11-15790fcdd13d" TargetMode="External"/><Relationship Id="rId188" Type="http://schemas.openxmlformats.org/officeDocument/2006/relationships/hyperlink" Target="https://diadoc.kontur.ru/143bcbfb-a011-4791-9316-981158fa5552/Document/Show?letterId=5471b259-771b-4587-acfb-c2997a514364&amp;documentId=3b889a09-7318-460c-b864-93626719ad04" TargetMode="External"/><Relationship Id="rId183" Type="http://schemas.openxmlformats.org/officeDocument/2006/relationships/hyperlink" Target="https://diadoc.kontur.ru/143bcbfb-a011-4791-9316-981158fa5552/Document/Show?letterId=cc2a3603-9eae-4e96-bb45-db8b895ae77c&amp;documentId=c6d935ce-4ecb-4b63-98a7-ceb15e9bfc23" TargetMode="External"/><Relationship Id="rId182" Type="http://schemas.openxmlformats.org/officeDocument/2006/relationships/hyperlink" Target="https://diadoc.kontur.ru/143bcbfb-a011-4791-9316-981158fa5552/Document/Show?letterId=e8164b12-d029-44f5-b162-cf8858c754e3&amp;documentId=979ac81a-349c-4de8-bf76-7158c05e9ff3" TargetMode="External"/><Relationship Id="rId181" Type="http://schemas.openxmlformats.org/officeDocument/2006/relationships/hyperlink" Target="https://diadoc.kontur.ru/143bcbfb-a011-4791-9316-981158fa5552/Document/Show?letterId=8ec8b6c5-fcc2-4c87-a092-78ca80715b3b&amp;documentId=5198b80a-7ff4-41fb-ad85-c445d1cd3d86" TargetMode="External"/><Relationship Id="rId180" Type="http://schemas.openxmlformats.org/officeDocument/2006/relationships/hyperlink" Target="https://diadoc.kontur.ru/143bcbfb-a011-4791-9316-981158fa5552/Document/Show?letterId=36647b51-ecfc-4787-8840-5c3a8c492c0e&amp;documentId=6c34c3d2-8c1e-4482-b87a-923e4cbfb805" TargetMode="External"/><Relationship Id="rId176" Type="http://schemas.openxmlformats.org/officeDocument/2006/relationships/hyperlink" Target="https://diadoc.kontur.ru/143bcbfb-a011-4791-9316-981158fa5552/Document/Show?letterId=c38507de-6c1b-45b4-8e32-eca84409af08&amp;documentId=685417f2-2dfd-419b-af4d-7d1b25f5edbd" TargetMode="External"/><Relationship Id="rId297" Type="http://schemas.openxmlformats.org/officeDocument/2006/relationships/hyperlink" Target="https://diadoc.kontur.ru/143bcbfb-a011-4791-9316-981158fa5552/Document/Show?letterId=c3e9e78d-86c3-441d-b648-eda1df85a7d5&amp;documentId=e526d194-c8b9-4ffe-808b-adb2ef7421f2" TargetMode="External"/><Relationship Id="rId175" Type="http://schemas.openxmlformats.org/officeDocument/2006/relationships/hyperlink" Target="https://diadoc.kontur.ru/143bcbfb-a011-4791-9316-981158fa5552/Document/Show?letterId=0368ea5f-02f8-403f-a3d2-61ce2f18f1d7&amp;documentId=d1484451-2249-4347-8bdd-4e63dac0332d" TargetMode="External"/><Relationship Id="rId296" Type="http://schemas.openxmlformats.org/officeDocument/2006/relationships/hyperlink" Target="https://diadoc.kontur.ru/143bcbfb-a011-4791-9316-981158fa5552/Document/Show?letterId=3eb37e1b-7202-4719-a79b-ca1aa623a011&amp;documentId=d304f0c0-6e51-4e9e-8de5-5c0e6e329788" TargetMode="External"/><Relationship Id="rId174" Type="http://schemas.openxmlformats.org/officeDocument/2006/relationships/hyperlink" Target="https://diadoc.kontur.ru/143bcbfb-a011-4791-9316-981158fa5552/Document/Show?letterId=a9e4daa2-834d-4d2d-a00b-35b3f43e155f&amp;documentId=7b84f306-a465-4168-befd-5fee8a72adac" TargetMode="External"/><Relationship Id="rId295" Type="http://schemas.openxmlformats.org/officeDocument/2006/relationships/hyperlink" Target="https://diadoc.kontur.ru/143bcbfb-a011-4791-9316-981158fa5552/Document/Show?letterId=b934d342-00a8-40b1-8843-6cd7a921ce70&amp;documentId=4554c2cc-4e97-4e18-879c-258a7d232815" TargetMode="External"/><Relationship Id="rId173" Type="http://schemas.openxmlformats.org/officeDocument/2006/relationships/hyperlink" Target="https://diadoc.kontur.ru/143bcbfb-a011-4791-9316-981158fa5552/Document/Show?letterId=c3c72f3f-7e10-4fb5-812e-f47f46344c48&amp;documentId=816ffbbd-c1a4-47fe-97a0-2428adb7d241" TargetMode="External"/><Relationship Id="rId294" Type="http://schemas.openxmlformats.org/officeDocument/2006/relationships/hyperlink" Target="https://diadoc.kontur.ru/143bcbfb-a011-4791-9316-981158fa5552/Document/Show?letterId=bd3bda2d-b217-4d35-ac72-d9e241d98fc3&amp;documentId=2a1a8d4b-6b98-4f23-b433-5cc13e61e8b2" TargetMode="External"/><Relationship Id="rId179" Type="http://schemas.openxmlformats.org/officeDocument/2006/relationships/hyperlink" Target="https://diadoc.kontur.ru/143bcbfb-a011-4791-9316-981158fa5552/Document/Show?letterId=3efff1f7-48a7-41f6-bf65-fb18431cae3e&amp;documentId=6e9fbf66-e818-4e65-b203-a7af6b965c37" TargetMode="External"/><Relationship Id="rId178" Type="http://schemas.openxmlformats.org/officeDocument/2006/relationships/hyperlink" Target="https://diadoc.kontur.ru/143bcbfb-a011-4791-9316-981158fa5552/Document/Show?letterId=07cafeb1-1db2-433f-a915-5f1523e5007b&amp;documentId=d91e5cc6-5f8a-431f-95d8-d0accbad90d2" TargetMode="External"/><Relationship Id="rId299" Type="http://schemas.openxmlformats.org/officeDocument/2006/relationships/hyperlink" Target="https://diadoc.kontur.ru/143bcbfb-a011-4791-9316-981158fa5552/Document/Show?letterId=04d393c2-9d30-45a6-80a5-32011a512139&amp;documentId=a79335db-2827-40ff-a760-e5cc213a8860" TargetMode="External"/><Relationship Id="rId177" Type="http://schemas.openxmlformats.org/officeDocument/2006/relationships/hyperlink" Target="https://diadoc.kontur.ru/143bcbfb-a011-4791-9316-981158fa5552/Document/Show?letterId=c977703b-f6fd-42d5-a4b9-2c0b502b4f26&amp;documentId=10a15897-c5d7-4d08-ab47-5f09d3d00e34" TargetMode="External"/><Relationship Id="rId298" Type="http://schemas.openxmlformats.org/officeDocument/2006/relationships/hyperlink" Target="https://diadoc.kontur.ru/143bcbfb-a011-4791-9316-981158fa5552/Document/Show?letterId=c431b440-2ae6-4ca4-a8f6-f7da2126c20c&amp;documentId=5b7b879e-72fb-442c-8b08-b0ffa3c30ece" TargetMode="External"/><Relationship Id="rId198" Type="http://schemas.openxmlformats.org/officeDocument/2006/relationships/hyperlink" Target="https://diadoc.kontur.ru/143bcbfb-a011-4791-9316-981158fa5552/Document/Show?letterId=7ecba576-f9c4-42b4-811c-02d0f285511b&amp;documentId=dbb61677-3bbb-4377-afb2-a859cedf88c6" TargetMode="External"/><Relationship Id="rId197" Type="http://schemas.openxmlformats.org/officeDocument/2006/relationships/hyperlink" Target="https://diadoc.kontur.ru/143bcbfb-a011-4791-9316-981158fa5552/Document/Show?letterId=a4a3bcf7-2488-40ea-b5f2-d2ab86059d2d&amp;documentId=4b4bbbe7-4c31-48a9-b5ff-1160e5072be1" TargetMode="External"/><Relationship Id="rId196" Type="http://schemas.openxmlformats.org/officeDocument/2006/relationships/hyperlink" Target="https://diadoc.kontur.ru/143bcbfb-a011-4791-9316-981158fa5552/Document/Show?letterId=f2961c4c-4098-4546-97e2-67a2d08ad69d&amp;documentId=71acb375-97a2-4f47-bbb7-bf1d89f4c08e" TargetMode="External"/><Relationship Id="rId195" Type="http://schemas.openxmlformats.org/officeDocument/2006/relationships/hyperlink" Target="https://diadoc.kontur.ru/143bcbfb-a011-4791-9316-981158fa5552/Document/Show?letterId=3c913486-db36-45e2-bf65-c389e7abf983&amp;documentId=e39ab9a4-7a27-4e67-9ae1-b8c981a305f0" TargetMode="External"/><Relationship Id="rId199" Type="http://schemas.openxmlformats.org/officeDocument/2006/relationships/hyperlink" Target="https://diadoc.kontur.ru/143bcbfb-a011-4791-9316-981158fa5552/Document/Show?letterId=592b393c-7d4b-4f13-af37-4588078d7a33&amp;documentId=6009fbc1-9a07-4a55-aeab-24f7d54ca46e" TargetMode="External"/><Relationship Id="rId150" Type="http://schemas.openxmlformats.org/officeDocument/2006/relationships/hyperlink" Target="https://diadoc.kontur.ru/143bcbfb-a011-4791-9316-981158fa5552/Document/Show?letterId=2d9351a9-403b-40bc-b52d-7854fe3c8da9&amp;documentId=554bd63c-6458-4949-9d0d-b52be27c457b" TargetMode="External"/><Relationship Id="rId271" Type="http://schemas.openxmlformats.org/officeDocument/2006/relationships/hyperlink" Target="https://diadoc.kontur.ru/143bcbfb-a011-4791-9316-981158fa5552/Document/Show?letterId=bc2d7172-30b8-4df7-b189-4d381e7e1464&amp;documentId=040d9202-6f4d-44d2-bb62-ac528a43ac74" TargetMode="External"/><Relationship Id="rId392" Type="http://schemas.openxmlformats.org/officeDocument/2006/relationships/hyperlink" Target="https://diadoc.kontur.ru/143bcbfb-a011-4791-9316-981158fa5552/Document/Show?letterId=1fb73252-3fcb-4168-a3fc-4851c5af8e45&amp;documentId=2faeccac-577f-4e8e-bbb4-a45dc5780316" TargetMode="External"/><Relationship Id="rId270" Type="http://schemas.openxmlformats.org/officeDocument/2006/relationships/hyperlink" Target="https://diadoc.kontur.ru/143bcbfb-a011-4791-9316-981158fa5552/Document/Show?letterId=45030b21-0ced-4b9f-b625-d489f33f4b78&amp;documentId=7f05f9a8-514c-48ad-accd-7efbb41b673d" TargetMode="External"/><Relationship Id="rId391" Type="http://schemas.openxmlformats.org/officeDocument/2006/relationships/hyperlink" Target="https://diadoc.kontur.ru/143bcbfb-a011-4791-9316-981158fa5552/Document/Show?letterId=78dbfd93-6074-4599-910f-9f0129031109&amp;documentId=681328fb-4b0c-47f3-b845-eb6cc98f9904" TargetMode="External"/><Relationship Id="rId390" Type="http://schemas.openxmlformats.org/officeDocument/2006/relationships/hyperlink" Target="https://diadoc.kontur.ru/143bcbfb-a011-4791-9316-981158fa5552/Document/Show?letterId=5808f768-42c1-4217-8d6b-fdce0684c2ee&amp;documentId=304a006d-0fac-4fbe-b2c1-ffa014dab62a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nic.ru/" TargetMode="External"/><Relationship Id="rId3" Type="http://schemas.openxmlformats.org/officeDocument/2006/relationships/hyperlink" Target="https://diadoc.kontur.ru/143bcbfb-a011-4791-9316-981158fa5552/Document/Show?letterId=515db942-a98b-4a0d-a7a5-e5870729c1e9&amp;documentId=267c9bf1-9b3c-4f4b-831f-2612128c7a09" TargetMode="External"/><Relationship Id="rId149" Type="http://schemas.openxmlformats.org/officeDocument/2006/relationships/hyperlink" Target="https://diadoc.kontur.ru/143bcbfb-a011-4791-9316-981158fa5552/Document/Show?letterId=95269cdd-6473-454e-a59f-f51b342c2d83&amp;documentId=2d47e171-1dd9-4152-b552-19f74f0ac917" TargetMode="External"/><Relationship Id="rId4" Type="http://schemas.openxmlformats.org/officeDocument/2006/relationships/hyperlink" Target="https://diadoc.kontur.ru/143bcbfb-a011-4791-9316-981158fa5552/Document/Show?letterId=bd6afb1b-f515-42bf-85fc-112c94a6ef0c&amp;documentId=75592d53-c15c-4780-b82a-e4ce89a7d2f5" TargetMode="External"/><Relationship Id="rId148" Type="http://schemas.openxmlformats.org/officeDocument/2006/relationships/hyperlink" Target="https://diadoc.kontur.ru/143bcbfb-a011-4791-9316-981158fa5552/Document/Show?letterId=63c4316a-c895-48d2-b3d7-4e1797c097d6&amp;documentId=ed426332-9ff4-4b6e-b01e-50596b99ae15" TargetMode="External"/><Relationship Id="rId269" Type="http://schemas.openxmlformats.org/officeDocument/2006/relationships/hyperlink" Target="https://diadoc.kontur.ru/143bcbfb-a011-4791-9316-981158fa5552/Document/Show?letterId=1710f601-7b01-4ccf-a605-a9623a4eff15&amp;documentId=980dbccd-9bd6-47b1-bd73-7ee05d4086e2" TargetMode="External"/><Relationship Id="rId9" Type="http://schemas.openxmlformats.org/officeDocument/2006/relationships/hyperlink" Target="https://diadoc.kontur.ru/143bcbfb-a011-4791-9316-981158fa5552/Document/Show?letterId=f4a03968-0567-4f51-8308-1c0180db259e&amp;documentId=238a6500-e204-4505-80f2-ff762f3998d4" TargetMode="External"/><Relationship Id="rId143" Type="http://schemas.openxmlformats.org/officeDocument/2006/relationships/hyperlink" Target="https://diadoc.kontur.ru/143bcbfb-a011-4791-9316-981158fa5552/Document/Show?letterId=eb7a1780-729b-41c4-8127-e39430d9a810&amp;documentId=13938d1e-888c-424f-9a7b-bd077c4de07f" TargetMode="External"/><Relationship Id="rId264" Type="http://schemas.openxmlformats.org/officeDocument/2006/relationships/hyperlink" Target="https://diadoc.kontur.ru/143bcbfb-a011-4791-9316-981158fa5552/Document/Show?letterId=d8970c73-1d94-4dd5-94c6-b8daacdce479&amp;documentId=3dc8a699-5cfe-4b45-93b3-6f48b5b39f6c" TargetMode="External"/><Relationship Id="rId385" Type="http://schemas.openxmlformats.org/officeDocument/2006/relationships/hyperlink" Target="https://diadoc.kontur.ru/143bcbfb-a011-4791-9316-981158fa5552/Document/Show?letterId=65531235-4208-449c-900c-9403da181468&amp;documentId=badfe800-210c-400d-8dbe-8a7f049ff133" TargetMode="External"/><Relationship Id="rId142" Type="http://schemas.openxmlformats.org/officeDocument/2006/relationships/hyperlink" Target="https://diadoc.kontur.ru/143bcbfb-a011-4791-9316-981158fa5552/Document/Show?letterId=71c720b4-0a6c-486b-a2e0-b083d35749c5&amp;documentId=09e37aa9-9f87-4ede-b380-dfce32e3b577" TargetMode="External"/><Relationship Id="rId263" Type="http://schemas.openxmlformats.org/officeDocument/2006/relationships/hyperlink" Target="https://diadoc.kontur.ru/143bcbfb-a011-4791-9316-981158fa5552/Document/Show?letterId=53e92712-121c-4544-b162-d775d3f922a1&amp;documentId=8ab8562c-fada-4c86-8419-241464599769" TargetMode="External"/><Relationship Id="rId384" Type="http://schemas.openxmlformats.org/officeDocument/2006/relationships/hyperlink" Target="https://diadoc.kontur.ru/143bcbfb-a011-4791-9316-981158fa5552/Document/Show?letterId=702fb48b-387e-42de-a358-da047076a928&amp;documentId=be450958-17e0-4153-9905-a1fa534021b7" TargetMode="External"/><Relationship Id="rId141" Type="http://schemas.openxmlformats.org/officeDocument/2006/relationships/hyperlink" Target="https://diadoc.kontur.ru/143bcbfb-a011-4791-9316-981158fa5552/Document/Show?letterId=f2af285f-26ad-4ede-bed5-903d249f6ba4&amp;documentId=b49944e5-de11-4083-80a1-2117d864a93d" TargetMode="External"/><Relationship Id="rId262" Type="http://schemas.openxmlformats.org/officeDocument/2006/relationships/hyperlink" Target="https://diadoc.kontur.ru/143bcbfb-a011-4791-9316-981158fa5552/Document/Show?letterId=edb40b63-1ac7-475b-82ce-5804b7aa5060&amp;documentId=28a09c43-fde9-40b3-8a9d-c846d2169d9d" TargetMode="External"/><Relationship Id="rId383" Type="http://schemas.openxmlformats.org/officeDocument/2006/relationships/hyperlink" Target="https://diadoc.kontur.ru/143bcbfb-a011-4791-9316-981158fa5552/Document/Show?letterId=cb36d0d8-ec9e-4d80-8807-b6215bf382d2&amp;documentId=bcbd3044-1186-4312-bde2-2a1193515f0b" TargetMode="External"/><Relationship Id="rId140" Type="http://schemas.openxmlformats.org/officeDocument/2006/relationships/hyperlink" Target="https://diadoc.kontur.ru/143bcbfb-a011-4791-9316-981158fa5552/Document/Show?letterId=d38527b8-696d-4a8e-895f-ee72cf239427&amp;documentId=b2460b40-28ca-4551-ad63-756a0828fa35" TargetMode="External"/><Relationship Id="rId261" Type="http://schemas.openxmlformats.org/officeDocument/2006/relationships/hyperlink" Target="https://diadoc.kontur.ru/143bcbfb-a011-4791-9316-981158fa5552/Document/Show?letterId=49f8d886-2333-487a-9fe1-a3e925e5c5e0&amp;documentId=004f7f64-f701-4e67-aebf-ec04c1ff251a" TargetMode="External"/><Relationship Id="rId382" Type="http://schemas.openxmlformats.org/officeDocument/2006/relationships/hyperlink" Target="https://diadoc.kontur.ru/143bcbfb-a011-4791-9316-981158fa5552/Document/Show?letterId=6cf6035f-5cce-4a6c-9f92-8a77a4c78a04&amp;documentId=d0d5efba-3652-48b3-9fc8-9456a40fc154" TargetMode="External"/><Relationship Id="rId5" Type="http://schemas.openxmlformats.org/officeDocument/2006/relationships/hyperlink" Target="https://diadoc.kontur.ru/143bcbfb-a011-4791-9316-981158fa5552/Document/Show?letterId=54affc3c-948f-4a10-b3d6-9a116b986474&amp;documentId=4191ffee-080d-49dc-9832-1fceaca54bc9" TargetMode="External"/><Relationship Id="rId147" Type="http://schemas.openxmlformats.org/officeDocument/2006/relationships/hyperlink" Target="https://diadoc.kontur.ru/143bcbfb-a011-4791-9316-981158fa5552/Document/Show?letterId=187312d0-5f23-48e8-b42c-fa9035f2c831&amp;documentId=437c33dd-174f-441f-8871-e65bcb77d7ce" TargetMode="External"/><Relationship Id="rId268" Type="http://schemas.openxmlformats.org/officeDocument/2006/relationships/hyperlink" Target="https://diadoc.kontur.ru/143bcbfb-a011-4791-9316-981158fa5552/Document/Show?letterId=98695eda-a130-4fdf-bd90-6b0062b7129f&amp;documentId=edd22eb1-b570-4eda-96db-e3df85c1d913" TargetMode="External"/><Relationship Id="rId389" Type="http://schemas.openxmlformats.org/officeDocument/2006/relationships/hyperlink" Target="https://diadoc.kontur.ru/143bcbfb-a011-4791-9316-981158fa5552/Document/Show?letterId=7fc5788f-89b5-447d-9881-43f3c97e2323&amp;documentId=6f6071f9-2efc-44b4-9fbb-d6b131f08d12" TargetMode="External"/><Relationship Id="rId6" Type="http://schemas.openxmlformats.org/officeDocument/2006/relationships/hyperlink" Target="https://diadoc.kontur.ru/143bcbfb-a011-4791-9316-981158fa5552/Document/Show?letterId=3f1fe518-c39f-4acf-8b4c-e7923920e167&amp;documentId=d7d0488a-14ec-4540-920d-f1918c277a2b" TargetMode="External"/><Relationship Id="rId146" Type="http://schemas.openxmlformats.org/officeDocument/2006/relationships/hyperlink" Target="https://diadoc.kontur.ru/143bcbfb-a011-4791-9316-981158fa5552/Document/Show?letterId=828898e7-6049-4fc8-b58f-5d4bb9dd0fcb&amp;documentId=a7d25993-6d82-48e5-8077-5ee6e3d0c654" TargetMode="External"/><Relationship Id="rId267" Type="http://schemas.openxmlformats.org/officeDocument/2006/relationships/hyperlink" Target="https://diadoc.kontur.ru/143bcbfb-a011-4791-9316-981158fa5552/Document/Show?letterId=15034155-b7bd-4c98-a265-3bf08ff0e291&amp;documentId=d36816a4-ff51-478d-869d-870a58130a02" TargetMode="External"/><Relationship Id="rId388" Type="http://schemas.openxmlformats.org/officeDocument/2006/relationships/hyperlink" Target="https://diadoc.kontur.ru/143bcbfb-a011-4791-9316-981158fa5552/Document/Show?letterId=1ed916a0-6410-4c4d-aceb-b7dd2bf4247f&amp;documentId=4ca4f187-3a42-4a08-babe-85939d64fd6a" TargetMode="External"/><Relationship Id="rId7" Type="http://schemas.openxmlformats.org/officeDocument/2006/relationships/hyperlink" Target="https://diadoc.kontur.ru/143bcbfb-a011-4791-9316-981158fa5552/Document/Show?letterId=2ab363cf-39a5-42de-b35f-5ce17aec0652&amp;documentId=7eb7e75c-d876-4d32-87f0-115c1de15ea0" TargetMode="External"/><Relationship Id="rId145" Type="http://schemas.openxmlformats.org/officeDocument/2006/relationships/hyperlink" Target="https://diadoc.kontur.ru/143bcbfb-a011-4791-9316-981158fa5552/Document/Show?letterId=4996bc22-1631-4343-9d00-6ea920db2bc3&amp;documentId=50cc9265-c2bd-48a2-8336-fb14f0ffbfee" TargetMode="External"/><Relationship Id="rId266" Type="http://schemas.openxmlformats.org/officeDocument/2006/relationships/hyperlink" Target="https://diadoc.kontur.ru/143bcbfb-a011-4791-9316-981158fa5552/Document/Show?letterId=4eec2be8-1fd4-4b16-8a52-49c8cd8757db&amp;documentId=4c854900-0322-46a0-8b83-723f9b577b1a" TargetMode="External"/><Relationship Id="rId387" Type="http://schemas.openxmlformats.org/officeDocument/2006/relationships/hyperlink" Target="https://diadoc.kontur.ru/143bcbfb-a011-4791-9316-981158fa5552/Document/Show?letterId=b8b3e2a0-7ad4-48fe-af40-0f96792891db&amp;documentId=f5125117-1b52-42f7-9c6a-14b75e02f7be" TargetMode="External"/><Relationship Id="rId8" Type="http://schemas.openxmlformats.org/officeDocument/2006/relationships/hyperlink" Target="https://diadoc.kontur.ru/143bcbfb-a011-4791-9316-981158fa5552/Document/Show?letterId=0b27c1a9-7544-4b7e-97ea-9c30f5257997&amp;documentId=dd62a536-272b-43be-bcf7-cfbd6eca9b5b" TargetMode="External"/><Relationship Id="rId144" Type="http://schemas.openxmlformats.org/officeDocument/2006/relationships/hyperlink" Target="https://diadoc.kontur.ru/143bcbfb-a011-4791-9316-981158fa5552/Document/Show?letterId=f0760fb9-bb9e-470a-924a-15ce64966305&amp;documentId=bcd94c1e-0658-46c7-a275-c6af47f857d3" TargetMode="External"/><Relationship Id="rId265" Type="http://schemas.openxmlformats.org/officeDocument/2006/relationships/hyperlink" Target="https://diadoc.kontur.ru/143bcbfb-a011-4791-9316-981158fa5552/Document/Show?letterId=5e551b5f-128b-405b-a824-ab686e287e61&amp;documentId=f22fc52a-b188-4b95-b1ce-688c20c299f5" TargetMode="External"/><Relationship Id="rId386" Type="http://schemas.openxmlformats.org/officeDocument/2006/relationships/hyperlink" Target="https://diadoc.kontur.ru/143bcbfb-a011-4791-9316-981158fa5552/Document/Show?letterId=e7b4aa3b-f23a-4428-952b-f971bcdc5397&amp;documentId=ccec127b-592f-4bc2-a56d-c65df272cd12" TargetMode="External"/><Relationship Id="rId260" Type="http://schemas.openxmlformats.org/officeDocument/2006/relationships/hyperlink" Target="https://diadoc.kontur.ru/143bcbfb-a011-4791-9316-981158fa5552/Document/Show?letterId=ef1bf757-e4b8-4b4b-bc4d-2e6443c8fada&amp;documentId=f4a5c8ce-d474-4ac8-a3df-b3f493a2cb4e" TargetMode="External"/><Relationship Id="rId381" Type="http://schemas.openxmlformats.org/officeDocument/2006/relationships/hyperlink" Target="https://diadoc.kontur.ru/143bcbfb-a011-4791-9316-981158fa5552/Document/Show?letterId=4456e15a-888c-4a6b-b293-4784a7198fc7&amp;documentId=5584c831-f62e-4b10-8e21-673c69487cfc" TargetMode="External"/><Relationship Id="rId380" Type="http://schemas.openxmlformats.org/officeDocument/2006/relationships/hyperlink" Target="https://diadoc.kontur.ru/143bcbfb-a011-4791-9316-981158fa5552/Document/Show?letterId=efca05e8-008e-4c24-8154-21a16bb8fdd6&amp;documentId=b4e0f55e-e9df-4d53-a7e5-8ba32e19c078" TargetMode="External"/><Relationship Id="rId139" Type="http://schemas.openxmlformats.org/officeDocument/2006/relationships/hyperlink" Target="https://diadoc.kontur.ru/143bcbfb-a011-4791-9316-981158fa5552/Document/Show?letterId=cc0f3b35-8c27-4a1c-a2b2-4b2a0e1774d5&amp;documentId=b7fb47e1-a9d7-4ec5-934c-0115f0f84c22" TargetMode="External"/><Relationship Id="rId138" Type="http://schemas.openxmlformats.org/officeDocument/2006/relationships/hyperlink" Target="https://diadoc.kontur.ru/143bcbfb-a011-4791-9316-981158fa5552/Document/Show?letterId=f8202580-3ae7-4d3b-bbe1-f39b78fa9c19&amp;documentId=55cf4442-8ed5-4c1b-b859-ede76fb89ea9" TargetMode="External"/><Relationship Id="rId259" Type="http://schemas.openxmlformats.org/officeDocument/2006/relationships/hyperlink" Target="https://diadoc.kontur.ru/143bcbfb-a011-4791-9316-981158fa5552/Document/Show?letterId=24fd1603-e802-4b3b-9bb3-e848badd4e10&amp;documentId=364928cc-e611-44f7-9a69-c4af70c1815a" TargetMode="External"/><Relationship Id="rId137" Type="http://schemas.openxmlformats.org/officeDocument/2006/relationships/hyperlink" Target="https://diadoc.kontur.ru/143bcbfb-a011-4791-9316-981158fa5552/Document/Show?letterId=956cc190-f5e7-47a9-949c-f143ca5e8a90&amp;documentId=351b0936-c5d6-4d32-8c23-c8f1fa0c6132" TargetMode="External"/><Relationship Id="rId258" Type="http://schemas.openxmlformats.org/officeDocument/2006/relationships/hyperlink" Target="https://diadoc.kontur.ru/143bcbfb-a011-4791-9316-981158fa5552/Document/Show?letterId=840c9d6f-36a7-4081-9e28-0c47a099ff63&amp;documentId=9ed6230b-3ad9-4b39-a5b8-d68d03bb3662" TargetMode="External"/><Relationship Id="rId379" Type="http://schemas.openxmlformats.org/officeDocument/2006/relationships/hyperlink" Target="https://diadoc.kontur.ru/143bcbfb-a011-4791-9316-981158fa5552/Document/Show?letterId=5f3bc295-d9f8-468b-b342-12c2ba753431&amp;documentId=d2940d09-bb8a-467e-84ac-6c7f946feba3" TargetMode="External"/><Relationship Id="rId132" Type="http://schemas.openxmlformats.org/officeDocument/2006/relationships/hyperlink" Target="https://diadoc.kontur.ru/143bcbfb-a011-4791-9316-981158fa5552/Document/Show?letterId=2f93f584-b4cc-4b97-b2fe-70797b2e21d5&amp;documentId=22bb3b69-8b57-4c96-a125-b4f6d49ba3bf" TargetMode="External"/><Relationship Id="rId253" Type="http://schemas.openxmlformats.org/officeDocument/2006/relationships/hyperlink" Target="https://diadoc.kontur.ru/143bcbfb-a011-4791-9316-981158fa5552/Document/Show?letterId=b64ea5ff-1467-43f1-9967-b642c69cef82&amp;documentId=e2be96d3-531a-4955-ad8a-59bed77bec0a" TargetMode="External"/><Relationship Id="rId374" Type="http://schemas.openxmlformats.org/officeDocument/2006/relationships/hyperlink" Target="https://diadoc.kontur.ru/143bcbfb-a011-4791-9316-981158fa5552/Document/Show?letterId=5fdb1a44-9baf-47eb-842b-6acbc7ddccf9&amp;documentId=9db51031-e3ef-435d-86e5-a39d08d9f504" TargetMode="External"/><Relationship Id="rId495" Type="http://schemas.openxmlformats.org/officeDocument/2006/relationships/hyperlink" Target="https://diadoc.kontur.ru/143bcbfb-a011-4791-9316-981158fa5552/Document/Show?letterId=10044a03-e3b4-4ed6-baee-b0739bcf7967&amp;documentId=a991c2eb-3f15-4740-a6ab-f603665acae8" TargetMode="External"/><Relationship Id="rId131" Type="http://schemas.openxmlformats.org/officeDocument/2006/relationships/hyperlink" Target="https://diadoc.kontur.ru/143bcbfb-a011-4791-9316-981158fa5552/Document/Show?letterId=183891c3-d38b-4a1f-924b-ef10d276d67c&amp;documentId=34afbb29-5b1e-4c16-b8bb-70defb4e4139" TargetMode="External"/><Relationship Id="rId252" Type="http://schemas.openxmlformats.org/officeDocument/2006/relationships/hyperlink" Target="https://diadoc.kontur.ru/143bcbfb-a011-4791-9316-981158fa5552/Document/Show?letterId=192fef06-6a4c-4d51-94fd-875f0f61ac26&amp;documentId=a847ddb5-ef20-424e-9c95-1e8a034d3cd0" TargetMode="External"/><Relationship Id="rId373" Type="http://schemas.openxmlformats.org/officeDocument/2006/relationships/hyperlink" Target="https://diadoc.kontur.ru/143bcbfb-a011-4791-9316-981158fa5552/Document/Show?letterId=218e010e-f3e0-4989-8a73-3797ed5ee59b&amp;documentId=b699ec11-0899-4aed-97fa-625f1afa5e3d" TargetMode="External"/><Relationship Id="rId494" Type="http://schemas.openxmlformats.org/officeDocument/2006/relationships/hyperlink" Target="https://diadoc.kontur.ru/143bcbfb-a011-4791-9316-981158fa5552/Document/Show?letterId=42bc427d-8d82-4180-8d60-3a184b71a8e8&amp;documentId=805c912d-767c-43dc-9d91-b9e93c2408aa" TargetMode="External"/><Relationship Id="rId130" Type="http://schemas.openxmlformats.org/officeDocument/2006/relationships/hyperlink" Target="https://diadoc.kontur.ru/143bcbfb-a011-4791-9316-981158fa5552/Document/Show?letterId=40bb4938-8f95-4200-9505-b15f5dd0000b&amp;documentId=a24661bd-1781-46af-b374-99f71da1e71b" TargetMode="External"/><Relationship Id="rId251" Type="http://schemas.openxmlformats.org/officeDocument/2006/relationships/hyperlink" Target="https://diadoc.kontur.ru/143bcbfb-a011-4791-9316-981158fa5552/Document/Show?letterId=8a05a0c3-6060-41f1-a52d-444a221ab950&amp;documentId=b6627caf-93d0-44a8-bdbd-374923afb19d" TargetMode="External"/><Relationship Id="rId372" Type="http://schemas.openxmlformats.org/officeDocument/2006/relationships/hyperlink" Target="https://diadoc.kontur.ru/143bcbfb-a011-4791-9316-981158fa5552/Document/Show?letterId=9a611717-196b-4f82-bd5d-cb269ac2e9f8&amp;documentId=cc41f331-d973-4975-b355-1cbe04f53186" TargetMode="External"/><Relationship Id="rId493" Type="http://schemas.openxmlformats.org/officeDocument/2006/relationships/hyperlink" Target="https://diadoc.kontur.ru/143bcbfb-a011-4791-9316-981158fa5552/Document/Show?letterId=c0cf880c-d621-4af4-9abb-af6ad949d4f6&amp;documentId=6b7327a0-9bae-4820-b0c4-f5eb8c9f115b" TargetMode="External"/><Relationship Id="rId250" Type="http://schemas.openxmlformats.org/officeDocument/2006/relationships/hyperlink" Target="https://diadoc.kontur.ru/143bcbfb-a011-4791-9316-981158fa5552/Document/Show?letterId=53e92712-121c-4544-b162-d775d3f922a1&amp;documentId=8ab8562c-fada-4c86-8419-241464599769" TargetMode="External"/><Relationship Id="rId371" Type="http://schemas.openxmlformats.org/officeDocument/2006/relationships/hyperlink" Target="https://diadoc.kontur.ru/143bcbfb-a011-4791-9316-981158fa5552/Document/Show?letterId=1780b2fe-9cfa-4f82-80f6-0eeee1e03c8e&amp;documentId=26002ed0-1915-4d31-87e5-8a86048521f7" TargetMode="External"/><Relationship Id="rId492" Type="http://schemas.openxmlformats.org/officeDocument/2006/relationships/hyperlink" Target="https://diadoc.kontur.ru/143bcbfb-a011-4791-9316-981158fa5552/Document/Show?letterId=fafd7e45-4208-4088-964e-f0fdebc2d3ce&amp;documentId=63212a1b-2727-4a1f-a280-1071f96c8c3f" TargetMode="External"/><Relationship Id="rId136" Type="http://schemas.openxmlformats.org/officeDocument/2006/relationships/hyperlink" Target="https://diadoc.kontur.ru/143bcbfb-a011-4791-9316-981158fa5552/Document/Show?letterId=0d74471f-6038-4b35-82f3-3a694ccd6257&amp;documentId=f6eb09c0-6874-4165-8dd9-e738a68f0795" TargetMode="External"/><Relationship Id="rId257" Type="http://schemas.openxmlformats.org/officeDocument/2006/relationships/hyperlink" Target="https://diadoc.kontur.ru/143bcbfb-a011-4791-9316-981158fa5552/Document/Show?letterId=817ec3b4-3c70-457c-8558-4ba8d947e336&amp;documentId=5e353021-e32c-46dd-8324-9e27258137e1" TargetMode="External"/><Relationship Id="rId378" Type="http://schemas.openxmlformats.org/officeDocument/2006/relationships/hyperlink" Target="https://diadoc.kontur.ru/143bcbfb-a011-4791-9316-981158fa5552/Document/Show?letterId=413ae4c5-6df9-482a-b082-22ca92d2e70b&amp;documentId=ff99aca6-4f9b-48d4-a7fd-9cb160eefaab" TargetMode="External"/><Relationship Id="rId499" Type="http://schemas.openxmlformats.org/officeDocument/2006/relationships/hyperlink" Target="https://diadoc.kontur.ru/143bcbfb-a011-4791-9316-981158fa5552/Document/Show?letterId=6428ea23-f882-4c96-8955-93b9331a3bfc&amp;documentId=78730e18-5f18-4155-981c-c14a5d2882e5" TargetMode="External"/><Relationship Id="rId135" Type="http://schemas.openxmlformats.org/officeDocument/2006/relationships/hyperlink" Target="https://diadoc.kontur.ru/143bcbfb-a011-4791-9316-981158fa5552/Document/Show?letterId=46083fda-2af3-46e1-b50e-0e16ade61832&amp;documentId=fba44a18-e863-4acd-89df-d9e8f81d8501" TargetMode="External"/><Relationship Id="rId256" Type="http://schemas.openxmlformats.org/officeDocument/2006/relationships/hyperlink" Target="https://diadoc.kontur.ru/143bcbfb-a011-4791-9316-981158fa5552/Document/Show?letterId=a9c323cb-8e0f-4f86-808c-7d31d5cf2948&amp;documentId=1f2ddb45-a5d4-4b7c-a61e-8832ff66b3a9" TargetMode="External"/><Relationship Id="rId377" Type="http://schemas.openxmlformats.org/officeDocument/2006/relationships/hyperlink" Target="https://diadoc.kontur.ru/143bcbfb-a011-4791-9316-981158fa5552/Document/Show?letterId=f3f19811-34ed-4c4b-93ae-562e90203721&amp;documentId=b36b9b4a-82fd-4595-9957-1dc45b92b5e6" TargetMode="External"/><Relationship Id="rId498" Type="http://schemas.openxmlformats.org/officeDocument/2006/relationships/hyperlink" Target="https://diadoc.kontur.ru/143bcbfb-a011-4791-9316-981158fa5552/Document/Show?letterId=36383976-7b4f-4ad6-a9e0-8a6e183857bb&amp;documentId=6aac0b78-ce26-4a80-ac09-974c3a107a79" TargetMode="External"/><Relationship Id="rId134" Type="http://schemas.openxmlformats.org/officeDocument/2006/relationships/hyperlink" Target="https://diadoc.kontur.ru/143bcbfb-a011-4791-9316-981158fa5552/Document/Show?letterId=669a4470-2016-4b26-93d5-fe026a20c458&amp;documentId=767e34a9-fdd9-4398-a36f-c287b96711eb" TargetMode="External"/><Relationship Id="rId255" Type="http://schemas.openxmlformats.org/officeDocument/2006/relationships/hyperlink" Target="https://diadoc.kontur.ru/143bcbfb-a011-4791-9316-981158fa5552/Document/Show?letterId=7fc23dd3-179a-4b87-98b4-2860584779df&amp;documentId=e17881a0-ba1d-4990-b474-c6671a467a7d" TargetMode="External"/><Relationship Id="rId376" Type="http://schemas.openxmlformats.org/officeDocument/2006/relationships/hyperlink" Target="https://diadoc.kontur.ru/143bcbfb-a011-4791-9316-981158fa5552/Document/Show?letterId=a1b4e62e-e172-4a2d-9e2a-6ea9b46b90b9&amp;documentId=64bf4581-e7de-47b0-92b4-da25d1457dc7" TargetMode="External"/><Relationship Id="rId497" Type="http://schemas.openxmlformats.org/officeDocument/2006/relationships/hyperlink" Target="https://diadoc.kontur.ru/143bcbfb-a011-4791-9316-981158fa5552/Document/Show?letterId=19d102ab-6689-430d-8674-8b8e8474540c&amp;documentId=04042b3f-c326-431f-a8d1-e081a78e5cdf" TargetMode="External"/><Relationship Id="rId133" Type="http://schemas.openxmlformats.org/officeDocument/2006/relationships/hyperlink" Target="https://diadoc.kontur.ru/143bcbfb-a011-4791-9316-981158fa5552/Document/Show?letterId=85c6a873-976f-4188-9c8d-81f3fc638aba&amp;documentId=0ec551d4-b6ed-4992-9865-8428b865089d" TargetMode="External"/><Relationship Id="rId254" Type="http://schemas.openxmlformats.org/officeDocument/2006/relationships/hyperlink" Target="https://diadoc.kontur.ru/143bcbfb-a011-4791-9316-981158fa5552/Document/Show?letterId=57603e34-4e33-4331-9860-4af4591aa1c8&amp;documentId=445b800e-c5e5-43ef-9c3a-c082abb7f0a6" TargetMode="External"/><Relationship Id="rId375" Type="http://schemas.openxmlformats.org/officeDocument/2006/relationships/hyperlink" Target="https://diadoc.kontur.ru/143bcbfb-a011-4791-9316-981158fa5552/Document/Show?letterId=8c16f1ba-008c-40f2-9fe1-59b0885ee6fb&amp;documentId=4c509f09-484d-45d7-8dce-ff3be5c473b8" TargetMode="External"/><Relationship Id="rId496" Type="http://schemas.openxmlformats.org/officeDocument/2006/relationships/hyperlink" Target="https://diadoc.kontur.ru/143bcbfb-a011-4791-9316-981158fa5552/Document/Show?letterId=4473d02c-fb60-46c4-ac8c-ea3a1a8b6085&amp;documentId=b5cb445e-75e8-4015-9c5c-5f85fc14313a" TargetMode="External"/><Relationship Id="rId172" Type="http://schemas.openxmlformats.org/officeDocument/2006/relationships/hyperlink" Target="https://diadoc.kontur.ru/143bcbfb-a011-4791-9316-981158fa5552/Document/Show?letterId=1f827ea6-7d0c-40f1-92d7-d086bfbb3706&amp;documentId=81088be2-a56d-46ac-8f5a-3d95a18b48f3" TargetMode="External"/><Relationship Id="rId293" Type="http://schemas.openxmlformats.org/officeDocument/2006/relationships/hyperlink" Target="https://diadoc.kontur.ru/143bcbfb-a011-4791-9316-981158fa5552/Document/Show?letterId=6f5950f8-254d-4c0a-b50e-0367afe9549f&amp;documentId=83ff6128-427a-4518-87ef-1c454f582ec9" TargetMode="External"/><Relationship Id="rId171" Type="http://schemas.openxmlformats.org/officeDocument/2006/relationships/hyperlink" Target="https://diadoc.kontur.ru/143bcbfb-a011-4791-9316-981158fa5552/Document/Show?letterId=a23f1ffe-9776-43d3-b63b-868bfe8b14db&amp;documentId=7615fcef-ca09-4bf1-9dff-c203b1f1f70d" TargetMode="External"/><Relationship Id="rId292" Type="http://schemas.openxmlformats.org/officeDocument/2006/relationships/hyperlink" Target="https://diadoc.kontur.ru/143bcbfb-a011-4791-9316-981158fa5552/Document/Show?letterId=f9580fd3-e9d8-44e9-b81c-6e9e743f012b&amp;documentId=872097e9-3498-47d9-af46-bb23af6ad0b3" TargetMode="External"/><Relationship Id="rId170" Type="http://schemas.openxmlformats.org/officeDocument/2006/relationships/hyperlink" Target="https://diadoc.kontur.ru/143bcbfb-a011-4791-9316-981158fa5552/Document/Show?letterId=b4fafa72-6fb6-4b3e-a538-0604840b8934&amp;documentId=378367ab-ee72-4f1d-b07f-1e738500fbe6" TargetMode="External"/><Relationship Id="rId291" Type="http://schemas.openxmlformats.org/officeDocument/2006/relationships/hyperlink" Target="https://diadoc.kontur.ru/143bcbfb-a011-4791-9316-981158fa5552/Document/Show?letterId=c6135ba6-ac21-4b25-9eca-17a8e17ff067&amp;documentId=94197b6f-c5ff-47ae-b8f1-268d3cee17a5" TargetMode="External"/><Relationship Id="rId290" Type="http://schemas.openxmlformats.org/officeDocument/2006/relationships/hyperlink" Target="https://diadoc.kontur.ru/143bcbfb-a011-4791-9316-981158fa5552/Document/Show?letterId=2f175839-eb01-4c75-9cf6-d27779d456e2&amp;documentId=d667cb9d-aa17-4860-b3dd-d221d9d243d5" TargetMode="External"/><Relationship Id="rId165" Type="http://schemas.openxmlformats.org/officeDocument/2006/relationships/hyperlink" Target="https://diadoc.kontur.ru/143bcbfb-a011-4791-9316-981158fa5552/Document/Show?letterId=e423fcb5-715a-4a3d-b851-8f237260c8fb&amp;documentId=8faaf79c-ad27-4c0c-b39a-2b996196a399" TargetMode="External"/><Relationship Id="rId286" Type="http://schemas.openxmlformats.org/officeDocument/2006/relationships/hyperlink" Target="https://diadoc.kontur.ru/143bcbfb-a011-4791-9316-981158fa5552/Document/Show?letterId=4133615c-6f79-446c-810f-ef334ae3add8&amp;documentId=a5fbf13b-aa0c-4166-8328-5c29ac9b4990" TargetMode="External"/><Relationship Id="rId164" Type="http://schemas.openxmlformats.org/officeDocument/2006/relationships/hyperlink" Target="https://diadoc.kontur.ru/143bcbfb-a011-4791-9316-981158fa5552/Document/Show?letterId=668a8c76-2c1d-4265-b48b-0db4ee0be382&amp;documentId=cb1b6312-0d1b-4476-abe8-977a088535c8" TargetMode="External"/><Relationship Id="rId285" Type="http://schemas.openxmlformats.org/officeDocument/2006/relationships/hyperlink" Target="https://diadoc.kontur.ru/143bcbfb-a011-4791-9316-981158fa5552/Document/Show?letterId=ca065ce1-b3a3-40bc-9d94-c508bc9508e7&amp;documentId=c2aea2c7-4e3a-4216-a3fe-3d7022054866" TargetMode="External"/><Relationship Id="rId163" Type="http://schemas.openxmlformats.org/officeDocument/2006/relationships/hyperlink" Target="https://diadoc.kontur.ru/143bcbfb-a011-4791-9316-981158fa5552/Document/Show?letterId=3da82a2b-fe03-47b1-bb86-404fbc80f1c9&amp;documentId=3b3c2ceb-451d-4e9b-b399-578bd559db70" TargetMode="External"/><Relationship Id="rId284" Type="http://schemas.openxmlformats.org/officeDocument/2006/relationships/hyperlink" Target="https://diadoc.kontur.ru/143bcbfb-a011-4791-9316-981158fa5552/Document/Show?letterId=652aaf65-0f08-4c4d-839a-f18ca60887bb&amp;documentId=6d34912c-f118-428f-8d1f-a0d349a46a28" TargetMode="External"/><Relationship Id="rId162" Type="http://schemas.openxmlformats.org/officeDocument/2006/relationships/hyperlink" Target="https://diadoc.kontur.ru/143bcbfb-a011-4791-9316-981158fa5552/Document/Show?letterId=bafeda77-3b0a-41a1-9856-1b687903cd09&amp;documentId=011ebfc5-142c-41fb-8311-222a5a5f3934" TargetMode="External"/><Relationship Id="rId283" Type="http://schemas.openxmlformats.org/officeDocument/2006/relationships/hyperlink" Target="https://diadoc.kontur.ru/143bcbfb-a011-4791-9316-981158fa5552/Document/Show?letterId=a0eb1cf0-d9bb-4862-92c0-9fd720cce951&amp;documentId=404c4574-b5de-4909-aa21-dc5f5afd2dad" TargetMode="External"/><Relationship Id="rId169" Type="http://schemas.openxmlformats.org/officeDocument/2006/relationships/hyperlink" Target="https://diadoc.kontur.ru/143bcbfb-a011-4791-9316-981158fa5552/Document/Show?letterId=e8131a3b-c0a0-473e-a230-43add18d823c&amp;documentId=d88fe2ca-db53-4a51-a103-57075926d0a0" TargetMode="External"/><Relationship Id="rId168" Type="http://schemas.openxmlformats.org/officeDocument/2006/relationships/hyperlink" Target="https://diadoc.kontur.ru/143bcbfb-a011-4791-9316-981158fa5552/Document/Show?letterId=698ff8be-fbe0-4c10-bf0d-45a7b345f332&amp;documentId=910323bb-96d8-4f5a-b62a-26b2c0f06bf5" TargetMode="External"/><Relationship Id="rId289" Type="http://schemas.openxmlformats.org/officeDocument/2006/relationships/hyperlink" Target="https://diadoc.kontur.ru/143bcbfb-a011-4791-9316-981158fa5552/Document/Show?letterId=fe64ecf1-b90e-43c7-8c57-15213550f604&amp;documentId=541c3314-1589-4f6e-a773-a805f156e116" TargetMode="External"/><Relationship Id="rId167" Type="http://schemas.openxmlformats.org/officeDocument/2006/relationships/hyperlink" Target="https://diadoc.kontur.ru/143bcbfb-a011-4791-9316-981158fa5552/Document/Show?letterId=9c4fcdda-1272-47b8-8007-f90be10e3cee&amp;documentId=c610d73a-f6cc-42eb-90bb-104a60fc70bb" TargetMode="External"/><Relationship Id="rId288" Type="http://schemas.openxmlformats.org/officeDocument/2006/relationships/hyperlink" Target="https://diadoc.kontur.ru/143bcbfb-a011-4791-9316-981158fa5552/Document/Show?letterId=7c281eed-2246-4370-8562-c1b51e37e355&amp;documentId=acf2eb54-11f5-4c19-be31-37eabcd16b13" TargetMode="External"/><Relationship Id="rId166" Type="http://schemas.openxmlformats.org/officeDocument/2006/relationships/hyperlink" Target="https://diadoc.kontur.ru/143bcbfb-a011-4791-9316-981158fa5552/Document/Show?letterId=f5edb3f0-2b87-47b2-82cf-dfdb570101da&amp;documentId=18c04b94-3f27-49a8-bd6b-3a5ead8acc84" TargetMode="External"/><Relationship Id="rId287" Type="http://schemas.openxmlformats.org/officeDocument/2006/relationships/hyperlink" Target="https://diadoc.kontur.ru/143bcbfb-a011-4791-9316-981158fa5552/Document/Show?letterId=93bf5dd7-dbf7-441a-9815-279b71c0750a&amp;documentId=0cd90d0c-2639-4e34-8630-3410e9e7f8cf" TargetMode="External"/><Relationship Id="rId161" Type="http://schemas.openxmlformats.org/officeDocument/2006/relationships/hyperlink" Target="https://diadoc.kontur.ru/143bcbfb-a011-4791-9316-981158fa5552/Document/Show?letterId=720068a1-81ca-41a6-8f11-04c9652451e8&amp;documentId=e08a5936-be50-4623-ad75-329dac3d904d" TargetMode="External"/><Relationship Id="rId282" Type="http://schemas.openxmlformats.org/officeDocument/2006/relationships/hyperlink" Target="https://diadoc.kontur.ru/143bcbfb-a011-4791-9316-981158fa5552/Document/Show?letterId=85bfd75c-6d41-4d83-9e7c-23d4f2e74b2a&amp;documentId=3d58da3e-8876-4a69-8e2e-7a26ad11de94" TargetMode="External"/><Relationship Id="rId160" Type="http://schemas.openxmlformats.org/officeDocument/2006/relationships/hyperlink" Target="https://diadoc.kontur.ru/143bcbfb-a011-4791-9316-981158fa5552/Document/Show?letterId=a05da0ca-6e12-447b-8634-258dc2edb4c4&amp;documentId=d1f8fbb9-c3ff-4868-9faf-e90af6d5555d" TargetMode="External"/><Relationship Id="rId281" Type="http://schemas.openxmlformats.org/officeDocument/2006/relationships/hyperlink" Target="https://diadoc.kontur.ru/143bcbfb-a011-4791-9316-981158fa5552/Document/Show?letterId=27c2b50b-4dca-4220-b610-e16d6baf4638&amp;documentId=f2bad1f5-7162-4b26-8e69-b2f7c0f0f0b7" TargetMode="External"/><Relationship Id="rId280" Type="http://schemas.openxmlformats.org/officeDocument/2006/relationships/hyperlink" Target="https://diadoc.kontur.ru/143bcbfb-a011-4791-9316-981158fa5552/Document/Show?letterId=98ad6b33-9582-41d4-94b6-15f718bc5f10&amp;documentId=24b413b2-fbdc-49f6-b0aa-2fd32745f326" TargetMode="External"/><Relationship Id="rId159" Type="http://schemas.openxmlformats.org/officeDocument/2006/relationships/hyperlink" Target="https://diadoc.kontur.ru/143bcbfb-a011-4791-9316-981158fa5552/Document/Show?letterId=49a4072c-af42-465a-bb1f-35ea9238f02b&amp;documentId=027405d9-79d9-4d66-b9e4-d62ff028fd13" TargetMode="External"/><Relationship Id="rId154" Type="http://schemas.openxmlformats.org/officeDocument/2006/relationships/hyperlink" Target="https://diadoc.kontur.ru/143bcbfb-a011-4791-9316-981158fa5552/Document/Show?letterId=47659394-5709-4da8-bfdc-2c2f04988db2&amp;documentId=8c2a5bfe-1532-4a10-a93f-cfe93d8a711e" TargetMode="External"/><Relationship Id="rId275" Type="http://schemas.openxmlformats.org/officeDocument/2006/relationships/hyperlink" Target="https://diadoc.kontur.ru/143bcbfb-a011-4791-9316-981158fa5552/Document/Show?letterId=228e04d9-a70a-401c-a518-5d3a4cf459b0&amp;documentId=90a263de-ab33-430a-bdb6-78315cc775aa" TargetMode="External"/><Relationship Id="rId396" Type="http://schemas.openxmlformats.org/officeDocument/2006/relationships/hyperlink" Target="https://diadoc.kontur.ru/143bcbfb-a011-4791-9316-981158fa5552/Document/Show?letterId=56f590a6-cb5a-4458-8eab-6f858629c1f4&amp;documentId=39f7107c-3ad4-48e4-b2d8-a90b94c6def0" TargetMode="External"/><Relationship Id="rId153" Type="http://schemas.openxmlformats.org/officeDocument/2006/relationships/hyperlink" Target="https://diadoc.kontur.ru/143bcbfb-a011-4791-9316-981158fa5552/Document/Show?letterId=782697ea-5997-4955-aa63-50bef998fe32&amp;documentId=019f49be-1ca6-4d91-a444-2f5483d96c78" TargetMode="External"/><Relationship Id="rId274" Type="http://schemas.openxmlformats.org/officeDocument/2006/relationships/hyperlink" Target="https://diadoc.kontur.ru/143bcbfb-a011-4791-9316-981158fa5552/Document/Show?letterId=c4939b2b-653f-4893-be2c-ff66e55eef43&amp;documentId=4b82ff3b-2f93-4ea5-a333-ff6980c38b20" TargetMode="External"/><Relationship Id="rId395" Type="http://schemas.openxmlformats.org/officeDocument/2006/relationships/hyperlink" Target="https://diadoc.kontur.ru/143bcbfb-a011-4791-9316-981158fa5552/Document/Show?letterId=3677d583-b940-4cbb-8698-5884056feca5&amp;documentId=02a4113d-da6a-4f20-93e1-44a1a2171d03" TargetMode="External"/><Relationship Id="rId152" Type="http://schemas.openxmlformats.org/officeDocument/2006/relationships/hyperlink" Target="https://diadoc.kontur.ru/143bcbfb-a011-4791-9316-981158fa5552/Document/Show?letterId=17840fc4-6df9-455d-b3e2-77fe7cb94cdf&amp;documentId=0f8f6630-aa1b-44d3-9c6a-21865fd4c7d1" TargetMode="External"/><Relationship Id="rId273" Type="http://schemas.openxmlformats.org/officeDocument/2006/relationships/hyperlink" Target="https://diadoc.kontur.ru/143bcbfb-a011-4791-9316-981158fa5552/Document/Show?letterId=6e74dcfe-00e4-4ca4-a1c8-7617d75ed5a9&amp;documentId=0618d4c3-afc5-4c44-a0fe-f88f9b70d7b9" TargetMode="External"/><Relationship Id="rId394" Type="http://schemas.openxmlformats.org/officeDocument/2006/relationships/hyperlink" Target="https://diadoc.kontur.ru/143bcbfb-a011-4791-9316-981158fa5552/Document/Show?letterId=69fa01ee-ab55-4b04-89a3-901c726af803&amp;documentId=a53a5e52-09f7-4f6c-8bdd-67f59e34aac9" TargetMode="External"/><Relationship Id="rId151" Type="http://schemas.openxmlformats.org/officeDocument/2006/relationships/hyperlink" Target="https://diadoc.kontur.ru/143bcbfb-a011-4791-9316-981158fa5552/Document/Show?letterId=7f14baa5-9587-4021-bf43-941cae5f08b5&amp;documentId=75b59eeb-7a90-4145-912e-200754f02ddc" TargetMode="External"/><Relationship Id="rId272" Type="http://schemas.openxmlformats.org/officeDocument/2006/relationships/hyperlink" Target="https://diadoc.kontur.ru/143bcbfb-a011-4791-9316-981158fa5552/Document/Show?letterId=0131766d-4859-4ab3-93ec-b60a225d2606&amp;documentId=45d80c42-5969-4860-8c9c-787cc698ce76" TargetMode="External"/><Relationship Id="rId393" Type="http://schemas.openxmlformats.org/officeDocument/2006/relationships/hyperlink" Target="https://diadoc.kontur.ru/143bcbfb-a011-4791-9316-981158fa5552/Document/Show?letterId=9a35ac9b-5c32-45f3-a348-f9baafa5810d&amp;documentId=a3615829-5f0b-4dfe-b72a-d8dfc3107206" TargetMode="External"/><Relationship Id="rId158" Type="http://schemas.openxmlformats.org/officeDocument/2006/relationships/hyperlink" Target="https://diadoc.kontur.ru/143bcbfb-a011-4791-9316-981158fa5552/Document/Show?letterId=c918b21e-b2ff-4a70-b0dc-da50333da5de&amp;documentId=bb1eddfa-a1e6-40e1-ad04-12406420aa03" TargetMode="External"/><Relationship Id="rId279" Type="http://schemas.openxmlformats.org/officeDocument/2006/relationships/hyperlink" Target="https://diadoc.kontur.ru/143bcbfb-a011-4791-9316-981158fa5552/Document/Show?letterId=d791faae-962c-4f07-a43c-910d20e241c0&amp;documentId=55009ba1-372f-4688-9166-d09b4871deb4" TargetMode="External"/><Relationship Id="rId157" Type="http://schemas.openxmlformats.org/officeDocument/2006/relationships/hyperlink" Target="https://diadoc.kontur.ru/143bcbfb-a011-4791-9316-981158fa5552/Document/Show?letterId=6865d3e3-793d-475f-9397-7fcfd588c1fa&amp;documentId=a89af7cf-fdd5-472f-a0e0-e9e83b185f0a" TargetMode="External"/><Relationship Id="rId278" Type="http://schemas.openxmlformats.org/officeDocument/2006/relationships/hyperlink" Target="https://diadoc.kontur.ru/143bcbfb-a011-4791-9316-981158fa5552/Document/Show?letterId=f8ca75b5-02e3-46b7-a859-2119ed683b1e&amp;documentId=11efe480-6cbc-408e-9599-a5a5b5c3b112" TargetMode="External"/><Relationship Id="rId399" Type="http://schemas.openxmlformats.org/officeDocument/2006/relationships/hyperlink" Target="https://diadoc.kontur.ru/143bcbfb-a011-4791-9316-981158fa5552/Document/Show?letterId=ffb21ed2-ab90-42a9-b646-93513ff3c389&amp;documentId=30a6567f-2b73-4d1e-b171-22508b081824" TargetMode="External"/><Relationship Id="rId156" Type="http://schemas.openxmlformats.org/officeDocument/2006/relationships/hyperlink" Target="https://diadoc.kontur.ru/143bcbfb-a011-4791-9316-981158fa5552/Document/Show?letterId=db376b16-1cb4-4239-beb9-ee503f9cd507&amp;documentId=9c8e359f-9aef-418f-b613-095beb4d7295" TargetMode="External"/><Relationship Id="rId277" Type="http://schemas.openxmlformats.org/officeDocument/2006/relationships/hyperlink" Target="https://diadoc.kontur.ru/143bcbfb-a011-4791-9316-981158fa5552/Document/Show?letterId=c42e6fb4-5b0b-4369-858b-887a1db0ee75&amp;documentId=ed9c04cd-fc2f-4e29-ade7-969035859c43" TargetMode="External"/><Relationship Id="rId398" Type="http://schemas.openxmlformats.org/officeDocument/2006/relationships/hyperlink" Target="https://diadoc.kontur.ru/143bcbfb-a011-4791-9316-981158fa5552/Document/Show?letterId=af8c11d2-4ca3-42bd-91a0-c75a5b9b8c5b&amp;documentId=cbc58300-1aaa-40e2-8f28-e30f51be077b" TargetMode="External"/><Relationship Id="rId155" Type="http://schemas.openxmlformats.org/officeDocument/2006/relationships/hyperlink" Target="https://diadoc.kontur.ru/143bcbfb-a011-4791-9316-981158fa5552/Document/Show?letterId=9076cf0f-1bf0-4d1f-9433-522d20c7d5a1&amp;documentId=d0067da8-b71c-469f-93c0-5c87e4182308" TargetMode="External"/><Relationship Id="rId276" Type="http://schemas.openxmlformats.org/officeDocument/2006/relationships/hyperlink" Target="https://diadoc.kontur.ru/143bcbfb-a011-4791-9316-981158fa5552/Document/Show?letterId=a564108a-2d7d-40b8-b16d-969d40d4b953&amp;documentId=576a321f-0fb6-410e-9fe1-90e0a818c001" TargetMode="External"/><Relationship Id="rId397" Type="http://schemas.openxmlformats.org/officeDocument/2006/relationships/hyperlink" Target="https://diadoc.kontur.ru/143bcbfb-a011-4791-9316-981158fa5552/Document/Show?letterId=343ca88c-40d6-4bfd-807f-e4ec0717292f&amp;documentId=db8857a7-dd1f-4945-8e91-e6932c1de6a3" TargetMode="External"/><Relationship Id="rId40" Type="http://schemas.openxmlformats.org/officeDocument/2006/relationships/hyperlink" Target="https://diadoc.kontur.ru/143bcbfb-a011-4791-9316-981158fa5552/Document/Show?letterId=6e536c1a-bd5d-4f7f-9dd7-37cf3da355eb&amp;documentId=1243560a-e1f7-40d8-8916-f2160075e341" TargetMode="External"/><Relationship Id="rId42" Type="http://schemas.openxmlformats.org/officeDocument/2006/relationships/hyperlink" Target="https://diadoc.kontur.ru/143bcbfb-a011-4791-9316-981158fa5552/Document/Show?letterId=0da80682-50ce-49ad-bc2a-21ee7c1e4759&amp;documentId=96dea1f3-0646-45ad-9e1b-8ad7fdee1c46" TargetMode="External"/><Relationship Id="rId41" Type="http://schemas.openxmlformats.org/officeDocument/2006/relationships/hyperlink" Target="https://diadoc.kontur.ru/143bcbfb-a011-4791-9316-981158fa5552/Document/Show?letterId=5a5f7977-2062-493f-a7d1-6e90f6ade457&amp;documentId=7f5617ee-5529-4c58-8226-5711b7d32522" TargetMode="External"/><Relationship Id="rId44" Type="http://schemas.openxmlformats.org/officeDocument/2006/relationships/hyperlink" Target="https://diadoc.kontur.ru/143bcbfb-a011-4791-9316-981158fa5552/Document/Show?letterId=16682e38-e133-4e7e-8b4a-550806de44f7&amp;documentId=129a15ba-7a31-473d-8c1b-f9cc5c273c28" TargetMode="External"/><Relationship Id="rId43" Type="http://schemas.openxmlformats.org/officeDocument/2006/relationships/hyperlink" Target="https://diadoc.kontur.ru/143bcbfb-a011-4791-9316-981158fa5552/Document/Show?letterId=10911d39-f34b-46a2-bfe6-8ed91183bc01&amp;documentId=b5c9d226-5b2e-45ab-9cb7-cef6eeb90734" TargetMode="External"/><Relationship Id="rId46" Type="http://schemas.openxmlformats.org/officeDocument/2006/relationships/hyperlink" Target="https://diadoc.kontur.ru/143bcbfb-a011-4791-9316-981158fa5552/Document/Show?letterId=7e03d7aa-ba49-4c83-af53-b07762270969&amp;documentId=ceb5528b-a77e-40f9-93e2-ea38494ffecd" TargetMode="External"/><Relationship Id="rId45" Type="http://schemas.openxmlformats.org/officeDocument/2006/relationships/hyperlink" Target="http://nic.ru/" TargetMode="External"/><Relationship Id="rId509" Type="http://schemas.openxmlformats.org/officeDocument/2006/relationships/hyperlink" Target="https://diadoc.kontur.ru/143bcbfb-a011-4791-9316-981158fa5552/Document/Show?letterId=2871c562-7aaf-40b2-8a03-420e6a82584c&amp;documentId=204fc85c-9e65-4a7e-8855-691ef3c917f1" TargetMode="External"/><Relationship Id="rId508" Type="http://schemas.openxmlformats.org/officeDocument/2006/relationships/hyperlink" Target="https://diadoc.kontur.ru/143bcbfb-a011-4791-9316-981158fa5552/Document/Show?letterId=ddaac848-a5fd-40d3-af27-76454bb18edf&amp;documentId=258cf525-bbdc-4356-85e7-610ffc6598c6" TargetMode="External"/><Relationship Id="rId503" Type="http://schemas.openxmlformats.org/officeDocument/2006/relationships/hyperlink" Target="https://diadoc.kontur.ru/143bcbfb-a011-4791-9316-981158fa5552/Document/Show?letterId=806791c0-d0db-4ab0-85cb-9c2198e91c35&amp;documentId=e2e58fa3-f390-438f-9aef-6af64416c724" TargetMode="External"/><Relationship Id="rId502" Type="http://schemas.openxmlformats.org/officeDocument/2006/relationships/hyperlink" Target="https://diadoc.kontur.ru/143bcbfb-a011-4791-9316-981158fa5552/Document/Show?letterId=89c5904a-f67b-44ac-a2e4-c55fff2f7e9c&amp;documentId=398ffad9-b5cb-41ea-b4ac-a391b2f4a000" TargetMode="External"/><Relationship Id="rId501" Type="http://schemas.openxmlformats.org/officeDocument/2006/relationships/hyperlink" Target="https://diadoc.kontur.ru/143bcbfb-a011-4791-9316-981158fa5552/Document/Show?letterId=f4be3736-5369-45c8-ae3d-376f1b3fd6f9&amp;documentId=b29a2089-3e9d-42de-bc6e-9e7fdc32252b" TargetMode="External"/><Relationship Id="rId500" Type="http://schemas.openxmlformats.org/officeDocument/2006/relationships/hyperlink" Target="https://diadoc.kontur.ru/143bcbfb-a011-4791-9316-981158fa5552/Document/Show?letterId=038a41ad-f5f0-4c99-a4dd-2d500396cfe8&amp;documentId=5276b146-bfa1-4f5e-b11e-4d83bf39d687" TargetMode="External"/><Relationship Id="rId507" Type="http://schemas.openxmlformats.org/officeDocument/2006/relationships/hyperlink" Target="https://diadoc.kontur.ru/143bcbfb-a011-4791-9316-981158fa5552/Document/Show?letterId=7d7b2f8e-1ee5-4daf-a831-1624e99000fe&amp;documentId=eab42024-ad1d-4e78-950f-feae5ce2f760" TargetMode="External"/><Relationship Id="rId506" Type="http://schemas.openxmlformats.org/officeDocument/2006/relationships/hyperlink" Target="https://diadoc.kontur.ru/143bcbfb-a011-4791-9316-981158fa5552/Document/Show?letterId=f366cbe4-52b5-4ee6-9b1f-4624c605cb73&amp;documentId=791711df-680c-4d76-9cb1-3ee193ffd3ec" TargetMode="External"/><Relationship Id="rId505" Type="http://schemas.openxmlformats.org/officeDocument/2006/relationships/hyperlink" Target="https://diadoc.kontur.ru/143bcbfb-a011-4791-9316-981158fa5552/Document/Show?letterId=b3473fbb-c59d-4089-83cd-84ec50dbd06e&amp;documentId=4da59815-1154-4c54-9935-2f781e351083" TargetMode="External"/><Relationship Id="rId504" Type="http://schemas.openxmlformats.org/officeDocument/2006/relationships/hyperlink" Target="https://diadoc.kontur.ru/143bcbfb-a011-4791-9316-981158fa5552/Document/Show?letterId=835c5275-bca0-4ed0-b922-024d614ac443&amp;documentId=f74d33b2-5029-49a4-a181-e7a3a665afd1" TargetMode="External"/><Relationship Id="rId48" Type="http://schemas.openxmlformats.org/officeDocument/2006/relationships/hyperlink" Target="https://diadoc.kontur.ru/143bcbfb-a011-4791-9316-981158fa5552/Document/Show?letterId=464a9b97-c6cb-4e07-b74d-35b8ae1f83f3&amp;documentId=b09feb29-b943-435e-8090-777d55865643" TargetMode="External"/><Relationship Id="rId47" Type="http://schemas.openxmlformats.org/officeDocument/2006/relationships/hyperlink" Target="https://diadoc.kontur.ru/143bcbfb-a011-4791-9316-981158fa5552/Document/Show?letterId=a6a03c9d-aa1d-4343-9110-e1e71663d8e9&amp;documentId=0d25f2bd-8199-466b-badc-e1bbe9405643" TargetMode="External"/><Relationship Id="rId49" Type="http://schemas.openxmlformats.org/officeDocument/2006/relationships/hyperlink" Target="https://diadoc.kontur.ru/143bcbfb-a011-4791-9316-981158fa5552/Document/Show?letterId=93e0d142-9891-42c4-a7e6-10ca78c7fb0f&amp;documentId=17ca8bf7-4b04-4fe7-8bd0-dc9cd1b78eb3" TargetMode="External"/><Relationship Id="rId31" Type="http://schemas.openxmlformats.org/officeDocument/2006/relationships/hyperlink" Target="https://diadoc.kontur.ru/143bcbfb-a011-4791-9316-981158fa5552/Document/Show?letterId=6e07a2bc-dfad-41c8-9f44-996f57f45a0a&amp;documentId=ccf1e250-abe3-494e-bf4a-2d80ac5c65fc" TargetMode="External"/><Relationship Id="rId30" Type="http://schemas.openxmlformats.org/officeDocument/2006/relationships/hyperlink" Target="https://diadoc.kontur.ru/143bcbfb-a011-4791-9316-981158fa5552/Document/Show?letterId=ddf9d87c-018e-4fff-9ecc-1ecc49f78bd6&amp;documentId=9d2e333d-99ce-42d2-9c16-7f1db4adbb0a" TargetMode="External"/><Relationship Id="rId33" Type="http://schemas.openxmlformats.org/officeDocument/2006/relationships/hyperlink" Target="https://diadoc.kontur.ru/143bcbfb-a011-4791-9316-981158fa5552/Document/Show?letterId=b78c8aed-11ce-4d12-9591-3d34406979fc&amp;documentId=9372798c-861a-4290-8b85-a7329c093f76" TargetMode="External"/><Relationship Id="rId32" Type="http://schemas.openxmlformats.org/officeDocument/2006/relationships/hyperlink" Target="https://diadoc.kontur.ru/143bcbfb-a011-4791-9316-981158fa5552/Document/Show?letterId=9057c5fb-700e-4fa5-b26c-93fdd640bc0c&amp;documentId=c144c2b1-2173-46c5-bc83-7fba6ddc8184" TargetMode="External"/><Relationship Id="rId35" Type="http://schemas.openxmlformats.org/officeDocument/2006/relationships/hyperlink" Target="https://diadoc.kontur.ru/143bcbfb-a011-4791-9316-981158fa5552/Document/Show?letterId=2242155e-4762-4b0e-91ac-787cdd58add9&amp;documentId=ac7c3986-ceb3-405a-83f9-8535c78f8715" TargetMode="External"/><Relationship Id="rId34" Type="http://schemas.openxmlformats.org/officeDocument/2006/relationships/hyperlink" Target="https://diadoc.kontur.ru/143bcbfb-a011-4791-9316-981158fa5552/Document/Show?letterId=b0606dff-1e9e-40a9-bc75-b01ba5765f6a&amp;documentId=b5f62ef3-41e0-4558-9d2f-105e2f45e284" TargetMode="External"/><Relationship Id="rId37" Type="http://schemas.openxmlformats.org/officeDocument/2006/relationships/hyperlink" Target="https://diadoc.kontur.ru/143bcbfb-a011-4791-9316-981158fa5552/Document/Show?letterId=8dee3884-060d-432d-89d9-f4f17023de74&amp;documentId=d7dceb03-780f-4aa3-8fd9-8701bb15e20e" TargetMode="External"/><Relationship Id="rId36" Type="http://schemas.openxmlformats.org/officeDocument/2006/relationships/hyperlink" Target="https://diadoc.kontur.ru/143bcbfb-a011-4791-9316-981158fa5552/Document/Show?letterId=7c5eb00a-ac0f-466a-8e4c-1d4c538c1a99&amp;documentId=b730a5d1-467a-47f0-9a27-50fc61f05ab9" TargetMode="External"/><Relationship Id="rId39" Type="http://schemas.openxmlformats.org/officeDocument/2006/relationships/hyperlink" Target="https://diadoc.kontur.ru/143bcbfb-a011-4791-9316-981158fa5552/Document/Show?letterId=8919f705-2f81-46e1-8cce-01916119f43f&amp;documentId=4f6057c6-935b-46de-acc2-45572b640a46" TargetMode="External"/><Relationship Id="rId38" Type="http://schemas.openxmlformats.org/officeDocument/2006/relationships/hyperlink" Target="https://diadoc.kontur.ru/143bcbfb-a011-4791-9316-981158fa5552/Document/Show?letterId=916a4438-5a94-43b2-971a-e551ba6536d0&amp;documentId=e9b8e024-4fe4-48b1-910c-b308ed8dc185" TargetMode="External"/><Relationship Id="rId20" Type="http://schemas.openxmlformats.org/officeDocument/2006/relationships/hyperlink" Target="https://diadoc.kontur.ru/143bcbfb-a011-4791-9316-981158fa5552/Document/Show?letterId=e3a8fa09-c701-4465-88ca-662a6674a168&amp;documentId=4ef38721-31a9-428b-90ff-6b5f16802290" TargetMode="External"/><Relationship Id="rId22" Type="http://schemas.openxmlformats.org/officeDocument/2006/relationships/hyperlink" Target="https://diadoc.kontur.ru/143bcbfb-a011-4791-9316-981158fa5552/Document/Show?letterId=a2a59ac6-452c-4a7c-a978-829076065f24&amp;documentId=fe80535f-1a45-47b2-bfe4-57423062a1a2" TargetMode="External"/><Relationship Id="rId21" Type="http://schemas.openxmlformats.org/officeDocument/2006/relationships/hyperlink" Target="https://diadoc.kontur.ru/143bcbfb-a011-4791-9316-981158fa5552/Document/Show?letterId=8422155d-b5f2-4134-80db-80c02489aa57&amp;documentId=d14b6b6d-cd24-4364-9eab-49f2deb69851" TargetMode="External"/><Relationship Id="rId24" Type="http://schemas.openxmlformats.org/officeDocument/2006/relationships/hyperlink" Target="https://diadoc.kontur.ru/143bcbfb-a011-4791-9316-981158fa5552/Document/Show?letterId=6b70a83e-0421-4ec1-8859-36b5d17487f0&amp;documentId=33dbecee-5168-427d-af7c-2d33a7e034a2" TargetMode="External"/><Relationship Id="rId23" Type="http://schemas.openxmlformats.org/officeDocument/2006/relationships/hyperlink" Target="https://diadoc.kontur.ru/143bcbfb-a011-4791-9316-981158fa5552/Document/Show?letterId=14c2f4fb-8508-423a-867f-7a80c482267d&amp;documentId=07e1db18-f74f-410e-af0a-7ad5c11195d7" TargetMode="External"/><Relationship Id="rId409" Type="http://schemas.openxmlformats.org/officeDocument/2006/relationships/hyperlink" Target="https://diadoc.kontur.ru/143bcbfb-a011-4791-9316-981158fa5552/Document/Show?letterId=ac52346e-bf78-4a2d-adee-d9f67960df15&amp;documentId=1d25d7b4-942f-4314-8bfd-18ae86b082bf" TargetMode="External"/><Relationship Id="rId404" Type="http://schemas.openxmlformats.org/officeDocument/2006/relationships/hyperlink" Target="https://diadoc.kontur.ru/143bcbfb-a011-4791-9316-981158fa5552/Document/Show?letterId=068d61ba-399d-46be-9330-cd9fa4b0373b&amp;documentId=4e8a092d-3ccd-4211-bb20-3b5ec96a6d0d" TargetMode="External"/><Relationship Id="rId525" Type="http://schemas.openxmlformats.org/officeDocument/2006/relationships/hyperlink" Target="https://diadoc.kontur.ru/143bcbfb-a011-4791-9316-981158fa5552/Document/Show?letterId=d16c11ad-354e-490c-8238-a552337a125e&amp;documentId=580c4c16-82b6-418f-ad80-cbeaadc7a42b" TargetMode="External"/><Relationship Id="rId403" Type="http://schemas.openxmlformats.org/officeDocument/2006/relationships/hyperlink" Target="https://diadoc.kontur.ru/143bcbfb-a011-4791-9316-981158fa5552/Document/Show?letterId=2cba2a74-280f-4afa-89f2-f8bbe4a669a2&amp;documentId=84d911e8-3334-4159-9787-d376a00be6a6" TargetMode="External"/><Relationship Id="rId524" Type="http://schemas.openxmlformats.org/officeDocument/2006/relationships/hyperlink" Target="https://diadoc.kontur.ru/143bcbfb-a011-4791-9316-981158fa5552/Document/Show?letterId=9b0ae595-6ca6-437a-a828-dab5b7ff5525&amp;documentId=3c9dc1e2-3883-4099-bf69-0382cdf3f685" TargetMode="External"/><Relationship Id="rId402" Type="http://schemas.openxmlformats.org/officeDocument/2006/relationships/hyperlink" Target="https://diadoc.kontur.ru/143bcbfb-a011-4791-9316-981158fa5552/Document/Show?letterId=bb8bdfb4-06c1-4cb0-9909-19f91f20bace&amp;documentId=c4fdac5a-032d-4489-85b2-dcd583bc12b2" TargetMode="External"/><Relationship Id="rId523" Type="http://schemas.openxmlformats.org/officeDocument/2006/relationships/hyperlink" Target="https://diadoc.kontur.ru/143bcbfb-a011-4791-9316-981158fa5552/Document/Show?letterId=039d5d5c-26fd-4010-8a52-22555a247894&amp;documentId=496cf022-8cb3-4aab-b343-c43486d1ac77" TargetMode="External"/><Relationship Id="rId401" Type="http://schemas.openxmlformats.org/officeDocument/2006/relationships/hyperlink" Target="https://diadoc.kontur.ru/143bcbfb-a011-4791-9316-981158fa5552/Document/Show?letterId=8c72f54f-1a87-4c87-ac9a-fde0210f5426&amp;documentId=809cf9a3-e494-4cb6-8e60-c49cb03e9544" TargetMode="External"/><Relationship Id="rId522" Type="http://schemas.openxmlformats.org/officeDocument/2006/relationships/hyperlink" Target="https://diadoc.kontur.ru/143bcbfb-a011-4791-9316-981158fa5552/Document/Show?letterId=01c026cf-6cdf-4024-98e3-0465782be651&amp;documentId=4a210e87-2891-48a7-ba9a-45bfa77e4f0f" TargetMode="External"/><Relationship Id="rId408" Type="http://schemas.openxmlformats.org/officeDocument/2006/relationships/hyperlink" Target="https://diadoc.kontur.ru/143bcbfb-a011-4791-9316-981158fa5552/Document/Show?letterId=d7b790f6-7166-4d80-96f3-e4d88c983fa3&amp;documentId=17e7734c-4125-4e61-8c5c-1366d62e8da4" TargetMode="External"/><Relationship Id="rId529" Type="http://schemas.openxmlformats.org/officeDocument/2006/relationships/hyperlink" Target="https://diadoc.kontur.ru/143bcbfb-a011-4791-9316-981158fa5552/Document/Show?letterId=a24ce90d-513e-4d56-95ad-9a89d80b8840&amp;documentId=17708629-e336-4aa8-80c7-aa44c5bd0aa6" TargetMode="External"/><Relationship Id="rId407" Type="http://schemas.openxmlformats.org/officeDocument/2006/relationships/hyperlink" Target="https://diadoc.kontur.ru/143bcbfb-a011-4791-9316-981158fa5552/Document/Show?letterId=c4cf630e-d6b6-4e24-ad27-57ad49ffc205&amp;documentId=6ef5637a-a6b9-45cd-ad75-9665f4b2d1a4" TargetMode="External"/><Relationship Id="rId528" Type="http://schemas.openxmlformats.org/officeDocument/2006/relationships/hyperlink" Target="https://diadoc.kontur.ru/143bcbfb-a011-4791-9316-981158fa5552/Document/Show?letterId=05cc28b9-0466-49f0-acaf-d5dbd8277bfb&amp;documentId=c3901c23-fa91-46a4-9280-fea2fee69062" TargetMode="External"/><Relationship Id="rId406" Type="http://schemas.openxmlformats.org/officeDocument/2006/relationships/hyperlink" Target="https://diadoc.kontur.ru/143bcbfb-a011-4791-9316-981158fa5552/Document/Show?letterId=e80adb33-b69b-49a0-8f87-7a543df8834a&amp;documentId=15f073ff-d008-4a2f-928e-086bf1dee039" TargetMode="External"/><Relationship Id="rId527" Type="http://schemas.openxmlformats.org/officeDocument/2006/relationships/hyperlink" Target="https://diadoc.kontur.ru/143bcbfb-a011-4791-9316-981158fa5552/Document/Show?letterId=d99fd79d-eac6-4b97-889b-8d0b0f2c7fe4&amp;documentId=f61b3fde-ad8d-4eab-be18-55c7d45b6151" TargetMode="External"/><Relationship Id="rId405" Type="http://schemas.openxmlformats.org/officeDocument/2006/relationships/hyperlink" Target="https://diadoc.kontur.ru/143bcbfb-a011-4791-9316-981158fa5552/Document/Show?letterId=d9df7932-4d45-41b1-8d63-a527795a992c&amp;documentId=b5cec1d0-09d0-4e71-9ade-9c4b83a2c11f" TargetMode="External"/><Relationship Id="rId526" Type="http://schemas.openxmlformats.org/officeDocument/2006/relationships/hyperlink" Target="https://diadoc.kontur.ru/143bcbfb-a011-4791-9316-981158fa5552/Document/Show?letterId=d125730d-ad3e-4b60-9f3d-2e9aace06576&amp;documentId=2c03950e-8f58-4a90-a405-114b48708b68" TargetMode="External"/><Relationship Id="rId26" Type="http://schemas.openxmlformats.org/officeDocument/2006/relationships/hyperlink" Target="https://diadoc.kontur.ru/143bcbfb-a011-4791-9316-981158fa5552/Document/Show?letterId=dd526ab9-09ae-4e44-a0ce-2f2159dee830&amp;documentId=10bb5d99-14f2-47de-a3ce-ab833e4b42e0" TargetMode="External"/><Relationship Id="rId25" Type="http://schemas.openxmlformats.org/officeDocument/2006/relationships/hyperlink" Target="https://diadoc.kontur.ru/143bcbfb-a011-4791-9316-981158fa5552/Document/Show?letterId=5ff7612d-fc6c-40d6-a087-aac3d1ffd18b&amp;documentId=495f3183-fa79-4267-b5f1-818af808e68a" TargetMode="External"/><Relationship Id="rId28" Type="http://schemas.openxmlformats.org/officeDocument/2006/relationships/hyperlink" Target="https://diadoc.kontur.ru/143bcbfb-a011-4791-9316-981158fa5552/Document/Show?letterId=61e85cff-a9da-45bf-b997-c20ea3c3a0dd&amp;documentId=60cb0286-3e8d-40fd-92d2-fc67f2556909" TargetMode="External"/><Relationship Id="rId27" Type="http://schemas.openxmlformats.org/officeDocument/2006/relationships/hyperlink" Target="https://diadoc.kontur.ru/143bcbfb-a011-4791-9316-981158fa5552/Document/Show?letterId=507f9c2f-6296-4fca-b4ce-383812f9cb0e&amp;documentId=f7336343-40f9-4c82-b623-a05c0fc6b45f" TargetMode="External"/><Relationship Id="rId400" Type="http://schemas.openxmlformats.org/officeDocument/2006/relationships/hyperlink" Target="https://diadoc.kontur.ru/143bcbfb-a011-4791-9316-981158fa5552/Document/Show?letterId=c9de2b6b-57be-4806-9094-3d6286fd290e&amp;documentId=7d7db28b-fa32-4764-afb8-cad500988698" TargetMode="External"/><Relationship Id="rId521" Type="http://schemas.openxmlformats.org/officeDocument/2006/relationships/hyperlink" Target="https://diadoc.kontur.ru/143bcbfb-a011-4791-9316-981158fa5552/Document/Show?letterId=c92d1eb6-96b5-4c1f-b273-34b69d6b1380&amp;documentId=0a073607-65e7-49ec-af0e-93078d6c12d5" TargetMode="External"/><Relationship Id="rId29" Type="http://schemas.openxmlformats.org/officeDocument/2006/relationships/hyperlink" Target="https://diadoc.kontur.ru/143bcbfb-a011-4791-9316-981158fa5552/Document/Show?letterId=e7884c4c-b9d3-4e75-8d76-9e78dde8c1e0&amp;documentId=1adfbccd-bb6d-4ca3-be70-90ddc11084b8" TargetMode="External"/><Relationship Id="rId520" Type="http://schemas.openxmlformats.org/officeDocument/2006/relationships/hyperlink" Target="https://diadoc.kontur.ru/143bcbfb-a011-4791-9316-981158fa5552/Document/Show?letterId=fd2b0862-1b3a-4529-96b2-c58762ea7b31&amp;documentId=ab3d9a99-87cb-436a-b8c6-a6697b21d2c3" TargetMode="External"/><Relationship Id="rId11" Type="http://schemas.openxmlformats.org/officeDocument/2006/relationships/hyperlink" Target="https://diadoc.kontur.ru/143bcbfb-a011-4791-9316-981158fa5552/Document/Show?letterId=3dac1a5a-c215-441e-993d-363ca016893a&amp;documentId=2ecc2dcd-736d-43c6-82f2-b0bf01181de5" TargetMode="External"/><Relationship Id="rId10" Type="http://schemas.openxmlformats.org/officeDocument/2006/relationships/hyperlink" Target="https://diadoc.kontur.ru/143bcbfb-a011-4791-9316-981158fa5552/Document/Show?letterId=f21669da-c05a-4b09-b678-d1c79d0434e1&amp;documentId=9037f475-3815-47d6-85f8-e53aba769f36" TargetMode="External"/><Relationship Id="rId13" Type="http://schemas.openxmlformats.org/officeDocument/2006/relationships/hyperlink" Target="https://diadoc.kontur.ru/143bcbfb-a011-4791-9316-981158fa5552/Document/Show?letterId=9057c5fb-700e-4fa5-b26c-93fdd640bc0c&amp;documentId=263214d7-30f6-4967-8ba3-1fe37134033a" TargetMode="External"/><Relationship Id="rId12" Type="http://schemas.openxmlformats.org/officeDocument/2006/relationships/hyperlink" Target="http://nic.ru/" TargetMode="External"/><Relationship Id="rId519" Type="http://schemas.openxmlformats.org/officeDocument/2006/relationships/hyperlink" Target="https://diadoc.kontur.ru/143bcbfb-a011-4791-9316-981158fa5552/Document/Show?letterId=956f0ab5-2f70-46d4-9bf6-b2a92b9bb754&amp;documentId=fdbc64f8-3e1d-4435-be5c-2bcb1019b194" TargetMode="External"/><Relationship Id="rId514" Type="http://schemas.openxmlformats.org/officeDocument/2006/relationships/hyperlink" Target="https://diadoc.kontur.ru/143bcbfb-a011-4791-9316-981158fa5552/Document/Show?letterId=0ccfa86f-39d4-4d1b-be2c-5f25741f7daf&amp;documentId=8f31e534-02bc-4234-ae39-71674f7333c8" TargetMode="External"/><Relationship Id="rId513" Type="http://schemas.openxmlformats.org/officeDocument/2006/relationships/hyperlink" Target="https://diadoc.kontur.ru/143bcbfb-a011-4791-9316-981158fa5552/Document/Show?letterId=0e13f548-f28b-4376-bdcf-52ae075e7a08&amp;documentId=17a50612-3bbb-49d8-afc5-7148eb0b4f8f" TargetMode="External"/><Relationship Id="rId512" Type="http://schemas.openxmlformats.org/officeDocument/2006/relationships/hyperlink" Target="https://diadoc.kontur.ru/143bcbfb-a011-4791-9316-981158fa5552/Document/Show?letterId=dadcd697-3c12-42a3-8a7a-51ed08e5df4d&amp;documentId=e17fc989-3e3c-4dfb-ab14-ced67dba76bc" TargetMode="External"/><Relationship Id="rId511" Type="http://schemas.openxmlformats.org/officeDocument/2006/relationships/hyperlink" Target="https://diadoc.kontur.ru/143bcbfb-a011-4791-9316-981158fa5552/Document/Show?letterId=a3c78b46-f4d2-4121-bb10-74158dfd6793&amp;documentId=b4c97021-cb67-49ef-a795-e50535d9543a" TargetMode="External"/><Relationship Id="rId518" Type="http://schemas.openxmlformats.org/officeDocument/2006/relationships/hyperlink" Target="https://diadoc.kontur.ru/143bcbfb-a011-4791-9316-981158fa5552/Document/Show?letterId=956f0ab5-2f70-46d4-9bf6-b2a92b9bb754&amp;documentId=f3ed91c5-8f95-4cce-ba1f-3ce482ad9358" TargetMode="External"/><Relationship Id="rId517" Type="http://schemas.openxmlformats.org/officeDocument/2006/relationships/hyperlink" Target="https://diadoc.kontur.ru/143bcbfb-a011-4791-9316-981158fa5552/Document/Show?letterId=aa3edc3f-178e-4902-99e5-aecb7d1b57fa&amp;documentId=72a8a61e-17b1-42b9-a47b-ebc4fa3be7ec" TargetMode="External"/><Relationship Id="rId516" Type="http://schemas.openxmlformats.org/officeDocument/2006/relationships/hyperlink" Target="https://diadoc.kontur.ru/143bcbfb-a011-4791-9316-981158fa5552/Document/Show?letterId=2775662f-eec9-4a60-a916-c4df1d627047&amp;documentId=0a365092-f7f6-43f8-a1b3-240f0aaf7b32" TargetMode="External"/><Relationship Id="rId515" Type="http://schemas.openxmlformats.org/officeDocument/2006/relationships/hyperlink" Target="https://diadoc.kontur.ru/143bcbfb-a011-4791-9316-981158fa5552/Document/Show?letterId=6659861f-1dab-4487-b563-1946e2f24413&amp;documentId=2e090b30-6a77-467e-8eec-fe06689050f4" TargetMode="External"/><Relationship Id="rId15" Type="http://schemas.openxmlformats.org/officeDocument/2006/relationships/hyperlink" Target="https://diadoc.kontur.ru/143bcbfb-a011-4791-9316-981158fa5552/Document/Show?letterId=1b7253e9-4c95-409a-960e-655271e79067&amp;documentId=365514a9-3b54-4b4c-bf18-ed97561f2709" TargetMode="External"/><Relationship Id="rId14" Type="http://schemas.openxmlformats.org/officeDocument/2006/relationships/hyperlink" Target="https://diadoc.kontur.ru/143bcbfb-a011-4791-9316-981158fa5552/Document/Show?letterId=8d728cbe-8d95-4f2e-a9da-8c6c863e5fe6&amp;documentId=d7b056dd-e968-4454-9034-682fa0a300dc" TargetMode="External"/><Relationship Id="rId17" Type="http://schemas.openxmlformats.org/officeDocument/2006/relationships/hyperlink" Target="https://diadoc.kontur.ru/143bcbfb-a011-4791-9316-981158fa5552/Document/Show?letterId=efacae27-3111-43e5-9f17-c86f9736fa15&amp;documentId=f4a96ad6-835c-4e4b-8ece-af6d81e03fcc" TargetMode="External"/><Relationship Id="rId16" Type="http://schemas.openxmlformats.org/officeDocument/2006/relationships/hyperlink" Target="https://diadoc.kontur.ru/143bcbfb-a011-4791-9316-981158fa5552/Document/Show?letterId=d9bccc28-bb51-4ec3-9ae8-d76f132d2962&amp;documentId=4601f834-ba0a-4193-bd3e-052d60f6476c" TargetMode="External"/><Relationship Id="rId19" Type="http://schemas.openxmlformats.org/officeDocument/2006/relationships/hyperlink" Target="https://diadoc.kontur.ru/143bcbfb-a011-4791-9316-981158fa5552/Document/Show?letterId=c6f6733b-1d16-42ff-9fe0-b408e29c835a&amp;documentId=2fc85a37-134d-4a08-ad7c-7d11f0b1c4ea" TargetMode="External"/><Relationship Id="rId510" Type="http://schemas.openxmlformats.org/officeDocument/2006/relationships/hyperlink" Target="https://diadoc.kontur.ru/143bcbfb-a011-4791-9316-981158fa5552/Document/Show?letterId=2f3b4130-75a6-4056-ace9-550336e71307&amp;documentId=51cf06e0-55f6-4ca1-bd55-363dacb7f9f0" TargetMode="External"/><Relationship Id="rId18" Type="http://schemas.openxmlformats.org/officeDocument/2006/relationships/hyperlink" Target="https://diadoc.kontur.ru/143bcbfb-a011-4791-9316-981158fa5552/Document/Show?letterId=ec527ee7-ae67-404f-9ae0-d8ff92f270be&amp;documentId=ba0da0fd-9680-4dfe-8451-4ce1e176d534" TargetMode="External"/><Relationship Id="rId84" Type="http://schemas.openxmlformats.org/officeDocument/2006/relationships/hyperlink" Target="https://diadoc.kontur.ru/143bcbfb-a011-4791-9316-981158fa5552/Document/Show?letterId=c5e6d0e2-82a3-481f-9cba-26fc694c6a4a&amp;documentId=838360be-63f1-4091-a422-b81a84d8747e" TargetMode="External"/><Relationship Id="rId83" Type="http://schemas.openxmlformats.org/officeDocument/2006/relationships/hyperlink" Target="https://diadoc.kontur.ru/143bcbfb-a011-4791-9316-981158fa5552/Document/Show?letterId=066bf2e5-16eb-4bc9-aebe-e3739a04e354&amp;documentId=1f463468-dd90-446a-af6e-b3d08d8d31a3" TargetMode="External"/><Relationship Id="rId86" Type="http://schemas.openxmlformats.org/officeDocument/2006/relationships/hyperlink" Target="https://diadoc.kontur.ru/143bcbfb-a011-4791-9316-981158fa5552/Document/Show?letterId=18cea914-9812-4c2f-b1d4-6f017378f9ec&amp;documentId=5570f340-75ff-4d35-9ce9-4566d3a385c0" TargetMode="External"/><Relationship Id="rId85" Type="http://schemas.openxmlformats.org/officeDocument/2006/relationships/hyperlink" Target="https://diadoc.kontur.ru/143bcbfb-a011-4791-9316-981158fa5552/Document/Show?letterId=013eb219-a8c3-4858-a843-6f5f992cd1b5&amp;documentId=c60c3292-6f06-44fa-9c94-b9e2bdbfc39d" TargetMode="External"/><Relationship Id="rId88" Type="http://schemas.openxmlformats.org/officeDocument/2006/relationships/hyperlink" Target="https://diadoc.kontur.ru/143bcbfb-a011-4791-9316-981158fa5552/Document/Show?letterId=b5942c57-d276-49a5-b3c7-fba7ab5334ab&amp;documentId=98a0c85e-30d0-4c52-800e-444bbbc0c647" TargetMode="External"/><Relationship Id="rId87" Type="http://schemas.openxmlformats.org/officeDocument/2006/relationships/hyperlink" Target="https://diadoc.kontur.ru/143bcbfb-a011-4791-9316-981158fa5552/Document/Show?letterId=fa220587-bb94-4f11-b5ef-4e0ac35bc9d8&amp;documentId=1438635f-d611-4d56-8415-57b147d35595" TargetMode="External"/><Relationship Id="rId89" Type="http://schemas.openxmlformats.org/officeDocument/2006/relationships/hyperlink" Target="https://diadoc.kontur.ru/143bcbfb-a011-4791-9316-981158fa5552/Document/Show?letterId=9016ff55-fe29-4aa1-8f5f-c45a737ea399&amp;documentId=d2fb533c-51fd-4030-ba68-feb24624fb20" TargetMode="External"/><Relationship Id="rId80" Type="http://schemas.openxmlformats.org/officeDocument/2006/relationships/hyperlink" Target="https://diadoc.kontur.ru/143bcbfb-a011-4791-9316-981158fa5552/Document/Show?letterId=cbae4af7-8f04-4555-84d4-9ec056353a03&amp;documentId=f0b72376-72ff-41f1-9f17-06d3676f3311" TargetMode="External"/><Relationship Id="rId82" Type="http://schemas.openxmlformats.org/officeDocument/2006/relationships/hyperlink" Target="https://diadoc.kontur.ru/143bcbfb-a011-4791-9316-981158fa5552/Document/Show?letterId=a69da5e6-03bf-4db3-a05d-cd7a8ca69f4c&amp;documentId=f7153752-9921-46cd-be77-3f1b01d44952" TargetMode="External"/><Relationship Id="rId81" Type="http://schemas.openxmlformats.org/officeDocument/2006/relationships/hyperlink" Target="https://diadoc.kontur.ru/143bcbfb-a011-4791-9316-981158fa5552/Document/Show?letterId=8ad2d1d1-8799-434f-89db-1eae6892ff78&amp;documentId=68bf9c64-ae19-4159-bbc2-f7b66291d509" TargetMode="External"/><Relationship Id="rId73" Type="http://schemas.openxmlformats.org/officeDocument/2006/relationships/hyperlink" Target="https://diadoc.kontur.ru/143bcbfb-a011-4791-9316-981158fa5552/Document/Show?letterId=44db6482-7072-41d0-bf74-6822fc9faa62&amp;documentId=a4c66f15-ed59-4a0b-b5b9-11a0c73c2d46" TargetMode="External"/><Relationship Id="rId72" Type="http://schemas.openxmlformats.org/officeDocument/2006/relationships/hyperlink" Target="https://diadoc.kontur.ru/143bcbfb-a011-4791-9316-981158fa5552/Document/Show?letterId=2d28399a-2e1e-4681-b0f3-a032c8743a46&amp;documentId=7578efe0-9804-4a60-926e-eb402420fc0a" TargetMode="External"/><Relationship Id="rId75" Type="http://schemas.openxmlformats.org/officeDocument/2006/relationships/hyperlink" Target="https://diadoc.kontur.ru/143bcbfb-a011-4791-9316-981158fa5552/Document/Show?letterId=f4f1d8bc-10ab-4527-9636-7a635ea20a3c&amp;documentId=6909742b-f5ca-401e-9fc4-3b3e50211a93" TargetMode="External"/><Relationship Id="rId74" Type="http://schemas.openxmlformats.org/officeDocument/2006/relationships/hyperlink" Target="https://diadoc.kontur.ru/143bcbfb-a011-4791-9316-981158fa5552/Document/Show?letterId=b940f008-8212-466d-a86c-17295b2c35e7&amp;documentId=e99d264b-747d-414d-affc-a5e3b3ae21b8" TargetMode="External"/><Relationship Id="rId77" Type="http://schemas.openxmlformats.org/officeDocument/2006/relationships/hyperlink" Target="https://diadoc.kontur.ru/143bcbfb-a011-4791-9316-981158fa5552/Document/Show?letterId=1ec0e2a1-c24a-413d-98b7-063041c9273e&amp;documentId=4772f802-eefc-4e43-9d05-ee9010cb9d20" TargetMode="External"/><Relationship Id="rId76" Type="http://schemas.openxmlformats.org/officeDocument/2006/relationships/hyperlink" Target="https://diadoc.kontur.ru/143bcbfb-a011-4791-9316-981158fa5552/Document/Show?letterId=f953b83c-1a70-4ec3-8b8f-1591ce40d104&amp;documentId=53cd47c7-0cee-4ff3-8e5b-d2970340791d" TargetMode="External"/><Relationship Id="rId79" Type="http://schemas.openxmlformats.org/officeDocument/2006/relationships/hyperlink" Target="https://diadoc.kontur.ru/143bcbfb-a011-4791-9316-981158fa5552/Document/Show?letterId=2e084e2b-eb67-489c-826c-583d44bd38e2&amp;documentId=7aa919ed-a932-4073-9bfb-987a1da71558" TargetMode="External"/><Relationship Id="rId78" Type="http://schemas.openxmlformats.org/officeDocument/2006/relationships/hyperlink" Target="https://diadoc.kontur.ru/143bcbfb-a011-4791-9316-981158fa5552/Document/Show?letterId=8b2677a0-19b0-4bcb-821c-eb9d5dc763fa&amp;documentId=4a9f0655-f8a4-4bb7-8093-511c077b155e" TargetMode="External"/><Relationship Id="rId71" Type="http://schemas.openxmlformats.org/officeDocument/2006/relationships/hyperlink" Target="https://diadoc.kontur.ru/143bcbfb-a011-4791-9316-981158fa5552/Document/Show?letterId=7a22a06e-1d2a-4457-9664-161613f083ff&amp;documentId=3c7c4f2e-66e2-4a3b-bf82-7f8928710ad5" TargetMode="External"/><Relationship Id="rId70" Type="http://schemas.openxmlformats.org/officeDocument/2006/relationships/hyperlink" Target="https://diadoc.kontur.ru/143bcbfb-a011-4791-9316-981158fa5552/Document/Show?letterId=af896aa8-d9f6-4df9-a00b-9edb3cb1abc3&amp;documentId=a15c451b-e33b-46d9-b137-36e706aea9e8" TargetMode="External"/><Relationship Id="rId62" Type="http://schemas.openxmlformats.org/officeDocument/2006/relationships/hyperlink" Target="https://diadoc.kontur.ru/143bcbfb-a011-4791-9316-981158fa5552/Document/Show?letterId=1f8175d6-2120-47ae-8a7c-631e7597baed&amp;documentId=0c6a53ac-6e50-4595-9f37-cb5fb3d25393" TargetMode="External"/><Relationship Id="rId61" Type="http://schemas.openxmlformats.org/officeDocument/2006/relationships/hyperlink" Target="https://diadoc.kontur.ru/143bcbfb-a011-4791-9316-981158fa5552/Document/Show?letterId=14a1c053-b2dc-41d8-96b5-3fd115d8dffc&amp;documentId=e92ed62a-3cc5-4a5f-92b3-4d8e33a36b56" TargetMode="External"/><Relationship Id="rId64" Type="http://schemas.openxmlformats.org/officeDocument/2006/relationships/hyperlink" Target="https://diadoc.kontur.ru/143bcbfb-a011-4791-9316-981158fa5552/Document/Show?letterId=fb444f90-58de-4aee-8535-f38aa333d628&amp;documentId=664fbc3b-2a2e-49c6-93d1-50a44ac4afd2" TargetMode="External"/><Relationship Id="rId63" Type="http://schemas.openxmlformats.org/officeDocument/2006/relationships/hyperlink" Target="https://diadoc.kontur.ru/143bcbfb-a011-4791-9316-981158fa5552/Document/Show?letterId=6a3d385a-4dd9-4cc3-ac77-6705f901ef6c&amp;documentId=cc495310-4122-4070-838e-6a1dd9614561" TargetMode="External"/><Relationship Id="rId66" Type="http://schemas.openxmlformats.org/officeDocument/2006/relationships/hyperlink" Target="https://diadoc.kontur.ru/143bcbfb-a011-4791-9316-981158fa5552/Document/Show?letterId=e74e9dc3-fa7e-42ca-b4ba-f866a60d1fbb&amp;documentId=2b669a8b-9e01-4d50-9d94-8db5211d0b0a" TargetMode="External"/><Relationship Id="rId65" Type="http://schemas.openxmlformats.org/officeDocument/2006/relationships/hyperlink" Target="https://diadoc.kontur.ru/143bcbfb-a011-4791-9316-981158fa5552/Document/Show?letterId=c126b51a-f9ef-494d-a585-c236d5fb949e&amp;documentId=3ab16ff3-52a2-4d23-af1f-1fb12237df8c" TargetMode="External"/><Relationship Id="rId68" Type="http://schemas.openxmlformats.org/officeDocument/2006/relationships/hyperlink" Target="https://diadoc.kontur.ru/143bcbfb-a011-4791-9316-981158fa5552/Document/Show?letterId=730a1b4f-9fcc-424e-97c9-c47946146bd6&amp;documentId=037e9f7b-4020-4b58-8927-9b629c180ca4" TargetMode="External"/><Relationship Id="rId67" Type="http://schemas.openxmlformats.org/officeDocument/2006/relationships/hyperlink" Target="https://diadoc.kontur.ru/143bcbfb-a011-4791-9316-981158fa5552/Document/Show?letterId=15f886cd-db93-4d76-98d3-663d23bb8073&amp;documentId=a9f86a53-8211-422e-a014-69393af06f91" TargetMode="External"/><Relationship Id="rId60" Type="http://schemas.openxmlformats.org/officeDocument/2006/relationships/hyperlink" Target="https://diadoc.kontur.ru/143bcbfb-a011-4791-9316-981158fa5552/Document/Show?letterId=6d307a70-0edf-4cbb-b159-86e5c36b485e&amp;documentId=ef927bda-78e1-4faa-93c4-c37da59ff897" TargetMode="External"/><Relationship Id="rId69" Type="http://schemas.openxmlformats.org/officeDocument/2006/relationships/hyperlink" Target="https://diadoc.kontur.ru/143bcbfb-a011-4791-9316-981158fa5552/Document/Show?letterId=0019ac6a-b21b-41c2-b284-4e0aec04b0b8&amp;documentId=4dedbd6c-2dd6-40de-b163-c485d517f85c" TargetMode="External"/><Relationship Id="rId51" Type="http://schemas.openxmlformats.org/officeDocument/2006/relationships/hyperlink" Target="https://diadoc.kontur.ru/143bcbfb-a011-4791-9316-981158fa5552/Document/Show?letterId=1fc5278c-da0c-413f-bb92-46c614a11050&amp;documentId=d5daf0d4-bab7-445b-8c6e-5a9b907592b7" TargetMode="External"/><Relationship Id="rId50" Type="http://schemas.openxmlformats.org/officeDocument/2006/relationships/hyperlink" Target="https://diadoc.kontur.ru/143bcbfb-a011-4791-9316-981158fa5552/Document/Show?letterId=6f5b2d35-61a4-41e6-87d6-c1a6b7e9af11&amp;documentId=8b3239f9-f084-494d-b0ec-1416fb7da2e4" TargetMode="External"/><Relationship Id="rId53" Type="http://schemas.openxmlformats.org/officeDocument/2006/relationships/hyperlink" Target="https://diadoc.kontur.ru/143bcbfb-a011-4791-9316-981158fa5552/Document/Show?letterId=7cbf0242-9a6f-4207-be60-e1690ceb300c&amp;documentId=ba09e3aa-c191-47e3-a802-c729ea7419ff" TargetMode="External"/><Relationship Id="rId52" Type="http://schemas.openxmlformats.org/officeDocument/2006/relationships/hyperlink" Target="https://diadoc.kontur.ru/143bcbfb-a011-4791-9316-981158fa5552/Document/Show?letterId=b79cbc94-e8be-45af-a4d6-c3abc4aa087b&amp;documentId=fe2ce6fe-085b-4f1b-958a-4754a5c9d357" TargetMode="External"/><Relationship Id="rId55" Type="http://schemas.openxmlformats.org/officeDocument/2006/relationships/hyperlink" Target="https://diadoc.kontur.ru/143bcbfb-a011-4791-9316-981158fa5552/Document/Show?letterId=6a4ece40-e7a6-43cf-82b2-dba0d935f3bb&amp;documentId=b8ad87ba-6bb0-46f1-bf9f-4f97ce91974d" TargetMode="External"/><Relationship Id="rId54" Type="http://schemas.openxmlformats.org/officeDocument/2006/relationships/hyperlink" Target="https://diadoc.kontur.ru/143bcbfb-a011-4791-9316-981158fa5552/Document/Show?letterId=93f4301b-96b7-427d-8682-ab6995c1a851&amp;documentId=72270377-023d-4db4-9c2e-de4fc13efe22" TargetMode="External"/><Relationship Id="rId57" Type="http://schemas.openxmlformats.org/officeDocument/2006/relationships/hyperlink" Target="https://diadoc.kontur.ru/143bcbfb-a011-4791-9316-981158fa5552/Document/Show?letterId=c6d7ba46-6e4f-4607-8eab-e586c8196735&amp;documentId=a43c0c93-47e5-41a2-94ad-438a55ccc278" TargetMode="External"/><Relationship Id="rId56" Type="http://schemas.openxmlformats.org/officeDocument/2006/relationships/hyperlink" Target="https://diadoc.kontur.ru/143bcbfb-a011-4791-9316-981158fa5552/Document/Show?letterId=e9af9caa-cfde-4ae4-83c2-2bae513e4f25&amp;documentId=da7aad85-13c2-4f65-9c71-3284c356d84a" TargetMode="External"/><Relationship Id="rId59" Type="http://schemas.openxmlformats.org/officeDocument/2006/relationships/hyperlink" Target="https://diadoc.kontur.ru/143bcbfb-a011-4791-9316-981158fa5552/Document/Show?letterId=468aa671-b76c-418c-9f7b-3ac1eaf2f3e5&amp;documentId=3c7ce573-017e-4952-8183-3565a8f56a9f" TargetMode="External"/><Relationship Id="rId58" Type="http://schemas.openxmlformats.org/officeDocument/2006/relationships/hyperlink" Target="https://diadoc.kontur.ru/143bcbfb-a011-4791-9316-981158fa5552/Document/Show?letterId=31657660-135d-46cd-a21a-cd6e3608358c&amp;documentId=303e1338-f521-4ac9-ab86-3c28e22d1f9e" TargetMode="External"/><Relationship Id="rId107" Type="http://schemas.openxmlformats.org/officeDocument/2006/relationships/hyperlink" Target="https://diadoc.kontur.ru/143bcbfb-a011-4791-9316-981158fa5552/Document/Show?letterId=35fa30aa-a404-4406-babd-30abf6fa79be&amp;documentId=2a18a995-dacb-40e7-9ae6-8571e8ff69a5" TargetMode="External"/><Relationship Id="rId228" Type="http://schemas.openxmlformats.org/officeDocument/2006/relationships/hyperlink" Target="https://diadoc.kontur.ru/143bcbfb-a011-4791-9316-981158fa5552/Document/Show?letterId=4a99c625-5b3f-4885-9f6b-5013da47f93c&amp;documentId=8c2d4424-dc33-4cb9-b257-83f29e8f90b0" TargetMode="External"/><Relationship Id="rId349" Type="http://schemas.openxmlformats.org/officeDocument/2006/relationships/hyperlink" Target="https://diadoc.kontur.ru/143bcbfb-a011-4791-9316-981158fa5552/Document/Show?letterId=ecbb7d5f-d3dc-425c-81ba-b0bf45b471f4&amp;documentId=63384e52-9630-4a96-88f6-5c82a2d330ff" TargetMode="External"/><Relationship Id="rId106" Type="http://schemas.openxmlformats.org/officeDocument/2006/relationships/hyperlink" Target="https://diadoc.kontur.ru/143bcbfb-a011-4791-9316-981158fa5552/Document/Show?letterId=69ffc5ba-b141-4dd1-ae2f-0eb3eabb48f4&amp;documentId=c778a6f4-4a68-4f1b-a750-d82e3c87d755" TargetMode="External"/><Relationship Id="rId227" Type="http://schemas.openxmlformats.org/officeDocument/2006/relationships/hyperlink" Target="https://diadoc.kontur.ru/143bcbfb-a011-4791-9316-981158fa5552/Document/Show?letterId=6ba7ee26-eb91-46a2-bfc1-7dd4719cdfa2&amp;documentId=d54d372f-eddf-469d-b805-f7662f057eb5" TargetMode="External"/><Relationship Id="rId348" Type="http://schemas.openxmlformats.org/officeDocument/2006/relationships/hyperlink" Target="https://diadoc.kontur.ru/143bcbfb-a011-4791-9316-981158fa5552/Document/Show?letterId=27d70c45-54cd-49a6-9cff-d527caa5ee14&amp;documentId=c7e99bc4-d62d-4a54-830e-d79f33ad5340" TargetMode="External"/><Relationship Id="rId469" Type="http://schemas.openxmlformats.org/officeDocument/2006/relationships/hyperlink" Target="https://diadoc.kontur.ru/143bcbfb-a011-4791-9316-981158fa5552/Document/Show?letterId=a34ff519-b042-437a-9773-0387801981d6&amp;documentId=79db9b88-842b-4633-8322-44a33eed2b3b" TargetMode="External"/><Relationship Id="rId105" Type="http://schemas.openxmlformats.org/officeDocument/2006/relationships/hyperlink" Target="https://diadoc.kontur.ru/143bcbfb-a011-4791-9316-981158fa5552/Document/Show?letterId=fcbb7a85-7ac9-4141-8fb6-ec0149b62ef5&amp;documentId=94859052-fe24-4a58-a7a5-bbaab45b65fa" TargetMode="External"/><Relationship Id="rId226" Type="http://schemas.openxmlformats.org/officeDocument/2006/relationships/hyperlink" Target="https://diadoc.kontur.ru/143bcbfb-a011-4791-9316-981158fa5552/Document/Show?letterId=0aff3d5d-2ca6-48d4-ac92-aff03861d2aa&amp;documentId=a9305771-a829-4ca4-9eda-60916719ebd0" TargetMode="External"/><Relationship Id="rId347" Type="http://schemas.openxmlformats.org/officeDocument/2006/relationships/hyperlink" Target="https://diadoc.kontur.ru/143bcbfb-a011-4791-9316-981158fa5552/Document/Show?letterId=827464e0-40d8-4578-9faf-0761f27457d8&amp;documentId=9b247bbe-e231-436e-ae45-1a9717699c8c" TargetMode="External"/><Relationship Id="rId468" Type="http://schemas.openxmlformats.org/officeDocument/2006/relationships/hyperlink" Target="https://diadoc.kontur.ru/143bcbfb-a011-4791-9316-981158fa5552/Document/Show?letterId=93209b40-bf12-40e3-ab42-7634f1d8a14d&amp;documentId=c533b0c9-0fb4-42f5-b421-9f62960a2eba" TargetMode="External"/><Relationship Id="rId104" Type="http://schemas.openxmlformats.org/officeDocument/2006/relationships/hyperlink" Target="https://diadoc.kontur.ru/143bcbfb-a011-4791-9316-981158fa5552/Document/Show?letterId=4719e213-210e-4ea5-94ec-4a6a5c0c70c0&amp;documentId=c525a164-d8ff-451a-bf1e-3df5625fba4c" TargetMode="External"/><Relationship Id="rId225" Type="http://schemas.openxmlformats.org/officeDocument/2006/relationships/hyperlink" Target="https://diadoc.kontur.ru/143bcbfb-a011-4791-9316-981158fa5552/Document/Show?letterId=77c0c4ec-aaa2-4ec2-842a-6ef97e00d996&amp;documentId=54c64017-f5a6-469b-8c60-21bf0a967b93" TargetMode="External"/><Relationship Id="rId346" Type="http://schemas.openxmlformats.org/officeDocument/2006/relationships/hyperlink" Target="https://diadoc.kontur.ru/143bcbfb-a011-4791-9316-981158fa5552/Document/Show?letterId=2999b18c-1069-4cdc-b7e3-fbb9870bd995&amp;documentId=16a0ad5e-76f7-4f67-8b57-90cc2b5887ab" TargetMode="External"/><Relationship Id="rId467" Type="http://schemas.openxmlformats.org/officeDocument/2006/relationships/hyperlink" Target="https://diadoc.kontur.ru/143bcbfb-a011-4791-9316-981158fa5552/Document/Show?letterId=609047ad-3c3f-486f-a47d-8b8dd1fb3337&amp;documentId=ecb05302-61ed-45fe-89de-2a765214c050" TargetMode="External"/><Relationship Id="rId588" Type="http://schemas.openxmlformats.org/officeDocument/2006/relationships/table" Target="../tables/table1.xml"/><Relationship Id="rId109" Type="http://schemas.openxmlformats.org/officeDocument/2006/relationships/hyperlink" Target="https://diadoc.kontur.ru/143bcbfb-a011-4791-9316-981158fa5552/Document/Show?letterId=79927cfe-bd89-413c-9843-dd61823a39b0&amp;documentId=a8bcbaa5-0bdc-498b-8ff4-9be73c885414" TargetMode="External"/><Relationship Id="rId108" Type="http://schemas.openxmlformats.org/officeDocument/2006/relationships/hyperlink" Target="https://diadoc.kontur.ru/143bcbfb-a011-4791-9316-981158fa5552/Document/Show?letterId=f7cf139b-b39c-4975-b531-704709ff1e27&amp;documentId=8e280a7d-797c-434f-a149-c5c5abe090f9" TargetMode="External"/><Relationship Id="rId229" Type="http://schemas.openxmlformats.org/officeDocument/2006/relationships/hyperlink" Target="https://diadoc.kontur.ru/143bcbfb-a011-4791-9316-981158fa5552/Document/Show?letterId=882d3df2-fbf3-4410-9c2d-c3d06a40aa2e&amp;documentId=082384be-4c5f-4995-a71f-09002aaa704c" TargetMode="External"/><Relationship Id="rId220" Type="http://schemas.openxmlformats.org/officeDocument/2006/relationships/hyperlink" Target="https://diadoc.kontur.ru/143bcbfb-a011-4791-9316-981158fa5552/Document/Show?letterId=6c3e6c36-fdff-4875-bad6-43223ee8955d&amp;documentId=4266a9d9-e49b-4046-8100-04b2bae04f9b" TargetMode="External"/><Relationship Id="rId341" Type="http://schemas.openxmlformats.org/officeDocument/2006/relationships/hyperlink" Target="https://diadoc.kontur.ru/143bcbfb-a011-4791-9316-981158fa5552/Document/Show?letterId=0d8c3c7e-ac91-40db-b83e-6c86d5bdb5f7&amp;documentId=a172d17d-e69e-4e70-8244-06d2752051f4" TargetMode="External"/><Relationship Id="rId462" Type="http://schemas.openxmlformats.org/officeDocument/2006/relationships/hyperlink" Target="https://diadoc.kontur.ru/143bcbfb-a011-4791-9316-981158fa5552/Document/Show?letterId=7c20b40d-7e4e-4af4-a671-d5d1e1a738fd&amp;documentId=1a2d6508-5aec-4b5c-b1ae-4ae9d6b1b54d" TargetMode="External"/><Relationship Id="rId583" Type="http://schemas.openxmlformats.org/officeDocument/2006/relationships/hyperlink" Target="https://diadoc.kontur.ru/143bcbfb-a011-4791-9316-981158fa5552/Document/Show?letterId=fa78d78b-01b8-4f27-a131-78ab3ad6a019&amp;documentId=810b09cc-c244-4489-aecc-daca78aebfd7" TargetMode="External"/><Relationship Id="rId340" Type="http://schemas.openxmlformats.org/officeDocument/2006/relationships/hyperlink" Target="https://diadoc.kontur.ru/143bcbfb-a011-4791-9316-981158fa5552/Document/Show?letterId=ed899ccd-2232-45db-a144-dcad56db8e7e&amp;documentId=41f5580e-67e4-4221-85b5-45087f709fc6" TargetMode="External"/><Relationship Id="rId461" Type="http://schemas.openxmlformats.org/officeDocument/2006/relationships/hyperlink" Target="https://diadoc.kontur.ru/143bcbfb-a011-4791-9316-981158fa5552/Document/Show?letterId=8a9831ad-ffd2-4cab-8299-38869cb6f474&amp;documentId=f305c817-0afc-4767-acd0-3e0db61a574e" TargetMode="External"/><Relationship Id="rId582" Type="http://schemas.openxmlformats.org/officeDocument/2006/relationships/hyperlink" Target="https://diadoc.kontur.ru/143bcbfb-a011-4791-9316-981158fa5552/Document/Show?letterId=eedbf2ce-1aea-4acc-b545-8e45600083fe&amp;documentId=8fe1a89b-e9fa-4989-a08f-cb680969a805" TargetMode="External"/><Relationship Id="rId460" Type="http://schemas.openxmlformats.org/officeDocument/2006/relationships/hyperlink" Target="https://diadoc.kontur.ru/143bcbfb-a011-4791-9316-981158fa5552/Document/Show?letterId=8a9831ad-ffd2-4cab-8299-38869cb6f474&amp;documentId=f305c817-0afc-4767-acd0-3e0db61a574e" TargetMode="External"/><Relationship Id="rId581" Type="http://schemas.openxmlformats.org/officeDocument/2006/relationships/hyperlink" Target="https://diadoc.kontur.ru/143bcbfb-a011-4791-9316-981158fa5552/Document/Show?letterId=66462f78-0cbf-448d-8eba-9725a8e5f8ea&amp;documentId=57eaf20a-4ef0-42bc-9eb9-be03b89ce11e" TargetMode="External"/><Relationship Id="rId580" Type="http://schemas.openxmlformats.org/officeDocument/2006/relationships/hyperlink" Target="https://diadoc.kontur.ru/143bcbfb-a011-4791-9316-981158fa5552/Document/Show?letterId=edc88a6e-1da3-4f64-9116-4695a6878f74&amp;documentId=725d5f33-19e9-4029-a286-baeca38740c4" TargetMode="External"/><Relationship Id="rId103" Type="http://schemas.openxmlformats.org/officeDocument/2006/relationships/hyperlink" Target="https://diadoc.kontur.ru/143bcbfb-a011-4791-9316-981158fa5552/Document/Show?letterId=b193e8a4-da37-4ced-b1de-399e609cea1b&amp;documentId=589f5b0d-3eac-4fd0-9e4c-9ba9028efff9" TargetMode="External"/><Relationship Id="rId224" Type="http://schemas.openxmlformats.org/officeDocument/2006/relationships/hyperlink" Target="https://diadoc.kontur.ru/143bcbfb-a011-4791-9316-981158fa5552/Document/Show?letterId=b03d904a-39e4-4c27-8a31-221360d09ee0&amp;documentId=7facf6ec-842b-4795-b575-993255bcabc3" TargetMode="External"/><Relationship Id="rId345" Type="http://schemas.openxmlformats.org/officeDocument/2006/relationships/hyperlink" Target="https://diadoc.kontur.ru/143bcbfb-a011-4791-9316-981158fa5552/Document/Show?letterId=2f172acf-379d-4714-84db-7ad339a6fe85&amp;documentId=81dea985-dff3-4ff3-af59-b05fc43deb50" TargetMode="External"/><Relationship Id="rId466" Type="http://schemas.openxmlformats.org/officeDocument/2006/relationships/hyperlink" Target="https://diadoc.kontur.ru/143bcbfb-a011-4791-9316-981158fa5552/Document/Show?letterId=782f3c0e-ae64-4a6e-a894-dece63d5e605&amp;documentId=8a01f810-1038-4753-a763-b59fe873597f" TargetMode="External"/><Relationship Id="rId102" Type="http://schemas.openxmlformats.org/officeDocument/2006/relationships/hyperlink" Target="https://diadoc.kontur.ru/143bcbfb-a011-4791-9316-981158fa5552/Document/Show?letterId=453dc52e-73af-4f80-9368-8d8c77f18223&amp;documentId=eb04d5f2-9cbe-42d4-b3b7-f1a09b2b1be0" TargetMode="External"/><Relationship Id="rId223" Type="http://schemas.openxmlformats.org/officeDocument/2006/relationships/hyperlink" Target="https://diadoc.kontur.ru/143bcbfb-a011-4791-9316-981158fa5552/Document/Show?letterId=e2b97922-76af-401c-8d71-8bae1543a67a&amp;documentId=8774184d-a367-4844-b220-322a5adb9e63" TargetMode="External"/><Relationship Id="rId344" Type="http://schemas.openxmlformats.org/officeDocument/2006/relationships/hyperlink" Target="https://diadoc.kontur.ru/143bcbfb-a011-4791-9316-981158fa5552/Document/Show?letterId=8e867b76-4f44-4791-8c39-a52bc9d4f555&amp;documentId=6eca9342-799b-4e81-9109-fee31fe38bb1" TargetMode="External"/><Relationship Id="rId465" Type="http://schemas.openxmlformats.org/officeDocument/2006/relationships/hyperlink" Target="https://diadoc.kontur.ru/143bcbfb-a011-4791-9316-981158fa5552/Document/Show?letterId=75e957f8-ed6f-47ec-baeb-b3a9c0680301&amp;documentId=691bf167-80cd-431b-acb2-34fd8ef06a17" TargetMode="External"/><Relationship Id="rId586" Type="http://schemas.openxmlformats.org/officeDocument/2006/relationships/vmlDrawing" Target="../drawings/vmlDrawing1.vml"/><Relationship Id="rId101" Type="http://schemas.openxmlformats.org/officeDocument/2006/relationships/hyperlink" Target="https://diadoc.kontur.ru/143bcbfb-a011-4791-9316-981158fa5552/Document/Show?letterId=72b8aa43-6b6b-41b3-bd67-b7396c288ec6&amp;documentId=53e4fdbd-4601-427b-83a5-de9c79e7eaca" TargetMode="External"/><Relationship Id="rId222" Type="http://schemas.openxmlformats.org/officeDocument/2006/relationships/hyperlink" Target="https://diadoc.kontur.ru/143bcbfb-a011-4791-9316-981158fa5552/Document/Show?letterId=3194380c-fcc5-4c18-8b33-ba38bd2a388f&amp;documentId=a87ff1c9-3b14-4f4f-914d-57b55301d6da" TargetMode="External"/><Relationship Id="rId343" Type="http://schemas.openxmlformats.org/officeDocument/2006/relationships/hyperlink" Target="https://diadoc.kontur.ru/143bcbfb-a011-4791-9316-981158fa5552/Document/Show?letterId=11a2b728-e312-45d0-98a5-787cf976d436&amp;documentId=49194ed1-d87d-41ab-832c-4c33a46fd171" TargetMode="External"/><Relationship Id="rId464" Type="http://schemas.openxmlformats.org/officeDocument/2006/relationships/hyperlink" Target="https://diadoc.kontur.ru/143bcbfb-a011-4791-9316-981158fa5552/Document/Show?letterId=ded8d047-5473-4dee-905d-d9cfea774f13&amp;documentId=5735f02c-e9f4-426f-ab34-1d5671339581" TargetMode="External"/><Relationship Id="rId585" Type="http://schemas.openxmlformats.org/officeDocument/2006/relationships/drawing" Target="../drawings/drawing1.xml"/><Relationship Id="rId100" Type="http://schemas.openxmlformats.org/officeDocument/2006/relationships/hyperlink" Target="https://diadoc.kontur.ru/143bcbfb-a011-4791-9316-981158fa5552/Document/Show?letterId=25e9f75a-1116-45f8-9ae0-554d2645e925&amp;documentId=d6b4dbba-260f-4fb3-9d49-4d496a795a6d" TargetMode="External"/><Relationship Id="rId221" Type="http://schemas.openxmlformats.org/officeDocument/2006/relationships/hyperlink" Target="https://diadoc.kontur.ru/143bcbfb-a011-4791-9316-981158fa5552/Document/Show?letterId=670c8a5b-267e-49f8-be25-f309a9138fe0&amp;documentId=8a2e42e1-eedd-427e-b193-9eb616395f94" TargetMode="External"/><Relationship Id="rId342" Type="http://schemas.openxmlformats.org/officeDocument/2006/relationships/hyperlink" Target="https://diadoc.kontur.ru/143bcbfb-a011-4791-9316-981158fa5552/Document/Show?letterId=15034155-b7bd-4c98-a265-3bf08ff0e291&amp;documentId=60d76719-e307-4e1d-b94c-915cc957917a" TargetMode="External"/><Relationship Id="rId463" Type="http://schemas.openxmlformats.org/officeDocument/2006/relationships/hyperlink" Target="https://diadoc.kontur.ru/143bcbfb-a011-4791-9316-981158fa5552/Document/Show?letterId=ccdea01a-8a39-482d-b898-0de9c608822e&amp;documentId=f1011318-7a5d-4de9-bb4c-dca0a338f0fb" TargetMode="External"/><Relationship Id="rId584" Type="http://schemas.openxmlformats.org/officeDocument/2006/relationships/hyperlink" Target="https://diadoc.kontur.ru/143bcbfb-a011-4791-9316-981158fa5552/Document/Show?letterId=55569e60-45ec-4483-b608-2287933f3f8d&amp;documentId=af3e5f0f-35ac-4d8b-aa0b-5f71f4f397ba" TargetMode="External"/><Relationship Id="rId217" Type="http://schemas.openxmlformats.org/officeDocument/2006/relationships/hyperlink" Target="https://diadoc.kontur.ru/143bcbfb-a011-4791-9316-981158fa5552/Document/Show?letterId=3194380c-fcc5-4c18-8b33-ba38bd2a388f&amp;documentId=1cec0f46-8f8d-46c5-bb1d-bee934c9e0ef" TargetMode="External"/><Relationship Id="rId338" Type="http://schemas.openxmlformats.org/officeDocument/2006/relationships/hyperlink" Target="https://diadoc.kontur.ru/143bcbfb-a011-4791-9316-981158fa5552/Document/Show?letterId=61e70252-c8a9-4506-b2cb-32259429c819&amp;documentId=26b9a91d-6a51-4c0e-9d41-91f7515a0f4c" TargetMode="External"/><Relationship Id="rId459" Type="http://schemas.openxmlformats.org/officeDocument/2006/relationships/hyperlink" Target="https://diadoc.kontur.ru/143bcbfb-a011-4791-9316-981158fa5552/Document/Show?letterId=627a160c-47f0-4ca2-bb55-0f805a513fe9&amp;documentId=7e00d698-2828-4057-a878-db59fcb80d0a" TargetMode="External"/><Relationship Id="rId216" Type="http://schemas.openxmlformats.org/officeDocument/2006/relationships/hyperlink" Target="https://diadoc.kontur.ru/143bcbfb-a011-4791-9316-981158fa5552/Document/Show?letterId=fc5fbb0b-f96a-4839-96f4-ea639f09ae4f&amp;documentId=d6c9bc6b-de8d-4782-8b7e-e597be1f3be5" TargetMode="External"/><Relationship Id="rId337" Type="http://schemas.openxmlformats.org/officeDocument/2006/relationships/hyperlink" Target="https://diadoc.kontur.ru/143bcbfb-a011-4791-9316-981158fa5552/Document/Show?letterId=eb8acc77-5e54-478c-bb95-13184e3398a2&amp;documentId=c080b16a-c2fd-4907-ac74-b287f85dfc56" TargetMode="External"/><Relationship Id="rId458" Type="http://schemas.openxmlformats.org/officeDocument/2006/relationships/hyperlink" Target="https://diadoc.kontur.ru/143bcbfb-a011-4791-9316-981158fa5552/Document/Show?letterId=1eaaa5e0-6315-4523-90b8-3205dc6dc873&amp;documentId=ed51117f-a7fb-4e47-9e09-ac33c5e09c6e" TargetMode="External"/><Relationship Id="rId579" Type="http://schemas.openxmlformats.org/officeDocument/2006/relationships/hyperlink" Target="https://diadoc.kontur.ru/143bcbfb-a011-4791-9316-981158fa5552/Document/Show?letterId=39a60b6b-a7b5-4c68-b92c-f097396ef9f9&amp;documentId=256678d7-5183-454e-bde7-197cc47bfd65" TargetMode="External"/><Relationship Id="rId215" Type="http://schemas.openxmlformats.org/officeDocument/2006/relationships/hyperlink" Target="https://diadoc.kontur.ru/143bcbfb-a011-4791-9316-981158fa5552/Document/Show?letterId=49b60183-90a1-42ed-8795-670776463a07&amp;documentId=52db6eaf-d963-4fd6-967d-f4d420e1372a" TargetMode="External"/><Relationship Id="rId336" Type="http://schemas.openxmlformats.org/officeDocument/2006/relationships/hyperlink" Target="https://diadoc.kontur.ru/143bcbfb-a011-4791-9316-981158fa5552/Document/Show?letterId=db44565f-083e-440c-845a-174d92909030&amp;documentId=0050a7ea-1221-47b2-84b7-a57918a6b0bf" TargetMode="External"/><Relationship Id="rId457" Type="http://schemas.openxmlformats.org/officeDocument/2006/relationships/hyperlink" Target="https://diadoc.kontur.ru/143bcbfb-a011-4791-9316-981158fa5552/Document/Show?letterId=0ef93c44-860f-47ca-a4b2-74af2089e85a&amp;documentId=52341e7f-8433-4398-ae30-87326196ab59" TargetMode="External"/><Relationship Id="rId578" Type="http://schemas.openxmlformats.org/officeDocument/2006/relationships/hyperlink" Target="https://diadoc.kontur.ru/143bcbfb-a011-4791-9316-981158fa5552/Document/Show?letterId=d55b4c4e-2c2e-4a1f-9d7b-28af32c33cb2&amp;documentId=fdae5776-a7ac-4896-af2e-4146411cdcee" TargetMode="External"/><Relationship Id="rId214" Type="http://schemas.openxmlformats.org/officeDocument/2006/relationships/hyperlink" Target="https://diadoc.kontur.ru/143bcbfb-a011-4791-9316-981158fa5552/Document/Show?letterId=22f26a6c-b42c-45b2-a583-bbf25ada4028&amp;documentId=6b8cf472-c1a7-4de7-9e4c-e38cdb89523d" TargetMode="External"/><Relationship Id="rId335" Type="http://schemas.openxmlformats.org/officeDocument/2006/relationships/hyperlink" Target="https://diadoc.kontur.ru/143bcbfb-a011-4791-9316-981158fa5552/Document/Show?letterId=75fb56e4-2230-4bbf-9883-90a806859047&amp;documentId=58127eb9-76ce-4515-9e5b-0a901a55e803" TargetMode="External"/><Relationship Id="rId456" Type="http://schemas.openxmlformats.org/officeDocument/2006/relationships/hyperlink" Target="https://diadoc.kontur.ru/143bcbfb-a011-4791-9316-981158fa5552/Document/Show?letterId=e5af945b-4aba-4076-a3ad-a9246301a469&amp;documentId=d43e8676-c270-465b-b098-d66a50a3c54e" TargetMode="External"/><Relationship Id="rId577" Type="http://schemas.openxmlformats.org/officeDocument/2006/relationships/hyperlink" Target="https://diadoc.kontur.ru/143bcbfb-a011-4791-9316-981158fa5552/Document/Show?letterId=2e6dc395-6472-4d45-b03d-c03a4b982d00&amp;documentId=79485ede-de58-4534-bcf9-b9b0e4c300f1" TargetMode="External"/><Relationship Id="rId219" Type="http://schemas.openxmlformats.org/officeDocument/2006/relationships/hyperlink" Target="https://diadoc.kontur.ru/143bcbfb-a011-4791-9316-981158fa5552/Document/Show?letterId=5e896231-c7f8-4c2a-ac8d-ba9d7fc799c9&amp;documentId=95aa98c1-5342-4127-a534-0eb7f7f75fab" TargetMode="External"/><Relationship Id="rId218" Type="http://schemas.openxmlformats.org/officeDocument/2006/relationships/hyperlink" Target="https://diadoc.kontur.ru/143bcbfb-a011-4791-9316-981158fa5552/Document/Show?letterId=a9c822e4-8adf-445f-a21a-2d4d69b7bd47&amp;documentId=d80bbe16-d979-40fd-8347-a7fd823e64f9" TargetMode="External"/><Relationship Id="rId339" Type="http://schemas.openxmlformats.org/officeDocument/2006/relationships/hyperlink" Target="https://diadoc.kontur.ru/143bcbfb-a011-4791-9316-981158fa5552/Document/Show?letterId=413ae4c5-6df9-482a-b082-22ca92d2e70b&amp;documentId=964320f7-048e-4b0b-b646-cf8f584a95d0" TargetMode="External"/><Relationship Id="rId330" Type="http://schemas.openxmlformats.org/officeDocument/2006/relationships/hyperlink" Target="https://diadoc.kontur.ru/143bcbfb-a011-4791-9316-981158fa5552/Document/Show?letterId=1547ce2e-09ef-479a-a996-9dcacd503375&amp;documentId=69067028-b9de-4987-83a5-441a758ac513" TargetMode="External"/><Relationship Id="rId451" Type="http://schemas.openxmlformats.org/officeDocument/2006/relationships/hyperlink" Target="https://diadoc.kontur.ru/143bcbfb-a011-4791-9316-981158fa5552/Document/Show?letterId=4c51c22f-ae13-423d-987e-26ac5ebe6f4f&amp;documentId=ef359a5f-ea5a-48ad-ae7e-2de5a045ff67" TargetMode="External"/><Relationship Id="rId572" Type="http://schemas.openxmlformats.org/officeDocument/2006/relationships/hyperlink" Target="https://diadoc.kontur.ru/143bcbfb-a011-4791-9316-981158fa5552/Document/Show?letterId=3dc44a38-548a-41fb-9d77-15c7a6cb1026&amp;documentId=94beae58-8407-4b91-af83-e9b947eba9df" TargetMode="External"/><Relationship Id="rId450" Type="http://schemas.openxmlformats.org/officeDocument/2006/relationships/hyperlink" Target="https://diadoc.kontur.ru/143bcbfb-a011-4791-9316-981158fa5552/Document/Show?letterId=f0a3b601-bca9-491d-8bc1-cb97266b5d4a&amp;documentId=bf7bf7d0-41f4-41e4-a94e-3c2bc4ce8f7d" TargetMode="External"/><Relationship Id="rId571" Type="http://schemas.openxmlformats.org/officeDocument/2006/relationships/hyperlink" Target="https://diadoc.kontur.ru/143bcbfb-a011-4791-9316-981158fa5552/Document/Show?letterId=c7ca688e-eef4-4c88-bf11-9a66f2435d1a&amp;documentId=fb5d4ab2-a2bf-446b-a9b2-97666e85be1a" TargetMode="External"/><Relationship Id="rId570" Type="http://schemas.openxmlformats.org/officeDocument/2006/relationships/hyperlink" Target="https://diadoc.kontur.ru/143bcbfb-a011-4791-9316-981158fa5552/Document/Show?letterId=823dfe3e-5293-410b-b71e-584c0b364328&amp;documentId=4f45020b-d13f-4c0c-86fb-f677b2315080" TargetMode="External"/><Relationship Id="rId213" Type="http://schemas.openxmlformats.org/officeDocument/2006/relationships/hyperlink" Target="https://diadoc.kontur.ru/143bcbfb-a011-4791-9316-981158fa5552/Document/Show?letterId=9721fdda-b941-4452-922c-37c9826f1d21&amp;documentId=eee3703c-b75a-40f8-b46d-357bcba309b9" TargetMode="External"/><Relationship Id="rId334" Type="http://schemas.openxmlformats.org/officeDocument/2006/relationships/hyperlink" Target="https://diadoc.kontur.ru/143bcbfb-a011-4791-9316-981158fa5552/Document/Show?letterId=f0ac8d91-31f3-433f-bee8-420dff5dd6e1&amp;documentId=d4b4f450-7b45-4622-a59c-eac1bb7292fa" TargetMode="External"/><Relationship Id="rId455" Type="http://schemas.openxmlformats.org/officeDocument/2006/relationships/hyperlink" Target="https://diadoc.kontur.ru/143bcbfb-a011-4791-9316-981158fa5552/Document/Show?letterId=004f923c-3dea-43a4-bb0c-6afc607d9040&amp;documentId=09b0a8b4-9c4f-4278-922b-b965b2105779" TargetMode="External"/><Relationship Id="rId576" Type="http://schemas.openxmlformats.org/officeDocument/2006/relationships/hyperlink" Target="https://diadoc.kontur.ru/143bcbfb-a011-4791-9316-981158fa5552/Document/Show?letterId=1cb8bbf5-e751-4d58-b435-fb3391f191f7&amp;documentId=8e224695-48f6-4ec2-a5be-920df882d63b" TargetMode="External"/><Relationship Id="rId212" Type="http://schemas.openxmlformats.org/officeDocument/2006/relationships/hyperlink" Target="https://diadoc.kontur.ru/143bcbfb-a011-4791-9316-981158fa5552/Document/Show?letterId=bba83097-99e5-4a4b-b68f-9f8bda303cfc&amp;documentId=d303964f-83f1-411d-bd79-228429f9e1d2" TargetMode="External"/><Relationship Id="rId333" Type="http://schemas.openxmlformats.org/officeDocument/2006/relationships/hyperlink" Target="https://diadoc.kontur.ru/143bcbfb-a011-4791-9316-981158fa5552/Document/Show?letterId=310ea64b-e7e1-4da5-9da5-83d975ed42fc&amp;documentId=dfaabaef-08cb-40ab-9cc9-24217c12a558" TargetMode="External"/><Relationship Id="rId454" Type="http://schemas.openxmlformats.org/officeDocument/2006/relationships/hyperlink" Target="https://diadoc.kontur.ru/143bcbfb-a011-4791-9316-981158fa5552/Document/Show?letterId=0cbef995-bd57-4b3d-a458-f2a759707603&amp;documentId=4c7d8e79-a33b-47fc-b107-6b481e587c1e" TargetMode="External"/><Relationship Id="rId575" Type="http://schemas.openxmlformats.org/officeDocument/2006/relationships/hyperlink" Target="https://diadoc.kontur.ru/143bcbfb-a011-4791-9316-981158fa5552/Document/Show?letterId=fea58452-55ed-47c9-9950-94e287bbabb8&amp;documentId=9923ca09-de26-48bf-bfa3-a40dba3343f0" TargetMode="External"/><Relationship Id="rId211" Type="http://schemas.openxmlformats.org/officeDocument/2006/relationships/hyperlink" Target="https://diadoc.kontur.ru/143bcbfb-a011-4791-9316-981158fa5552/Document/Show?letterId=34cada05-df94-4a0b-8830-f679d01bf0fe&amp;documentId=f92dde46-c89e-463e-add8-2ee27904ed8d" TargetMode="External"/><Relationship Id="rId332" Type="http://schemas.openxmlformats.org/officeDocument/2006/relationships/hyperlink" Target="https://diadoc.kontur.ru/143bcbfb-a011-4791-9316-981158fa5552/Document/Show?letterId=e45194ea-5845-4b01-8e55-34162c61d984&amp;documentId=f530cbee-4b57-45d7-bebe-4c271899a841" TargetMode="External"/><Relationship Id="rId453" Type="http://schemas.openxmlformats.org/officeDocument/2006/relationships/hyperlink" Target="https://diadoc.kontur.ru/143bcbfb-a011-4791-9316-981158fa5552/Document/Show?letterId=5c5f993f-de68-48cd-b155-1c4edbe12f2a&amp;documentId=c097e817-2724-456e-a7f4-57897306aeab" TargetMode="External"/><Relationship Id="rId574" Type="http://schemas.openxmlformats.org/officeDocument/2006/relationships/hyperlink" Target="https://diadoc.kontur.ru/143bcbfb-a011-4791-9316-981158fa5552/Document/Show?letterId=101a8092-fb55-4197-b5d9-9e7e6b10c722&amp;documentId=99ba59b3-edae-4ff8-ba93-4bef2588d6b0" TargetMode="External"/><Relationship Id="rId210" Type="http://schemas.openxmlformats.org/officeDocument/2006/relationships/hyperlink" Target="https://diadoc.kontur.ru/143bcbfb-a011-4791-9316-981158fa5552/Document/Show?letterId=ab886e17-85c4-4298-8217-7fa4d50ffced&amp;documentId=81716950-346c-4e02-b91f-ccf9b80a29b8" TargetMode="External"/><Relationship Id="rId331" Type="http://schemas.openxmlformats.org/officeDocument/2006/relationships/hyperlink" Target="https://diadoc.kontur.ru/143bcbfb-a011-4791-9316-981158fa5552/Document/Show?letterId=5d93fe71-7a72-440c-86f3-f64b8cb8183d&amp;documentId=9c113cd6-c0eb-4b86-9006-054413711c03" TargetMode="External"/><Relationship Id="rId452" Type="http://schemas.openxmlformats.org/officeDocument/2006/relationships/hyperlink" Target="https://diadoc.kontur.ru/143bcbfb-a011-4791-9316-981158fa5552/Document/Show?letterId=12480386-11fa-4471-beaf-295474d91189&amp;documentId=cd440105-461b-4a6c-ad9b-8bdfa1f48d52" TargetMode="External"/><Relationship Id="rId573" Type="http://schemas.openxmlformats.org/officeDocument/2006/relationships/hyperlink" Target="https://diadoc.kontur.ru/143bcbfb-a011-4791-9316-981158fa5552/Document/Show?letterId=ff4dd3ab-3d87-4a25-a936-a7647a5224e3&amp;documentId=725fad13-7064-4833-88b1-1e56ff3beacc" TargetMode="External"/><Relationship Id="rId370" Type="http://schemas.openxmlformats.org/officeDocument/2006/relationships/hyperlink" Target="https://diadoc.kontur.ru/143bcbfb-a011-4791-9316-981158fa5552/Document/Show?letterId=49866e71-0204-4022-8abc-17fe3c187895&amp;documentId=70c14b3a-6553-47d9-b81a-9ffbb2fa847b" TargetMode="External"/><Relationship Id="rId491" Type="http://schemas.openxmlformats.org/officeDocument/2006/relationships/hyperlink" Target="https://diadoc.kontur.ru/143bcbfb-a011-4791-9316-981158fa5552/Document/Show?letterId=52c72e72-38d2-4505-8a8c-22e71e5e4d02&amp;documentId=1fa21038-e9a6-48b7-bf2b-c5dafc4a167e" TargetMode="External"/><Relationship Id="rId490" Type="http://schemas.openxmlformats.org/officeDocument/2006/relationships/hyperlink" Target="https://diadoc.kontur.ru/143bcbfb-a011-4791-9316-981158fa5552/Document/Show?letterId=842bfdca-f9a3-40f0-82de-0403ac735772&amp;documentId=9ebec755-0b59-43ad-96d2-1cc347997f53" TargetMode="External"/><Relationship Id="rId129" Type="http://schemas.openxmlformats.org/officeDocument/2006/relationships/hyperlink" Target="https://diadoc.kontur.ru/143bcbfb-a011-4791-9316-981158fa5552/Document/Show?letterId=40bb4938-8f95-4200-9505-b15f5dd0000b&amp;documentId=eaacf87c-26f8-4610-bbc5-7f38d7a8c791" TargetMode="External"/><Relationship Id="rId128" Type="http://schemas.openxmlformats.org/officeDocument/2006/relationships/hyperlink" Target="https://diadoc.kontur.ru/143bcbfb-a011-4791-9316-981158fa5552/Document/Show?letterId=40bb4938-8f95-4200-9505-b15f5dd0000b&amp;documentId=9382e9cc-b610-40f9-9dc3-981dda859f34" TargetMode="External"/><Relationship Id="rId249" Type="http://schemas.openxmlformats.org/officeDocument/2006/relationships/hyperlink" Target="https://diadoc.kontur.ru/143bcbfb-a011-4791-9316-981158fa5552/Document/Show?letterId=5eaf7844-2b7c-4989-920b-fce928efadcd&amp;documentId=c589d3b7-c4d8-4e73-9eef-9bf55e229743" TargetMode="External"/><Relationship Id="rId127" Type="http://schemas.openxmlformats.org/officeDocument/2006/relationships/hyperlink" Target="https://diadoc.kontur.ru/143bcbfb-a011-4791-9316-981158fa5552/Document/Show?letterId=cae55e58-1393-48fa-a15c-5805eede8ba9&amp;documentId=d625733f-61bf-4955-b2af-54e2b8f9fb2c" TargetMode="External"/><Relationship Id="rId248" Type="http://schemas.openxmlformats.org/officeDocument/2006/relationships/hyperlink" Target="https://diadoc.kontur.ru/143bcbfb-a011-4791-9316-981158fa5552/Document/Show?letterId=5eaf7844-2b7c-4989-920b-fce928efadcd&amp;documentId=719f5579-f97c-41ff-bf18-dcc0ae500b4e" TargetMode="External"/><Relationship Id="rId369" Type="http://schemas.openxmlformats.org/officeDocument/2006/relationships/hyperlink" Target="https://diadoc.kontur.ru/143bcbfb-a011-4791-9316-981158fa5552/Document/Show?letterId=1aa6209c-5e53-41dc-9f16-2988ec0bbfec&amp;documentId=3665e6a9-095c-49b7-9631-bf8e1d1e8594" TargetMode="External"/><Relationship Id="rId126" Type="http://schemas.openxmlformats.org/officeDocument/2006/relationships/hyperlink" Target="https://diadoc.kontur.ru/143bcbfb-a011-4791-9316-981158fa5552/Document/Show?letterId=9935a173-8605-4f79-b580-9b9547ab0bbf&amp;documentId=b4c6085c-8a49-469a-8afd-33ce6cd1d5f9" TargetMode="External"/><Relationship Id="rId247" Type="http://schemas.openxmlformats.org/officeDocument/2006/relationships/hyperlink" Target="https://diadoc.kontur.ru/143bcbfb-a011-4791-9316-981158fa5552/Document/Show?letterId=5eaf7844-2b7c-4989-920b-fce928efadcd&amp;documentId=5a4b6839-73ae-47f0-90db-889f849da06a" TargetMode="External"/><Relationship Id="rId368" Type="http://schemas.openxmlformats.org/officeDocument/2006/relationships/hyperlink" Target="https://diadoc.kontur.ru/143bcbfb-a011-4791-9316-981158fa5552/Document/Show?letterId=f87df7f6-2bb1-4694-a47c-f4188629e0d4&amp;documentId=25b14db0-56c3-48d0-a83f-3038ec24d73f" TargetMode="External"/><Relationship Id="rId489" Type="http://schemas.openxmlformats.org/officeDocument/2006/relationships/hyperlink" Target="https://diadoc.kontur.ru/143bcbfb-a011-4791-9316-981158fa5552/Document/Show?letterId=e978cc7c-7bdc-4740-866e-8024d84ffa69&amp;documentId=4b431f97-fcac-4398-92e7-7cb89cbf9dc8" TargetMode="External"/><Relationship Id="rId121" Type="http://schemas.openxmlformats.org/officeDocument/2006/relationships/hyperlink" Target="https://diadoc.kontur.ru/143bcbfb-a011-4791-9316-981158fa5552/Document/Show?letterId=c46a189b-e484-4cc0-8ab2-ff8674bef22f&amp;documentId=b290cc96-d52c-48f8-a41e-c75eb0b20aa5" TargetMode="External"/><Relationship Id="rId242" Type="http://schemas.openxmlformats.org/officeDocument/2006/relationships/hyperlink" Target="https://diadoc.kontur.ru/143bcbfb-a011-4791-9316-981158fa5552/Document/Show?letterId=c5f90c63-27b2-49dd-a90a-78889d910179&amp;documentId=d62da887-2ee3-4d27-ad2c-a813cfbb4b19" TargetMode="External"/><Relationship Id="rId363" Type="http://schemas.openxmlformats.org/officeDocument/2006/relationships/hyperlink" Target="https://diadoc.kontur.ru/143bcbfb-a011-4791-9316-981158fa5552/Document/Show?letterId=66b216b4-2b5d-4e25-ba8a-3da3d3f99363&amp;documentId=c07bc25d-8f2c-4115-8a9b-adff56116e63" TargetMode="External"/><Relationship Id="rId484" Type="http://schemas.openxmlformats.org/officeDocument/2006/relationships/hyperlink" Target="https://diadoc.kontur.ru/143bcbfb-a011-4791-9316-981158fa5552/Document/Show?letterId=a39058dc-8704-48e7-8cf0-93d46226b1d7&amp;documentId=be3dee4c-2b4a-445d-970a-4bd90b5cd7eb" TargetMode="External"/><Relationship Id="rId120" Type="http://schemas.openxmlformats.org/officeDocument/2006/relationships/hyperlink" Target="https://diadoc.kontur.ru/143bcbfb-a011-4791-9316-981158fa5552/Document/Show?letterId=45d5a60d-a31b-45f3-9db4-58d980df2891&amp;documentId=9c25a73d-523e-462a-8d8b-d65ba45ccdd1" TargetMode="External"/><Relationship Id="rId241" Type="http://schemas.openxmlformats.org/officeDocument/2006/relationships/hyperlink" Target="https://diadoc.kontur.ru/143bcbfb-a011-4791-9316-981158fa5552/Document/Show?letterId=3dededb3-772d-4665-a84f-20da9c0f3cc1&amp;documentId=ce2d2736-a486-4d27-9756-eb1db75494af" TargetMode="External"/><Relationship Id="rId362" Type="http://schemas.openxmlformats.org/officeDocument/2006/relationships/hyperlink" Target="https://diadoc.kontur.ru/143bcbfb-a011-4791-9316-981158fa5552/Document/Show?letterId=f4a2eaed-148d-49c4-a354-b09a8c82c5a5&amp;documentId=0594cab0-db84-449c-91da-6004c47b2a13" TargetMode="External"/><Relationship Id="rId483" Type="http://schemas.openxmlformats.org/officeDocument/2006/relationships/hyperlink" Target="https://diadoc.kontur.ru/143bcbfb-a011-4791-9316-981158fa5552/Document/Show?letterId=3a584bf6-6b11-4c46-a962-40ab2da51a13&amp;documentId=2614ab8a-7ab4-4436-85dd-488deecb3278" TargetMode="External"/><Relationship Id="rId240" Type="http://schemas.openxmlformats.org/officeDocument/2006/relationships/hyperlink" Target="https://diadoc.kontur.ru/143bcbfb-a011-4791-9316-981158fa5552/Document/Show?letterId=2c81fbe2-ef36-4d32-8292-d6b77555b8d6&amp;documentId=e6f85f72-d7a9-4d70-86a8-9a811f7b421e" TargetMode="External"/><Relationship Id="rId361" Type="http://schemas.openxmlformats.org/officeDocument/2006/relationships/hyperlink" Target="https://diadoc.kontur.ru/143bcbfb-a011-4791-9316-981158fa5552/Document/Show?letterId=84f228e4-cd77-4822-85d3-776ae785c07a&amp;documentId=b7d7e336-5c67-430a-9629-8f91ebc74866" TargetMode="External"/><Relationship Id="rId482" Type="http://schemas.openxmlformats.org/officeDocument/2006/relationships/hyperlink" Target="https://diadoc.kontur.ru/143bcbfb-a011-4791-9316-981158fa5552/Document/Show?letterId=950a6112-56eb-4fd2-88bd-6c799f0064d5&amp;documentId=d4955632-008e-4fb5-b4c9-4f8f65d99784" TargetMode="External"/><Relationship Id="rId360" Type="http://schemas.openxmlformats.org/officeDocument/2006/relationships/hyperlink" Target="https://diadoc.kontur.ru/143bcbfb-a011-4791-9316-981158fa5552/Document/Show?letterId=be3cb00d-e323-4557-a0f4-99e2d58af618&amp;documentId=165f255d-3fa0-4b92-8c84-bda6016b87f7" TargetMode="External"/><Relationship Id="rId481" Type="http://schemas.openxmlformats.org/officeDocument/2006/relationships/hyperlink" Target="https://diadoc.kontur.ru/143bcbfb-a011-4791-9316-981158fa5552/Document/Show?letterId=d881f219-e6c9-42cb-abd3-4c34a052e905&amp;documentId=b3ecab16-5972-4b80-b9ed-07ce1d5c797b" TargetMode="External"/><Relationship Id="rId125" Type="http://schemas.openxmlformats.org/officeDocument/2006/relationships/hyperlink" Target="https://diadoc.kontur.ru/143bcbfb-a011-4791-9316-981158fa5552/Document/Show?letterId=d85b534d-b8d5-4905-9ed5-ddf9873a410d&amp;documentId=79fe69e4-9298-40fe-9926-4e3300fc0542" TargetMode="External"/><Relationship Id="rId246" Type="http://schemas.openxmlformats.org/officeDocument/2006/relationships/hyperlink" Target="https://diadoc.kontur.ru/143bcbfb-a011-4791-9316-981158fa5552/Document/Show?letterId=5eaf7844-2b7c-4989-920b-fce928efadcd&amp;documentId=b80ddf12-f79b-423c-b55d-125ab9a86376" TargetMode="External"/><Relationship Id="rId367" Type="http://schemas.openxmlformats.org/officeDocument/2006/relationships/hyperlink" Target="https://diadoc.kontur.ru/143bcbfb-a011-4791-9316-981158fa5552/Document/Show?letterId=c2f17112-0e48-4ce9-bdf2-ee8c7c014478&amp;documentId=6d5eaa7c-910e-413a-b7d0-e3975f5e2843" TargetMode="External"/><Relationship Id="rId488" Type="http://schemas.openxmlformats.org/officeDocument/2006/relationships/hyperlink" Target="https://diadoc.kontur.ru/143bcbfb-a011-4791-9316-981158fa5552/Document/Show?letterId=6711871a-38ae-4817-8f08-f72f3ce731d2&amp;documentId=89741e31-8043-4804-9ba3-e7686d9407b3" TargetMode="External"/><Relationship Id="rId124" Type="http://schemas.openxmlformats.org/officeDocument/2006/relationships/hyperlink" Target="https://diadoc.kontur.ru/143bcbfb-a011-4791-9316-981158fa5552/Document/Show?letterId=cf09cc0b-0ca7-4a0e-9a02-d3f6fedc9cb1&amp;documentId=8639042d-354a-4d34-ab90-6006ca0aef67" TargetMode="External"/><Relationship Id="rId245" Type="http://schemas.openxmlformats.org/officeDocument/2006/relationships/hyperlink" Target="https://diadoc.kontur.ru/143bcbfb-a011-4791-9316-981158fa5552/Document/Show?letterId=e2b97922-76af-401c-8d71-8bae1543a67a&amp;documentId=8774184d-a367-4844-b220-322a5adb9e63" TargetMode="External"/><Relationship Id="rId366" Type="http://schemas.openxmlformats.org/officeDocument/2006/relationships/hyperlink" Target="https://diadoc.kontur.ru/143bcbfb-a011-4791-9316-981158fa5552/Document/Show?letterId=0255abf0-81fd-448b-a588-3205d0cd3f13&amp;documentId=cec7508a-bf7c-4455-b3c9-a7611aef89db" TargetMode="External"/><Relationship Id="rId487" Type="http://schemas.openxmlformats.org/officeDocument/2006/relationships/hyperlink" Target="https://diadoc.kontur.ru/143bcbfb-a011-4791-9316-981158fa5552/Document/Show?letterId=0d15473e-b751-4057-a90c-e3c571e30f86&amp;documentId=ec3c6fd7-4f85-453e-a3d9-f6cfcb33215c" TargetMode="External"/><Relationship Id="rId123" Type="http://schemas.openxmlformats.org/officeDocument/2006/relationships/hyperlink" Target="https://diadoc.kontur.ru/143bcbfb-a011-4791-9316-981158fa5552/Document/Show?letterId=35dd29bf-725d-4ca5-8d80-926e2c52cadb&amp;documentId=45947bf5-99df-49e8-af10-938bff241bf9" TargetMode="External"/><Relationship Id="rId244" Type="http://schemas.openxmlformats.org/officeDocument/2006/relationships/hyperlink" Target="https://diadoc.kontur.ru/143bcbfb-a011-4791-9316-981158fa5552/Document/Show?letterId=054ff587-05b3-45b9-8389-cf04c897f569&amp;documentId=9db951fd-8df4-4d05-b3b9-85388a58a24a" TargetMode="External"/><Relationship Id="rId365" Type="http://schemas.openxmlformats.org/officeDocument/2006/relationships/hyperlink" Target="https://diadoc.kontur.ru/143bcbfb-a011-4791-9316-981158fa5552/Document/Show?letterId=db1c440e-ec0c-44cf-8719-f63ce144db66&amp;documentId=f07dbac4-4403-42fd-be04-8db001a9e619" TargetMode="External"/><Relationship Id="rId486" Type="http://schemas.openxmlformats.org/officeDocument/2006/relationships/hyperlink" Target="https://diadoc.kontur.ru/143bcbfb-a011-4791-9316-981158fa5552/Document/Show?letterId=69c2e14d-b937-4574-b966-30a4f44ef15a&amp;documentId=17b39527-08b9-42f8-9550-57dc1eda4a96" TargetMode="External"/><Relationship Id="rId122" Type="http://schemas.openxmlformats.org/officeDocument/2006/relationships/hyperlink" Target="https://diadoc.kontur.ru/143bcbfb-a011-4791-9316-981158fa5552/Document/Show?letterId=b49a1828-3974-4ed6-9a40-2fda9ec7fbb0&amp;documentId=07ce2a4f-343c-40f9-9a28-0a009769d5ff" TargetMode="External"/><Relationship Id="rId243" Type="http://schemas.openxmlformats.org/officeDocument/2006/relationships/hyperlink" Target="https://diadoc.kontur.ru/143bcbfb-a011-4791-9316-981158fa5552/Document/Show?letterId=2783d019-de8c-42d9-a150-ba102089fa26&amp;documentId=bd34bef5-3746-490f-9d14-bbd10610f4d0" TargetMode="External"/><Relationship Id="rId364" Type="http://schemas.openxmlformats.org/officeDocument/2006/relationships/hyperlink" Target="https://diadoc.kontur.ru/143bcbfb-a011-4791-9316-981158fa5552/Document/Show?letterId=759f86f6-76d9-4feb-86d1-80c9b98c432c&amp;documentId=4cbeb285-1f0f-4d4d-aaaa-7d5abe4033d8" TargetMode="External"/><Relationship Id="rId485" Type="http://schemas.openxmlformats.org/officeDocument/2006/relationships/hyperlink" Target="https://diadoc.kontur.ru/143bcbfb-a011-4791-9316-981158fa5552/Document/Show?letterId=48ac646b-ea14-4093-9075-f83bc497ab0a&amp;documentId=b2fe384f-3932-4ed0-b760-1ee7fde5e72f" TargetMode="External"/><Relationship Id="rId95" Type="http://schemas.openxmlformats.org/officeDocument/2006/relationships/hyperlink" Target="https://diadoc.kontur.ru/143bcbfb-a011-4791-9316-981158fa5552/Document/Show?letterId=a2a3f932-1979-4b39-862d-16225b713315&amp;documentId=92608520-e527-4b6d-bba6-b758010d05dc" TargetMode="External"/><Relationship Id="rId94" Type="http://schemas.openxmlformats.org/officeDocument/2006/relationships/hyperlink" Target="https://diadoc.kontur.ru/143bcbfb-a011-4791-9316-981158fa5552/Document/Show?letterId=7310f358-cf37-4f8d-9b79-7ead123a9ad7&amp;documentId=34ca9a8f-ee70-48c2-bbe7-8a1d75dcd9e4" TargetMode="External"/><Relationship Id="rId97" Type="http://schemas.openxmlformats.org/officeDocument/2006/relationships/hyperlink" Target="https://diadoc.kontur.ru/143bcbfb-a011-4791-9316-981158fa5552/Document/Show?letterId=f5fb9fdb-c076-4afb-baac-0accedcb3fe5&amp;documentId=64556610-2253-4477-9535-5cf9883dc4df" TargetMode="External"/><Relationship Id="rId96" Type="http://schemas.openxmlformats.org/officeDocument/2006/relationships/hyperlink" Target="https://diadoc.kontur.ru/143bcbfb-a011-4791-9316-981158fa5552/Document/Show?letterId=4b1be2b5-ad2b-4ed3-8075-c4517c9e91c9&amp;documentId=6fd779bb-7495-461f-9a9a-d43969622536" TargetMode="External"/><Relationship Id="rId99" Type="http://schemas.openxmlformats.org/officeDocument/2006/relationships/hyperlink" Target="https://diadoc.kontur.ru/143bcbfb-a011-4791-9316-981158fa5552/Document/Show?letterId=3e873529-2cf2-4431-9611-840cf3bbe1a2&amp;documentId=6866c70c-f168-42e2-b35f-e03ae14f719f" TargetMode="External"/><Relationship Id="rId480" Type="http://schemas.openxmlformats.org/officeDocument/2006/relationships/hyperlink" Target="https://diadoc.kontur.ru/143bcbfb-a011-4791-9316-981158fa5552/Document/Show?letterId=a42eecbb-9775-4f26-af52-8cd1d00ed6b3&amp;documentId=b3f843d3-d0ec-47d9-9eb7-c391094ba0ea" TargetMode="External"/><Relationship Id="rId98" Type="http://schemas.openxmlformats.org/officeDocument/2006/relationships/hyperlink" Target="https://diadoc.kontur.ru/143bcbfb-a011-4791-9316-981158fa5552/Document/Show?letterId=8f156781-805a-4f5d-a676-48eb24e49807&amp;documentId=8b9a4ac2-0ec9-4874-860c-69766ce537d7" TargetMode="External"/><Relationship Id="rId91" Type="http://schemas.openxmlformats.org/officeDocument/2006/relationships/hyperlink" Target="https://diadoc.kontur.ru/143bcbfb-a011-4791-9316-981158fa5552/Document/Show?letterId=037e704d-bbe5-4351-93f5-9a33e8866ea0&amp;documentId=18c53a17-ac58-40dc-8522-bcba73caa1f9" TargetMode="External"/><Relationship Id="rId90" Type="http://schemas.openxmlformats.org/officeDocument/2006/relationships/hyperlink" Target="https://diadoc.kontur.ru/143bcbfb-a011-4791-9316-981158fa5552/Document/Show?letterId=1f8b1fb7-e86c-4200-9f11-df1ef79651f9&amp;documentId=18556e92-0014-4c94-b9ff-d571b286eb84" TargetMode="External"/><Relationship Id="rId93" Type="http://schemas.openxmlformats.org/officeDocument/2006/relationships/hyperlink" Target="https://diadoc.kontur.ru/143bcbfb-a011-4791-9316-981158fa5552/Document/Show?letterId=447740ce-1e56-4d1b-94e8-1c0a324cdeac&amp;documentId=85a48c9e-3f64-4138-9660-81361b459054" TargetMode="External"/><Relationship Id="rId92" Type="http://schemas.openxmlformats.org/officeDocument/2006/relationships/hyperlink" Target="https://diadoc.kontur.ru/143bcbfb-a011-4791-9316-981158fa5552/Document/Show?letterId=0cb82d43-b1b0-4c70-8565-5ad6d84c96c2&amp;documentId=ca534d9e-515f-4c1a-934b-d354196f317d" TargetMode="External"/><Relationship Id="rId118" Type="http://schemas.openxmlformats.org/officeDocument/2006/relationships/hyperlink" Target="https://diadoc.kontur.ru/143bcbfb-a011-4791-9316-981158fa5552/Document/Show?letterId=47e5ca2b-0b76-47d9-85f5-449e08e2051d&amp;documentId=d3eed50e-a92d-4de7-9e2c-767028add8b2" TargetMode="External"/><Relationship Id="rId239" Type="http://schemas.openxmlformats.org/officeDocument/2006/relationships/hyperlink" Target="https://diadoc.kontur.ru/143bcbfb-a011-4791-9316-981158fa5552/Document/Show?letterId=f0deca9c-8ddd-41c5-9af5-bc8ecd3b320e&amp;documentId=07551aa6-6d4f-46ab-823c-7614c24a6547" TargetMode="External"/><Relationship Id="rId117" Type="http://schemas.openxmlformats.org/officeDocument/2006/relationships/hyperlink" Target="https://diadoc.kontur.ru/143bcbfb-a011-4791-9316-981158fa5552/Document/Show?letterId=06277629-e524-406b-b86b-131b157f1a75&amp;documentId=d9ce3a28-2577-4812-aa80-5db2f1aab249" TargetMode="External"/><Relationship Id="rId238" Type="http://schemas.openxmlformats.org/officeDocument/2006/relationships/hyperlink" Target="https://diadoc.kontur.ru/143bcbfb-a011-4791-9316-981158fa5552/Document/Show?letterId=f503bbf9-570e-4abf-98fc-226b6f39a740&amp;documentId=178ba51a-20c2-4486-b6e3-9fffb3a3fcca" TargetMode="External"/><Relationship Id="rId359" Type="http://schemas.openxmlformats.org/officeDocument/2006/relationships/hyperlink" Target="https://diadoc.kontur.ru/143bcbfb-a011-4791-9316-981158fa5552/Document/Show?letterId=119a09f3-f2a3-4daa-9e2d-2b93a70412fd&amp;documentId=f5b675c1-33d8-41a2-8964-367c9be6a44a" TargetMode="External"/><Relationship Id="rId116" Type="http://schemas.openxmlformats.org/officeDocument/2006/relationships/hyperlink" Target="https://diadoc.kontur.ru/143bcbfb-a011-4791-9316-981158fa5552/Document/Show?letterId=150f36a9-4409-44e3-9d5f-92d03724d315&amp;documentId=123d7595-886e-4246-80a4-74579c4b8d97" TargetMode="External"/><Relationship Id="rId237" Type="http://schemas.openxmlformats.org/officeDocument/2006/relationships/hyperlink" Target="https://diadoc.kontur.ru/143bcbfb-a011-4791-9316-981158fa5552/Document/Show?letterId=0c82e0d1-bc33-40a7-9bc7-a549065d5542&amp;documentId=a65dce2d-17df-44d4-b711-32a8d560ca42" TargetMode="External"/><Relationship Id="rId358" Type="http://schemas.openxmlformats.org/officeDocument/2006/relationships/hyperlink" Target="https://diadoc.kontur.ru/143bcbfb-a011-4791-9316-981158fa5552/Document/Show?letterId=49193383-09c3-43eb-9a28-19f3f6d0e5c2&amp;documentId=2d849c00-eaa4-4ffb-9072-cca04e9381ef" TargetMode="External"/><Relationship Id="rId479" Type="http://schemas.openxmlformats.org/officeDocument/2006/relationships/hyperlink" Target="https://diadoc.kontur.ru/143bcbfb-a011-4791-9316-981158fa5552/Document/Show?letterId=45801c01-f09d-4af3-90f6-045dc693139b&amp;documentId=f692b675-4ab9-4d04-8ee2-e29d00726869" TargetMode="External"/><Relationship Id="rId115" Type="http://schemas.openxmlformats.org/officeDocument/2006/relationships/hyperlink" Target="https://diadoc.kontur.ru/143bcbfb-a011-4791-9316-981158fa5552/Document/Show?letterId=6e7a3112-af6a-4e62-af0a-e561785dabef&amp;documentId=4b9c82c5-e8cf-4310-8800-a6bb2c019a31" TargetMode="External"/><Relationship Id="rId236" Type="http://schemas.openxmlformats.org/officeDocument/2006/relationships/hyperlink" Target="https://diadoc.kontur.ru/143bcbfb-a011-4791-9316-981158fa5552/Document/Show?letterId=30035e51-43db-4535-ba13-f5641fe93966&amp;documentId=028f9a64-186d-4bce-adc0-a81368bfa169" TargetMode="External"/><Relationship Id="rId357" Type="http://schemas.openxmlformats.org/officeDocument/2006/relationships/hyperlink" Target="https://diadoc.kontur.ru/143bcbfb-a011-4791-9316-981158fa5552/Document/Show?letterId=df6c64cf-da25-4b0f-aae2-34e35fa10e60&amp;documentId=f4693d93-13c5-448f-9b1e-f7c732d6da7a" TargetMode="External"/><Relationship Id="rId478" Type="http://schemas.openxmlformats.org/officeDocument/2006/relationships/hyperlink" Target="https://diadoc.kontur.ru/143bcbfb-a011-4791-9316-981158fa5552/Document/Show?letterId=b9caab3c-c05c-4308-8c29-75c4c9c8edda&amp;documentId=7304f70d-305e-422c-a535-f5a90fbbc890" TargetMode="External"/><Relationship Id="rId119" Type="http://schemas.openxmlformats.org/officeDocument/2006/relationships/hyperlink" Target="https://diadoc.kontur.ru/143bcbfb-a011-4791-9316-981158fa5552/Document/Show?letterId=c36f07fe-de48-4a7c-ab9c-85eb134e9ddd&amp;documentId=1ac74539-1098-4241-b94a-a149322f1742" TargetMode="External"/><Relationship Id="rId110" Type="http://schemas.openxmlformats.org/officeDocument/2006/relationships/hyperlink" Target="https://diadoc.kontur.ru/143bcbfb-a011-4791-9316-981158fa5552/Document/Show?letterId=0aa3078f-8fdf-41a2-90f4-1594f891f69a&amp;documentId=c3cc368a-d8ce-41e4-80dd-2d5dbf14b30b" TargetMode="External"/><Relationship Id="rId231" Type="http://schemas.openxmlformats.org/officeDocument/2006/relationships/hyperlink" Target="https://diadoc.kontur.ru/143bcbfb-a011-4791-9316-981158fa5552/Document/Show?letterId=2609aeff-980c-444c-b93e-db240fc7047e&amp;documentId=ee904d8b-f306-44a2-8b43-ac6246defd6d" TargetMode="External"/><Relationship Id="rId352" Type="http://schemas.openxmlformats.org/officeDocument/2006/relationships/hyperlink" Target="https://diadoc.kontur.ru/143bcbfb-a011-4791-9316-981158fa5552/Document/Show?letterId=3e510957-2355-401d-bc7c-781663fc69ad&amp;documentId=c96f5753-ade4-42e8-8adc-0d237e1dad84" TargetMode="External"/><Relationship Id="rId473" Type="http://schemas.openxmlformats.org/officeDocument/2006/relationships/hyperlink" Target="https://diadoc.kontur.ru/143bcbfb-a011-4791-9316-981158fa5552/Document/Show?letterId=00ecaded-0e6f-434b-83b3-1347bccfa3f0&amp;documentId=22135980-87c1-4fd8-8135-ab6403f7de50" TargetMode="External"/><Relationship Id="rId230" Type="http://schemas.openxmlformats.org/officeDocument/2006/relationships/hyperlink" Target="https://diadoc.kontur.ru/143bcbfb-a011-4791-9316-981158fa5552/Document/Show?letterId=b8fd295d-dce2-4b68-b89e-1003fb10ed16&amp;documentId=374bb855-d64b-401d-adf7-c8094bef55c9" TargetMode="External"/><Relationship Id="rId351" Type="http://schemas.openxmlformats.org/officeDocument/2006/relationships/hyperlink" Target="https://diadoc.kontur.ru/143bcbfb-a011-4791-9316-981158fa5552/Document/Show?letterId=2a34e760-ea76-4579-8472-5efa8dc66a48&amp;documentId=c5b7b8b8-b875-4b83-8eb4-d619c6087541" TargetMode="External"/><Relationship Id="rId472" Type="http://schemas.openxmlformats.org/officeDocument/2006/relationships/hyperlink" Target="https://diadoc.kontur.ru/143bcbfb-a011-4791-9316-981158fa5552/Document/Show?letterId=bceb80d4-f047-4129-a8cb-ad0cb85fa121&amp;documentId=2ce75ac8-2660-4478-9757-88d54bf1630a" TargetMode="External"/><Relationship Id="rId350" Type="http://schemas.openxmlformats.org/officeDocument/2006/relationships/hyperlink" Target="https://diadoc.kontur.ru/143bcbfb-a011-4791-9316-981158fa5552/Document/Show?letterId=e91923db-c20b-453f-8881-af8d24c6cd1b&amp;documentId=e96c0dd4-875e-4b71-a012-07892b780550" TargetMode="External"/><Relationship Id="rId471" Type="http://schemas.openxmlformats.org/officeDocument/2006/relationships/hyperlink" Target="https://diadoc.kontur.ru/143bcbfb-a011-4791-9316-981158fa5552/Document/Show?letterId=daf7fb6b-a054-4e4d-afbf-9e43052a257b&amp;documentId=b10cf8c8-8fcf-454a-980c-fcd5cab8d025" TargetMode="External"/><Relationship Id="rId470" Type="http://schemas.openxmlformats.org/officeDocument/2006/relationships/hyperlink" Target="https://diadoc.kontur.ru/143bcbfb-a011-4791-9316-981158fa5552/Document/Show?letterId=a9ee80c0-ca71-4f69-8db4-90f71cd1c50b&amp;documentId=f325b4d8-ba04-462a-8776-c63bacfdf598" TargetMode="External"/><Relationship Id="rId114" Type="http://schemas.openxmlformats.org/officeDocument/2006/relationships/hyperlink" Target="https://diadoc.kontur.ru/143bcbfb-a011-4791-9316-981158fa5552/Document/Show?letterId=e274b8b8-5015-498b-8639-b61e728c9f8b&amp;documentId=c8e900a0-70d9-4d7f-bf94-9efa38e656c9" TargetMode="External"/><Relationship Id="rId235" Type="http://schemas.openxmlformats.org/officeDocument/2006/relationships/hyperlink" Target="https://diadoc.kontur.ru/143bcbfb-a011-4791-9316-981158fa5552/Document/Show?letterId=d70e4cfb-c82d-4c45-b518-127b0540de62&amp;documentId=3a1fa4e2-fe89-4360-8d0f-b9ef5749dc96" TargetMode="External"/><Relationship Id="rId356" Type="http://schemas.openxmlformats.org/officeDocument/2006/relationships/hyperlink" Target="https://diadoc.kontur.ru/143bcbfb-a011-4791-9316-981158fa5552/Document/Show?letterId=900b4763-c437-45b5-826f-b9a0a25a5330&amp;documentId=2d71adb8-8df0-4d4f-ba9b-923c4aa74a70" TargetMode="External"/><Relationship Id="rId477" Type="http://schemas.openxmlformats.org/officeDocument/2006/relationships/hyperlink" Target="https://diadoc.kontur.ru/143bcbfb-a011-4791-9316-981158fa5552/Document/Show?letterId=261fbf37-43e3-46c8-837b-7b6ecd3f918b&amp;documentId=cdc1878d-c465-4a84-a849-ac533dbfeeb3" TargetMode="External"/><Relationship Id="rId113" Type="http://schemas.openxmlformats.org/officeDocument/2006/relationships/hyperlink" Target="https://diadoc.kontur.ru/143bcbfb-a011-4791-9316-981158fa5552/Document/Show?letterId=704eeced-ed8f-46ab-8fdd-5277dd040481&amp;documentId=73f4ce6b-009c-4574-bae7-247058212d8d" TargetMode="External"/><Relationship Id="rId234" Type="http://schemas.openxmlformats.org/officeDocument/2006/relationships/hyperlink" Target="https://diadoc.kontur.ru/143bcbfb-a011-4791-9316-981158fa5552/Document/Show?letterId=993a066e-77b7-4c16-8501-ecd8dcfc23b6&amp;documentId=19b3c2e4-88e7-4e92-947e-49efdb5ef278" TargetMode="External"/><Relationship Id="rId355" Type="http://schemas.openxmlformats.org/officeDocument/2006/relationships/hyperlink" Target="https://diadoc.kontur.ru/143bcbfb-a011-4791-9316-981158fa5552/Document/Show?letterId=7c4a926e-9403-455d-beef-6b34bdd04f73&amp;documentId=2d07fc5e-498d-4098-b877-69847791d378" TargetMode="External"/><Relationship Id="rId476" Type="http://schemas.openxmlformats.org/officeDocument/2006/relationships/hyperlink" Target="https://diadoc.kontur.ru/143bcbfb-a011-4791-9316-981158fa5552/Document/Show?letterId=371d4358-15bb-4e77-9551-0f948afbd262&amp;documentId=b48a3da3-2df4-43fa-b92d-dd5c96634ba1" TargetMode="External"/><Relationship Id="rId112" Type="http://schemas.openxmlformats.org/officeDocument/2006/relationships/hyperlink" Target="https://diadoc.kontur.ru/143bcbfb-a011-4791-9316-981158fa5552/Document/Show?letterId=41b88459-1169-4773-97b0-eb7b55f7ae2c&amp;documentId=18b64079-0935-44ff-b815-d3f88ee6b875" TargetMode="External"/><Relationship Id="rId233" Type="http://schemas.openxmlformats.org/officeDocument/2006/relationships/hyperlink" Target="https://diadoc.kontur.ru/143bcbfb-a011-4791-9316-981158fa5552/Document/Show?letterId=3ce304ec-cbfd-4f19-836d-abff59299593&amp;documentId=bf0c1e44-371a-4a47-a50d-aa14755525ba" TargetMode="External"/><Relationship Id="rId354" Type="http://schemas.openxmlformats.org/officeDocument/2006/relationships/hyperlink" Target="https://diadoc.kontur.ru/143bcbfb-a011-4791-9316-981158fa5552/Document/Show?letterId=7af83a52-b15b-4278-a472-9b838b104b4a&amp;documentId=75d89c46-453f-4eb0-8e48-2f2979bf6393" TargetMode="External"/><Relationship Id="rId475" Type="http://schemas.openxmlformats.org/officeDocument/2006/relationships/hyperlink" Target="https://diadoc.kontur.ru/143bcbfb-a011-4791-9316-981158fa5552/Document/Show?letterId=17006d9a-1708-484e-aadb-3e760e15ddcb&amp;documentId=b405ee0e-8aed-4a64-b8e2-edb899d5fdcd" TargetMode="External"/><Relationship Id="rId111" Type="http://schemas.openxmlformats.org/officeDocument/2006/relationships/hyperlink" Target="https://diadoc.kontur.ru/143bcbfb-a011-4791-9316-981158fa5552/Document/Show?letterId=6bc326d9-2917-4c55-8f35-4b04ac8e9306&amp;documentId=13bb22c8-f314-4573-87d4-88e79e46e014" TargetMode="External"/><Relationship Id="rId232" Type="http://schemas.openxmlformats.org/officeDocument/2006/relationships/hyperlink" Target="https://diadoc.kontur.ru/143bcbfb-a011-4791-9316-981158fa5552/Document/Show?letterId=c6cbd1d4-e6f8-432a-984c-e7b3d31b0290&amp;documentId=104fb744-17b9-4701-ba3f-d5024e8cd55b" TargetMode="External"/><Relationship Id="rId353" Type="http://schemas.openxmlformats.org/officeDocument/2006/relationships/hyperlink" Target="https://diadoc.kontur.ru/143bcbfb-a011-4791-9316-981158fa5552/Document/Show?letterId=6a84c0fb-c9fd-4077-bbab-d953d3fc79b4&amp;documentId=c05f8c7f-1494-4f95-a252-cd948122601a" TargetMode="External"/><Relationship Id="rId474" Type="http://schemas.openxmlformats.org/officeDocument/2006/relationships/hyperlink" Target="https://diadoc.kontur.ru/143bcbfb-a011-4791-9316-981158fa5552/Document/Show?letterId=6d0f6201-4762-4c41-b76f-60d1e9743362&amp;documentId=02613cba-362e-477d-b7cd-2532946f0b78" TargetMode="External"/><Relationship Id="rId305" Type="http://schemas.openxmlformats.org/officeDocument/2006/relationships/hyperlink" Target="https://diadoc.kontur.ru/143bcbfb-a011-4791-9316-981158fa5552/Document/Show?letterId=384383b2-8003-40c4-8cec-72b8a52e0dbc&amp;documentId=f4c5f9e3-29f8-45f9-b2a3-8c099d0475ca" TargetMode="External"/><Relationship Id="rId426" Type="http://schemas.openxmlformats.org/officeDocument/2006/relationships/hyperlink" Target="https://diadoc.kontur.ru/143bcbfb-a011-4791-9316-981158fa5552/Document/Show?letterId=1ba1216e-7e03-4237-8662-9ff6a46013d0&amp;documentId=b838eec1-5b13-490c-ad72-9c543cd75aa9" TargetMode="External"/><Relationship Id="rId547" Type="http://schemas.openxmlformats.org/officeDocument/2006/relationships/hyperlink" Target="https://diadoc.kontur.ru/143bcbfb-a011-4791-9316-981158fa5552/Document/Show?letterId=0efa181f-58d6-4cf3-aa5d-441072319aa5&amp;documentId=64a9c66c-0ea2-4723-a2ad-06de138923b5" TargetMode="External"/><Relationship Id="rId304" Type="http://schemas.openxmlformats.org/officeDocument/2006/relationships/hyperlink" Target="https://diadoc.kontur.ru/143bcbfb-a011-4791-9316-981158fa5552/Document/Show?letterId=40bb4938-8f95-4200-9505-b15f5dd0000b&amp;documentId=fedbfc4a-29a8-4637-bcff-e62cccf33266" TargetMode="External"/><Relationship Id="rId425" Type="http://schemas.openxmlformats.org/officeDocument/2006/relationships/hyperlink" Target="https://diadoc.kontur.ru/143bcbfb-a011-4791-9316-981158fa5552/Document/Show?letterId=5e331f6c-7d8d-48a1-9f42-1841c1ac2a0b&amp;documentId=484cf056-fb03-43ac-8d48-86e8d678b05a" TargetMode="External"/><Relationship Id="rId546" Type="http://schemas.openxmlformats.org/officeDocument/2006/relationships/hyperlink" Target="https://diadoc.kontur.ru/143bcbfb-a011-4791-9316-981158fa5552/Document/Show?letterId=059df006-4e9e-4dba-9cbc-d33173355cb1&amp;documentId=5113825b-9a7f-4f34-843a-ed84b8373dc6" TargetMode="External"/><Relationship Id="rId303" Type="http://schemas.openxmlformats.org/officeDocument/2006/relationships/hyperlink" Target="https://diadoc.kontur.ru/143bcbfb-a011-4791-9316-981158fa5552/Document/Show?letterId=fb42f87a-9e21-43d6-92b4-2fee31035a6d&amp;documentId=c0019cca-09a6-4cea-bbca-624f9f808739" TargetMode="External"/><Relationship Id="rId424" Type="http://schemas.openxmlformats.org/officeDocument/2006/relationships/hyperlink" Target="https://diadoc.kontur.ru/143bcbfb-a011-4791-9316-981158fa5552/Document/Show?letterId=6417ffc8-d96a-432d-b52c-2784eb2aa8bb&amp;documentId=324d3248-8e06-41d8-a39e-b3ed8cac5121" TargetMode="External"/><Relationship Id="rId545" Type="http://schemas.openxmlformats.org/officeDocument/2006/relationships/hyperlink" Target="https://diadoc.kontur.ru/143bcbfb-a011-4791-9316-981158fa5552/Document/Show?letterId=f0063dbf-d9e3-4693-8cda-863a0dfbb688&amp;documentId=7d90346c-d8dc-49e3-b58f-1c1549741a13" TargetMode="External"/><Relationship Id="rId302" Type="http://schemas.openxmlformats.org/officeDocument/2006/relationships/hyperlink" Target="https://diadoc.kontur.ru/143bcbfb-a011-4791-9316-981158fa5552/Document/Show?letterId=8970bff1-e5f7-46ff-b22c-98ea0f03fd5e&amp;documentId=67c83b4f-4cb1-41e1-a442-630db3b74919" TargetMode="External"/><Relationship Id="rId423" Type="http://schemas.openxmlformats.org/officeDocument/2006/relationships/hyperlink" Target="https://diadoc.kontur.ru/143bcbfb-a011-4791-9316-981158fa5552/Document/Show?letterId=e6637a4f-cbf9-410b-910c-0506cdd93282&amp;documentId=a2639514-eba1-4edf-a71c-fc4a71c46d98" TargetMode="External"/><Relationship Id="rId544" Type="http://schemas.openxmlformats.org/officeDocument/2006/relationships/hyperlink" Target="https://diadoc.kontur.ru/143bcbfb-a011-4791-9316-981158fa5552/Document/Show?letterId=e24340b3-6edd-429e-9edb-f9362117ce24&amp;documentId=ffb0dc67-bb0e-4163-83a1-6c68b58ec2cf" TargetMode="External"/><Relationship Id="rId309" Type="http://schemas.openxmlformats.org/officeDocument/2006/relationships/hyperlink" Target="https://diadoc.kontur.ru/143bcbfb-a011-4791-9316-981158fa5552/Document/Show?letterId=c5856917-9196-4263-b81e-712cadd76fd3&amp;documentId=18b964b0-bd1a-4f7f-adf1-1443068a5f33" TargetMode="External"/><Relationship Id="rId308" Type="http://schemas.openxmlformats.org/officeDocument/2006/relationships/hyperlink" Target="https://diadoc.kontur.ru/143bcbfb-a011-4791-9316-981158fa5552/Document/Show?letterId=9fe8ce22-13d1-47e7-a2bc-364da12a2fb2&amp;documentId=dfce7bdc-1b05-47d9-a7fe-e5f0bcbacefa" TargetMode="External"/><Relationship Id="rId429" Type="http://schemas.openxmlformats.org/officeDocument/2006/relationships/hyperlink" Target="https://diadoc.kontur.ru/143bcbfb-a011-4791-9316-981158fa5552/Document/Show?letterId=abcbc392-9647-45ae-a097-e1d31046d200&amp;documentId=71b866b1-78fe-44e7-a313-4022e29b57e1" TargetMode="External"/><Relationship Id="rId307" Type="http://schemas.openxmlformats.org/officeDocument/2006/relationships/hyperlink" Target="https://diadoc.kontur.ru/143bcbfb-a011-4791-9316-981158fa5552/Document/Show?letterId=154be005-e688-4ec1-8e60-f77395473a6d&amp;documentId=b067a84f-e4d8-425f-a213-83f1d44fa8f3" TargetMode="External"/><Relationship Id="rId428" Type="http://schemas.openxmlformats.org/officeDocument/2006/relationships/hyperlink" Target="https://diadoc.kontur.ru/143bcbfb-a011-4791-9316-981158fa5552/Document/Show?letterId=becafda8-34af-4d3d-a725-07f0ef6ca034&amp;documentId=b05f539a-5e14-442a-9dc0-fcc97fb39e20" TargetMode="External"/><Relationship Id="rId549" Type="http://schemas.openxmlformats.org/officeDocument/2006/relationships/hyperlink" Target="https://diadoc.kontur.ru/143bcbfb-a011-4791-9316-981158fa5552/Document/Show?letterId=d552d6ff-4f85-4683-a7bc-a536594280a0&amp;documentId=fc65e6ef-9b0b-43a6-873f-e2b121d4161f" TargetMode="External"/><Relationship Id="rId306" Type="http://schemas.openxmlformats.org/officeDocument/2006/relationships/hyperlink" Target="https://diadoc.kontur.ru/143bcbfb-a011-4791-9316-981158fa5552/Document/Show?letterId=26b3d75a-0c90-479f-a2d2-c3e5bf81b96a&amp;documentId=f62f33ac-61b6-4fdc-a707-73568fd4a28e" TargetMode="External"/><Relationship Id="rId427" Type="http://schemas.openxmlformats.org/officeDocument/2006/relationships/hyperlink" Target="https://diadoc.kontur.ru/143bcbfb-a011-4791-9316-981158fa5552/Document/Show?letterId=b60fd94a-e54a-4629-8652-4c7af22befb7&amp;documentId=57c79e3e-301f-4ed5-ac36-a337a7392433" TargetMode="External"/><Relationship Id="rId548" Type="http://schemas.openxmlformats.org/officeDocument/2006/relationships/hyperlink" Target="https://diadoc.kontur.ru/143bcbfb-a011-4791-9316-981158fa5552/Document/Show?letterId=e0e5dcb7-8239-45b8-9ec8-b61ac3ec9bdf&amp;documentId=ab8bb09a-d9cb-43a6-8945-25a7780073b6" TargetMode="External"/><Relationship Id="rId301" Type="http://schemas.openxmlformats.org/officeDocument/2006/relationships/hyperlink" Target="https://diadoc.kontur.ru/143bcbfb-a011-4791-9316-981158fa5552/Document/Show?letterId=4b5a4dbe-01bd-4df3-8e13-82f55ccdb01c&amp;documentId=6eb03693-2947-4c29-92ea-12d316a24fd4" TargetMode="External"/><Relationship Id="rId422" Type="http://schemas.openxmlformats.org/officeDocument/2006/relationships/hyperlink" Target="https://diadoc.kontur.ru/143bcbfb-a011-4791-9316-981158fa5552/Document/Show?letterId=09b205ea-e2a4-4c2e-99c3-3db2d810c1a0&amp;documentId=95942fce-afd2-4fb3-bf35-3045ebe876e8" TargetMode="External"/><Relationship Id="rId543" Type="http://schemas.openxmlformats.org/officeDocument/2006/relationships/hyperlink" Target="https://diadoc.kontur.ru/143bcbfb-a011-4791-9316-981158fa5552/Document/Show?letterId=61574900-a784-4a9b-8e30-7fd450e598e7&amp;documentId=42ec49ea-592a-4d11-8069-99d04c36b4a0" TargetMode="External"/><Relationship Id="rId300" Type="http://schemas.openxmlformats.org/officeDocument/2006/relationships/hyperlink" Target="https://diadoc.kontur.ru/143bcbfb-a011-4791-9316-981158fa5552/Document/Show?letterId=8ee5c6e0-9a3e-4d07-bc73-c4eed2b3f290&amp;documentId=0735308e-dbe4-4d30-8e1f-3c4f395e36ee" TargetMode="External"/><Relationship Id="rId421" Type="http://schemas.openxmlformats.org/officeDocument/2006/relationships/hyperlink" Target="https://diadoc.kontur.ru/143bcbfb-a011-4791-9316-981158fa5552/Document/Show?letterId=5bf8f87e-f244-4beb-9436-e2be778006af&amp;documentId=81668505-400a-4172-8ec7-e6a593b03d08" TargetMode="External"/><Relationship Id="rId542" Type="http://schemas.openxmlformats.org/officeDocument/2006/relationships/hyperlink" Target="https://diadoc.kontur.ru/143bcbfb-a011-4791-9316-981158fa5552/Document/Show?letterId=f8c54795-cd96-4ad6-a7bb-7c383b7f9ca4&amp;documentId=acc9ca41-e1ef-452e-ab63-2c74f58ed994" TargetMode="External"/><Relationship Id="rId420" Type="http://schemas.openxmlformats.org/officeDocument/2006/relationships/hyperlink" Target="https://diadoc.kontur.ru/143bcbfb-a011-4791-9316-981158fa5552/Document/Show?letterId=6d268c79-c8a4-456a-99de-fc7c3765e9a1&amp;documentId=4cf8d00b-4d60-4f61-99c5-e08591547696" TargetMode="External"/><Relationship Id="rId541" Type="http://schemas.openxmlformats.org/officeDocument/2006/relationships/hyperlink" Target="https://diadoc.kontur.ru/143bcbfb-a011-4791-9316-981158fa5552/Document/Show?letterId=c7d3cc59-3d6e-432c-92ab-9615d3c28eeb&amp;documentId=fe9b5983-5512-4941-95b6-de2cadaf2331" TargetMode="External"/><Relationship Id="rId540" Type="http://schemas.openxmlformats.org/officeDocument/2006/relationships/hyperlink" Target="https://diadoc.kontur.ru/143bcbfb-a011-4791-9316-981158fa5552/Document/Show?letterId=e5c6115d-7dfc-4f08-8687-567f7ff99e59&amp;documentId=877d5ac6-5f37-4b75-a48b-93aaad0a5d66" TargetMode="External"/><Relationship Id="rId415" Type="http://schemas.openxmlformats.org/officeDocument/2006/relationships/hyperlink" Target="https://diadoc.kontur.ru/143bcbfb-a011-4791-9316-981158fa5552/Document/Show?letterId=b39813b3-5b01-4b88-a761-dc5b3655bbcf&amp;documentId=a2c50634-5c29-4d13-8e81-ccd6e405fd9a" TargetMode="External"/><Relationship Id="rId536" Type="http://schemas.openxmlformats.org/officeDocument/2006/relationships/hyperlink" Target="https://diadoc.kontur.ru/143bcbfb-a011-4791-9316-981158fa5552/Document/Show?letterId=c6143c3d-a3ee-4201-9960-7cfbf887da9b&amp;documentId=98015da2-d27a-4175-8a43-46fb1658a852" TargetMode="External"/><Relationship Id="rId414" Type="http://schemas.openxmlformats.org/officeDocument/2006/relationships/hyperlink" Target="https://diadoc.kontur.ru/143bcbfb-a011-4791-9316-981158fa5552/Document/Show?letterId=d251dbd2-00a7-4e8c-a63f-3db965931f8f&amp;documentId=24f5e24b-51ee-4d1c-abff-f7d22f4caedd" TargetMode="External"/><Relationship Id="rId535" Type="http://schemas.openxmlformats.org/officeDocument/2006/relationships/hyperlink" Target="https://diadoc.kontur.ru/143bcbfb-a011-4791-9316-981158fa5552/Document/Show?letterId=621b1889-47c4-4b58-9eb3-c1f0eb4164fd&amp;documentId=4475674f-2bf7-4c27-aa22-446b346dba2e" TargetMode="External"/><Relationship Id="rId413" Type="http://schemas.openxmlformats.org/officeDocument/2006/relationships/hyperlink" Target="https://diadoc.kontur.ru/143bcbfb-a011-4791-9316-981158fa5552/Document/Show?letterId=caf89eb2-d425-42d1-9575-3898ff0de94c&amp;documentId=db284f76-fce1-47b5-8e98-e42adb594dd3" TargetMode="External"/><Relationship Id="rId534" Type="http://schemas.openxmlformats.org/officeDocument/2006/relationships/hyperlink" Target="https://diadoc.kontur.ru/143bcbfb-a011-4791-9316-981158fa5552/Document/Show?letterId=dd2864e7-4846-4f21-ae18-96b5a847d062&amp;documentId=15f0b90b-b3a5-4203-adc8-69be8c1ad44e" TargetMode="External"/><Relationship Id="rId412" Type="http://schemas.openxmlformats.org/officeDocument/2006/relationships/hyperlink" Target="https://diadoc.kontur.ru/143bcbfb-a011-4791-9316-981158fa5552/Document/Show?letterId=5acf97b0-5759-4edd-bc36-a6f89d40f630&amp;documentId=f4567fce-5da0-4b71-9930-5f2fbb290aae" TargetMode="External"/><Relationship Id="rId533" Type="http://schemas.openxmlformats.org/officeDocument/2006/relationships/hyperlink" Target="https://diadoc.kontur.ru/143bcbfb-a011-4791-9316-981158fa5552/Document/Show?letterId=77bcab81-8dbc-40a5-9426-139d89021392&amp;documentId=b2d467cf-0bb8-4a82-8b57-efde35e46a08" TargetMode="External"/><Relationship Id="rId419" Type="http://schemas.openxmlformats.org/officeDocument/2006/relationships/hyperlink" Target="https://diadoc.kontur.ru/143bcbfb-a011-4791-9316-981158fa5552/Document/Show?letterId=3b91fbe6-6f3d-4ab0-bb53-5d211b23ce25&amp;documentId=e574b7ae-c124-4a0b-9fb0-7b0fa3927253" TargetMode="External"/><Relationship Id="rId418" Type="http://schemas.openxmlformats.org/officeDocument/2006/relationships/hyperlink" Target="https://diadoc.kontur.ru/143bcbfb-a011-4791-9316-981158fa5552/Document/Show?letterId=81b53cb6-086c-4347-b29d-3c303225f6a6&amp;documentId=45ae48d6-9bef-46b0-9924-ca35150fec37" TargetMode="External"/><Relationship Id="rId539" Type="http://schemas.openxmlformats.org/officeDocument/2006/relationships/hyperlink" Target="https://diadoc.kontur.ru/143bcbfb-a011-4791-9316-981158fa5552/Document/Show?letterId=012f9b88-20c5-4043-a3a6-e55543cf4764&amp;documentId=82a11ec7-8fd4-4203-8361-f9d0bee5af7c" TargetMode="External"/><Relationship Id="rId417" Type="http://schemas.openxmlformats.org/officeDocument/2006/relationships/hyperlink" Target="https://diadoc.kontur.ru/143bcbfb-a011-4791-9316-981158fa5552/Document/Show?letterId=0d1ccfad-fe02-4796-ae6b-f2ca769deb1c&amp;documentId=30077457-3994-4591-a03c-f0b3eb34eaa3" TargetMode="External"/><Relationship Id="rId538" Type="http://schemas.openxmlformats.org/officeDocument/2006/relationships/hyperlink" Target="https://diadoc.kontur.ru/143bcbfb-a011-4791-9316-981158fa5552/Document/Show?letterId=a4c734ed-8c9d-4e32-af7c-373c63cc3c9c&amp;documentId=b48e45c7-0b4f-432f-bff0-0849815866b3" TargetMode="External"/><Relationship Id="rId416" Type="http://schemas.openxmlformats.org/officeDocument/2006/relationships/hyperlink" Target="https://diadoc.kontur.ru/143bcbfb-a011-4791-9316-981158fa5552/Document/Show?letterId=e7b4aa3b-f23a-4428-952b-f971bcdc5397&amp;documentId=ccec127b-592f-4bc2-a56d-c65df272cd12" TargetMode="External"/><Relationship Id="rId537" Type="http://schemas.openxmlformats.org/officeDocument/2006/relationships/hyperlink" Target="https://diadoc.kontur.ru/143bcbfb-a011-4791-9316-981158fa5552/Document/Show?letterId=9546b3c1-318d-4910-9518-264fc1658f12&amp;documentId=8d12483d-be65-4533-9737-bdb26b2cf3e9" TargetMode="External"/><Relationship Id="rId411" Type="http://schemas.openxmlformats.org/officeDocument/2006/relationships/hyperlink" Target="https://diadoc.kontur.ru/143bcbfb-a011-4791-9316-981158fa5552/Document/Show?letterId=7460f5eb-0c19-481b-9376-88c668ca0fb8&amp;documentId=711bf0e7-8e18-4d83-b1a8-778c620bca84" TargetMode="External"/><Relationship Id="rId532" Type="http://schemas.openxmlformats.org/officeDocument/2006/relationships/hyperlink" Target="https://diadoc.kontur.ru/143bcbfb-a011-4791-9316-981158fa5552/Document/Show?letterId=16f8b829-ad8b-47ce-baea-af58bd51ffd3&amp;documentId=06560331-2780-45d3-848b-fffb3b9ade68" TargetMode="External"/><Relationship Id="rId410" Type="http://schemas.openxmlformats.org/officeDocument/2006/relationships/hyperlink" Target="https://diadoc.kontur.ru/143bcbfb-a011-4791-9316-981158fa5552/Document/Show?letterId=e98d54d2-ad35-48f8-8b25-2c6cd56716e3&amp;documentId=6c5d0304-afdf-4b91-8bd3-1977c77b6ac1" TargetMode="External"/><Relationship Id="rId531" Type="http://schemas.openxmlformats.org/officeDocument/2006/relationships/hyperlink" Target="https://diadoc.kontur.ru/143bcbfb-a011-4791-9316-981158fa5552/Document/Show?letterId=db2de8ce-2d3b-43c7-848c-707bc8d28031&amp;documentId=9928d71c-4ab5-443b-b06a-7867134b623d" TargetMode="External"/><Relationship Id="rId530" Type="http://schemas.openxmlformats.org/officeDocument/2006/relationships/hyperlink" Target="https://diadoc.kontur.ru/143bcbfb-a011-4791-9316-981158fa5552/Document/Show?letterId=12536c44-e276-4e7a-9d00-b74aaa12beb1&amp;documentId=5d9fa914-0fa2-47d8-a3a7-6cd26c448a6b" TargetMode="External"/><Relationship Id="rId206" Type="http://schemas.openxmlformats.org/officeDocument/2006/relationships/hyperlink" Target="https://diadoc.kontur.ru/143bcbfb-a011-4791-9316-981158fa5552/Document/Show?letterId=57ebe262-1fed-4c64-81e3-5335a5f44f34&amp;documentId=146a1a5d-612e-4cfe-ae1b-c718e4d2ac1a" TargetMode="External"/><Relationship Id="rId327" Type="http://schemas.openxmlformats.org/officeDocument/2006/relationships/hyperlink" Target="https://diadoc.kontur.ru/143bcbfb-a011-4791-9316-981158fa5552/Document/Show?letterId=342dc386-32e3-419c-bb98-34cf2da9fbfd&amp;documentId=794976b0-d3fd-40f2-a605-38f0f5db4bfd" TargetMode="External"/><Relationship Id="rId448" Type="http://schemas.openxmlformats.org/officeDocument/2006/relationships/hyperlink" Target="https://diadoc.kontur.ru/143bcbfb-a011-4791-9316-981158fa5552/Document/Show?letterId=18545447-a94c-4e27-a83c-083930633211&amp;documentId=03f20043-e8db-4ccf-a282-8654d1088242" TargetMode="External"/><Relationship Id="rId569" Type="http://schemas.openxmlformats.org/officeDocument/2006/relationships/hyperlink" Target="https://diadoc.kontur.ru/143bcbfb-a011-4791-9316-981158fa5552/Document/Show?letterId=295e5d51-9da5-40a7-b931-1e9419bc48ac&amp;documentId=b37643b4-02d6-4979-86a5-f38b0afc6c35" TargetMode="External"/><Relationship Id="rId205" Type="http://schemas.openxmlformats.org/officeDocument/2006/relationships/hyperlink" Target="https://diadoc.kontur.ru/143bcbfb-a011-4791-9316-981158fa5552/Document/Show?letterId=11a2b728-e312-45d0-98a5-787cf976d436&amp;documentId=49194ed1-d87d-41ab-832c-4c33a46fd171" TargetMode="External"/><Relationship Id="rId326" Type="http://schemas.openxmlformats.org/officeDocument/2006/relationships/hyperlink" Target="https://diadoc.kontur.ru/143bcbfb-a011-4791-9316-981158fa5552/Document/Show?letterId=b52e47c3-ef57-4e63-9fd5-57ca4b1f4e92&amp;documentId=ee25193c-8518-450c-ae7a-91dc5ad4f90a" TargetMode="External"/><Relationship Id="rId447" Type="http://schemas.openxmlformats.org/officeDocument/2006/relationships/hyperlink" Target="https://diadoc.kontur.ru/143bcbfb-a011-4791-9316-981158fa5552/Document/Show?letterId=54cba202-a0e0-47a0-8ff1-73159fa4c17d&amp;documentId=38c939f6-a6e3-4bbd-a06e-a29002539603" TargetMode="External"/><Relationship Id="rId568" Type="http://schemas.openxmlformats.org/officeDocument/2006/relationships/hyperlink" Target="https://diadoc.kontur.ru/143bcbfb-a011-4791-9316-981158fa5552/Document/Show?letterId=52a525f0-9969-46d7-aca4-6dc67dad8814&amp;documentId=448447cd-617f-4e1f-8eba-77c221e125df" TargetMode="External"/><Relationship Id="rId204" Type="http://schemas.openxmlformats.org/officeDocument/2006/relationships/hyperlink" Target="https://diadoc.kontur.ru/143bcbfb-a011-4791-9316-981158fa5552/Document/Show?letterId=eafe18ec-ef5d-4162-9a80-6e63d26c2e2e&amp;documentId=fbf828d2-8f86-41d8-b997-cc6c75ae4630" TargetMode="External"/><Relationship Id="rId325" Type="http://schemas.openxmlformats.org/officeDocument/2006/relationships/hyperlink" Target="https://diadoc.kontur.ru/143bcbfb-a011-4791-9316-981158fa5552/Document/Show?letterId=55140d23-0dd3-4eda-9cf1-d19e3cb00909&amp;documentId=85e9cdf1-3834-4258-89bc-b69d93d96b11" TargetMode="External"/><Relationship Id="rId446" Type="http://schemas.openxmlformats.org/officeDocument/2006/relationships/hyperlink" Target="https://diadoc.kontur.ru/143bcbfb-a011-4791-9316-981158fa5552/Document/Show?letterId=4c89e0d4-86be-4266-9c3e-f30705f014cb&amp;documentId=ace5acdd-9834-4d90-be4b-d13d5e4b7697" TargetMode="External"/><Relationship Id="rId567" Type="http://schemas.openxmlformats.org/officeDocument/2006/relationships/hyperlink" Target="https://diadoc.kontur.ru/143bcbfb-a011-4791-9316-981158fa5552/Document/Show?letterId=3aec0bf9-c689-4a6a-b6d8-1675cb55b9d7&amp;documentId=8d65c22f-a5e1-4c62-9b4c-65729a38495f" TargetMode="External"/><Relationship Id="rId203" Type="http://schemas.openxmlformats.org/officeDocument/2006/relationships/hyperlink" Target="https://diadoc.kontur.ru/143bcbfb-a011-4791-9316-981158fa5552/Document/Show?letterId=d4ef1a25-3da0-412b-82f2-8c1c2fe5d7ba&amp;documentId=f32eb8c3-e118-48da-b6c9-077226b6996a" TargetMode="External"/><Relationship Id="rId324" Type="http://schemas.openxmlformats.org/officeDocument/2006/relationships/hyperlink" Target="https://diadoc.kontur.ru/143bcbfb-a011-4791-9316-981158fa5552/Document/Show?letterId=dd10f44a-7994-400f-b80d-645ca8baf74e&amp;documentId=79ed5b38-c0d4-406d-a247-ec899c857418" TargetMode="External"/><Relationship Id="rId445" Type="http://schemas.openxmlformats.org/officeDocument/2006/relationships/hyperlink" Target="https://diadoc.kontur.ru/143bcbfb-a011-4791-9316-981158fa5552/Document/Show?letterId=815ccbc5-fa73-4511-a6a1-e45441b3358c&amp;documentId=f01f3865-1182-4014-8a11-8cced776d5cb" TargetMode="External"/><Relationship Id="rId566" Type="http://schemas.openxmlformats.org/officeDocument/2006/relationships/hyperlink" Target="https://diadoc.kontur.ru/143bcbfb-a011-4791-9316-981158fa5552/Document/Show?letterId=f5ff46af-b8f1-48a2-a8d1-84e2bec82c5f&amp;documentId=8c07ba04-7099-495b-993d-a6c9af17d2b0" TargetMode="External"/><Relationship Id="rId209" Type="http://schemas.openxmlformats.org/officeDocument/2006/relationships/hyperlink" Target="https://diadoc.kontur.ru/143bcbfb-a011-4791-9316-981158fa5552/Document/Show?letterId=8e0cc3db-f1b9-41a2-aae8-b41849d9c6c0&amp;documentId=a99c3156-0832-4318-82de-200ad1fdc2b7" TargetMode="External"/><Relationship Id="rId208" Type="http://schemas.openxmlformats.org/officeDocument/2006/relationships/hyperlink" Target="https://diadoc.kontur.ru/143bcbfb-a011-4791-9316-981158fa5552/Document/Show?letterId=1207c285-044b-4f7f-b7be-e4d2cf10974f&amp;documentId=752bda27-ae3e-485b-9d3b-cf944ff6626e" TargetMode="External"/><Relationship Id="rId329" Type="http://schemas.openxmlformats.org/officeDocument/2006/relationships/hyperlink" Target="https://diadoc.kontur.ru/143bcbfb-a011-4791-9316-981158fa5552/Document/Show?letterId=5e407b51-c41d-42d8-acf8-4d912ce437a1&amp;documentId=c3bdac37-9b1c-4229-95c6-6f9dcf73c82c" TargetMode="External"/><Relationship Id="rId207" Type="http://schemas.openxmlformats.org/officeDocument/2006/relationships/hyperlink" Target="https://diadoc.kontur.ru/143bcbfb-a011-4791-9316-981158fa5552/Document/Show?letterId=dd5a5c26-b8f9-4b7f-b0b7-aadfbeaa5904&amp;documentId=64c8f50c-f335-4d39-b068-7248736d2183" TargetMode="External"/><Relationship Id="rId328" Type="http://schemas.openxmlformats.org/officeDocument/2006/relationships/hyperlink" Target="https://diadoc.kontur.ru/143bcbfb-a011-4791-9316-981158fa5552/Document/Show?letterId=d9279394-7d96-4ce6-9eb3-c3326757947f&amp;documentId=a1fd0e84-4b35-4f2c-8946-787242a90bec" TargetMode="External"/><Relationship Id="rId449" Type="http://schemas.openxmlformats.org/officeDocument/2006/relationships/hyperlink" Target="https://diadoc.kontur.ru/143bcbfb-a011-4791-9316-981158fa5552/Document/Show?letterId=5cdfe22e-2e0a-434d-ba86-082b4c1886c5&amp;documentId=ea13ec2d-bd12-43bf-9df4-2580572f6c6b" TargetMode="External"/><Relationship Id="rId440" Type="http://schemas.openxmlformats.org/officeDocument/2006/relationships/hyperlink" Target="https://diadoc.kontur.ru/143bcbfb-a011-4791-9316-981158fa5552/Document/Show?letterId=47af1caf-998e-4949-b71a-53f4aa71749f&amp;documentId=c0700a65-2090-4fa2-888d-dc9414e58477" TargetMode="External"/><Relationship Id="rId561" Type="http://schemas.openxmlformats.org/officeDocument/2006/relationships/hyperlink" Target="https://diadoc.kontur.ru/143bcbfb-a011-4791-9316-981158fa5552/Document/Show?letterId=187594bc-1b6d-4ec8-af86-6ff03cc2452d&amp;documentId=4cfffafa-215b-4190-931a-1dbef978825f" TargetMode="External"/><Relationship Id="rId560" Type="http://schemas.openxmlformats.org/officeDocument/2006/relationships/hyperlink" Target="https://diadoc.kontur.ru/143bcbfb-a011-4791-9316-981158fa5552/Document/Show?letterId=0d1e6074-107a-4682-92a8-c221ac31a989&amp;documentId=610edafc-2f84-4938-8cc3-0c1ddb32cae7" TargetMode="External"/><Relationship Id="rId202" Type="http://schemas.openxmlformats.org/officeDocument/2006/relationships/hyperlink" Target="https://diadoc.kontur.ru/143bcbfb-a011-4791-9316-981158fa5552/Document/Show?letterId=2c9aed66-b9f3-48bf-a8aa-d2221638750d&amp;documentId=ea9f046d-cb97-41c6-8d5a-88810ca27ea6" TargetMode="External"/><Relationship Id="rId323" Type="http://schemas.openxmlformats.org/officeDocument/2006/relationships/hyperlink" Target="https://diadoc.kontur.ru/143bcbfb-a011-4791-9316-981158fa5552/Document/Show?letterId=0e5c649e-0572-4fa0-9160-e3973968bf7e&amp;documentId=9b0741bb-5d02-4488-a405-4020c3298720" TargetMode="External"/><Relationship Id="rId444" Type="http://schemas.openxmlformats.org/officeDocument/2006/relationships/hyperlink" Target="https://diadoc.kontur.ru/143bcbfb-a011-4791-9316-981158fa5552/Document/Show?letterId=9cff3236-78f7-4b34-b989-e605bf8726e5&amp;documentId=9af3430e-d964-4483-b39e-40fc9d8b1956" TargetMode="External"/><Relationship Id="rId565" Type="http://schemas.openxmlformats.org/officeDocument/2006/relationships/hyperlink" Target="https://diadoc.kontur.ru/143bcbfb-a011-4791-9316-981158fa5552/Document/Show?letterId=a4851260-c2ed-4f72-ba22-bc1e89ffd649&amp;documentId=7628f2d3-573b-49ed-bf24-b69e56a60e2d" TargetMode="External"/><Relationship Id="rId201" Type="http://schemas.openxmlformats.org/officeDocument/2006/relationships/hyperlink" Target="https://diadoc.kontur.ru/143bcbfb-a011-4791-9316-981158fa5552/Document/Show?letterId=2883e681-04fb-4a93-ab71-e1d30f34093f&amp;documentId=77dd12a4-9fed-47ee-911a-868e2ef63a8c" TargetMode="External"/><Relationship Id="rId322" Type="http://schemas.openxmlformats.org/officeDocument/2006/relationships/hyperlink" Target="https://diadoc.kontur.ru/143bcbfb-a011-4791-9316-981158fa5552/Document/Show?letterId=e7c47839-26e2-4dd5-ade1-7ea822e020ae&amp;documentId=da2bb7ed-fa60-4038-9f0f-ef16abc55729" TargetMode="External"/><Relationship Id="rId443" Type="http://schemas.openxmlformats.org/officeDocument/2006/relationships/hyperlink" Target="https://diadoc.kontur.ru/143bcbfb-a011-4791-9316-981158fa5552/Document/Show?letterId=2b20247e-5dc6-47da-827d-3eb91bd8dd18&amp;documentId=c1619bc6-7dcf-4b2b-ad3b-d9b840d10967" TargetMode="External"/><Relationship Id="rId564" Type="http://schemas.openxmlformats.org/officeDocument/2006/relationships/hyperlink" Target="https://diadoc.kontur.ru/143bcbfb-a011-4791-9316-981158fa5552/Document/Show?letterId=f0e3540a-27e9-49e6-bee7-5ee96db843d0&amp;documentId=d7720a5d-b175-43b7-9b8a-9e9bf9bd3c74" TargetMode="External"/><Relationship Id="rId200" Type="http://schemas.openxmlformats.org/officeDocument/2006/relationships/hyperlink" Target="https://diadoc.kontur.ru/143bcbfb-a011-4791-9316-981158fa5552/Document/Show?letterId=5dd90c29-8e39-44c7-a39a-762faf9ea701&amp;documentId=cfe28bf0-0f35-4a5a-ae1a-d1e66d8011ff" TargetMode="External"/><Relationship Id="rId321" Type="http://schemas.openxmlformats.org/officeDocument/2006/relationships/hyperlink" Target="https://diadoc.kontur.ru/143bcbfb-a011-4791-9316-981158fa5552/Document/Show?letterId=8ee8a976-f00a-4e84-b853-03768fe898ce&amp;documentId=f8aedfbc-bd84-435e-82c1-43255699a270" TargetMode="External"/><Relationship Id="rId442" Type="http://schemas.openxmlformats.org/officeDocument/2006/relationships/hyperlink" Target="https://diadoc.kontur.ru/143bcbfb-a011-4791-9316-981158fa5552/Document/Show?letterId=95dafece-8aae-44bd-8f23-8012a2b08fbe&amp;documentId=89a5cf88-81ad-4018-bf78-c892f1b25837" TargetMode="External"/><Relationship Id="rId563" Type="http://schemas.openxmlformats.org/officeDocument/2006/relationships/hyperlink" Target="https://diadoc.kontur.ru/143bcbfb-a011-4791-9316-981158fa5552/Document/Show?letterId=1ae0d383-0eb1-44f7-a339-257595a0f683&amp;documentId=15a4ca90-67cf-4271-8874-35b9804e94d3" TargetMode="External"/><Relationship Id="rId320" Type="http://schemas.openxmlformats.org/officeDocument/2006/relationships/hyperlink" Target="https://diadoc.kontur.ru/143bcbfb-a011-4791-9316-981158fa5552/Document/Show?letterId=31fb641a-de3f-4659-959b-0ae3dff9e547&amp;documentId=1c9c7a67-6f18-4443-9094-564bada06fcf" TargetMode="External"/><Relationship Id="rId441" Type="http://schemas.openxmlformats.org/officeDocument/2006/relationships/hyperlink" Target="https://diadoc.kontur.ru/143bcbfb-a011-4791-9316-981158fa5552/Document/Show?letterId=66fbe587-cd34-4ab7-9c83-3e4d1279b411&amp;documentId=cdfdeb5b-84ef-4d1e-9fdc-8f53622cfb7e" TargetMode="External"/><Relationship Id="rId562" Type="http://schemas.openxmlformats.org/officeDocument/2006/relationships/hyperlink" Target="https://diadoc.kontur.ru/143bcbfb-a011-4791-9316-981158fa5552/Document/Show?letterId=83ccaece-6a7d-47ed-8f74-6741096a4a16&amp;documentId=f848bae6-055c-45da-aaa2-3632f50ad8b2" TargetMode="External"/><Relationship Id="rId316" Type="http://schemas.openxmlformats.org/officeDocument/2006/relationships/hyperlink" Target="https://diadoc.kontur.ru/143bcbfb-a011-4791-9316-981158fa5552/Document/Show?letterId=825cccaf-c321-49df-90f6-a064e1160cd3&amp;documentId=f498e7e3-3663-4678-b57f-7bc5684d9bd1" TargetMode="External"/><Relationship Id="rId437" Type="http://schemas.openxmlformats.org/officeDocument/2006/relationships/hyperlink" Target="https://diadoc.kontur.ru/143bcbfb-a011-4791-9316-981158fa5552/Document/Show?letterId=a314516e-977d-4ec5-9f54-2cd5e73619c5&amp;documentId=258df2d7-d64c-4981-9849-88b30194036c" TargetMode="External"/><Relationship Id="rId558" Type="http://schemas.openxmlformats.org/officeDocument/2006/relationships/hyperlink" Target="https://diadoc.kontur.ru/143bcbfb-a011-4791-9316-981158fa5552/Document/Show?letterId=7883e8d4-ba8e-425a-9a7a-cb423e52ea2c&amp;documentId=fe16a98a-f042-4bf2-acc7-7f4200dbdc2a" TargetMode="External"/><Relationship Id="rId315" Type="http://schemas.openxmlformats.org/officeDocument/2006/relationships/hyperlink" Target="https://diadoc.kontur.ru/143bcbfb-a011-4791-9316-981158fa5552/Document/Show?letterId=69805eab-90d5-4718-a0aa-8e302783ad53&amp;documentId=c03937c8-5b51-492d-a820-b0a7599d707b" TargetMode="External"/><Relationship Id="rId436" Type="http://schemas.openxmlformats.org/officeDocument/2006/relationships/hyperlink" Target="https://diadoc.kontur.ru/143bcbfb-a011-4791-9316-981158fa5552/Document/Show?letterId=2f10000d-a26f-4cb1-b791-5b237172d259&amp;documentId=b4a06b20-0c22-40a0-9bdb-6b707b039d92" TargetMode="External"/><Relationship Id="rId557" Type="http://schemas.openxmlformats.org/officeDocument/2006/relationships/hyperlink" Target="https://diadoc.kontur.ru/143bcbfb-a011-4791-9316-981158fa5552/Document/Show?letterId=1cc3f4a9-6385-4dec-8c52-412192aeff3f&amp;documentId=04258556-9dab-4caf-a748-5281629398dc" TargetMode="External"/><Relationship Id="rId314" Type="http://schemas.openxmlformats.org/officeDocument/2006/relationships/hyperlink" Target="https://diadoc.kontur.ru/143bcbfb-a011-4791-9316-981158fa5552/Document/Show?letterId=dcac5cf5-aa6c-48e2-a0b3-41e93a3df83b&amp;documentId=c9fc30da-628a-452a-bec5-0872bc9cb197" TargetMode="External"/><Relationship Id="rId435" Type="http://schemas.openxmlformats.org/officeDocument/2006/relationships/hyperlink" Target="https://diadoc.kontur.ru/143bcbfb-a011-4791-9316-981158fa5552/Document/Show?letterId=8ae13650-6b6f-4235-88bd-15778e7ec3ea&amp;documentId=46dd8d93-098e-40ad-8442-7a833eccfe4b" TargetMode="External"/><Relationship Id="rId556" Type="http://schemas.openxmlformats.org/officeDocument/2006/relationships/hyperlink" Target="https://diadoc.kontur.ru/143bcbfb-a011-4791-9316-981158fa5552/Document/Show?letterId=3ce6c9b0-26da-42b7-847e-af79bc91c80f&amp;documentId=d49c96b3-8099-488a-bc93-d54ff534d66c" TargetMode="External"/><Relationship Id="rId313" Type="http://schemas.openxmlformats.org/officeDocument/2006/relationships/hyperlink" Target="https://diadoc.kontur.ru/143bcbfb-a011-4791-9316-981158fa5552/Document/Show?letterId=21553b03-ea50-4398-9085-8295819d48b6&amp;documentId=fd893793-d1e4-4b20-bf25-d7aaa4ea7713" TargetMode="External"/><Relationship Id="rId434" Type="http://schemas.openxmlformats.org/officeDocument/2006/relationships/hyperlink" Target="https://diadoc.kontur.ru/143bcbfb-a011-4791-9316-981158fa5552/Document/Show?letterId=b292a11e-9200-449d-a9c1-c5f192096c92&amp;documentId=5092b113-26b2-4e09-b4c7-be1dca1e65d4" TargetMode="External"/><Relationship Id="rId555" Type="http://schemas.openxmlformats.org/officeDocument/2006/relationships/hyperlink" Target="https://diadoc.kontur.ru/143bcbfb-a011-4791-9316-981158fa5552/Document/Show?letterId=e67afb5a-353a-476d-a8af-c4da25748e5f&amp;documentId=b8a52f7b-45b8-44c6-b6d9-38e1daf4e445" TargetMode="External"/><Relationship Id="rId319" Type="http://schemas.openxmlformats.org/officeDocument/2006/relationships/hyperlink" Target="https://diadoc.kontur.ru/143bcbfb-a011-4791-9316-981158fa5552/Document/Show?letterId=225949d8-6d5e-4ad5-9829-33a9d335f597&amp;documentId=63cf2d0e-4c61-448f-a8c4-53d6ad61d867" TargetMode="External"/><Relationship Id="rId318" Type="http://schemas.openxmlformats.org/officeDocument/2006/relationships/hyperlink" Target="https://diadoc.kontur.ru/143bcbfb-a011-4791-9316-981158fa5552/Document/Show?letterId=2f172acf-379d-4714-84db-7ad339a6fe85&amp;documentId=81dea985-dff3-4ff3-af59-b05fc43deb50" TargetMode="External"/><Relationship Id="rId439" Type="http://schemas.openxmlformats.org/officeDocument/2006/relationships/hyperlink" Target="https://diadoc.kontur.ru/143bcbfb-a011-4791-9316-981158fa5552/Document/Show?letterId=7d84c023-9e39-430f-8397-e10e10f4ed60&amp;documentId=9f24bd2e-d55f-4a2f-a08a-b2875397ea86" TargetMode="External"/><Relationship Id="rId317" Type="http://schemas.openxmlformats.org/officeDocument/2006/relationships/hyperlink" Target="https://diadoc.kontur.ru/143bcbfb-a011-4791-9316-981158fa5552/Document/Show?letterId=b44c2423-c84f-46d1-adcc-131244103b2e&amp;documentId=74f69ac8-40ff-44a1-9223-9c8618e53755" TargetMode="External"/><Relationship Id="rId438" Type="http://schemas.openxmlformats.org/officeDocument/2006/relationships/hyperlink" Target="https://diadoc.kontur.ru/143bcbfb-a011-4791-9316-981158fa5552/Document/Show?letterId=04043d33-ec2b-4156-af42-8abd2cb9b87c&amp;documentId=f7dba997-021d-4799-af63-bbd03d6fa506" TargetMode="External"/><Relationship Id="rId559" Type="http://schemas.openxmlformats.org/officeDocument/2006/relationships/hyperlink" Target="https://diadoc.kontur.ru/143bcbfb-a011-4791-9316-981158fa5552/Document/Show?letterId=ede9debb-c5bf-4059-8c5f-557e13c886b2&amp;documentId=192f6b20-2148-4e87-bfee-7e895034cc33" TargetMode="External"/><Relationship Id="rId550" Type="http://schemas.openxmlformats.org/officeDocument/2006/relationships/hyperlink" Target="https://diadoc.kontur.ru/143bcbfb-a011-4791-9316-981158fa5552/Document/Show?letterId=e77e3966-232d-479d-9d43-a8c12f994134&amp;documentId=f388a60f-55c8-44bf-b246-01de8ab4faec" TargetMode="External"/><Relationship Id="rId312" Type="http://schemas.openxmlformats.org/officeDocument/2006/relationships/hyperlink" Target="https://diadoc.kontur.ru/143bcbfb-a011-4791-9316-981158fa5552/Document/Show?letterId=ebb5bf81-43e6-4cb3-9eda-ab8df7e790f2&amp;documentId=5ce8f534-a14a-4f15-ba7e-c78a6ea27cd3" TargetMode="External"/><Relationship Id="rId433" Type="http://schemas.openxmlformats.org/officeDocument/2006/relationships/hyperlink" Target="https://diadoc.kontur.ru/143bcbfb-a011-4791-9316-981158fa5552/Document/Show?letterId=c9cee682-11ae-49c2-a465-03a9bafafd05&amp;documentId=0d59c052-b3cf-478e-b0dc-95f99b184fa1" TargetMode="External"/><Relationship Id="rId554" Type="http://schemas.openxmlformats.org/officeDocument/2006/relationships/hyperlink" Target="https://diadoc.kontur.ru/143bcbfb-a011-4791-9316-981158fa5552/Document/Show?letterId=1b48e064-9515-4c91-9863-4bba4a8abdf4&amp;documentId=6bc10b50-55fa-43bd-ab4d-96382712c340" TargetMode="External"/><Relationship Id="rId311" Type="http://schemas.openxmlformats.org/officeDocument/2006/relationships/hyperlink" Target="https://diadoc.kontur.ru/143bcbfb-a011-4791-9316-981158fa5552/Document/Show?letterId=b1377ed6-2469-45c0-9265-a8534a42a0d5&amp;documentId=58ae2b68-41e3-4404-b490-45597600916c" TargetMode="External"/><Relationship Id="rId432" Type="http://schemas.openxmlformats.org/officeDocument/2006/relationships/hyperlink" Target="https://diadoc.kontur.ru/143bcbfb-a011-4791-9316-981158fa5552/Document/Show?letterId=dc786c82-0b59-4d56-a4d6-a5e29b4ca072&amp;documentId=1affe272-ddce-4705-9f23-a5b7968685a9" TargetMode="External"/><Relationship Id="rId553" Type="http://schemas.openxmlformats.org/officeDocument/2006/relationships/hyperlink" Target="https://diadoc.kontur.ru/143bcbfb-a011-4791-9316-981158fa5552/Document/Show?letterId=765e61f2-9272-419d-96e9-83267cbb7e21&amp;documentId=6083f87b-8c41-40f0-9146-fbccde4e710e" TargetMode="External"/><Relationship Id="rId310" Type="http://schemas.openxmlformats.org/officeDocument/2006/relationships/hyperlink" Target="https://diadoc.kontur.ru/143bcbfb-a011-4791-9316-981158fa5552/Document/Show?letterId=9ceeaa68-fe5e-4fb1-bd24-09f99a8ac461&amp;documentId=88550d99-b2ac-4cd8-a74a-83ab62dd6044" TargetMode="External"/><Relationship Id="rId431" Type="http://schemas.openxmlformats.org/officeDocument/2006/relationships/hyperlink" Target="https://diadoc.kontur.ru/143bcbfb-a011-4791-9316-981158fa5552/Document/Show?letterId=d71659c6-c67c-420e-b5df-5b5f47058605&amp;documentId=9d7b57c4-92e5-4d3b-ac11-d42abb81784e" TargetMode="External"/><Relationship Id="rId552" Type="http://schemas.openxmlformats.org/officeDocument/2006/relationships/hyperlink" Target="https://diadoc.kontur.ru/143bcbfb-a011-4791-9316-981158fa5552/Document/Show?letterId=a6a7e649-ecc9-41ef-94c6-1d952efab1b7&amp;documentId=0d9e43a4-b9e4-436c-a723-eea2184dab37" TargetMode="External"/><Relationship Id="rId430" Type="http://schemas.openxmlformats.org/officeDocument/2006/relationships/hyperlink" Target="https://diadoc.kontur.ru/143bcbfb-a011-4791-9316-981158fa5552/Document/Show?letterId=4859c3c9-f9bf-495a-8a4d-36de3ce88e5f&amp;documentId=779130fc-4a14-4ffa-bf14-c744ac852b76" TargetMode="External"/><Relationship Id="rId551" Type="http://schemas.openxmlformats.org/officeDocument/2006/relationships/hyperlink" Target="https://diadoc.kontur.ru/143bcbfb-a011-4791-9316-981158fa5552/Document/Show?letterId=645a8528-9315-4b11-8943-2978197d4448&amp;documentId=542c5cf8-e8a4-44f2-83c8-ba8953e0241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s://diadoc.kontur.ru/143bcbfb-a011-4791-9316-981158fa5552/Document/Show?letterId=a1111f8a-6ee7-4fea-b326-0026b70ee851&amp;documentId=d648b668-10a0-449c-9fe7-df3172b4e986" TargetMode="External"/><Relationship Id="rId194" Type="http://schemas.openxmlformats.org/officeDocument/2006/relationships/hyperlink" Target="https://diadoc.kontur.ru/143bcbfb-a011-4791-9316-981158fa5552/Document/Show?letterId=3c913486-db36-45e2-bf65-c389e7abf983&amp;documentId=e39ab9a4-7a27-4e67-9ae1-b8c981a305f0" TargetMode="External"/><Relationship Id="rId193" Type="http://schemas.openxmlformats.org/officeDocument/2006/relationships/hyperlink" Target="https://diadoc.kontur.ru/143bcbfb-a011-4791-9316-981158fa5552/Document/Show?letterId=592b393c-7d4b-4f13-af37-4588078d7a33&amp;documentId=6009fbc1-9a07-4a55-aeab-24f7d54ca46e" TargetMode="External"/><Relationship Id="rId192" Type="http://schemas.openxmlformats.org/officeDocument/2006/relationships/hyperlink" Target="https://diadoc.kontur.ru/143bcbfb-a011-4791-9316-981158fa5552/Document/Show?letterId=a9abe691-f7a4-4493-a2ec-497e8c53dda8&amp;documentId=6ac7bbad-ad4c-42d2-b0f7-55eeafb71f2b" TargetMode="External"/><Relationship Id="rId191" Type="http://schemas.openxmlformats.org/officeDocument/2006/relationships/hyperlink" Target="https://diadoc.kontur.ru/143bcbfb-a011-4791-9316-981158fa5552/Document/Show?letterId=d3b79fdc-bfe5-43c2-afbd-c199b4d2ce61&amp;documentId=638cfb04-5bc2-4b49-a505-ee1e3d900f43" TargetMode="External"/><Relationship Id="rId187" Type="http://schemas.openxmlformats.org/officeDocument/2006/relationships/hyperlink" Target="https://diadoc.kontur.ru/143bcbfb-a011-4791-9316-981158fa5552/Document/Show?letterId=5471b259-771b-4587-acfb-c2997a514364&amp;documentId=3b889a09-7318-460c-b864-93626719ad04" TargetMode="External"/><Relationship Id="rId186" Type="http://schemas.openxmlformats.org/officeDocument/2006/relationships/hyperlink" Target="https://diadoc.kontur.ru/143bcbfb-a011-4791-9316-981158fa5552/Document/Show?letterId=d03c4c2d-1aeb-45f9-bec5-431827ebdf54&amp;documentId=ec3efc5d-770d-4730-9d43-662e612acd9f" TargetMode="External"/><Relationship Id="rId185" Type="http://schemas.openxmlformats.org/officeDocument/2006/relationships/hyperlink" Target="https://diadoc.kontur.ru/143bcbfb-a011-4791-9316-981158fa5552/Document/Show?letterId=cdd0478c-f5e7-4d6d-b016-2c09273a62df&amp;documentId=caa83369-418c-4e33-a5c0-456926bb213c" TargetMode="External"/><Relationship Id="rId184" Type="http://schemas.openxmlformats.org/officeDocument/2006/relationships/hyperlink" Target="https://diadoc.kontur.ru/143bcbfb-a011-4791-9316-981158fa5552/Document/Show?letterId=3efff1f7-48a7-41f6-bf65-fb18431cae3e&amp;documentId=6e9fbf66-e818-4e65-b203-a7af6b965c37" TargetMode="External"/><Relationship Id="rId189" Type="http://schemas.openxmlformats.org/officeDocument/2006/relationships/hyperlink" Target="https://diadoc.kontur.ru/143bcbfb-a011-4791-9316-981158fa5552/Document/Show?letterId=78a40f16-3e8c-458d-bfe9-f2307c783fe5&amp;documentId=71a8f8cc-04e7-4716-a0ac-b73df6cea4fb" TargetMode="External"/><Relationship Id="rId188" Type="http://schemas.openxmlformats.org/officeDocument/2006/relationships/hyperlink" Target="https://diadoc.kontur.ru/143bcbfb-a011-4791-9316-981158fa5552/Document/Show?letterId=ed9eebe3-5f02-47ac-a08d-331ceea85aba&amp;documentId=e8df5b01-7578-4343-bd11-15790fcdd13d" TargetMode="External"/><Relationship Id="rId183" Type="http://schemas.openxmlformats.org/officeDocument/2006/relationships/hyperlink" Target="https://diadoc.kontur.ru/143bcbfb-a011-4791-9316-981158fa5552/Document/Show?letterId=f31692ed-3ad3-4bf7-8073-c329c306cc89&amp;documentId=3a32df82-7f7a-4cbe-a2b7-46a10ceab2a5" TargetMode="External"/><Relationship Id="rId182" Type="http://schemas.openxmlformats.org/officeDocument/2006/relationships/hyperlink" Target="https://diadoc.kontur.ru/143bcbfb-a011-4791-9316-981158fa5552/Document/Show?letterId=cc2a3603-9eae-4e96-bb45-db8b895ae77c&amp;documentId=c6d935ce-4ecb-4b63-98a7-ceb15e9bfc23" TargetMode="External"/><Relationship Id="rId181" Type="http://schemas.openxmlformats.org/officeDocument/2006/relationships/hyperlink" Target="https://diadoc.kontur.ru/143bcbfb-a011-4791-9316-981158fa5552/Document/Show?letterId=e8164b12-d029-44f5-b162-cf8858c754e3&amp;documentId=979ac81a-349c-4de8-bf76-7158c05e9ff3" TargetMode="External"/><Relationship Id="rId180" Type="http://schemas.openxmlformats.org/officeDocument/2006/relationships/hyperlink" Target="https://diadoc.kontur.ru/143bcbfb-a011-4791-9316-981158fa5552/Document/Show?letterId=8ec8b6c5-fcc2-4c87-a092-78ca80715b3b&amp;documentId=5198b80a-7ff4-41fb-ad85-c445d1cd3d86" TargetMode="External"/><Relationship Id="rId176" Type="http://schemas.openxmlformats.org/officeDocument/2006/relationships/hyperlink" Target="https://diadoc.kontur.ru/143bcbfb-a011-4791-9316-981158fa5552/Document/Show?letterId=c977703b-f6fd-42d5-a4b9-2c0b502b4f26&amp;documentId=10a15897-c5d7-4d08-ab47-5f09d3d00e34" TargetMode="External"/><Relationship Id="rId297" Type="http://schemas.openxmlformats.org/officeDocument/2006/relationships/hyperlink" Target="https://diadoc.kontur.ru/143bcbfb-a011-4791-9316-981158fa5552/Document/Show?letterId=15034155-b7bd-4c98-a265-3bf08ff0e291&amp;documentId=d36816a4-ff51-478d-869d-870a58130a02" TargetMode="External"/><Relationship Id="rId175" Type="http://schemas.openxmlformats.org/officeDocument/2006/relationships/hyperlink" Target="https://diadoc.kontur.ru/143bcbfb-a011-4791-9316-981158fa5552/Document/Show?letterId=c38507de-6c1b-45b4-8e32-eca84409af08&amp;documentId=685417f2-2dfd-419b-af4d-7d1b25f5edbd" TargetMode="External"/><Relationship Id="rId296" Type="http://schemas.openxmlformats.org/officeDocument/2006/relationships/hyperlink" Target="https://diadoc.kontur.ru/143bcbfb-a011-4791-9316-981158fa5552/Document/Show?letterId=b934d342-00a8-40b1-8843-6cd7a921ce70&amp;documentId=4554c2cc-4e97-4e18-879c-258a7d232815" TargetMode="External"/><Relationship Id="rId174" Type="http://schemas.openxmlformats.org/officeDocument/2006/relationships/hyperlink" Target="https://diadoc.kontur.ru/143bcbfb-a011-4791-9316-981158fa5552/Document/Show?letterId=0368ea5f-02f8-403f-a3d2-61ce2f18f1d7&amp;documentId=d1484451-2249-4347-8bdd-4e63dac0332d" TargetMode="External"/><Relationship Id="rId295" Type="http://schemas.openxmlformats.org/officeDocument/2006/relationships/hyperlink" Target="https://diadoc.kontur.ru/143bcbfb-a011-4791-9316-981158fa5552/Document/Show?letterId=2f172acf-379d-4714-84db-7ad339a6fe85&amp;documentId=81dea985-dff3-4ff3-af59-b05fc43deb50" TargetMode="External"/><Relationship Id="rId173" Type="http://schemas.openxmlformats.org/officeDocument/2006/relationships/hyperlink" Target="https://diadoc.kontur.ru/143bcbfb-a011-4791-9316-981158fa5552/Document/Show?letterId=a9e4daa2-834d-4d2d-a00b-35b3f43e155f&amp;documentId=7b84f306-a465-4168-befd-5fee8a72adac" TargetMode="External"/><Relationship Id="rId294" Type="http://schemas.openxmlformats.org/officeDocument/2006/relationships/hyperlink" Target="https://diadoc.kontur.ru/143bcbfb-a011-4791-9316-981158fa5552/Document/Show?letterId=bd3bda2d-b217-4d35-ac72-d9e241d98fc3&amp;documentId=2a1a8d4b-6b98-4f23-b433-5cc13e61e8b2" TargetMode="External"/><Relationship Id="rId179" Type="http://schemas.openxmlformats.org/officeDocument/2006/relationships/hyperlink" Target="https://diadoc.kontur.ru/143bcbfb-a011-4791-9316-981158fa5552/Document/Show?letterId=36647b51-ecfc-4787-8840-5c3a8c492c0e&amp;documentId=6c34c3d2-8c1e-4482-b87a-923e4cbfb805" TargetMode="External"/><Relationship Id="rId178" Type="http://schemas.openxmlformats.org/officeDocument/2006/relationships/hyperlink" Target="https://diadoc.kontur.ru/143bcbfb-a011-4791-9316-981158fa5552/Document/Show?letterId=3efff1f7-48a7-41f6-bf65-fb18431cae3e&amp;documentId=6e9fbf66-e818-4e65-b203-a7af6b965c37" TargetMode="External"/><Relationship Id="rId299" Type="http://schemas.openxmlformats.org/officeDocument/2006/relationships/hyperlink" Target="https://diadoc.kontur.ru/143bcbfb-a011-4791-9316-981158fa5552/Document/Show?letterId=15034155-b7bd-4c98-a265-3bf08ff0e291&amp;documentId=60d76719-e307-4e1d-b94c-915cc957917a" TargetMode="External"/><Relationship Id="rId177" Type="http://schemas.openxmlformats.org/officeDocument/2006/relationships/hyperlink" Target="https://diadoc.kontur.ru/143bcbfb-a011-4791-9316-981158fa5552/Document/Show?letterId=07cafeb1-1db2-433f-a915-5f1523e5007b&amp;documentId=d91e5cc6-5f8a-431f-95d8-d0accbad90d2" TargetMode="External"/><Relationship Id="rId298" Type="http://schemas.openxmlformats.org/officeDocument/2006/relationships/hyperlink" Target="https://diadoc.kontur.ru/143bcbfb-a011-4791-9316-981158fa5552/Document/Show?letterId=6428ea23-f882-4c96-8955-93b9331a3bfc&amp;documentId=78730e18-5f18-4155-981c-c14a5d2882e5" TargetMode="External"/><Relationship Id="rId198" Type="http://schemas.openxmlformats.org/officeDocument/2006/relationships/hyperlink" Target="https://diadoc.kontur.ru/143bcbfb-a011-4791-9316-981158fa5552/Document/Show?letterId=592b393c-7d4b-4f13-af37-4588078d7a33&amp;documentId=6009fbc1-9a07-4a55-aeab-24f7d54ca46e" TargetMode="External"/><Relationship Id="rId197" Type="http://schemas.openxmlformats.org/officeDocument/2006/relationships/hyperlink" Target="https://diadoc.kontur.ru/143bcbfb-a011-4791-9316-981158fa5552/Document/Show?letterId=7ecba576-f9c4-42b4-811c-02d0f285511b&amp;documentId=dbb61677-3bbb-4377-afb2-a859cedf88c6" TargetMode="External"/><Relationship Id="rId196" Type="http://schemas.openxmlformats.org/officeDocument/2006/relationships/hyperlink" Target="https://diadoc.kontur.ru/143bcbfb-a011-4791-9316-981158fa5552/Document/Show?letterId=a4a3bcf7-2488-40ea-b5f2-d2ab86059d2d&amp;documentId=4b4bbbe7-4c31-48a9-b5ff-1160e5072be1" TargetMode="External"/><Relationship Id="rId195" Type="http://schemas.openxmlformats.org/officeDocument/2006/relationships/hyperlink" Target="https://diadoc.kontur.ru/143bcbfb-a011-4791-9316-981158fa5552/Document/Show?letterId=f2961c4c-4098-4546-97e2-67a2d08ad69d&amp;documentId=71acb375-97a2-4f47-bbb7-bf1d89f4c08e" TargetMode="External"/><Relationship Id="rId199" Type="http://schemas.openxmlformats.org/officeDocument/2006/relationships/hyperlink" Target="https://diadoc.kontur.ru/143bcbfb-a011-4791-9316-981158fa5552/Document/Show?letterId=5dd90c29-8e39-44c7-a39a-762faf9ea701&amp;documentId=cfe28bf0-0f35-4a5a-ae1a-d1e66d8011ff" TargetMode="External"/><Relationship Id="rId150" Type="http://schemas.openxmlformats.org/officeDocument/2006/relationships/hyperlink" Target="https://diadoc.kontur.ru/143bcbfb-a011-4791-9316-981158fa5552/Document/Show?letterId=7f14baa5-9587-4021-bf43-941cae5f08b5&amp;documentId=75b59eeb-7a90-4145-912e-200754f02ddc" TargetMode="External"/><Relationship Id="rId271" Type="http://schemas.openxmlformats.org/officeDocument/2006/relationships/hyperlink" Target="https://diadoc.kontur.ru/143bcbfb-a011-4791-9316-981158fa5552/Document/Show?letterId=228e04d9-a70a-401c-a518-5d3a4cf459b0&amp;documentId=90a263de-ab33-430a-bdb6-78315cc775aa" TargetMode="External"/><Relationship Id="rId270" Type="http://schemas.openxmlformats.org/officeDocument/2006/relationships/hyperlink" Target="https://diadoc.kontur.ru/143bcbfb-a011-4791-9316-981158fa5552/Document/Show?letterId=8ee5c6e0-9a3e-4d07-bc73-c4eed2b3f290&amp;documentId=0735308e-dbe4-4d30-8e1f-3c4f395e36ee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://nic.ru/" TargetMode="External"/><Relationship Id="rId3" Type="http://schemas.openxmlformats.org/officeDocument/2006/relationships/hyperlink" Target="https://diadoc.kontur.ru/143bcbfb-a011-4791-9316-981158fa5552/Document/Show?letterId=bd6afb1b-f515-42bf-85fc-112c94a6ef0c&amp;documentId=75592d53-c15c-4780-b82a-e4ce89a7d2f5" TargetMode="External"/><Relationship Id="rId149" Type="http://schemas.openxmlformats.org/officeDocument/2006/relationships/hyperlink" Target="https://diadoc.kontur.ru/143bcbfb-a011-4791-9316-981158fa5552/Document/Show?letterId=2d9351a9-403b-40bc-b52d-7854fe3c8da9&amp;documentId=554bd63c-6458-4949-9d0d-b52be27c457b" TargetMode="External"/><Relationship Id="rId4" Type="http://schemas.openxmlformats.org/officeDocument/2006/relationships/hyperlink" Target="https://diadoc.kontur.ru/143bcbfb-a011-4791-9316-981158fa5552/Document/Show?letterId=54affc3c-948f-4a10-b3d6-9a116b986474&amp;documentId=4191ffee-080d-49dc-9832-1fceaca54bc9" TargetMode="External"/><Relationship Id="rId148" Type="http://schemas.openxmlformats.org/officeDocument/2006/relationships/hyperlink" Target="https://diadoc.kontur.ru/143bcbfb-a011-4791-9316-981158fa5552/Document/Show?letterId=95269cdd-6473-454e-a59f-f51b342c2d83&amp;documentId=2d47e171-1dd9-4152-b552-19f74f0ac917" TargetMode="External"/><Relationship Id="rId269" Type="http://schemas.openxmlformats.org/officeDocument/2006/relationships/hyperlink" Target="https://diadoc.kontur.ru/143bcbfb-a011-4791-9316-981158fa5552/Document/Show?letterId=b64ea5ff-1467-43f1-9967-b642c69cef82&amp;documentId=e2be96d3-531a-4955-ad8a-59bed77bec0a" TargetMode="External"/><Relationship Id="rId9" Type="http://schemas.openxmlformats.org/officeDocument/2006/relationships/hyperlink" Target="https://diadoc.kontur.ru/143bcbfb-a011-4791-9316-981158fa5552/Document/Show?letterId=f21669da-c05a-4b09-b678-d1c79d0434e1&amp;documentId=9037f475-3815-47d6-85f8-e53aba769f36" TargetMode="External"/><Relationship Id="rId143" Type="http://schemas.openxmlformats.org/officeDocument/2006/relationships/hyperlink" Target="https://diadoc.kontur.ru/143bcbfb-a011-4791-9316-981158fa5552/Document/Show?letterId=f0760fb9-bb9e-470a-924a-15ce64966305&amp;documentId=bcd94c1e-0658-46c7-a275-c6af47f857d3" TargetMode="External"/><Relationship Id="rId264" Type="http://schemas.openxmlformats.org/officeDocument/2006/relationships/hyperlink" Target="https://diadoc.kontur.ru/143bcbfb-a011-4791-9316-981158fa5552/Document/Show?letterId=45030b21-0ced-4b9f-b625-d489f33f4b78&amp;documentId=7f05f9a8-514c-48ad-accd-7efbb41b673d" TargetMode="External"/><Relationship Id="rId142" Type="http://schemas.openxmlformats.org/officeDocument/2006/relationships/hyperlink" Target="https://diadoc.kontur.ru/143bcbfb-a011-4791-9316-981158fa5552/Document/Show?letterId=eb7a1780-729b-41c4-8127-e39430d9a810&amp;documentId=13938d1e-888c-424f-9a7b-bd077c4de07f" TargetMode="External"/><Relationship Id="rId263" Type="http://schemas.openxmlformats.org/officeDocument/2006/relationships/hyperlink" Target="https://diadoc.kontur.ru/143bcbfb-a011-4791-9316-981158fa5552/Document/Show?letterId=1710f601-7b01-4ccf-a605-a9623a4eff15&amp;documentId=980dbccd-9bd6-47b1-bd73-7ee05d4086e2" TargetMode="External"/><Relationship Id="rId141" Type="http://schemas.openxmlformats.org/officeDocument/2006/relationships/hyperlink" Target="https://diadoc.kontur.ru/143bcbfb-a011-4791-9316-981158fa5552/Document/Show?letterId=71c720b4-0a6c-486b-a2e0-b083d35749c5&amp;documentId=09e37aa9-9f87-4ede-b380-dfce32e3b577" TargetMode="External"/><Relationship Id="rId262" Type="http://schemas.openxmlformats.org/officeDocument/2006/relationships/hyperlink" Target="https://diadoc.kontur.ru/143bcbfb-a011-4791-9316-981158fa5552/Document/Show?letterId=6d268c79-c8a4-456a-99de-fc7c3765e9a1&amp;documentId=4cf8d00b-4d60-4f61-99c5-e08591547696" TargetMode="External"/><Relationship Id="rId140" Type="http://schemas.openxmlformats.org/officeDocument/2006/relationships/hyperlink" Target="https://diadoc.kontur.ru/143bcbfb-a011-4791-9316-981158fa5552/Document/Show?letterId=f2af285f-26ad-4ede-bed5-903d249f6ba4&amp;documentId=b49944e5-de11-4083-80a1-2117d864a93d" TargetMode="External"/><Relationship Id="rId261" Type="http://schemas.openxmlformats.org/officeDocument/2006/relationships/hyperlink" Target="https://diadoc.kontur.ru/143bcbfb-a011-4791-9316-981158fa5552/Document/Show?letterId=8e867b76-4f44-4791-8c39-a52bc9d4f555&amp;documentId=6eca9342-799b-4e81-9109-fee31fe38bb1" TargetMode="External"/><Relationship Id="rId5" Type="http://schemas.openxmlformats.org/officeDocument/2006/relationships/hyperlink" Target="https://diadoc.kontur.ru/143bcbfb-a011-4791-9316-981158fa5552/Document/Show?letterId=3f1fe518-c39f-4acf-8b4c-e7923920e167&amp;documentId=d7d0488a-14ec-4540-920d-f1918c277a2b" TargetMode="External"/><Relationship Id="rId147" Type="http://schemas.openxmlformats.org/officeDocument/2006/relationships/hyperlink" Target="https://diadoc.kontur.ru/143bcbfb-a011-4791-9316-981158fa5552/Document/Show?letterId=63c4316a-c895-48d2-b3d7-4e1797c097d6&amp;documentId=ed426332-9ff4-4b6e-b01e-50596b99ae15" TargetMode="External"/><Relationship Id="rId268" Type="http://schemas.openxmlformats.org/officeDocument/2006/relationships/hyperlink" Target="https://diadoc.kontur.ru/143bcbfb-a011-4791-9316-981158fa5552/Document/Show?letterId=c4939b2b-653f-4893-be2c-ff66e55eef43&amp;documentId=4b82ff3b-2f93-4ea5-a333-ff6980c38b20" TargetMode="External"/><Relationship Id="rId6" Type="http://schemas.openxmlformats.org/officeDocument/2006/relationships/hyperlink" Target="https://diadoc.kontur.ru/143bcbfb-a011-4791-9316-981158fa5552/Document/Show?letterId=2ab363cf-39a5-42de-b35f-5ce17aec0652&amp;documentId=7eb7e75c-d876-4d32-87f0-115c1de15ea0" TargetMode="External"/><Relationship Id="rId146" Type="http://schemas.openxmlformats.org/officeDocument/2006/relationships/hyperlink" Target="https://diadoc.kontur.ru/143bcbfb-a011-4791-9316-981158fa5552/Document/Show?letterId=187312d0-5f23-48e8-b42c-fa9035f2c831&amp;documentId=437c33dd-174f-441f-8871-e65bcb77d7ce" TargetMode="External"/><Relationship Id="rId267" Type="http://schemas.openxmlformats.org/officeDocument/2006/relationships/hyperlink" Target="https://diadoc.kontur.ru/143bcbfb-a011-4791-9316-981158fa5552/Document/Show?letterId=6e74dcfe-00e4-4ca4-a1c8-7617d75ed5a9&amp;documentId=0618d4c3-afc5-4c44-a0fe-f88f9b70d7b9" TargetMode="External"/><Relationship Id="rId7" Type="http://schemas.openxmlformats.org/officeDocument/2006/relationships/hyperlink" Target="https://diadoc.kontur.ru/143bcbfb-a011-4791-9316-981158fa5552/Document/Show?letterId=0b27c1a9-7544-4b7e-97ea-9c30f5257997&amp;documentId=dd62a536-272b-43be-bcf7-cfbd6eca9b5b" TargetMode="External"/><Relationship Id="rId145" Type="http://schemas.openxmlformats.org/officeDocument/2006/relationships/hyperlink" Target="https://diadoc.kontur.ru/143bcbfb-a011-4791-9316-981158fa5552/Document/Show?letterId=828898e7-6049-4fc8-b58f-5d4bb9dd0fcb&amp;documentId=a7d25993-6d82-48e5-8077-5ee6e3d0c654" TargetMode="External"/><Relationship Id="rId266" Type="http://schemas.openxmlformats.org/officeDocument/2006/relationships/hyperlink" Target="https://diadoc.kontur.ru/143bcbfb-a011-4791-9316-981158fa5552/Document/Show?letterId=0131766d-4859-4ab3-93ec-b60a225d2606&amp;documentId=45d80c42-5969-4860-8c9c-787cc698ce76" TargetMode="External"/><Relationship Id="rId8" Type="http://schemas.openxmlformats.org/officeDocument/2006/relationships/hyperlink" Target="https://diadoc.kontur.ru/143bcbfb-a011-4791-9316-981158fa5552/Document/Show?letterId=f4a03968-0567-4f51-8308-1c0180db259e&amp;documentId=238a6500-e204-4505-80f2-ff762f3998d4" TargetMode="External"/><Relationship Id="rId144" Type="http://schemas.openxmlformats.org/officeDocument/2006/relationships/hyperlink" Target="https://diadoc.kontur.ru/143bcbfb-a011-4791-9316-981158fa5552/Document/Show?letterId=4996bc22-1631-4343-9d00-6ea920db2bc3&amp;documentId=50cc9265-c2bd-48a2-8336-fb14f0ffbfee" TargetMode="External"/><Relationship Id="rId265" Type="http://schemas.openxmlformats.org/officeDocument/2006/relationships/hyperlink" Target="https://diadoc.kontur.ru/143bcbfb-a011-4791-9316-981158fa5552/Document/Show?letterId=bc2d7172-30b8-4df7-b189-4d381e7e1464&amp;documentId=040d9202-6f4d-44d2-bb62-ac528a43ac74" TargetMode="External"/><Relationship Id="rId260" Type="http://schemas.openxmlformats.org/officeDocument/2006/relationships/hyperlink" Target="https://diadoc.kontur.ru/143bcbfb-a011-4791-9316-981158fa5552/Document/Show?letterId=5bf8f87e-f244-4beb-9436-e2be778006af&amp;documentId=81668505-400a-4172-8ec7-e6a593b03d08" TargetMode="External"/><Relationship Id="rId139" Type="http://schemas.openxmlformats.org/officeDocument/2006/relationships/hyperlink" Target="https://diadoc.kontur.ru/143bcbfb-a011-4791-9316-981158fa5552/Document/Show?letterId=d38527b8-696d-4a8e-895f-ee72cf239427&amp;documentId=b2460b40-28ca-4551-ad63-756a0828fa35" TargetMode="External"/><Relationship Id="rId138" Type="http://schemas.openxmlformats.org/officeDocument/2006/relationships/hyperlink" Target="https://diadoc.kontur.ru/143bcbfb-a011-4791-9316-981158fa5552/Document/Show?letterId=cc0f3b35-8c27-4a1c-a2b2-4b2a0e1774d5&amp;documentId=b7fb47e1-a9d7-4ec5-934c-0115f0f84c22" TargetMode="External"/><Relationship Id="rId259" Type="http://schemas.openxmlformats.org/officeDocument/2006/relationships/hyperlink" Target="https://diadoc.kontur.ru/143bcbfb-a011-4791-9316-981158fa5552/Document/Show?letterId=b8b3e2a0-7ad4-48fe-af40-0f96792891db&amp;documentId=f5125117-1b52-42f7-9c6a-14b75e02f7be" TargetMode="External"/><Relationship Id="rId137" Type="http://schemas.openxmlformats.org/officeDocument/2006/relationships/hyperlink" Target="https://diadoc.kontur.ru/143bcbfb-a011-4791-9316-981158fa5552/Document/Show?letterId=f8202580-3ae7-4d3b-bbe1-f39b78fa9c19&amp;documentId=55cf4442-8ed5-4c1b-b859-ede76fb89ea9" TargetMode="External"/><Relationship Id="rId258" Type="http://schemas.openxmlformats.org/officeDocument/2006/relationships/hyperlink" Target="https://diadoc.kontur.ru/143bcbfb-a011-4791-9316-981158fa5552/Document/Show?letterId=4473d02c-fb60-46c4-ac8c-ea3a1a8b6085&amp;documentId=b5cb445e-75e8-4015-9c5c-5f85fc14313a" TargetMode="External"/><Relationship Id="rId132" Type="http://schemas.openxmlformats.org/officeDocument/2006/relationships/hyperlink" Target="https://diadoc.kontur.ru/143bcbfb-a011-4791-9316-981158fa5552/Document/Show?letterId=85c6a873-976f-4188-9c8d-81f3fc638aba&amp;documentId=0ec551d4-b6ed-4992-9865-8428b865089d" TargetMode="External"/><Relationship Id="rId253" Type="http://schemas.openxmlformats.org/officeDocument/2006/relationships/hyperlink" Target="https://diadoc.kontur.ru/143bcbfb-a011-4791-9316-981158fa5552/Document/Show?letterId=5e551b5f-128b-405b-a824-ab686e287e61&amp;documentId=f22fc52a-b188-4b95-b1ce-688c20c299f5" TargetMode="External"/><Relationship Id="rId131" Type="http://schemas.openxmlformats.org/officeDocument/2006/relationships/hyperlink" Target="https://diadoc.kontur.ru/143bcbfb-a011-4791-9316-981158fa5552/Document/Show?letterId=2f93f584-b4cc-4b97-b2fe-70797b2e21d5&amp;documentId=22bb3b69-8b57-4c96-a125-b4f6d49ba3bf" TargetMode="External"/><Relationship Id="rId252" Type="http://schemas.openxmlformats.org/officeDocument/2006/relationships/hyperlink" Target="https://diadoc.kontur.ru/143bcbfb-a011-4791-9316-981158fa5552/Document/Show?letterId=42bc427d-8d82-4180-8d60-3a184b71a8e8&amp;documentId=805c912d-767c-43dc-9d91-b9e93c2408aa" TargetMode="External"/><Relationship Id="rId130" Type="http://schemas.openxmlformats.org/officeDocument/2006/relationships/hyperlink" Target="https://diadoc.kontur.ru/143bcbfb-a011-4791-9316-981158fa5552/Document/Show?letterId=183891c3-d38b-4a1f-924b-ef10d276d67c&amp;documentId=34afbb29-5b1e-4c16-b8bb-70defb4e4139" TargetMode="External"/><Relationship Id="rId251" Type="http://schemas.openxmlformats.org/officeDocument/2006/relationships/hyperlink" Target="https://diadoc.kontur.ru/143bcbfb-a011-4791-9316-981158fa5552/Document/Show?letterId=53e92712-121c-4544-b162-d775d3f922a1&amp;documentId=8ab8562c-fada-4c86-8419-241464599769" TargetMode="External"/><Relationship Id="rId250" Type="http://schemas.openxmlformats.org/officeDocument/2006/relationships/hyperlink" Target="https://diadoc.kontur.ru/143bcbfb-a011-4791-9316-981158fa5552/Document/Show?letterId=edb40b63-1ac7-475b-82ce-5804b7aa5060&amp;documentId=28a09c43-fde9-40b3-8a9d-c846d2169d9d" TargetMode="External"/><Relationship Id="rId136" Type="http://schemas.openxmlformats.org/officeDocument/2006/relationships/hyperlink" Target="https://diadoc.kontur.ru/143bcbfb-a011-4791-9316-981158fa5552/Document/Show?letterId=956cc190-f5e7-47a9-949c-f143ca5e8a90&amp;documentId=351b0936-c5d6-4d32-8c23-c8f1fa0c6132" TargetMode="External"/><Relationship Id="rId257" Type="http://schemas.openxmlformats.org/officeDocument/2006/relationships/hyperlink" Target="https://diadoc.kontur.ru/143bcbfb-a011-4791-9316-981158fa5552/Document/Show?letterId=192fef06-6a4c-4d51-94fd-875f0f61ac26&amp;documentId=a847ddb5-ef20-424e-9c95-1e8a034d3cd0" TargetMode="External"/><Relationship Id="rId135" Type="http://schemas.openxmlformats.org/officeDocument/2006/relationships/hyperlink" Target="https://diadoc.kontur.ru/143bcbfb-a011-4791-9316-981158fa5552/Document/Show?letterId=0d74471f-6038-4b35-82f3-3a694ccd6257&amp;documentId=f6eb09c0-6874-4165-8dd9-e738a68f0795" TargetMode="External"/><Relationship Id="rId256" Type="http://schemas.openxmlformats.org/officeDocument/2006/relationships/hyperlink" Target="https://diadoc.kontur.ru/143bcbfb-a011-4791-9316-981158fa5552/Document/Show?letterId=8a05a0c3-6060-41f1-a52d-444a221ab950&amp;documentId=b6627caf-93d0-44a8-bdbd-374923afb19d" TargetMode="External"/><Relationship Id="rId134" Type="http://schemas.openxmlformats.org/officeDocument/2006/relationships/hyperlink" Target="https://diadoc.kontur.ru/143bcbfb-a011-4791-9316-981158fa5552/Document/Show?letterId=46083fda-2af3-46e1-b50e-0e16ade61832&amp;documentId=fba44a18-e863-4acd-89df-d9e8f81d8501" TargetMode="External"/><Relationship Id="rId255" Type="http://schemas.openxmlformats.org/officeDocument/2006/relationships/hyperlink" Target="https://diadoc.kontur.ru/143bcbfb-a011-4791-9316-981158fa5552/Document/Show?letterId=225949d8-6d5e-4ad5-9829-33a9d335f597&amp;documentId=63cf2d0e-4c61-448f-a8c4-53d6ad61d867" TargetMode="External"/><Relationship Id="rId133" Type="http://schemas.openxmlformats.org/officeDocument/2006/relationships/hyperlink" Target="https://diadoc.kontur.ru/143bcbfb-a011-4791-9316-981158fa5552/Document/Show?letterId=669a4470-2016-4b26-93d5-fe026a20c458&amp;documentId=767e34a9-fdd9-4398-a36f-c287b96711eb" TargetMode="External"/><Relationship Id="rId254" Type="http://schemas.openxmlformats.org/officeDocument/2006/relationships/hyperlink" Target="https://diadoc.kontur.ru/143bcbfb-a011-4791-9316-981158fa5552/Document/Show?letterId=40bb4938-8f95-4200-9505-b15f5dd0000b&amp;documentId=fedbfc4a-29a8-4637-bcff-e62cccf33266" TargetMode="External"/><Relationship Id="rId172" Type="http://schemas.openxmlformats.org/officeDocument/2006/relationships/hyperlink" Target="https://diadoc.kontur.ru/143bcbfb-a011-4791-9316-981158fa5552/Document/Show?letterId=c3c72f3f-7e10-4fb5-812e-f47f46344c48&amp;documentId=816ffbbd-c1a4-47fe-97a0-2428adb7d241" TargetMode="External"/><Relationship Id="rId293" Type="http://schemas.openxmlformats.org/officeDocument/2006/relationships/hyperlink" Target="https://diadoc.kontur.ru/143bcbfb-a011-4791-9316-981158fa5552/Document/Show?letterId=6f5950f8-254d-4c0a-b50e-0367afe9549f&amp;documentId=83ff6128-427a-4518-87ef-1c454f582ec9" TargetMode="External"/><Relationship Id="rId171" Type="http://schemas.openxmlformats.org/officeDocument/2006/relationships/hyperlink" Target="https://diadoc.kontur.ru/143bcbfb-a011-4791-9316-981158fa5552/Document/Show?letterId=1f827ea6-7d0c-40f1-92d7-d086bfbb3706&amp;documentId=81088be2-a56d-46ac-8f5a-3d95a18b48f3" TargetMode="External"/><Relationship Id="rId292" Type="http://schemas.openxmlformats.org/officeDocument/2006/relationships/hyperlink" Target="https://diadoc.kontur.ru/143bcbfb-a011-4791-9316-981158fa5552/Document/Show?letterId=f9580fd3-e9d8-44e9-b81c-6e9e743f012b&amp;documentId=872097e9-3498-47d9-af46-bb23af6ad0b3" TargetMode="External"/><Relationship Id="rId170" Type="http://schemas.openxmlformats.org/officeDocument/2006/relationships/hyperlink" Target="https://diadoc.kontur.ru/143bcbfb-a011-4791-9316-981158fa5552/Document/Show?letterId=a23f1ffe-9776-43d3-b63b-868bfe8b14db&amp;documentId=7615fcef-ca09-4bf1-9dff-c203b1f1f70d" TargetMode="External"/><Relationship Id="rId291" Type="http://schemas.openxmlformats.org/officeDocument/2006/relationships/hyperlink" Target="https://diadoc.kontur.ru/143bcbfb-a011-4791-9316-981158fa5552/Document/Show?letterId=c6135ba6-ac21-4b25-9eca-17a8e17ff067&amp;documentId=94197b6f-c5ff-47ae-b8f1-268d3cee17a5" TargetMode="External"/><Relationship Id="rId290" Type="http://schemas.openxmlformats.org/officeDocument/2006/relationships/hyperlink" Target="https://diadoc.kontur.ru/143bcbfb-a011-4791-9316-981158fa5552/Document/Show?letterId=2f175839-eb01-4c75-9cf6-d27779d456e2&amp;documentId=d667cb9d-aa17-4860-b3dd-d221d9d243d5" TargetMode="External"/><Relationship Id="rId165" Type="http://schemas.openxmlformats.org/officeDocument/2006/relationships/hyperlink" Target="https://diadoc.kontur.ru/143bcbfb-a011-4791-9316-981158fa5552/Document/Show?letterId=f5edb3f0-2b87-47b2-82cf-dfdb570101da&amp;documentId=18c04b94-3f27-49a8-bd6b-3a5ead8acc84" TargetMode="External"/><Relationship Id="rId286" Type="http://schemas.openxmlformats.org/officeDocument/2006/relationships/hyperlink" Target="https://diadoc.kontur.ru/143bcbfb-a011-4791-9316-981158fa5552/Document/Show?letterId=93bf5dd7-dbf7-441a-9815-279b71c0750a&amp;documentId=0cd90d0c-2639-4e34-8630-3410e9e7f8cf" TargetMode="External"/><Relationship Id="rId164" Type="http://schemas.openxmlformats.org/officeDocument/2006/relationships/hyperlink" Target="https://diadoc.kontur.ru/143bcbfb-a011-4791-9316-981158fa5552/Document/Show?letterId=e423fcb5-715a-4a3d-b851-8f237260c8fb&amp;documentId=8faaf79c-ad27-4c0c-b39a-2b996196a399" TargetMode="External"/><Relationship Id="rId285" Type="http://schemas.openxmlformats.org/officeDocument/2006/relationships/hyperlink" Target="https://diadoc.kontur.ru/143bcbfb-a011-4791-9316-981158fa5552/Document/Show?letterId=4b5a4dbe-01bd-4df3-8e13-82f55ccdb01c&amp;documentId=6eb03693-2947-4c29-92ea-12d316a24fd4" TargetMode="External"/><Relationship Id="rId163" Type="http://schemas.openxmlformats.org/officeDocument/2006/relationships/hyperlink" Target="https://diadoc.kontur.ru/143bcbfb-a011-4791-9316-981158fa5552/Document/Show?letterId=668a8c76-2c1d-4265-b48b-0db4ee0be382&amp;documentId=cb1b6312-0d1b-4476-abe8-977a088535c8" TargetMode="External"/><Relationship Id="rId284" Type="http://schemas.openxmlformats.org/officeDocument/2006/relationships/hyperlink" Target="https://diadoc.kontur.ru/143bcbfb-a011-4791-9316-981158fa5552/Document/Show?letterId=11a2b728-e312-45d0-98a5-787cf976d436&amp;documentId=49194ed1-d87d-41ab-832c-4c33a46fd171" TargetMode="External"/><Relationship Id="rId162" Type="http://schemas.openxmlformats.org/officeDocument/2006/relationships/hyperlink" Target="https://diadoc.kontur.ru/143bcbfb-a011-4791-9316-981158fa5552/Document/Show?letterId=3da82a2b-fe03-47b1-bb86-404fbc80f1c9&amp;documentId=3b3c2ceb-451d-4e9b-b399-578bd559db70" TargetMode="External"/><Relationship Id="rId283" Type="http://schemas.openxmlformats.org/officeDocument/2006/relationships/hyperlink" Target="https://diadoc.kontur.ru/143bcbfb-a011-4791-9316-981158fa5552/Document/Show?letterId=4133615c-6f79-446c-810f-ef334ae3add8&amp;documentId=a5fbf13b-aa0c-4166-8328-5c29ac9b4990" TargetMode="External"/><Relationship Id="rId169" Type="http://schemas.openxmlformats.org/officeDocument/2006/relationships/hyperlink" Target="https://diadoc.kontur.ru/143bcbfb-a011-4791-9316-981158fa5552/Document/Show?letterId=b4fafa72-6fb6-4b3e-a538-0604840b8934&amp;documentId=378367ab-ee72-4f1d-b07f-1e738500fbe6" TargetMode="External"/><Relationship Id="rId168" Type="http://schemas.openxmlformats.org/officeDocument/2006/relationships/hyperlink" Target="https://diadoc.kontur.ru/143bcbfb-a011-4791-9316-981158fa5552/Document/Show?letterId=e8131a3b-c0a0-473e-a230-43add18d823c&amp;documentId=d88fe2ca-db53-4a51-a103-57075926d0a0" TargetMode="External"/><Relationship Id="rId289" Type="http://schemas.openxmlformats.org/officeDocument/2006/relationships/hyperlink" Target="https://diadoc.kontur.ru/143bcbfb-a011-4791-9316-981158fa5552/Document/Show?letterId=fe64ecf1-b90e-43c7-8c57-15213550f604&amp;documentId=541c3314-1589-4f6e-a773-a805f156e116" TargetMode="External"/><Relationship Id="rId167" Type="http://schemas.openxmlformats.org/officeDocument/2006/relationships/hyperlink" Target="https://diadoc.kontur.ru/143bcbfb-a011-4791-9316-981158fa5552/Document/Show?letterId=698ff8be-fbe0-4c10-bf0d-45a7b345f332&amp;documentId=910323bb-96d8-4f5a-b62a-26b2c0f06bf5" TargetMode="External"/><Relationship Id="rId288" Type="http://schemas.openxmlformats.org/officeDocument/2006/relationships/hyperlink" Target="https://diadoc.kontur.ru/143bcbfb-a011-4791-9316-981158fa5552/Document/Show?letterId=7c281eed-2246-4370-8562-c1b51e37e355&amp;documentId=acf2eb54-11f5-4c19-be31-37eabcd16b13" TargetMode="External"/><Relationship Id="rId166" Type="http://schemas.openxmlformats.org/officeDocument/2006/relationships/hyperlink" Target="https://diadoc.kontur.ru/143bcbfb-a011-4791-9316-981158fa5552/Document/Show?letterId=9c4fcdda-1272-47b8-8007-f90be10e3cee&amp;documentId=c610d73a-f6cc-42eb-90bb-104a60fc70bb" TargetMode="External"/><Relationship Id="rId287" Type="http://schemas.openxmlformats.org/officeDocument/2006/relationships/hyperlink" Target="https://diadoc.kontur.ru/143bcbfb-a011-4791-9316-981158fa5552/Document/Show?letterId=dafe52e4-1567-4340-9ce4-b299d11bfdb2&amp;documentId=c81320ef-1d10-4453-937f-848a6f029f9b" TargetMode="External"/><Relationship Id="rId161" Type="http://schemas.openxmlformats.org/officeDocument/2006/relationships/hyperlink" Target="https://diadoc.kontur.ru/143bcbfb-a011-4791-9316-981158fa5552/Document/Show?letterId=bafeda77-3b0a-41a1-9856-1b687903cd09&amp;documentId=011ebfc5-142c-41fb-8311-222a5a5f3934" TargetMode="External"/><Relationship Id="rId282" Type="http://schemas.openxmlformats.org/officeDocument/2006/relationships/hyperlink" Target="https://diadoc.kontur.ru/143bcbfb-a011-4791-9316-981158fa5552/Document/Show?letterId=ca065ce1-b3a3-40bc-9d94-c508bc9508e7&amp;documentId=c2aea2c7-4e3a-4216-a3fe-3d7022054866" TargetMode="External"/><Relationship Id="rId160" Type="http://schemas.openxmlformats.org/officeDocument/2006/relationships/hyperlink" Target="https://diadoc.kontur.ru/143bcbfb-a011-4791-9316-981158fa5552/Document/Show?letterId=720068a1-81ca-41a6-8f11-04c9652451e8&amp;documentId=e08a5936-be50-4623-ad75-329dac3d904d" TargetMode="External"/><Relationship Id="rId281" Type="http://schemas.openxmlformats.org/officeDocument/2006/relationships/hyperlink" Target="https://diadoc.kontur.ru/143bcbfb-a011-4791-9316-981158fa5552/Document/Show?letterId=652aaf65-0f08-4c4d-839a-f18ca60887bb&amp;documentId=6d34912c-f118-428f-8d1f-a0d349a46a28" TargetMode="External"/><Relationship Id="rId280" Type="http://schemas.openxmlformats.org/officeDocument/2006/relationships/hyperlink" Target="https://diadoc.kontur.ru/143bcbfb-a011-4791-9316-981158fa5552/Document/Show?letterId=a0eb1cf0-d9bb-4862-92c0-9fd720cce951&amp;documentId=404c4574-b5de-4909-aa21-dc5f5afd2dad" TargetMode="External"/><Relationship Id="rId159" Type="http://schemas.openxmlformats.org/officeDocument/2006/relationships/hyperlink" Target="https://diadoc.kontur.ru/143bcbfb-a011-4791-9316-981158fa5552/Document/Show?letterId=a05da0ca-6e12-447b-8634-258dc2edb4c4&amp;documentId=d1f8fbb9-c3ff-4868-9faf-e90af6d5555d" TargetMode="External"/><Relationship Id="rId154" Type="http://schemas.openxmlformats.org/officeDocument/2006/relationships/hyperlink" Target="https://diadoc.kontur.ru/143bcbfb-a011-4791-9316-981158fa5552/Document/Show?letterId=9076cf0f-1bf0-4d1f-9433-522d20c7d5a1&amp;documentId=d0067da8-b71c-469f-93c0-5c87e4182308" TargetMode="External"/><Relationship Id="rId275" Type="http://schemas.openxmlformats.org/officeDocument/2006/relationships/hyperlink" Target="https://diadoc.kontur.ru/143bcbfb-a011-4791-9316-981158fa5552/Document/Show?letterId=d791faae-962c-4f07-a43c-910d20e241c0&amp;documentId=55009ba1-372f-4688-9166-d09b4871deb4" TargetMode="External"/><Relationship Id="rId153" Type="http://schemas.openxmlformats.org/officeDocument/2006/relationships/hyperlink" Target="https://diadoc.kontur.ru/143bcbfb-a011-4791-9316-981158fa5552/Document/Show?letterId=47659394-5709-4da8-bfdc-2c2f04988db2&amp;documentId=8c2a5bfe-1532-4a10-a93f-cfe93d8a711e" TargetMode="External"/><Relationship Id="rId274" Type="http://schemas.openxmlformats.org/officeDocument/2006/relationships/hyperlink" Target="https://diadoc.kontur.ru/143bcbfb-a011-4791-9316-981158fa5552/Document/Show?letterId=f8ca75b5-02e3-46b7-a859-2119ed683b1e&amp;documentId=11efe480-6cbc-408e-9599-a5a5b5c3b112" TargetMode="External"/><Relationship Id="rId152" Type="http://schemas.openxmlformats.org/officeDocument/2006/relationships/hyperlink" Target="https://diadoc.kontur.ru/143bcbfb-a011-4791-9316-981158fa5552/Document/Show?letterId=782697ea-5997-4955-aa63-50bef998fe32&amp;documentId=019f49be-1ca6-4d91-a444-2f5483d96c78" TargetMode="External"/><Relationship Id="rId273" Type="http://schemas.openxmlformats.org/officeDocument/2006/relationships/hyperlink" Target="https://diadoc.kontur.ru/143bcbfb-a011-4791-9316-981158fa5552/Document/Show?letterId=c42e6fb4-5b0b-4369-858b-887a1db0ee75&amp;documentId=ed9c04cd-fc2f-4e29-ade7-969035859c43" TargetMode="External"/><Relationship Id="rId151" Type="http://schemas.openxmlformats.org/officeDocument/2006/relationships/hyperlink" Target="https://diadoc.kontur.ru/143bcbfb-a011-4791-9316-981158fa5552/Document/Show?letterId=17840fc4-6df9-455d-b3e2-77fe7cb94cdf&amp;documentId=0f8f6630-aa1b-44d3-9c6a-21865fd4c7d1" TargetMode="External"/><Relationship Id="rId272" Type="http://schemas.openxmlformats.org/officeDocument/2006/relationships/hyperlink" Target="https://diadoc.kontur.ru/143bcbfb-a011-4791-9316-981158fa5552/Document/Show?letterId=a564108a-2d7d-40b8-b16d-969d40d4b953&amp;documentId=576a321f-0fb6-410e-9fe1-90e0a818c001" TargetMode="External"/><Relationship Id="rId158" Type="http://schemas.openxmlformats.org/officeDocument/2006/relationships/hyperlink" Target="https://diadoc.kontur.ru/143bcbfb-a011-4791-9316-981158fa5552/Document/Show?letterId=49a4072c-af42-465a-bb1f-35ea9238f02b&amp;documentId=027405d9-79d9-4d66-b9e4-d62ff028fd13" TargetMode="External"/><Relationship Id="rId279" Type="http://schemas.openxmlformats.org/officeDocument/2006/relationships/hyperlink" Target="https://diadoc.kontur.ru/143bcbfb-a011-4791-9316-981158fa5552/Document/Show?letterId=85bfd75c-6d41-4d83-9e7c-23d4f2e74b2a&amp;documentId=3d58da3e-8876-4a69-8e2e-7a26ad11de94" TargetMode="External"/><Relationship Id="rId157" Type="http://schemas.openxmlformats.org/officeDocument/2006/relationships/hyperlink" Target="https://diadoc.kontur.ru/143bcbfb-a011-4791-9316-981158fa5552/Document/Show?letterId=c918b21e-b2ff-4a70-b0dc-da50333da5de&amp;documentId=bb1eddfa-a1e6-40e1-ad04-12406420aa03" TargetMode="External"/><Relationship Id="rId278" Type="http://schemas.openxmlformats.org/officeDocument/2006/relationships/hyperlink" Target="https://diadoc.kontur.ru/143bcbfb-a011-4791-9316-981158fa5552/Document/Show?letterId=57603e34-4e33-4331-9860-4af4591aa1c8&amp;documentId=445b800e-c5e5-43ef-9c3a-c082abb7f0a6" TargetMode="External"/><Relationship Id="rId156" Type="http://schemas.openxmlformats.org/officeDocument/2006/relationships/hyperlink" Target="https://diadoc.kontur.ru/143bcbfb-a011-4791-9316-981158fa5552/Document/Show?letterId=6865d3e3-793d-475f-9397-7fcfd588c1fa&amp;documentId=a89af7cf-fdd5-472f-a0e0-e9e83b185f0a" TargetMode="External"/><Relationship Id="rId277" Type="http://schemas.openxmlformats.org/officeDocument/2006/relationships/hyperlink" Target="https://diadoc.kontur.ru/143bcbfb-a011-4791-9316-981158fa5552/Document/Show?letterId=27c2b50b-4dca-4220-b610-e16d6baf4638&amp;documentId=f2bad1f5-7162-4b26-8e69-b2f7c0f0f0b7" TargetMode="External"/><Relationship Id="rId155" Type="http://schemas.openxmlformats.org/officeDocument/2006/relationships/hyperlink" Target="https://diadoc.kontur.ru/143bcbfb-a011-4791-9316-981158fa5552/Document/Show?letterId=db376b16-1cb4-4239-beb9-ee503f9cd507&amp;documentId=9c8e359f-9aef-418f-b613-095beb4d7295" TargetMode="External"/><Relationship Id="rId276" Type="http://schemas.openxmlformats.org/officeDocument/2006/relationships/hyperlink" Target="https://diadoc.kontur.ru/143bcbfb-a011-4791-9316-981158fa5552/Document/Show?letterId=98ad6b33-9582-41d4-94b6-15f718bc5f10&amp;documentId=24b413b2-fbdc-49f6-b0aa-2fd32745f326" TargetMode="External"/><Relationship Id="rId40" Type="http://schemas.openxmlformats.org/officeDocument/2006/relationships/hyperlink" Target="https://diadoc.kontur.ru/143bcbfb-a011-4791-9316-981158fa5552/Document/Show?letterId=5a5f7977-2062-493f-a7d1-6e90f6ade457&amp;documentId=7f5617ee-5529-4c58-8226-5711b7d32522" TargetMode="External"/><Relationship Id="rId42" Type="http://schemas.openxmlformats.org/officeDocument/2006/relationships/hyperlink" Target="https://diadoc.kontur.ru/143bcbfb-a011-4791-9316-981158fa5552/Document/Show?letterId=10911d39-f34b-46a2-bfe6-8ed91183bc01&amp;documentId=b5c9d226-5b2e-45ab-9cb7-cef6eeb90734" TargetMode="External"/><Relationship Id="rId41" Type="http://schemas.openxmlformats.org/officeDocument/2006/relationships/hyperlink" Target="https://diadoc.kontur.ru/143bcbfb-a011-4791-9316-981158fa5552/Document/Show?letterId=0da80682-50ce-49ad-bc2a-21ee7c1e4759&amp;documentId=96dea1f3-0646-45ad-9e1b-8ad7fdee1c46" TargetMode="External"/><Relationship Id="rId44" Type="http://schemas.openxmlformats.org/officeDocument/2006/relationships/hyperlink" Target="http://nic.ru/" TargetMode="External"/><Relationship Id="rId43" Type="http://schemas.openxmlformats.org/officeDocument/2006/relationships/hyperlink" Target="https://diadoc.kontur.ru/143bcbfb-a011-4791-9316-981158fa5552/Document/Show?letterId=16682e38-e133-4e7e-8b4a-550806de44f7&amp;documentId=129a15ba-7a31-473d-8c1b-f9cc5c273c28" TargetMode="External"/><Relationship Id="rId46" Type="http://schemas.openxmlformats.org/officeDocument/2006/relationships/hyperlink" Target="https://diadoc.kontur.ru/143bcbfb-a011-4791-9316-981158fa5552/Document/Show?letterId=a6a03c9d-aa1d-4343-9110-e1e71663d8e9&amp;documentId=0d25f2bd-8199-466b-badc-e1bbe9405643" TargetMode="External"/><Relationship Id="rId45" Type="http://schemas.openxmlformats.org/officeDocument/2006/relationships/hyperlink" Target="https://diadoc.kontur.ru/143bcbfb-a011-4791-9316-981158fa5552/Document/Show?letterId=7e03d7aa-ba49-4c83-af53-b07762270969&amp;documentId=ceb5528b-a77e-40f9-93e2-ea38494ffecd" TargetMode="External"/><Relationship Id="rId48" Type="http://schemas.openxmlformats.org/officeDocument/2006/relationships/hyperlink" Target="https://diadoc.kontur.ru/143bcbfb-a011-4791-9316-981158fa5552/Document/Show?letterId=93e0d142-9891-42c4-a7e6-10ca78c7fb0f&amp;documentId=17ca8bf7-4b04-4fe7-8bd0-dc9cd1b78eb3" TargetMode="External"/><Relationship Id="rId47" Type="http://schemas.openxmlformats.org/officeDocument/2006/relationships/hyperlink" Target="https://diadoc.kontur.ru/143bcbfb-a011-4791-9316-981158fa5552/Document/Show?letterId=464a9b97-c6cb-4e07-b74d-35b8ae1f83f3&amp;documentId=b09feb29-b943-435e-8090-777d55865643" TargetMode="External"/><Relationship Id="rId49" Type="http://schemas.openxmlformats.org/officeDocument/2006/relationships/hyperlink" Target="https://diadoc.kontur.ru/143bcbfb-a011-4791-9316-981158fa5552/Document/Show?letterId=6f5b2d35-61a4-41e6-87d6-c1a6b7e9af11&amp;documentId=8b3239f9-f084-494d-b0ec-1416fb7da2e4" TargetMode="External"/><Relationship Id="rId31" Type="http://schemas.openxmlformats.org/officeDocument/2006/relationships/hyperlink" Target="https://diadoc.kontur.ru/143bcbfb-a011-4791-9316-981158fa5552/Document/Show?letterId=9057c5fb-700e-4fa5-b26c-93fdd640bc0c&amp;documentId=c144c2b1-2173-46c5-bc83-7fba6ddc8184" TargetMode="External"/><Relationship Id="rId30" Type="http://schemas.openxmlformats.org/officeDocument/2006/relationships/hyperlink" Target="https://diadoc.kontur.ru/143bcbfb-a011-4791-9316-981158fa5552/Document/Show?letterId=6e07a2bc-dfad-41c8-9f44-996f57f45a0a&amp;documentId=ccf1e250-abe3-494e-bf4a-2d80ac5c65fc" TargetMode="External"/><Relationship Id="rId33" Type="http://schemas.openxmlformats.org/officeDocument/2006/relationships/hyperlink" Target="https://diadoc.kontur.ru/143bcbfb-a011-4791-9316-981158fa5552/Document/Show?letterId=b0606dff-1e9e-40a9-bc75-b01ba5765f6a&amp;documentId=b5f62ef3-41e0-4558-9d2f-105e2f45e284" TargetMode="External"/><Relationship Id="rId32" Type="http://schemas.openxmlformats.org/officeDocument/2006/relationships/hyperlink" Target="https://diadoc.kontur.ru/143bcbfb-a011-4791-9316-981158fa5552/Document/Show?letterId=b78c8aed-11ce-4d12-9591-3d34406979fc&amp;documentId=9372798c-861a-4290-8b85-a7329c093f76" TargetMode="External"/><Relationship Id="rId35" Type="http://schemas.openxmlformats.org/officeDocument/2006/relationships/hyperlink" Target="https://diadoc.kontur.ru/143bcbfb-a011-4791-9316-981158fa5552/Document/Show?letterId=7c5eb00a-ac0f-466a-8e4c-1d4c538c1a99&amp;documentId=b730a5d1-467a-47f0-9a27-50fc61f05ab9" TargetMode="External"/><Relationship Id="rId34" Type="http://schemas.openxmlformats.org/officeDocument/2006/relationships/hyperlink" Target="https://diadoc.kontur.ru/143bcbfb-a011-4791-9316-981158fa5552/Document/Show?letterId=2242155e-4762-4b0e-91ac-787cdd58add9&amp;documentId=ac7c3986-ceb3-405a-83f9-8535c78f8715" TargetMode="External"/><Relationship Id="rId37" Type="http://schemas.openxmlformats.org/officeDocument/2006/relationships/hyperlink" Target="https://diadoc.kontur.ru/143bcbfb-a011-4791-9316-981158fa5552/Document/Show?letterId=916a4438-5a94-43b2-971a-e551ba6536d0&amp;documentId=e9b8e024-4fe4-48b1-910c-b308ed8dc185" TargetMode="External"/><Relationship Id="rId36" Type="http://schemas.openxmlformats.org/officeDocument/2006/relationships/hyperlink" Target="https://diadoc.kontur.ru/143bcbfb-a011-4791-9316-981158fa5552/Document/Show?letterId=8dee3884-060d-432d-89d9-f4f17023de74&amp;documentId=d7dceb03-780f-4aa3-8fd9-8701bb15e20e" TargetMode="External"/><Relationship Id="rId39" Type="http://schemas.openxmlformats.org/officeDocument/2006/relationships/hyperlink" Target="https://diadoc.kontur.ru/143bcbfb-a011-4791-9316-981158fa5552/Document/Show?letterId=6e536c1a-bd5d-4f7f-9dd7-37cf3da355eb&amp;documentId=1243560a-e1f7-40d8-8916-f2160075e341" TargetMode="External"/><Relationship Id="rId38" Type="http://schemas.openxmlformats.org/officeDocument/2006/relationships/hyperlink" Target="https://diadoc.kontur.ru/143bcbfb-a011-4791-9316-981158fa5552/Document/Show?letterId=8919f705-2f81-46e1-8cce-01916119f43f&amp;documentId=4f6057c6-935b-46de-acc2-45572b640a46" TargetMode="External"/><Relationship Id="rId20" Type="http://schemas.openxmlformats.org/officeDocument/2006/relationships/hyperlink" Target="https://diadoc.kontur.ru/143bcbfb-a011-4791-9316-981158fa5552/Document/Show?letterId=8422155d-b5f2-4134-80db-80c02489aa57&amp;documentId=d14b6b6d-cd24-4364-9eab-49f2deb69851" TargetMode="External"/><Relationship Id="rId22" Type="http://schemas.openxmlformats.org/officeDocument/2006/relationships/hyperlink" Target="https://diadoc.kontur.ru/143bcbfb-a011-4791-9316-981158fa5552/Document/Show?letterId=14c2f4fb-8508-423a-867f-7a80c482267d&amp;documentId=07e1db18-f74f-410e-af0a-7ad5c11195d7" TargetMode="External"/><Relationship Id="rId21" Type="http://schemas.openxmlformats.org/officeDocument/2006/relationships/hyperlink" Target="https://diadoc.kontur.ru/143bcbfb-a011-4791-9316-981158fa5552/Document/Show?letterId=a2a59ac6-452c-4a7c-a978-829076065f24&amp;documentId=fe80535f-1a45-47b2-bfe4-57423062a1a2" TargetMode="External"/><Relationship Id="rId24" Type="http://schemas.openxmlformats.org/officeDocument/2006/relationships/hyperlink" Target="https://diadoc.kontur.ru/143bcbfb-a011-4791-9316-981158fa5552/Document/Show?letterId=5ff7612d-fc6c-40d6-a087-aac3d1ffd18b&amp;documentId=495f3183-fa79-4267-b5f1-818af808e68a" TargetMode="External"/><Relationship Id="rId23" Type="http://schemas.openxmlformats.org/officeDocument/2006/relationships/hyperlink" Target="https://diadoc.kontur.ru/143bcbfb-a011-4791-9316-981158fa5552/Document/Show?letterId=6b70a83e-0421-4ec1-8859-36b5d17487f0&amp;documentId=33dbecee-5168-427d-af7c-2d33a7e034a2" TargetMode="External"/><Relationship Id="rId26" Type="http://schemas.openxmlformats.org/officeDocument/2006/relationships/hyperlink" Target="https://diadoc.kontur.ru/143bcbfb-a011-4791-9316-981158fa5552/Document/Show?letterId=507f9c2f-6296-4fca-b4ce-383812f9cb0e&amp;documentId=f7336343-40f9-4c82-b623-a05c0fc6b45f" TargetMode="External"/><Relationship Id="rId25" Type="http://schemas.openxmlformats.org/officeDocument/2006/relationships/hyperlink" Target="https://diadoc.kontur.ru/143bcbfb-a011-4791-9316-981158fa5552/Document/Show?letterId=dd526ab9-09ae-4e44-a0ce-2f2159dee830&amp;documentId=10bb5d99-14f2-47de-a3ce-ab833e4b42e0" TargetMode="External"/><Relationship Id="rId28" Type="http://schemas.openxmlformats.org/officeDocument/2006/relationships/hyperlink" Target="https://diadoc.kontur.ru/143bcbfb-a011-4791-9316-981158fa5552/Document/Show?letterId=e7884c4c-b9d3-4e75-8d76-9e78dde8c1e0&amp;documentId=1adfbccd-bb6d-4ca3-be70-90ddc11084b8" TargetMode="External"/><Relationship Id="rId27" Type="http://schemas.openxmlformats.org/officeDocument/2006/relationships/hyperlink" Target="https://diadoc.kontur.ru/143bcbfb-a011-4791-9316-981158fa5552/Document/Show?letterId=61e85cff-a9da-45bf-b997-c20ea3c3a0dd&amp;documentId=60cb0286-3e8d-40fd-92d2-fc67f2556909" TargetMode="External"/><Relationship Id="rId29" Type="http://schemas.openxmlformats.org/officeDocument/2006/relationships/hyperlink" Target="https://diadoc.kontur.ru/143bcbfb-a011-4791-9316-981158fa5552/Document/Show?letterId=ddf9d87c-018e-4fff-9ecc-1ecc49f78bd6&amp;documentId=9d2e333d-99ce-42d2-9c16-7f1db4adbb0a" TargetMode="External"/><Relationship Id="rId11" Type="http://schemas.openxmlformats.org/officeDocument/2006/relationships/hyperlink" Target="http://nic.ru/" TargetMode="External"/><Relationship Id="rId10" Type="http://schemas.openxmlformats.org/officeDocument/2006/relationships/hyperlink" Target="https://diadoc.kontur.ru/143bcbfb-a011-4791-9316-981158fa5552/Document/Show?letterId=3dac1a5a-c215-441e-993d-363ca016893a&amp;documentId=2ecc2dcd-736d-43c6-82f2-b0bf01181de5" TargetMode="External"/><Relationship Id="rId13" Type="http://schemas.openxmlformats.org/officeDocument/2006/relationships/hyperlink" Target="https://diadoc.kontur.ru/143bcbfb-a011-4791-9316-981158fa5552/Document/Show?letterId=8d728cbe-8d95-4f2e-a9da-8c6c863e5fe6&amp;documentId=d7b056dd-e968-4454-9034-682fa0a300dc" TargetMode="External"/><Relationship Id="rId12" Type="http://schemas.openxmlformats.org/officeDocument/2006/relationships/hyperlink" Target="https://diadoc.kontur.ru/143bcbfb-a011-4791-9316-981158fa5552/Document/Show?letterId=9057c5fb-700e-4fa5-b26c-93fdd640bc0c&amp;documentId=263214d7-30f6-4967-8ba3-1fe37134033a" TargetMode="External"/><Relationship Id="rId15" Type="http://schemas.openxmlformats.org/officeDocument/2006/relationships/hyperlink" Target="https://diadoc.kontur.ru/143bcbfb-a011-4791-9316-981158fa5552/Document/Show?letterId=d9bccc28-bb51-4ec3-9ae8-d76f132d2962&amp;documentId=4601f834-ba0a-4193-bd3e-052d60f6476c" TargetMode="External"/><Relationship Id="rId14" Type="http://schemas.openxmlformats.org/officeDocument/2006/relationships/hyperlink" Target="https://diadoc.kontur.ru/143bcbfb-a011-4791-9316-981158fa5552/Document/Show?letterId=1b7253e9-4c95-409a-960e-655271e79067&amp;documentId=365514a9-3b54-4b4c-bf18-ed97561f2709" TargetMode="External"/><Relationship Id="rId17" Type="http://schemas.openxmlformats.org/officeDocument/2006/relationships/hyperlink" Target="https://diadoc.kontur.ru/143bcbfb-a011-4791-9316-981158fa5552/Document/Show?letterId=ec527ee7-ae67-404f-9ae0-d8ff92f270be&amp;documentId=ba0da0fd-9680-4dfe-8451-4ce1e176d534" TargetMode="External"/><Relationship Id="rId16" Type="http://schemas.openxmlformats.org/officeDocument/2006/relationships/hyperlink" Target="https://diadoc.kontur.ru/143bcbfb-a011-4791-9316-981158fa5552/Document/Show?letterId=efacae27-3111-43e5-9f17-c86f9736fa15&amp;documentId=f4a96ad6-835c-4e4b-8ece-af6d81e03fcc" TargetMode="External"/><Relationship Id="rId19" Type="http://schemas.openxmlformats.org/officeDocument/2006/relationships/hyperlink" Target="https://diadoc.kontur.ru/143bcbfb-a011-4791-9316-981158fa5552/Document/Show?letterId=e3a8fa09-c701-4465-88ca-662a6674a168&amp;documentId=4ef38721-31a9-428b-90ff-6b5f16802290" TargetMode="External"/><Relationship Id="rId18" Type="http://schemas.openxmlformats.org/officeDocument/2006/relationships/hyperlink" Target="https://diadoc.kontur.ru/143bcbfb-a011-4791-9316-981158fa5552/Document/Show?letterId=c6f6733b-1d16-42ff-9fe0-b408e29c835a&amp;documentId=2fc85a37-134d-4a08-ad7c-7d11f0b1c4ea" TargetMode="External"/><Relationship Id="rId84" Type="http://schemas.openxmlformats.org/officeDocument/2006/relationships/hyperlink" Target="https://diadoc.kontur.ru/143bcbfb-a011-4791-9316-981158fa5552/Document/Show?letterId=013eb219-a8c3-4858-a843-6f5f992cd1b5&amp;documentId=c60c3292-6f06-44fa-9c94-b9e2bdbfc39d" TargetMode="External"/><Relationship Id="rId83" Type="http://schemas.openxmlformats.org/officeDocument/2006/relationships/hyperlink" Target="https://diadoc.kontur.ru/143bcbfb-a011-4791-9316-981158fa5552/Document/Show?letterId=c5e6d0e2-82a3-481f-9cba-26fc694c6a4a&amp;documentId=838360be-63f1-4091-a422-b81a84d8747e" TargetMode="External"/><Relationship Id="rId86" Type="http://schemas.openxmlformats.org/officeDocument/2006/relationships/hyperlink" Target="https://diadoc.kontur.ru/143bcbfb-a011-4791-9316-981158fa5552/Document/Show?letterId=fa220587-bb94-4f11-b5ef-4e0ac35bc9d8&amp;documentId=1438635f-d611-4d56-8415-57b147d35595" TargetMode="External"/><Relationship Id="rId85" Type="http://schemas.openxmlformats.org/officeDocument/2006/relationships/hyperlink" Target="https://diadoc.kontur.ru/143bcbfb-a011-4791-9316-981158fa5552/Document/Show?letterId=18cea914-9812-4c2f-b1d4-6f017378f9ec&amp;documentId=5570f340-75ff-4d35-9ce9-4566d3a385c0" TargetMode="External"/><Relationship Id="rId88" Type="http://schemas.openxmlformats.org/officeDocument/2006/relationships/hyperlink" Target="https://diadoc.kontur.ru/143bcbfb-a011-4791-9316-981158fa5552/Document/Show?letterId=9016ff55-fe29-4aa1-8f5f-c45a737ea399&amp;documentId=d2fb533c-51fd-4030-ba68-feb24624fb20" TargetMode="External"/><Relationship Id="rId87" Type="http://schemas.openxmlformats.org/officeDocument/2006/relationships/hyperlink" Target="https://diadoc.kontur.ru/143bcbfb-a011-4791-9316-981158fa5552/Document/Show?letterId=b5942c57-d276-49a5-b3c7-fba7ab5334ab&amp;documentId=98a0c85e-30d0-4c52-800e-444bbbc0c647" TargetMode="External"/><Relationship Id="rId89" Type="http://schemas.openxmlformats.org/officeDocument/2006/relationships/hyperlink" Target="https://diadoc.kontur.ru/143bcbfb-a011-4791-9316-981158fa5552/Document/Show?letterId=1f8b1fb7-e86c-4200-9f11-df1ef79651f9&amp;documentId=18556e92-0014-4c94-b9ff-d571b286eb84" TargetMode="External"/><Relationship Id="rId80" Type="http://schemas.openxmlformats.org/officeDocument/2006/relationships/hyperlink" Target="https://diadoc.kontur.ru/143bcbfb-a011-4791-9316-981158fa5552/Document/Show?letterId=8ad2d1d1-8799-434f-89db-1eae6892ff78&amp;documentId=68bf9c64-ae19-4159-bbc2-f7b66291d509" TargetMode="External"/><Relationship Id="rId82" Type="http://schemas.openxmlformats.org/officeDocument/2006/relationships/hyperlink" Target="https://diadoc.kontur.ru/143bcbfb-a011-4791-9316-981158fa5552/Document/Show?letterId=066bf2e5-16eb-4bc9-aebe-e3739a04e354&amp;documentId=1f463468-dd90-446a-af6e-b3d08d8d31a3" TargetMode="External"/><Relationship Id="rId81" Type="http://schemas.openxmlformats.org/officeDocument/2006/relationships/hyperlink" Target="https://diadoc.kontur.ru/143bcbfb-a011-4791-9316-981158fa5552/Document/Show?letterId=a69da5e6-03bf-4db3-a05d-cd7a8ca69f4c&amp;documentId=f7153752-9921-46cd-be77-3f1b01d44952" TargetMode="External"/><Relationship Id="rId73" Type="http://schemas.openxmlformats.org/officeDocument/2006/relationships/hyperlink" Target="https://diadoc.kontur.ru/143bcbfb-a011-4791-9316-981158fa5552/Document/Show?letterId=b940f008-8212-466d-a86c-17295b2c35e7&amp;documentId=e99d264b-747d-414d-affc-a5e3b3ae21b8" TargetMode="External"/><Relationship Id="rId72" Type="http://schemas.openxmlformats.org/officeDocument/2006/relationships/hyperlink" Target="https://diadoc.kontur.ru/143bcbfb-a011-4791-9316-981158fa5552/Document/Show?letterId=44db6482-7072-41d0-bf74-6822fc9faa62&amp;documentId=a4c66f15-ed59-4a0b-b5b9-11a0c73c2d46" TargetMode="External"/><Relationship Id="rId75" Type="http://schemas.openxmlformats.org/officeDocument/2006/relationships/hyperlink" Target="https://diadoc.kontur.ru/143bcbfb-a011-4791-9316-981158fa5552/Document/Show?letterId=f953b83c-1a70-4ec3-8b8f-1591ce40d104&amp;documentId=53cd47c7-0cee-4ff3-8e5b-d2970340791d" TargetMode="External"/><Relationship Id="rId74" Type="http://schemas.openxmlformats.org/officeDocument/2006/relationships/hyperlink" Target="https://diadoc.kontur.ru/143bcbfb-a011-4791-9316-981158fa5552/Document/Show?letterId=f4f1d8bc-10ab-4527-9636-7a635ea20a3c&amp;documentId=6909742b-f5ca-401e-9fc4-3b3e50211a93" TargetMode="External"/><Relationship Id="rId77" Type="http://schemas.openxmlformats.org/officeDocument/2006/relationships/hyperlink" Target="https://diadoc.kontur.ru/143bcbfb-a011-4791-9316-981158fa5552/Document/Show?letterId=8b2677a0-19b0-4bcb-821c-eb9d5dc763fa&amp;documentId=4a9f0655-f8a4-4bb7-8093-511c077b155e" TargetMode="External"/><Relationship Id="rId76" Type="http://schemas.openxmlformats.org/officeDocument/2006/relationships/hyperlink" Target="https://diadoc.kontur.ru/143bcbfb-a011-4791-9316-981158fa5552/Document/Show?letterId=1ec0e2a1-c24a-413d-98b7-063041c9273e&amp;documentId=4772f802-eefc-4e43-9d05-ee9010cb9d20" TargetMode="External"/><Relationship Id="rId79" Type="http://schemas.openxmlformats.org/officeDocument/2006/relationships/hyperlink" Target="https://diadoc.kontur.ru/143bcbfb-a011-4791-9316-981158fa5552/Document/Show?letterId=cbae4af7-8f04-4555-84d4-9ec056353a03&amp;documentId=f0b72376-72ff-41f1-9f17-06d3676f3311" TargetMode="External"/><Relationship Id="rId78" Type="http://schemas.openxmlformats.org/officeDocument/2006/relationships/hyperlink" Target="https://diadoc.kontur.ru/143bcbfb-a011-4791-9316-981158fa5552/Document/Show?letterId=2e084e2b-eb67-489c-826c-583d44bd38e2&amp;documentId=7aa919ed-a932-4073-9bfb-987a1da71558" TargetMode="External"/><Relationship Id="rId71" Type="http://schemas.openxmlformats.org/officeDocument/2006/relationships/hyperlink" Target="https://diadoc.kontur.ru/143bcbfb-a011-4791-9316-981158fa5552/Document/Show?letterId=2d28399a-2e1e-4681-b0f3-a032c8743a46&amp;documentId=7578efe0-9804-4a60-926e-eb402420fc0a" TargetMode="External"/><Relationship Id="rId70" Type="http://schemas.openxmlformats.org/officeDocument/2006/relationships/hyperlink" Target="https://diadoc.kontur.ru/143bcbfb-a011-4791-9316-981158fa5552/Document/Show?letterId=7a22a06e-1d2a-4457-9664-161613f083ff&amp;documentId=3c7c4f2e-66e2-4a3b-bf82-7f8928710ad5" TargetMode="External"/><Relationship Id="rId62" Type="http://schemas.openxmlformats.org/officeDocument/2006/relationships/hyperlink" Target="https://diadoc.kontur.ru/143bcbfb-a011-4791-9316-981158fa5552/Document/Show?letterId=6a3d385a-4dd9-4cc3-ac77-6705f901ef6c&amp;documentId=cc495310-4122-4070-838e-6a1dd9614561" TargetMode="External"/><Relationship Id="rId61" Type="http://schemas.openxmlformats.org/officeDocument/2006/relationships/hyperlink" Target="https://diadoc.kontur.ru/143bcbfb-a011-4791-9316-981158fa5552/Document/Show?letterId=1f8175d6-2120-47ae-8a7c-631e7597baed&amp;documentId=0c6a53ac-6e50-4595-9f37-cb5fb3d25393" TargetMode="External"/><Relationship Id="rId64" Type="http://schemas.openxmlformats.org/officeDocument/2006/relationships/hyperlink" Target="https://diadoc.kontur.ru/143bcbfb-a011-4791-9316-981158fa5552/Document/Show?letterId=c126b51a-f9ef-494d-a585-c236d5fb949e&amp;documentId=3ab16ff3-52a2-4d23-af1f-1fb12237df8c" TargetMode="External"/><Relationship Id="rId63" Type="http://schemas.openxmlformats.org/officeDocument/2006/relationships/hyperlink" Target="https://diadoc.kontur.ru/143bcbfb-a011-4791-9316-981158fa5552/Document/Show?letterId=fb444f90-58de-4aee-8535-f38aa333d628&amp;documentId=664fbc3b-2a2e-49c6-93d1-50a44ac4afd2" TargetMode="External"/><Relationship Id="rId66" Type="http://schemas.openxmlformats.org/officeDocument/2006/relationships/hyperlink" Target="https://diadoc.kontur.ru/143bcbfb-a011-4791-9316-981158fa5552/Document/Show?letterId=15f886cd-db93-4d76-98d3-663d23bb8073&amp;documentId=a9f86a53-8211-422e-a014-69393af06f91" TargetMode="External"/><Relationship Id="rId65" Type="http://schemas.openxmlformats.org/officeDocument/2006/relationships/hyperlink" Target="https://diadoc.kontur.ru/143bcbfb-a011-4791-9316-981158fa5552/Document/Show?letterId=e74e9dc3-fa7e-42ca-b4ba-f866a60d1fbb&amp;documentId=2b669a8b-9e01-4d50-9d94-8db5211d0b0a" TargetMode="External"/><Relationship Id="rId68" Type="http://schemas.openxmlformats.org/officeDocument/2006/relationships/hyperlink" Target="https://diadoc.kontur.ru/143bcbfb-a011-4791-9316-981158fa5552/Document/Show?letterId=0019ac6a-b21b-41c2-b284-4e0aec04b0b8&amp;documentId=4dedbd6c-2dd6-40de-b163-c485d517f85c" TargetMode="External"/><Relationship Id="rId67" Type="http://schemas.openxmlformats.org/officeDocument/2006/relationships/hyperlink" Target="https://diadoc.kontur.ru/143bcbfb-a011-4791-9316-981158fa5552/Document/Show?letterId=730a1b4f-9fcc-424e-97c9-c47946146bd6&amp;documentId=037e9f7b-4020-4b58-8927-9b629c180ca4" TargetMode="External"/><Relationship Id="rId60" Type="http://schemas.openxmlformats.org/officeDocument/2006/relationships/hyperlink" Target="https://diadoc.kontur.ru/143bcbfb-a011-4791-9316-981158fa5552/Document/Show?letterId=14a1c053-b2dc-41d8-96b5-3fd115d8dffc&amp;documentId=e92ed62a-3cc5-4a5f-92b3-4d8e33a36b56" TargetMode="External"/><Relationship Id="rId69" Type="http://schemas.openxmlformats.org/officeDocument/2006/relationships/hyperlink" Target="https://diadoc.kontur.ru/143bcbfb-a011-4791-9316-981158fa5552/Document/Show?letterId=af896aa8-d9f6-4df9-a00b-9edb3cb1abc3&amp;documentId=a15c451b-e33b-46d9-b137-36e706aea9e8" TargetMode="External"/><Relationship Id="rId51" Type="http://schemas.openxmlformats.org/officeDocument/2006/relationships/hyperlink" Target="https://diadoc.kontur.ru/143bcbfb-a011-4791-9316-981158fa5552/Document/Show?letterId=b79cbc94-e8be-45af-a4d6-c3abc4aa087b&amp;documentId=fe2ce6fe-085b-4f1b-958a-4754a5c9d357" TargetMode="External"/><Relationship Id="rId50" Type="http://schemas.openxmlformats.org/officeDocument/2006/relationships/hyperlink" Target="https://diadoc.kontur.ru/143bcbfb-a011-4791-9316-981158fa5552/Document/Show?letterId=1fc5278c-da0c-413f-bb92-46c614a11050&amp;documentId=d5daf0d4-bab7-445b-8c6e-5a9b907592b7" TargetMode="External"/><Relationship Id="rId53" Type="http://schemas.openxmlformats.org/officeDocument/2006/relationships/hyperlink" Target="https://diadoc.kontur.ru/143bcbfb-a011-4791-9316-981158fa5552/Document/Show?letterId=93f4301b-96b7-427d-8682-ab6995c1a851&amp;documentId=72270377-023d-4db4-9c2e-de4fc13efe22" TargetMode="External"/><Relationship Id="rId52" Type="http://schemas.openxmlformats.org/officeDocument/2006/relationships/hyperlink" Target="https://diadoc.kontur.ru/143bcbfb-a011-4791-9316-981158fa5552/Document/Show?letterId=7cbf0242-9a6f-4207-be60-e1690ceb300c&amp;documentId=ba09e3aa-c191-47e3-a802-c729ea7419ff" TargetMode="External"/><Relationship Id="rId55" Type="http://schemas.openxmlformats.org/officeDocument/2006/relationships/hyperlink" Target="https://diadoc.kontur.ru/143bcbfb-a011-4791-9316-981158fa5552/Document/Show?letterId=e9af9caa-cfde-4ae4-83c2-2bae513e4f25&amp;documentId=da7aad85-13c2-4f65-9c71-3284c356d84a" TargetMode="External"/><Relationship Id="rId54" Type="http://schemas.openxmlformats.org/officeDocument/2006/relationships/hyperlink" Target="https://diadoc.kontur.ru/143bcbfb-a011-4791-9316-981158fa5552/Document/Show?letterId=6a4ece40-e7a6-43cf-82b2-dba0d935f3bb&amp;documentId=b8ad87ba-6bb0-46f1-bf9f-4f97ce91974d" TargetMode="External"/><Relationship Id="rId57" Type="http://schemas.openxmlformats.org/officeDocument/2006/relationships/hyperlink" Target="https://diadoc.kontur.ru/143bcbfb-a011-4791-9316-981158fa5552/Document/Show?letterId=31657660-135d-46cd-a21a-cd6e3608358c&amp;documentId=303e1338-f521-4ac9-ab86-3c28e22d1f9e" TargetMode="External"/><Relationship Id="rId56" Type="http://schemas.openxmlformats.org/officeDocument/2006/relationships/hyperlink" Target="https://diadoc.kontur.ru/143bcbfb-a011-4791-9316-981158fa5552/Document/Show?letterId=c6d7ba46-6e4f-4607-8eab-e586c8196735&amp;documentId=a43c0c93-47e5-41a2-94ad-438a55ccc278" TargetMode="External"/><Relationship Id="rId59" Type="http://schemas.openxmlformats.org/officeDocument/2006/relationships/hyperlink" Target="https://diadoc.kontur.ru/143bcbfb-a011-4791-9316-981158fa5552/Document/Show?letterId=6d307a70-0edf-4cbb-b159-86e5c36b485e&amp;documentId=ef927bda-78e1-4faa-93c4-c37da59ff897" TargetMode="External"/><Relationship Id="rId58" Type="http://schemas.openxmlformats.org/officeDocument/2006/relationships/hyperlink" Target="https://diadoc.kontur.ru/143bcbfb-a011-4791-9316-981158fa5552/Document/Show?letterId=468aa671-b76c-418c-9f7b-3ac1eaf2f3e5&amp;documentId=3c7ce573-017e-4952-8183-3565a8f56a9f" TargetMode="External"/><Relationship Id="rId107" Type="http://schemas.openxmlformats.org/officeDocument/2006/relationships/hyperlink" Target="https://diadoc.kontur.ru/143bcbfb-a011-4791-9316-981158fa5552/Document/Show?letterId=f7cf139b-b39c-4975-b531-704709ff1e27&amp;documentId=8e280a7d-797c-434f-a149-c5c5abe090f9" TargetMode="External"/><Relationship Id="rId228" Type="http://schemas.openxmlformats.org/officeDocument/2006/relationships/hyperlink" Target="https://diadoc.kontur.ru/143bcbfb-a011-4791-9316-981158fa5552/Document/Show?letterId=882d3df2-fbf3-4410-9c2d-c3d06a40aa2e&amp;documentId=082384be-4c5f-4995-a71f-09002aaa704c" TargetMode="External"/><Relationship Id="rId106" Type="http://schemas.openxmlformats.org/officeDocument/2006/relationships/hyperlink" Target="https://diadoc.kontur.ru/143bcbfb-a011-4791-9316-981158fa5552/Document/Show?letterId=35fa30aa-a404-4406-babd-30abf6fa79be&amp;documentId=2a18a995-dacb-40e7-9ae6-8571e8ff69a5" TargetMode="External"/><Relationship Id="rId227" Type="http://schemas.openxmlformats.org/officeDocument/2006/relationships/hyperlink" Target="https://diadoc.kontur.ru/143bcbfb-a011-4791-9316-981158fa5552/Document/Show?letterId=4a99c625-5b3f-4885-9f6b-5013da47f93c&amp;documentId=8c2d4424-dc33-4cb9-b257-83f29e8f90b0" TargetMode="External"/><Relationship Id="rId105" Type="http://schemas.openxmlformats.org/officeDocument/2006/relationships/hyperlink" Target="https://diadoc.kontur.ru/143bcbfb-a011-4791-9316-981158fa5552/Document/Show?letterId=69ffc5ba-b141-4dd1-ae2f-0eb3eabb48f4&amp;documentId=c778a6f4-4a68-4f1b-a750-d82e3c87d755" TargetMode="External"/><Relationship Id="rId226" Type="http://schemas.openxmlformats.org/officeDocument/2006/relationships/hyperlink" Target="https://diadoc.kontur.ru/143bcbfb-a011-4791-9316-981158fa5552/Document/Show?letterId=6ba7ee26-eb91-46a2-bfc1-7dd4719cdfa2&amp;documentId=d54d372f-eddf-469d-b805-f7662f057eb5" TargetMode="External"/><Relationship Id="rId104" Type="http://schemas.openxmlformats.org/officeDocument/2006/relationships/hyperlink" Target="https://diadoc.kontur.ru/143bcbfb-a011-4791-9316-981158fa5552/Document/Show?letterId=fcbb7a85-7ac9-4141-8fb6-ec0149b62ef5&amp;documentId=94859052-fe24-4a58-a7a5-bbaab45b65fa" TargetMode="External"/><Relationship Id="rId225" Type="http://schemas.openxmlformats.org/officeDocument/2006/relationships/hyperlink" Target="https://diadoc.kontur.ru/143bcbfb-a011-4791-9316-981158fa5552/Document/Show?letterId=0aff3d5d-2ca6-48d4-ac92-aff03861d2aa&amp;documentId=a9305771-a829-4ca4-9eda-60916719ebd0" TargetMode="External"/><Relationship Id="rId109" Type="http://schemas.openxmlformats.org/officeDocument/2006/relationships/hyperlink" Target="https://diadoc.kontur.ru/143bcbfb-a011-4791-9316-981158fa5552/Document/Show?letterId=0aa3078f-8fdf-41a2-90f4-1594f891f69a&amp;documentId=c3cc368a-d8ce-41e4-80dd-2d5dbf14b30b" TargetMode="External"/><Relationship Id="rId108" Type="http://schemas.openxmlformats.org/officeDocument/2006/relationships/hyperlink" Target="https://diadoc.kontur.ru/143bcbfb-a011-4791-9316-981158fa5552/Document/Show?letterId=79927cfe-bd89-413c-9843-dd61823a39b0&amp;documentId=a8bcbaa5-0bdc-498b-8ff4-9be73c885414" TargetMode="External"/><Relationship Id="rId229" Type="http://schemas.openxmlformats.org/officeDocument/2006/relationships/hyperlink" Target="https://diadoc.kontur.ru/143bcbfb-a011-4791-9316-981158fa5552/Document/Show?letterId=b8fd295d-dce2-4b68-b89e-1003fb10ed16&amp;documentId=374bb855-d64b-401d-adf7-c8094bef55c9" TargetMode="External"/><Relationship Id="rId220" Type="http://schemas.openxmlformats.org/officeDocument/2006/relationships/hyperlink" Target="https://diadoc.kontur.ru/143bcbfb-a011-4791-9316-981158fa5552/Document/Show?letterId=670c8a5b-267e-49f8-be25-f309a9138fe0&amp;documentId=8a2e42e1-eedd-427e-b193-9eb616395f94" TargetMode="External"/><Relationship Id="rId103" Type="http://schemas.openxmlformats.org/officeDocument/2006/relationships/hyperlink" Target="https://diadoc.kontur.ru/143bcbfb-a011-4791-9316-981158fa5552/Document/Show?letterId=4719e213-210e-4ea5-94ec-4a6a5c0c70c0&amp;documentId=c525a164-d8ff-451a-bf1e-3df5625fba4c" TargetMode="External"/><Relationship Id="rId224" Type="http://schemas.openxmlformats.org/officeDocument/2006/relationships/hyperlink" Target="https://diadoc.kontur.ru/143bcbfb-a011-4791-9316-981158fa5552/Document/Show?letterId=77c0c4ec-aaa2-4ec2-842a-6ef97e00d996&amp;documentId=54c64017-f5a6-469b-8c60-21bf0a967b93" TargetMode="External"/><Relationship Id="rId102" Type="http://schemas.openxmlformats.org/officeDocument/2006/relationships/hyperlink" Target="https://diadoc.kontur.ru/143bcbfb-a011-4791-9316-981158fa5552/Document/Show?letterId=b193e8a4-da37-4ced-b1de-399e609cea1b&amp;documentId=589f5b0d-3eac-4fd0-9e4c-9ba9028efff9" TargetMode="External"/><Relationship Id="rId223" Type="http://schemas.openxmlformats.org/officeDocument/2006/relationships/hyperlink" Target="https://diadoc.kontur.ru/143bcbfb-a011-4791-9316-981158fa5552/Document/Show?letterId=b03d904a-39e4-4c27-8a31-221360d09ee0&amp;documentId=7facf6ec-842b-4795-b575-993255bcabc3" TargetMode="External"/><Relationship Id="rId101" Type="http://schemas.openxmlformats.org/officeDocument/2006/relationships/hyperlink" Target="https://diadoc.kontur.ru/143bcbfb-a011-4791-9316-981158fa5552/Document/Show?letterId=453dc52e-73af-4f80-9368-8d8c77f18223&amp;documentId=eb04d5f2-9cbe-42d4-b3b7-f1a09b2b1be0" TargetMode="External"/><Relationship Id="rId222" Type="http://schemas.openxmlformats.org/officeDocument/2006/relationships/hyperlink" Target="https://diadoc.kontur.ru/143bcbfb-a011-4791-9316-981158fa5552/Document/Show?letterId=e2b97922-76af-401c-8d71-8bae1543a67a&amp;documentId=8774184d-a367-4844-b220-322a5adb9e63" TargetMode="External"/><Relationship Id="rId100" Type="http://schemas.openxmlformats.org/officeDocument/2006/relationships/hyperlink" Target="https://diadoc.kontur.ru/143bcbfb-a011-4791-9316-981158fa5552/Document/Show?letterId=72b8aa43-6b6b-41b3-bd67-b7396c288ec6&amp;documentId=53e4fdbd-4601-427b-83a5-de9c79e7eaca" TargetMode="External"/><Relationship Id="rId221" Type="http://schemas.openxmlformats.org/officeDocument/2006/relationships/hyperlink" Target="https://diadoc.kontur.ru/143bcbfb-a011-4791-9316-981158fa5552/Document/Show?letterId=3194380c-fcc5-4c18-8b33-ba38bd2a388f&amp;documentId=a87ff1c9-3b14-4f4f-914d-57b55301d6da" TargetMode="External"/><Relationship Id="rId217" Type="http://schemas.openxmlformats.org/officeDocument/2006/relationships/hyperlink" Target="https://diadoc.kontur.ru/143bcbfb-a011-4791-9316-981158fa5552/Document/Show?letterId=a9c822e4-8adf-445f-a21a-2d4d69b7bd47&amp;documentId=d80bbe16-d979-40fd-8347-a7fd823e64f9" TargetMode="External"/><Relationship Id="rId216" Type="http://schemas.openxmlformats.org/officeDocument/2006/relationships/hyperlink" Target="https://diadoc.kontur.ru/143bcbfb-a011-4791-9316-981158fa5552/Document/Show?letterId=3194380c-fcc5-4c18-8b33-ba38bd2a388f&amp;documentId=1cec0f46-8f8d-46c5-bb1d-bee934c9e0ef" TargetMode="External"/><Relationship Id="rId215" Type="http://schemas.openxmlformats.org/officeDocument/2006/relationships/hyperlink" Target="https://diadoc.kontur.ru/143bcbfb-a011-4791-9316-981158fa5552/Document/Show?letterId=fc5fbb0b-f96a-4839-96f4-ea639f09ae4f&amp;documentId=d6c9bc6b-de8d-4782-8b7e-e597be1f3be5" TargetMode="External"/><Relationship Id="rId214" Type="http://schemas.openxmlformats.org/officeDocument/2006/relationships/hyperlink" Target="https://diadoc.kontur.ru/143bcbfb-a011-4791-9316-981158fa5552/Document/Show?letterId=49b60183-90a1-42ed-8795-670776463a07&amp;documentId=52db6eaf-d963-4fd6-967d-f4d420e1372a" TargetMode="External"/><Relationship Id="rId219" Type="http://schemas.openxmlformats.org/officeDocument/2006/relationships/hyperlink" Target="https://diadoc.kontur.ru/143bcbfb-a011-4791-9316-981158fa5552/Document/Show?letterId=6c3e6c36-fdff-4875-bad6-43223ee8955d&amp;documentId=4266a9d9-e49b-4046-8100-04b2bae04f9b" TargetMode="External"/><Relationship Id="rId218" Type="http://schemas.openxmlformats.org/officeDocument/2006/relationships/hyperlink" Target="https://diadoc.kontur.ru/143bcbfb-a011-4791-9316-981158fa5552/Document/Show?letterId=5e896231-c7f8-4c2a-ac8d-ba9d7fc799c9&amp;documentId=95aa98c1-5342-4127-a534-0eb7f7f75fab" TargetMode="External"/><Relationship Id="rId330" Type="http://schemas.openxmlformats.org/officeDocument/2006/relationships/vmlDrawing" Target="../drawings/vmlDrawing2.vml"/><Relationship Id="rId213" Type="http://schemas.openxmlformats.org/officeDocument/2006/relationships/hyperlink" Target="https://diadoc.kontur.ru/143bcbfb-a011-4791-9316-981158fa5552/Document/Show?letterId=22f26a6c-b42c-45b2-a583-bbf25ada4028&amp;documentId=6b8cf472-c1a7-4de7-9e4c-e38cdb89523d" TargetMode="External"/><Relationship Id="rId212" Type="http://schemas.openxmlformats.org/officeDocument/2006/relationships/hyperlink" Target="https://diadoc.kontur.ru/143bcbfb-a011-4791-9316-981158fa5552/Document/Show?letterId=9721fdda-b941-4452-922c-37c9826f1d21&amp;documentId=eee3703c-b75a-40f8-b46d-357bcba309b9" TargetMode="External"/><Relationship Id="rId211" Type="http://schemas.openxmlformats.org/officeDocument/2006/relationships/hyperlink" Target="https://diadoc.kontur.ru/143bcbfb-a011-4791-9316-981158fa5552/Document/Show?letterId=bba83097-99e5-4a4b-b68f-9f8bda303cfc&amp;documentId=d303964f-83f1-411d-bd79-228429f9e1d2" TargetMode="External"/><Relationship Id="rId332" Type="http://schemas.openxmlformats.org/officeDocument/2006/relationships/table" Target="../tables/table3.xml"/><Relationship Id="rId210" Type="http://schemas.openxmlformats.org/officeDocument/2006/relationships/hyperlink" Target="https://diadoc.kontur.ru/143bcbfb-a011-4791-9316-981158fa5552/Document/Show?letterId=34cada05-df94-4a0b-8830-f679d01bf0fe&amp;documentId=f92dde46-c89e-463e-add8-2ee27904ed8d" TargetMode="External"/><Relationship Id="rId129" Type="http://schemas.openxmlformats.org/officeDocument/2006/relationships/hyperlink" Target="https://diadoc.kontur.ru/143bcbfb-a011-4791-9316-981158fa5552/Document/Show?letterId=40bb4938-8f95-4200-9505-b15f5dd0000b&amp;documentId=a24661bd-1781-46af-b374-99f71da1e71b" TargetMode="External"/><Relationship Id="rId128" Type="http://schemas.openxmlformats.org/officeDocument/2006/relationships/hyperlink" Target="https://diadoc.kontur.ru/143bcbfb-a011-4791-9316-981158fa5552/Document/Show?letterId=40bb4938-8f95-4200-9505-b15f5dd0000b&amp;documentId=eaacf87c-26f8-4610-bbc5-7f38d7a8c791" TargetMode="External"/><Relationship Id="rId249" Type="http://schemas.openxmlformats.org/officeDocument/2006/relationships/hyperlink" Target="https://diadoc.kontur.ru/143bcbfb-a011-4791-9316-981158fa5552/Document/Show?letterId=49f8d886-2333-487a-9fe1-a3e925e5c5e0&amp;documentId=004f7f64-f701-4e67-aebf-ec04c1ff251a" TargetMode="External"/><Relationship Id="rId127" Type="http://schemas.openxmlformats.org/officeDocument/2006/relationships/hyperlink" Target="https://diadoc.kontur.ru/143bcbfb-a011-4791-9316-981158fa5552/Document/Show?letterId=40bb4938-8f95-4200-9505-b15f5dd0000b&amp;documentId=9382e9cc-b610-40f9-9dc3-981dda859f34" TargetMode="External"/><Relationship Id="rId248" Type="http://schemas.openxmlformats.org/officeDocument/2006/relationships/hyperlink" Target="https://diadoc.kontur.ru/143bcbfb-a011-4791-9316-981158fa5552/Document/Show?letterId=5eaf7844-2b7c-4989-920b-fce928efadcd&amp;documentId=c589d3b7-c4d8-4e73-9eef-9bf55e229743" TargetMode="External"/><Relationship Id="rId126" Type="http://schemas.openxmlformats.org/officeDocument/2006/relationships/hyperlink" Target="https://diadoc.kontur.ru/143bcbfb-a011-4791-9316-981158fa5552/Document/Show?letterId=cae55e58-1393-48fa-a15c-5805eede8ba9&amp;documentId=d625733f-61bf-4955-b2af-54e2b8f9fb2c" TargetMode="External"/><Relationship Id="rId247" Type="http://schemas.openxmlformats.org/officeDocument/2006/relationships/hyperlink" Target="https://diadoc.kontur.ru/143bcbfb-a011-4791-9316-981158fa5552/Document/Show?letterId=5eaf7844-2b7c-4989-920b-fce928efadcd&amp;documentId=719f5579-f97c-41ff-bf18-dcc0ae500b4e" TargetMode="External"/><Relationship Id="rId121" Type="http://schemas.openxmlformats.org/officeDocument/2006/relationships/hyperlink" Target="https://diadoc.kontur.ru/143bcbfb-a011-4791-9316-981158fa5552/Document/Show?letterId=b49a1828-3974-4ed6-9a40-2fda9ec7fbb0&amp;documentId=07ce2a4f-343c-40f9-9a28-0a009769d5ff" TargetMode="External"/><Relationship Id="rId242" Type="http://schemas.openxmlformats.org/officeDocument/2006/relationships/hyperlink" Target="https://diadoc.kontur.ru/143bcbfb-a011-4791-9316-981158fa5552/Document/Show?letterId=2783d019-de8c-42d9-a150-ba102089fa26&amp;documentId=bd34bef5-3746-490f-9d14-bbd10610f4d0" TargetMode="External"/><Relationship Id="rId120" Type="http://schemas.openxmlformats.org/officeDocument/2006/relationships/hyperlink" Target="https://diadoc.kontur.ru/143bcbfb-a011-4791-9316-981158fa5552/Document/Show?letterId=c46a189b-e484-4cc0-8ab2-ff8674bef22f&amp;documentId=b290cc96-d52c-48f8-a41e-c75eb0b20aa5" TargetMode="External"/><Relationship Id="rId241" Type="http://schemas.openxmlformats.org/officeDocument/2006/relationships/hyperlink" Target="https://diadoc.kontur.ru/143bcbfb-a011-4791-9316-981158fa5552/Document/Show?letterId=c5f90c63-27b2-49dd-a90a-78889d910179&amp;documentId=d62da887-2ee3-4d27-ad2c-a813cfbb4b19" TargetMode="External"/><Relationship Id="rId240" Type="http://schemas.openxmlformats.org/officeDocument/2006/relationships/hyperlink" Target="https://diadoc.kontur.ru/143bcbfb-a011-4791-9316-981158fa5552/Document/Show?letterId=3dededb3-772d-4665-a84f-20da9c0f3cc1&amp;documentId=ce2d2736-a486-4d27-9756-eb1db75494af" TargetMode="External"/><Relationship Id="rId125" Type="http://schemas.openxmlformats.org/officeDocument/2006/relationships/hyperlink" Target="https://diadoc.kontur.ru/143bcbfb-a011-4791-9316-981158fa5552/Document/Show?letterId=9935a173-8605-4f79-b580-9b9547ab0bbf&amp;documentId=b4c6085c-8a49-469a-8afd-33ce6cd1d5f9" TargetMode="External"/><Relationship Id="rId246" Type="http://schemas.openxmlformats.org/officeDocument/2006/relationships/hyperlink" Target="https://diadoc.kontur.ru/143bcbfb-a011-4791-9316-981158fa5552/Document/Show?letterId=5eaf7844-2b7c-4989-920b-fce928efadcd&amp;documentId=5a4b6839-73ae-47f0-90db-889f849da06a" TargetMode="External"/><Relationship Id="rId124" Type="http://schemas.openxmlformats.org/officeDocument/2006/relationships/hyperlink" Target="https://diadoc.kontur.ru/143bcbfb-a011-4791-9316-981158fa5552/Document/Show?letterId=d85b534d-b8d5-4905-9ed5-ddf9873a410d&amp;documentId=79fe69e4-9298-40fe-9926-4e3300fc0542" TargetMode="External"/><Relationship Id="rId245" Type="http://schemas.openxmlformats.org/officeDocument/2006/relationships/hyperlink" Target="https://diadoc.kontur.ru/143bcbfb-a011-4791-9316-981158fa5552/Document/Show?letterId=5eaf7844-2b7c-4989-920b-fce928efadcd&amp;documentId=b80ddf12-f79b-423c-b55d-125ab9a86376" TargetMode="External"/><Relationship Id="rId123" Type="http://schemas.openxmlformats.org/officeDocument/2006/relationships/hyperlink" Target="https://diadoc.kontur.ru/143bcbfb-a011-4791-9316-981158fa5552/Document/Show?letterId=cf09cc0b-0ca7-4a0e-9a02-d3f6fedc9cb1&amp;documentId=8639042d-354a-4d34-ab90-6006ca0aef67" TargetMode="External"/><Relationship Id="rId244" Type="http://schemas.openxmlformats.org/officeDocument/2006/relationships/hyperlink" Target="https://diadoc.kontur.ru/143bcbfb-a011-4791-9316-981158fa5552/Document/Show?letterId=e2b97922-76af-401c-8d71-8bae1543a67a&amp;documentId=8774184d-a367-4844-b220-322a5adb9e63" TargetMode="External"/><Relationship Id="rId122" Type="http://schemas.openxmlformats.org/officeDocument/2006/relationships/hyperlink" Target="https://diadoc.kontur.ru/143bcbfb-a011-4791-9316-981158fa5552/Document/Show?letterId=35dd29bf-725d-4ca5-8d80-926e2c52cadb&amp;documentId=45947bf5-99df-49e8-af10-938bff241bf9" TargetMode="External"/><Relationship Id="rId243" Type="http://schemas.openxmlformats.org/officeDocument/2006/relationships/hyperlink" Target="https://diadoc.kontur.ru/143bcbfb-a011-4791-9316-981158fa5552/Document/Show?letterId=054ff587-05b3-45b9-8389-cf04c897f569&amp;documentId=9db951fd-8df4-4d05-b3b9-85388a58a24a" TargetMode="External"/><Relationship Id="rId95" Type="http://schemas.openxmlformats.org/officeDocument/2006/relationships/hyperlink" Target="https://diadoc.kontur.ru/143bcbfb-a011-4791-9316-981158fa5552/Document/Show?letterId=4b1be2b5-ad2b-4ed3-8075-c4517c9e91c9&amp;documentId=6fd779bb-7495-461f-9a9a-d43969622536" TargetMode="External"/><Relationship Id="rId94" Type="http://schemas.openxmlformats.org/officeDocument/2006/relationships/hyperlink" Target="https://diadoc.kontur.ru/143bcbfb-a011-4791-9316-981158fa5552/Document/Show?letterId=a2a3f932-1979-4b39-862d-16225b713315&amp;documentId=92608520-e527-4b6d-bba6-b758010d05dc" TargetMode="External"/><Relationship Id="rId97" Type="http://schemas.openxmlformats.org/officeDocument/2006/relationships/hyperlink" Target="https://diadoc.kontur.ru/143bcbfb-a011-4791-9316-981158fa5552/Document/Show?letterId=8f156781-805a-4f5d-a676-48eb24e49807&amp;documentId=8b9a4ac2-0ec9-4874-860c-69766ce537d7" TargetMode="External"/><Relationship Id="rId96" Type="http://schemas.openxmlformats.org/officeDocument/2006/relationships/hyperlink" Target="https://diadoc.kontur.ru/143bcbfb-a011-4791-9316-981158fa5552/Document/Show?letterId=f5fb9fdb-c076-4afb-baac-0accedcb3fe5&amp;documentId=64556610-2253-4477-9535-5cf9883dc4df" TargetMode="External"/><Relationship Id="rId99" Type="http://schemas.openxmlformats.org/officeDocument/2006/relationships/hyperlink" Target="https://diadoc.kontur.ru/143bcbfb-a011-4791-9316-981158fa5552/Document/Show?letterId=25e9f75a-1116-45f8-9ae0-554d2645e925&amp;documentId=d6b4dbba-260f-4fb3-9d49-4d496a795a6d" TargetMode="External"/><Relationship Id="rId98" Type="http://schemas.openxmlformats.org/officeDocument/2006/relationships/hyperlink" Target="https://diadoc.kontur.ru/143bcbfb-a011-4791-9316-981158fa5552/Document/Show?letterId=3e873529-2cf2-4431-9611-840cf3bbe1a2&amp;documentId=6866c70c-f168-42e2-b35f-e03ae14f719f" TargetMode="External"/><Relationship Id="rId91" Type="http://schemas.openxmlformats.org/officeDocument/2006/relationships/hyperlink" Target="https://diadoc.kontur.ru/143bcbfb-a011-4791-9316-981158fa5552/Document/Show?letterId=0cb82d43-b1b0-4c70-8565-5ad6d84c96c2&amp;documentId=ca534d9e-515f-4c1a-934b-d354196f317d" TargetMode="External"/><Relationship Id="rId90" Type="http://schemas.openxmlformats.org/officeDocument/2006/relationships/hyperlink" Target="https://diadoc.kontur.ru/143bcbfb-a011-4791-9316-981158fa5552/Document/Show?letterId=037e704d-bbe5-4351-93f5-9a33e8866ea0&amp;documentId=18c53a17-ac58-40dc-8522-bcba73caa1f9" TargetMode="External"/><Relationship Id="rId93" Type="http://schemas.openxmlformats.org/officeDocument/2006/relationships/hyperlink" Target="https://diadoc.kontur.ru/143bcbfb-a011-4791-9316-981158fa5552/Document/Show?letterId=7310f358-cf37-4f8d-9b79-7ead123a9ad7&amp;documentId=34ca9a8f-ee70-48c2-bbe7-8a1d75dcd9e4" TargetMode="External"/><Relationship Id="rId92" Type="http://schemas.openxmlformats.org/officeDocument/2006/relationships/hyperlink" Target="https://diadoc.kontur.ru/143bcbfb-a011-4791-9316-981158fa5552/Document/Show?letterId=447740ce-1e56-4d1b-94e8-1c0a324cdeac&amp;documentId=85a48c9e-3f64-4138-9660-81361b459054" TargetMode="External"/><Relationship Id="rId118" Type="http://schemas.openxmlformats.org/officeDocument/2006/relationships/hyperlink" Target="https://diadoc.kontur.ru/143bcbfb-a011-4791-9316-981158fa5552/Document/Show?letterId=c36f07fe-de48-4a7c-ab9c-85eb134e9ddd&amp;documentId=1ac74539-1098-4241-b94a-a149322f1742" TargetMode="External"/><Relationship Id="rId239" Type="http://schemas.openxmlformats.org/officeDocument/2006/relationships/hyperlink" Target="https://diadoc.kontur.ru/143bcbfb-a011-4791-9316-981158fa5552/Document/Show?letterId=2c81fbe2-ef36-4d32-8292-d6b77555b8d6&amp;documentId=e6f85f72-d7a9-4d70-86a8-9a811f7b421e" TargetMode="External"/><Relationship Id="rId117" Type="http://schemas.openxmlformats.org/officeDocument/2006/relationships/hyperlink" Target="https://diadoc.kontur.ru/143bcbfb-a011-4791-9316-981158fa5552/Document/Show?letterId=47e5ca2b-0b76-47d9-85f5-449e08e2051d&amp;documentId=d3eed50e-a92d-4de7-9e2c-767028add8b2" TargetMode="External"/><Relationship Id="rId238" Type="http://schemas.openxmlformats.org/officeDocument/2006/relationships/hyperlink" Target="https://diadoc.kontur.ru/143bcbfb-a011-4791-9316-981158fa5552/Document/Show?letterId=f0deca9c-8ddd-41c5-9af5-bc8ecd3b320e&amp;documentId=07551aa6-6d4f-46ab-823c-7614c24a6547" TargetMode="External"/><Relationship Id="rId116" Type="http://schemas.openxmlformats.org/officeDocument/2006/relationships/hyperlink" Target="https://diadoc.kontur.ru/143bcbfb-a011-4791-9316-981158fa5552/Document/Show?letterId=06277629-e524-406b-b86b-131b157f1a75&amp;documentId=d9ce3a28-2577-4812-aa80-5db2f1aab249" TargetMode="External"/><Relationship Id="rId237" Type="http://schemas.openxmlformats.org/officeDocument/2006/relationships/hyperlink" Target="https://diadoc.kontur.ru/143bcbfb-a011-4791-9316-981158fa5552/Document/Show?letterId=f503bbf9-570e-4abf-98fc-226b6f39a740&amp;documentId=178ba51a-20c2-4486-b6e3-9fffb3a3fcca" TargetMode="External"/><Relationship Id="rId115" Type="http://schemas.openxmlformats.org/officeDocument/2006/relationships/hyperlink" Target="https://diadoc.kontur.ru/143bcbfb-a011-4791-9316-981158fa5552/Document/Show?letterId=150f36a9-4409-44e3-9d5f-92d03724d315&amp;documentId=123d7595-886e-4246-80a4-74579c4b8d97" TargetMode="External"/><Relationship Id="rId236" Type="http://schemas.openxmlformats.org/officeDocument/2006/relationships/hyperlink" Target="https://diadoc.kontur.ru/143bcbfb-a011-4791-9316-981158fa5552/Document/Show?letterId=0c82e0d1-bc33-40a7-9bc7-a549065d5542&amp;documentId=a65dce2d-17df-44d4-b711-32a8d560ca42" TargetMode="External"/><Relationship Id="rId119" Type="http://schemas.openxmlformats.org/officeDocument/2006/relationships/hyperlink" Target="https://diadoc.kontur.ru/143bcbfb-a011-4791-9316-981158fa5552/Document/Show?letterId=45d5a60d-a31b-45f3-9db4-58d980df2891&amp;documentId=9c25a73d-523e-462a-8d8b-d65ba45ccdd1" TargetMode="External"/><Relationship Id="rId110" Type="http://schemas.openxmlformats.org/officeDocument/2006/relationships/hyperlink" Target="https://diadoc.kontur.ru/143bcbfb-a011-4791-9316-981158fa5552/Document/Show?letterId=6bc326d9-2917-4c55-8f35-4b04ac8e9306&amp;documentId=13bb22c8-f314-4573-87d4-88e79e46e014" TargetMode="External"/><Relationship Id="rId231" Type="http://schemas.openxmlformats.org/officeDocument/2006/relationships/hyperlink" Target="https://diadoc.kontur.ru/143bcbfb-a011-4791-9316-981158fa5552/Document/Show?letterId=c6cbd1d4-e6f8-432a-984c-e7b3d31b0290&amp;documentId=104fb744-17b9-4701-ba3f-d5024e8cd55b" TargetMode="External"/><Relationship Id="rId230" Type="http://schemas.openxmlformats.org/officeDocument/2006/relationships/hyperlink" Target="https://diadoc.kontur.ru/143bcbfb-a011-4791-9316-981158fa5552/Document/Show?letterId=2609aeff-980c-444c-b93e-db240fc7047e&amp;documentId=ee904d8b-f306-44a2-8b43-ac6246defd6d" TargetMode="External"/><Relationship Id="rId114" Type="http://schemas.openxmlformats.org/officeDocument/2006/relationships/hyperlink" Target="https://diadoc.kontur.ru/143bcbfb-a011-4791-9316-981158fa5552/Document/Show?letterId=6e7a3112-af6a-4e62-af0a-e561785dabef&amp;documentId=4b9c82c5-e8cf-4310-8800-a6bb2c019a31" TargetMode="External"/><Relationship Id="rId235" Type="http://schemas.openxmlformats.org/officeDocument/2006/relationships/hyperlink" Target="https://diadoc.kontur.ru/143bcbfb-a011-4791-9316-981158fa5552/Document/Show?letterId=30035e51-43db-4535-ba13-f5641fe93966&amp;documentId=028f9a64-186d-4bce-adc0-a81368bfa169" TargetMode="External"/><Relationship Id="rId113" Type="http://schemas.openxmlformats.org/officeDocument/2006/relationships/hyperlink" Target="https://diadoc.kontur.ru/143bcbfb-a011-4791-9316-981158fa5552/Document/Show?letterId=e274b8b8-5015-498b-8639-b61e728c9f8b&amp;documentId=c8e900a0-70d9-4d7f-bf94-9efa38e656c9" TargetMode="External"/><Relationship Id="rId234" Type="http://schemas.openxmlformats.org/officeDocument/2006/relationships/hyperlink" Target="https://diadoc.kontur.ru/143bcbfb-a011-4791-9316-981158fa5552/Document/Show?letterId=d70e4cfb-c82d-4c45-b518-127b0540de62&amp;documentId=3a1fa4e2-fe89-4360-8d0f-b9ef5749dc96" TargetMode="External"/><Relationship Id="rId112" Type="http://schemas.openxmlformats.org/officeDocument/2006/relationships/hyperlink" Target="https://diadoc.kontur.ru/143bcbfb-a011-4791-9316-981158fa5552/Document/Show?letterId=704eeced-ed8f-46ab-8fdd-5277dd040481&amp;documentId=73f4ce6b-009c-4574-bae7-247058212d8d" TargetMode="External"/><Relationship Id="rId233" Type="http://schemas.openxmlformats.org/officeDocument/2006/relationships/hyperlink" Target="https://diadoc.kontur.ru/143bcbfb-a011-4791-9316-981158fa5552/Document/Show?letterId=993a066e-77b7-4c16-8501-ecd8dcfc23b6&amp;documentId=19b3c2e4-88e7-4e92-947e-49efdb5ef278" TargetMode="External"/><Relationship Id="rId111" Type="http://schemas.openxmlformats.org/officeDocument/2006/relationships/hyperlink" Target="https://diadoc.kontur.ru/143bcbfb-a011-4791-9316-981158fa5552/Document/Show?letterId=41b88459-1169-4773-97b0-eb7b55f7ae2c&amp;documentId=18b64079-0935-44ff-b815-d3f88ee6b875" TargetMode="External"/><Relationship Id="rId232" Type="http://schemas.openxmlformats.org/officeDocument/2006/relationships/hyperlink" Target="https://diadoc.kontur.ru/143bcbfb-a011-4791-9316-981158fa5552/Document/Show?letterId=3ce304ec-cbfd-4f19-836d-abff59299593&amp;documentId=bf0c1e44-371a-4a47-a50d-aa14755525ba" TargetMode="External"/><Relationship Id="rId305" Type="http://schemas.openxmlformats.org/officeDocument/2006/relationships/hyperlink" Target="https://diadoc.kontur.ru/143bcbfb-a011-4791-9316-981158fa5552/Document/Show?letterId=154be005-e688-4ec1-8e60-f77395473a6d&amp;documentId=b067a84f-e4d8-425f-a213-83f1d44fa8f3" TargetMode="External"/><Relationship Id="rId304" Type="http://schemas.openxmlformats.org/officeDocument/2006/relationships/hyperlink" Target="https://diadoc.kontur.ru/143bcbfb-a011-4791-9316-981158fa5552/Document/Show?letterId=515db942-a98b-4a0d-a7a5-e5870729c1e9&amp;documentId=267c9bf1-9b3c-4f4b-831f-2612128c7a09" TargetMode="External"/><Relationship Id="rId303" Type="http://schemas.openxmlformats.org/officeDocument/2006/relationships/hyperlink" Target="https://diadoc.kontur.ru/143bcbfb-a011-4791-9316-981158fa5552/Document/Show?letterId=817ec3b4-3c70-457c-8558-4ba8d947e336&amp;documentId=5e353021-e32c-46dd-8324-9e27258137e1" TargetMode="External"/><Relationship Id="rId302" Type="http://schemas.openxmlformats.org/officeDocument/2006/relationships/hyperlink" Target="https://diadoc.kontur.ru/143bcbfb-a011-4791-9316-981158fa5552/Document/Show?letterId=61e70252-c8a9-4506-b2cb-32259429c819&amp;documentId=26b9a91d-6a51-4c0e-9d41-91f7515a0f4c" TargetMode="External"/><Relationship Id="rId309" Type="http://schemas.openxmlformats.org/officeDocument/2006/relationships/hyperlink" Target="https://diadoc.kontur.ru/143bcbfb-a011-4791-9316-981158fa5552/Document/Show?letterId=b1377ed6-2469-45c0-9265-a8534a42a0d5&amp;documentId=58ae2b68-41e3-4404-b490-45597600916c" TargetMode="External"/><Relationship Id="rId308" Type="http://schemas.openxmlformats.org/officeDocument/2006/relationships/hyperlink" Target="https://diadoc.kontur.ru/143bcbfb-a011-4791-9316-981158fa5552/Document/Show?letterId=9ceeaa68-fe5e-4fb1-bd24-09f99a8ac461&amp;documentId=88550d99-b2ac-4cd8-a74a-83ab62dd6044" TargetMode="External"/><Relationship Id="rId307" Type="http://schemas.openxmlformats.org/officeDocument/2006/relationships/hyperlink" Target="https://diadoc.kontur.ru/143bcbfb-a011-4791-9316-981158fa5552/Document/Show?letterId=c5856917-9196-4263-b81e-712cadd76fd3&amp;documentId=18b964b0-bd1a-4f7f-adf1-1443068a5f33" TargetMode="External"/><Relationship Id="rId306" Type="http://schemas.openxmlformats.org/officeDocument/2006/relationships/hyperlink" Target="https://diadoc.kontur.ru/143bcbfb-a011-4791-9316-981158fa5552/Document/Show?letterId=9fe8ce22-13d1-47e7-a2bc-364da12a2fb2&amp;documentId=dfce7bdc-1b05-47d9-a7fe-e5f0bcbacefa" TargetMode="External"/><Relationship Id="rId301" Type="http://schemas.openxmlformats.org/officeDocument/2006/relationships/hyperlink" Target="https://diadoc.kontur.ru/143bcbfb-a011-4791-9316-981158fa5552/Document/Show?letterId=a9c323cb-8e0f-4f86-808c-7d31d5cf2948&amp;documentId=1f2ddb45-a5d4-4b7c-a61e-8832ff66b3a9" TargetMode="External"/><Relationship Id="rId300" Type="http://schemas.openxmlformats.org/officeDocument/2006/relationships/hyperlink" Target="https://diadoc.kontur.ru/143bcbfb-a011-4791-9316-981158fa5552/Document/Show?letterId=7fc23dd3-179a-4b87-98b4-2860584779df&amp;documentId=e17881a0-ba1d-4990-b474-c6671a467a7d" TargetMode="External"/><Relationship Id="rId206" Type="http://schemas.openxmlformats.org/officeDocument/2006/relationships/hyperlink" Target="https://diadoc.kontur.ru/143bcbfb-a011-4791-9316-981158fa5552/Document/Show?letterId=dd5a5c26-b8f9-4b7f-b0b7-aadfbeaa5904&amp;documentId=64c8f50c-f335-4d39-b068-7248736d2183" TargetMode="External"/><Relationship Id="rId327" Type="http://schemas.openxmlformats.org/officeDocument/2006/relationships/hyperlink" Target="https://diadoc.kontur.ru/143bcbfb-a011-4791-9316-981158fa5552/Document/Show?letterId=f0ac8d91-31f3-433f-bee8-420dff5dd6e1&amp;documentId=d4b4f450-7b45-4622-a59c-eac1bb7292fa" TargetMode="External"/><Relationship Id="rId205" Type="http://schemas.openxmlformats.org/officeDocument/2006/relationships/hyperlink" Target="https://diadoc.kontur.ru/143bcbfb-a011-4791-9316-981158fa5552/Document/Show?letterId=57ebe262-1fed-4c64-81e3-5335a5f44f34&amp;documentId=146a1a5d-612e-4cfe-ae1b-c718e4d2ac1a" TargetMode="External"/><Relationship Id="rId326" Type="http://schemas.openxmlformats.org/officeDocument/2006/relationships/hyperlink" Target="https://diadoc.kontur.ru/143bcbfb-a011-4791-9316-981158fa5552/Document/Show?letterId=310ea64b-e7e1-4da5-9da5-83d975ed42fc&amp;documentId=dfaabaef-08cb-40ab-9cc9-24217c12a558" TargetMode="External"/><Relationship Id="rId204" Type="http://schemas.openxmlformats.org/officeDocument/2006/relationships/hyperlink" Target="https://diadoc.kontur.ru/143bcbfb-a011-4791-9316-981158fa5552/Document/Show?letterId=11a2b728-e312-45d0-98a5-787cf976d436&amp;documentId=49194ed1-d87d-41ab-832c-4c33a46fd171" TargetMode="External"/><Relationship Id="rId325" Type="http://schemas.openxmlformats.org/officeDocument/2006/relationships/hyperlink" Target="https://diadoc.kontur.ru/143bcbfb-a011-4791-9316-981158fa5552/Document/Show?letterId=ef1bf757-e4b8-4b4b-bc4d-2e6443c8fada&amp;documentId=f4a5c8ce-d474-4ac8-a3df-b3f493a2cb4e" TargetMode="External"/><Relationship Id="rId203" Type="http://schemas.openxmlformats.org/officeDocument/2006/relationships/hyperlink" Target="https://diadoc.kontur.ru/143bcbfb-a011-4791-9316-981158fa5552/Document/Show?letterId=eafe18ec-ef5d-4162-9a80-6e63d26c2e2e&amp;documentId=fbf828d2-8f86-41d8-b997-cc6c75ae4630" TargetMode="External"/><Relationship Id="rId324" Type="http://schemas.openxmlformats.org/officeDocument/2006/relationships/hyperlink" Target="https://diadoc.kontur.ru/143bcbfb-a011-4791-9316-981158fa5552/Document/Show?letterId=e45194ea-5845-4b01-8e55-34162c61d984&amp;documentId=f530cbee-4b57-45d7-bebe-4c271899a841" TargetMode="External"/><Relationship Id="rId209" Type="http://schemas.openxmlformats.org/officeDocument/2006/relationships/hyperlink" Target="https://diadoc.kontur.ru/143bcbfb-a011-4791-9316-981158fa5552/Document/Show?letterId=ab886e17-85c4-4298-8217-7fa4d50ffced&amp;documentId=81716950-346c-4e02-b91f-ccf9b80a29b8" TargetMode="External"/><Relationship Id="rId208" Type="http://schemas.openxmlformats.org/officeDocument/2006/relationships/hyperlink" Target="https://diadoc.kontur.ru/143bcbfb-a011-4791-9316-981158fa5552/Document/Show?letterId=8e0cc3db-f1b9-41a2-aae8-b41849d9c6c0&amp;documentId=a99c3156-0832-4318-82de-200ad1fdc2b7" TargetMode="External"/><Relationship Id="rId329" Type="http://schemas.openxmlformats.org/officeDocument/2006/relationships/drawing" Target="../drawings/drawing12.xml"/><Relationship Id="rId207" Type="http://schemas.openxmlformats.org/officeDocument/2006/relationships/hyperlink" Target="https://diadoc.kontur.ru/143bcbfb-a011-4791-9316-981158fa5552/Document/Show?letterId=1207c285-044b-4f7f-b7be-e4d2cf10974f&amp;documentId=752bda27-ae3e-485b-9d3b-cf944ff6626e" TargetMode="External"/><Relationship Id="rId328" Type="http://schemas.openxmlformats.org/officeDocument/2006/relationships/hyperlink" Target="https://diadoc.kontur.ru/143bcbfb-a011-4791-9316-981158fa5552/Document/Show?letterId=384383b2-8003-40c4-8cec-72b8a52e0dbc&amp;documentId=f4c5f9e3-29f8-45f9-b2a3-8c099d0475ca" TargetMode="External"/><Relationship Id="rId202" Type="http://schemas.openxmlformats.org/officeDocument/2006/relationships/hyperlink" Target="https://diadoc.kontur.ru/143bcbfb-a011-4791-9316-981158fa5552/Document/Show?letterId=d4ef1a25-3da0-412b-82f2-8c1c2fe5d7ba&amp;documentId=f32eb8c3-e118-48da-b6c9-077226b6996a" TargetMode="External"/><Relationship Id="rId323" Type="http://schemas.openxmlformats.org/officeDocument/2006/relationships/hyperlink" Target="https://diadoc.kontur.ru/143bcbfb-a011-4791-9316-981158fa5552/Document/Show?letterId=5d93fe71-7a72-440c-86f3-f64b8cb8183d&amp;documentId=9c113cd6-c0eb-4b86-9006-054413711c03" TargetMode="External"/><Relationship Id="rId201" Type="http://schemas.openxmlformats.org/officeDocument/2006/relationships/hyperlink" Target="https://diadoc.kontur.ru/143bcbfb-a011-4791-9316-981158fa5552/Document/Show?letterId=2c9aed66-b9f3-48bf-a8aa-d2221638750d&amp;documentId=ea9f046d-cb97-41c6-8d5a-88810ca27ea6" TargetMode="External"/><Relationship Id="rId322" Type="http://schemas.openxmlformats.org/officeDocument/2006/relationships/hyperlink" Target="https://diadoc.kontur.ru/143bcbfb-a011-4791-9316-981158fa5552/Document/Show?letterId=24fd1603-e802-4b3b-9bb3-e848badd4e10&amp;documentId=364928cc-e611-44f7-9a69-c4af70c1815a" TargetMode="External"/><Relationship Id="rId200" Type="http://schemas.openxmlformats.org/officeDocument/2006/relationships/hyperlink" Target="https://diadoc.kontur.ru/143bcbfb-a011-4791-9316-981158fa5552/Document/Show?letterId=2883e681-04fb-4a93-ab71-e1d30f34093f&amp;documentId=77dd12a4-9fed-47ee-911a-868e2ef63a8c" TargetMode="External"/><Relationship Id="rId321" Type="http://schemas.openxmlformats.org/officeDocument/2006/relationships/hyperlink" Target="https://diadoc.kontur.ru/143bcbfb-a011-4791-9316-981158fa5552/Document/Show?letterId=840c9d6f-36a7-4081-9e28-0c47a099ff63&amp;documentId=9ed6230b-3ad9-4b39-a5b8-d68d03bb3662" TargetMode="External"/><Relationship Id="rId320" Type="http://schemas.openxmlformats.org/officeDocument/2006/relationships/hyperlink" Target="https://diadoc.kontur.ru/143bcbfb-a011-4791-9316-981158fa5552/Document/Show?letterId=31fb641a-de3f-4659-959b-0ae3dff9e547&amp;documentId=1c9c7a67-6f18-4443-9094-564bada06fcf" TargetMode="External"/><Relationship Id="rId316" Type="http://schemas.openxmlformats.org/officeDocument/2006/relationships/hyperlink" Target="https://diadoc.kontur.ru/143bcbfb-a011-4791-9316-981158fa5552/Document/Show?letterId=b44c2423-c84f-46d1-adcc-131244103b2e&amp;documentId=74f69ac8-40ff-44a1-9223-9c8618e53755" TargetMode="External"/><Relationship Id="rId315" Type="http://schemas.openxmlformats.org/officeDocument/2006/relationships/hyperlink" Target="https://diadoc.kontur.ru/143bcbfb-a011-4791-9316-981158fa5552/Document/Show?letterId=ed899ccd-2232-45db-a144-dcad56db8e7e&amp;documentId=41f5580e-67e4-4221-85b5-45087f709fc6" TargetMode="External"/><Relationship Id="rId314" Type="http://schemas.openxmlformats.org/officeDocument/2006/relationships/hyperlink" Target="https://diadoc.kontur.ru/143bcbfb-a011-4791-9316-981158fa5552/Document/Show?letterId=825cccaf-c321-49df-90f6-a064e1160cd3&amp;documentId=f498e7e3-3663-4678-b57f-7bc5684d9bd1" TargetMode="External"/><Relationship Id="rId313" Type="http://schemas.openxmlformats.org/officeDocument/2006/relationships/hyperlink" Target="https://diadoc.kontur.ru/143bcbfb-a011-4791-9316-981158fa5552/Document/Show?letterId=d9279394-7d96-4ce6-9eb3-c3326757947f&amp;documentId=a1fd0e84-4b35-4f2c-8946-787242a90bec" TargetMode="External"/><Relationship Id="rId319" Type="http://schemas.openxmlformats.org/officeDocument/2006/relationships/hyperlink" Target="https://diadoc.kontur.ru/143bcbfb-a011-4791-9316-981158fa5552/Document/Show?letterId=1547ce2e-09ef-479a-a996-9dcacd503375&amp;documentId=69067028-b9de-4987-83a5-441a758ac513" TargetMode="External"/><Relationship Id="rId318" Type="http://schemas.openxmlformats.org/officeDocument/2006/relationships/hyperlink" Target="https://diadoc.kontur.ru/143bcbfb-a011-4791-9316-981158fa5552/Document/Show?letterId=dcac5cf5-aa6c-48e2-a0b3-41e93a3df83b&amp;documentId=c9fc30da-628a-452a-bec5-0872bc9cb197" TargetMode="External"/><Relationship Id="rId317" Type="http://schemas.openxmlformats.org/officeDocument/2006/relationships/hyperlink" Target="https://diadoc.kontur.ru/143bcbfb-a011-4791-9316-981158fa5552/Document/Show?letterId=21553b03-ea50-4398-9085-8295819d48b6&amp;documentId=fd893793-d1e4-4b20-bf25-d7aaa4ea7713" TargetMode="External"/><Relationship Id="rId312" Type="http://schemas.openxmlformats.org/officeDocument/2006/relationships/hyperlink" Target="https://diadoc.kontur.ru/143bcbfb-a011-4791-9316-981158fa5552/Document/Show?letterId=5e407b51-c41d-42d8-acf8-4d912ce437a1&amp;documentId=c3bdac37-9b1c-4229-95c6-6f9dcf73c82c" TargetMode="External"/><Relationship Id="rId311" Type="http://schemas.openxmlformats.org/officeDocument/2006/relationships/hyperlink" Target="https://diadoc.kontur.ru/143bcbfb-a011-4791-9316-981158fa5552/Document/Show?letterId=342dc386-32e3-419c-bb98-34cf2da9fbfd&amp;documentId=794976b0-d3fd-40f2-a605-38f0f5db4bfd" TargetMode="External"/><Relationship Id="rId310" Type="http://schemas.openxmlformats.org/officeDocument/2006/relationships/hyperlink" Target="https://diadoc.kontur.ru/143bcbfb-a011-4791-9316-981158fa5552/Document/Show?letterId=ebb5bf81-43e6-4cb3-9eda-ab8df7e790f2&amp;documentId=5ce8f534-a14a-4f15-ba7e-c78a6ea27cd3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75"/>
  <cols>
    <col customWidth="1" min="1" max="1" width="17.57"/>
    <col customWidth="1" min="2" max="2" width="21.57"/>
    <col customWidth="1" min="3" max="3" width="23.86"/>
    <col customWidth="1" min="4" max="4" width="21.43"/>
    <col customWidth="1" min="5" max="5" width="19.43"/>
    <col customWidth="1" min="6" max="6" width="24.0"/>
    <col customWidth="1" min="7" max="7" width="18.43"/>
    <col customWidth="1" min="8" max="9" width="27.57"/>
    <col customWidth="1" min="10" max="10" width="39.0"/>
    <col customWidth="1" min="11" max="11" width="15.14"/>
    <col customWidth="1" min="12" max="12" width="12.29"/>
    <col customWidth="1" min="13" max="13" width="20.0"/>
    <col customWidth="1" min="14" max="14" width="17.71"/>
    <col customWidth="1" min="15" max="15" width="43.0"/>
  </cols>
  <sheetData>
    <row r="1" ht="28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 t="s">
        <v>4</v>
      </c>
      <c r="G1" s="7" t="s">
        <v>5</v>
      </c>
      <c r="H1" s="8" t="s">
        <v>6</v>
      </c>
      <c r="I1" s="9"/>
      <c r="J1" s="10">
        <f>I2+H2+G2-B2</f>
        <v>-471767.881</v>
      </c>
      <c r="K1" s="11"/>
      <c r="L1" s="11"/>
      <c r="M1" s="12">
        <v>1371350.0</v>
      </c>
      <c r="N1" s="13" t="s">
        <v>7</v>
      </c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ht="28.5" customHeight="1">
      <c r="A2" s="16"/>
      <c r="B2" s="17">
        <f>SUMIFS(C9:C2880, B9:B2880, "оплачено", E9:E2880, "&lt;&gt;наличные")-SUMIFS(D9:D2880, B9:B2880, "оплачено", E9:E2880, "&lt;&gt;наличные")</f>
        <v>2200319.341</v>
      </c>
      <c r="C2" s="18">
        <f>SUMIFS(C9:C2880, B9:B2880, "оплачено", E9:E2880, "наличные")-SUMIFS(D9:D2880, B9:B2880, "оплачено", E9:E2880, "наличные")</f>
        <v>140067.69</v>
      </c>
      <c r="D2" s="19">
        <f>B2+C2/0.76</f>
        <v>2384618.933</v>
      </c>
      <c r="E2" s="20"/>
      <c r="F2" s="21">
        <f>SUMIFS(C9:C2880, B9:B2880, "оплачено", E9:E2880, "АльфаБанк")-SUMIFS(D9:D2880, B9:B2880, "оплачено", E9:E2880, "АльфаБанк")+14204002.07-7200</f>
        <v>2188332.621</v>
      </c>
      <c r="G2" s="22">
        <f>SUMIFS(C9:C2880, B9:B2880, "оплачено", E9:E2880, "ОПТ Банк")-SUMIFS(D9:D2880, B9:B2880, "оплачено", E9:E2880, "ОПТ Банк")-14204002.07+7200</f>
        <v>9951.98</v>
      </c>
      <c r="H2" s="23">
        <f>SUMIFS(C9:C2880, B9:B2880, "оплачено", E9:E2880, "Совкомбанк")-SUMIFS(D9:D2880, B9:B2880, "оплачено", E9:E2880, "Совкомбанк")</f>
        <v>2034.74</v>
      </c>
      <c r="I2" s="24">
        <v>1716564.74</v>
      </c>
      <c r="J2" s="25">
        <f>J1*0.76</f>
        <v>-358543.5896</v>
      </c>
      <c r="K2" s="26">
        <f>C2-J2</f>
        <v>498611.2796</v>
      </c>
      <c r="L2" s="11"/>
      <c r="M2" s="11"/>
      <c r="N2" s="15"/>
      <c r="O2" s="14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ht="12.0" customHeight="1">
      <c r="A3" s="27"/>
      <c r="B3" s="28"/>
      <c r="C3" s="29"/>
      <c r="D3" s="29"/>
      <c r="E3" s="12"/>
      <c r="F3" s="30"/>
      <c r="G3" s="31"/>
      <c r="H3" s="31"/>
      <c r="I3" s="32"/>
      <c r="J3" s="33"/>
      <c r="K3" s="34"/>
      <c r="L3" s="34"/>
      <c r="M3" s="34"/>
      <c r="N3" s="1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</row>
    <row r="4" ht="28.5" customHeight="1">
      <c r="A4" s="37" t="s">
        <v>8</v>
      </c>
      <c r="B4" s="38" t="s">
        <v>9</v>
      </c>
      <c r="C4" s="39" t="s">
        <v>10</v>
      </c>
      <c r="D4" s="40" t="s">
        <v>11</v>
      </c>
      <c r="E4" s="41"/>
      <c r="F4" s="41"/>
      <c r="G4" s="31"/>
      <c r="H4" s="31"/>
      <c r="I4" s="42"/>
      <c r="J4" s="43"/>
      <c r="K4" s="11"/>
      <c r="L4" s="12"/>
      <c r="M4" s="12">
        <v>1042062.56</v>
      </c>
      <c r="N4" s="15"/>
      <c r="O4" s="14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ht="28.5" customHeight="1">
      <c r="A5" s="16"/>
      <c r="B5" s="44">
        <f>SUMIF($B$9:$B$5935,"План поступлений",$C$9:$C$5935)</f>
        <v>69238563.56</v>
      </c>
      <c r="C5" s="45">
        <f>SUMIF($B$9:$B$5935,"план оплат",$D$9:$D$5935)</f>
        <v>60161515.52</v>
      </c>
      <c r="D5" s="46">
        <f>B5-C5+D2</f>
        <v>11461666.97</v>
      </c>
      <c r="E5" s="41"/>
      <c r="G5" s="47"/>
      <c r="H5" s="47"/>
      <c r="I5" s="42"/>
      <c r="J5" s="43">
        <v>3000000.0</v>
      </c>
      <c r="K5" s="11"/>
      <c r="L5" s="11"/>
      <c r="M5" s="48">
        <f>M4-905882.4</f>
        <v>136180.16</v>
      </c>
      <c r="N5" s="15"/>
      <c r="O5" s="14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ht="14.25" customHeight="1">
      <c r="A6" s="41"/>
      <c r="B6" s="49"/>
      <c r="C6" s="50"/>
      <c r="D6" s="50"/>
      <c r="E6" s="41"/>
      <c r="F6" s="41"/>
      <c r="G6" s="50"/>
      <c r="H6" s="51"/>
      <c r="I6" s="42"/>
      <c r="J6" s="43"/>
      <c r="K6" s="11"/>
      <c r="L6" s="11"/>
      <c r="M6" s="11"/>
      <c r="N6" s="15"/>
      <c r="O6" s="14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ht="11.25" customHeight="1">
      <c r="A7" s="41"/>
      <c r="B7" s="49"/>
      <c r="C7" s="50"/>
      <c r="D7" s="50"/>
      <c r="E7" s="41"/>
      <c r="F7" s="41"/>
      <c r="G7" s="52"/>
      <c r="H7" s="50"/>
      <c r="I7" s="42"/>
      <c r="J7" s="43"/>
      <c r="K7" s="11"/>
      <c r="L7" s="11"/>
      <c r="M7" s="11"/>
      <c r="N7" s="15"/>
      <c r="O7" s="14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ht="22.5" customHeight="1">
      <c r="A8" s="53" t="s">
        <v>12</v>
      </c>
      <c r="B8" s="54" t="s">
        <v>13</v>
      </c>
      <c r="C8" s="55" t="s">
        <v>14</v>
      </c>
      <c r="D8" s="55" t="s">
        <v>15</v>
      </c>
      <c r="E8" s="56" t="s">
        <v>16</v>
      </c>
      <c r="F8" s="56" t="s">
        <v>17</v>
      </c>
      <c r="G8" s="55" t="s">
        <v>18</v>
      </c>
      <c r="H8" s="55" t="s">
        <v>19</v>
      </c>
      <c r="I8" s="57" t="s">
        <v>20</v>
      </c>
      <c r="J8" s="58" t="s">
        <v>21</v>
      </c>
      <c r="K8" s="53" t="s">
        <v>22</v>
      </c>
      <c r="L8" s="53" t="s">
        <v>23</v>
      </c>
      <c r="M8" s="53" t="s">
        <v>24</v>
      </c>
      <c r="N8" s="59" t="s">
        <v>25</v>
      </c>
      <c r="O8" s="60" t="s">
        <v>26</v>
      </c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</row>
    <row r="9" ht="17.25" customHeight="1">
      <c r="A9" s="62">
        <v>45132.0</v>
      </c>
      <c r="B9" s="63" t="s">
        <v>27</v>
      </c>
      <c r="C9" s="64"/>
      <c r="D9" s="65">
        <v>20970.0</v>
      </c>
      <c r="E9" s="66" t="s">
        <v>28</v>
      </c>
      <c r="F9" s="67" t="s">
        <v>29</v>
      </c>
      <c r="G9" s="68">
        <v>0.0</v>
      </c>
      <c r="H9" s="69">
        <f t="shared" ref="H9:H203" si="1">SUM(C9:D9)*G9/(G9+100)</f>
        <v>0</v>
      </c>
      <c r="I9" s="70" t="s">
        <v>30</v>
      </c>
      <c r="J9" s="71" t="s">
        <v>31</v>
      </c>
      <c r="K9" s="71"/>
      <c r="L9" s="71"/>
      <c r="M9" s="71"/>
      <c r="N9" s="72"/>
      <c r="O9" s="73" t="s">
        <v>32</v>
      </c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</row>
    <row r="10" ht="17.25" customHeight="1">
      <c r="A10" s="62">
        <v>45141.0</v>
      </c>
      <c r="B10" s="63" t="s">
        <v>27</v>
      </c>
      <c r="C10" s="64"/>
      <c r="D10" s="65">
        <v>1150.0</v>
      </c>
      <c r="E10" s="66" t="s">
        <v>33</v>
      </c>
      <c r="F10" s="67" t="s">
        <v>34</v>
      </c>
      <c r="G10" s="68">
        <v>0.0</v>
      </c>
      <c r="H10" s="69">
        <f t="shared" si="1"/>
        <v>0</v>
      </c>
      <c r="I10" s="70" t="s">
        <v>35</v>
      </c>
      <c r="J10" s="75"/>
      <c r="K10" s="71"/>
      <c r="L10" s="71"/>
      <c r="M10" s="71"/>
      <c r="N10" s="72"/>
      <c r="O10" s="73" t="s">
        <v>36</v>
      </c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</row>
    <row r="11" ht="17.25" customHeight="1">
      <c r="A11" s="62">
        <v>45154.0</v>
      </c>
      <c r="B11" s="63" t="s">
        <v>27</v>
      </c>
      <c r="C11" s="64"/>
      <c r="D11" s="65">
        <v>1070.0</v>
      </c>
      <c r="E11" s="66" t="s">
        <v>33</v>
      </c>
      <c r="F11" s="67" t="s">
        <v>34</v>
      </c>
      <c r="G11" s="68">
        <v>0.0</v>
      </c>
      <c r="H11" s="69">
        <f t="shared" si="1"/>
        <v>0</v>
      </c>
      <c r="I11" s="70" t="s">
        <v>35</v>
      </c>
      <c r="J11" s="75"/>
      <c r="K11" s="71"/>
      <c r="L11" s="71"/>
      <c r="M11" s="71"/>
      <c r="N11" s="72"/>
      <c r="O11" s="73" t="s">
        <v>36</v>
      </c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</row>
    <row r="12" ht="17.25" customHeight="1">
      <c r="A12" s="62">
        <v>45162.0</v>
      </c>
      <c r="B12" s="63" t="s">
        <v>27</v>
      </c>
      <c r="C12" s="65">
        <v>93672.0</v>
      </c>
      <c r="D12" s="64"/>
      <c r="E12" s="66" t="s">
        <v>28</v>
      </c>
      <c r="F12" s="67" t="s">
        <v>34</v>
      </c>
      <c r="G12" s="68">
        <v>20.0</v>
      </c>
      <c r="H12" s="69">
        <f t="shared" si="1"/>
        <v>15612</v>
      </c>
      <c r="I12" s="76" t="s">
        <v>37</v>
      </c>
      <c r="J12" s="71" t="s">
        <v>38</v>
      </c>
      <c r="K12" s="71"/>
      <c r="L12" s="71"/>
      <c r="M12" s="71"/>
      <c r="N12" s="72">
        <f t="shared" ref="N12:N13" si="2">A12-IF(M12&gt;0,M12,A12)</f>
        <v>0</v>
      </c>
      <c r="O12" s="73" t="s">
        <v>39</v>
      </c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</row>
    <row r="13" ht="17.25" customHeight="1">
      <c r="A13" s="62">
        <v>45167.0</v>
      </c>
      <c r="B13" s="63" t="s">
        <v>27</v>
      </c>
      <c r="C13" s="65">
        <v>1404000.0</v>
      </c>
      <c r="D13" s="64"/>
      <c r="E13" s="66" t="s">
        <v>28</v>
      </c>
      <c r="F13" s="67" t="s">
        <v>34</v>
      </c>
      <c r="G13" s="68">
        <v>20.0</v>
      </c>
      <c r="H13" s="69">
        <f t="shared" si="1"/>
        <v>234000</v>
      </c>
      <c r="I13" s="76" t="s">
        <v>37</v>
      </c>
      <c r="J13" s="71" t="s">
        <v>40</v>
      </c>
      <c r="K13" s="71"/>
      <c r="L13" s="71"/>
      <c r="M13" s="71"/>
      <c r="N13" s="72">
        <f t="shared" si="2"/>
        <v>0</v>
      </c>
      <c r="O13" s="73" t="s">
        <v>41</v>
      </c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</row>
    <row r="14" ht="17.25" customHeight="1">
      <c r="A14" s="62">
        <v>45170.0</v>
      </c>
      <c r="B14" s="63" t="s">
        <v>27</v>
      </c>
      <c r="C14" s="65"/>
      <c r="D14" s="65">
        <v>60000.0</v>
      </c>
      <c r="E14" s="66" t="s">
        <v>33</v>
      </c>
      <c r="F14" s="77"/>
      <c r="G14" s="68">
        <v>0.0</v>
      </c>
      <c r="H14" s="69">
        <f t="shared" si="1"/>
        <v>0</v>
      </c>
      <c r="I14" s="70" t="s">
        <v>35</v>
      </c>
      <c r="J14" s="75"/>
      <c r="K14" s="71"/>
      <c r="L14" s="71"/>
      <c r="M14" s="71"/>
      <c r="N14" s="72"/>
      <c r="O14" s="73" t="s">
        <v>42</v>
      </c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</row>
    <row r="15" ht="17.25" customHeight="1">
      <c r="A15" s="62">
        <v>45170.0</v>
      </c>
      <c r="B15" s="63" t="s">
        <v>27</v>
      </c>
      <c r="C15" s="65"/>
      <c r="D15" s="65">
        <v>28000.0</v>
      </c>
      <c r="E15" s="66" t="s">
        <v>33</v>
      </c>
      <c r="F15" s="77"/>
      <c r="G15" s="68">
        <v>0.0</v>
      </c>
      <c r="H15" s="69">
        <f t="shared" si="1"/>
        <v>0</v>
      </c>
      <c r="I15" s="70" t="s">
        <v>35</v>
      </c>
      <c r="J15" s="75"/>
      <c r="K15" s="71"/>
      <c r="L15" s="71"/>
      <c r="M15" s="71"/>
      <c r="N15" s="72"/>
      <c r="O15" s="73" t="s">
        <v>43</v>
      </c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</row>
    <row r="16" ht="17.25" customHeight="1">
      <c r="A16" s="62">
        <v>45173.0</v>
      </c>
      <c r="B16" s="63" t="s">
        <v>27</v>
      </c>
      <c r="C16" s="64"/>
      <c r="D16" s="65">
        <v>10.0</v>
      </c>
      <c r="E16" s="66" t="s">
        <v>28</v>
      </c>
      <c r="F16" s="77"/>
      <c r="G16" s="68">
        <v>0.0</v>
      </c>
      <c r="H16" s="69">
        <f t="shared" si="1"/>
        <v>0</v>
      </c>
      <c r="I16" s="76" t="s">
        <v>44</v>
      </c>
      <c r="J16" s="71" t="s">
        <v>45</v>
      </c>
      <c r="K16" s="71"/>
      <c r="L16" s="71"/>
      <c r="M16" s="71"/>
      <c r="N16" s="72"/>
      <c r="O16" s="73" t="s">
        <v>46</v>
      </c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</row>
    <row r="17" ht="17.25" customHeight="1">
      <c r="A17" s="78">
        <v>45176.0</v>
      </c>
      <c r="B17" s="63" t="s">
        <v>27</v>
      </c>
      <c r="C17" s="79"/>
      <c r="D17" s="80">
        <v>875000.0</v>
      </c>
      <c r="E17" s="66" t="s">
        <v>28</v>
      </c>
      <c r="F17" s="67"/>
      <c r="G17" s="68">
        <v>20.0</v>
      </c>
      <c r="H17" s="69">
        <f t="shared" si="1"/>
        <v>145833.3333</v>
      </c>
      <c r="I17" s="76" t="s">
        <v>47</v>
      </c>
      <c r="J17" s="81"/>
      <c r="K17" s="82"/>
      <c r="L17" s="82"/>
      <c r="M17" s="82"/>
      <c r="N17" s="72"/>
      <c r="O17" s="83" t="s">
        <v>48</v>
      </c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</row>
    <row r="18" ht="17.25" customHeight="1">
      <c r="A18" s="78">
        <v>45176.0</v>
      </c>
      <c r="B18" s="63" t="s">
        <v>27</v>
      </c>
      <c r="C18" s="80">
        <v>630000.0</v>
      </c>
      <c r="D18" s="80"/>
      <c r="E18" s="66" t="s">
        <v>33</v>
      </c>
      <c r="F18" s="84" t="s">
        <v>48</v>
      </c>
      <c r="G18" s="68">
        <v>0.0</v>
      </c>
      <c r="H18" s="69">
        <f t="shared" si="1"/>
        <v>0</v>
      </c>
      <c r="I18" s="76" t="s">
        <v>47</v>
      </c>
      <c r="J18" s="81"/>
      <c r="K18" s="82"/>
      <c r="L18" s="82"/>
      <c r="M18" s="82"/>
      <c r="N18" s="72"/>
      <c r="O18" s="83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</row>
    <row r="19" ht="17.25" customHeight="1">
      <c r="A19" s="78">
        <v>45176.0</v>
      </c>
      <c r="B19" s="63" t="s">
        <v>27</v>
      </c>
      <c r="C19" s="79"/>
      <c r="D19" s="80">
        <v>630000.0</v>
      </c>
      <c r="E19" s="66" t="s">
        <v>33</v>
      </c>
      <c r="F19" s="77"/>
      <c r="G19" s="68">
        <v>0.0</v>
      </c>
      <c r="H19" s="69">
        <f t="shared" si="1"/>
        <v>0</v>
      </c>
      <c r="I19" s="85"/>
      <c r="J19" s="71" t="s">
        <v>49</v>
      </c>
      <c r="K19" s="82"/>
      <c r="L19" s="82"/>
      <c r="M19" s="82"/>
      <c r="N19" s="72"/>
      <c r="O19" s="83" t="s">
        <v>50</v>
      </c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</row>
    <row r="20" ht="17.25" customHeight="1">
      <c r="A20" s="86">
        <v>45198.0</v>
      </c>
      <c r="B20" s="63" t="s">
        <v>27</v>
      </c>
      <c r="C20" s="80">
        <v>1176000.0</v>
      </c>
      <c r="D20" s="79"/>
      <c r="E20" s="66" t="s">
        <v>28</v>
      </c>
      <c r="F20" s="67" t="s">
        <v>51</v>
      </c>
      <c r="G20" s="68">
        <v>20.0</v>
      </c>
      <c r="H20" s="69">
        <f t="shared" si="1"/>
        <v>196000</v>
      </c>
      <c r="I20" s="76" t="s">
        <v>37</v>
      </c>
      <c r="J20" s="71" t="s">
        <v>49</v>
      </c>
      <c r="K20" s="82"/>
      <c r="L20" s="82"/>
      <c r="M20" s="82"/>
      <c r="N20" s="72">
        <f>A20-IF(M20&gt;0,M20,A20)</f>
        <v>0</v>
      </c>
      <c r="O20" s="83" t="s">
        <v>52</v>
      </c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</row>
    <row r="21" ht="17.25" customHeight="1">
      <c r="A21" s="86">
        <v>45203.0</v>
      </c>
      <c r="B21" s="63" t="s">
        <v>27</v>
      </c>
      <c r="C21" s="79"/>
      <c r="D21" s="80">
        <v>50750.0</v>
      </c>
      <c r="E21" s="66" t="s">
        <v>33</v>
      </c>
      <c r="F21" s="67"/>
      <c r="G21" s="68">
        <v>0.0</v>
      </c>
      <c r="H21" s="69">
        <f t="shared" si="1"/>
        <v>0</v>
      </c>
      <c r="I21" s="76" t="s">
        <v>53</v>
      </c>
      <c r="J21" s="87" t="s">
        <v>54</v>
      </c>
      <c r="K21" s="82"/>
      <c r="L21" s="82"/>
      <c r="M21" s="82"/>
      <c r="N21" s="72"/>
      <c r="O21" s="83" t="s">
        <v>55</v>
      </c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</row>
    <row r="22" ht="17.25" customHeight="1">
      <c r="A22" s="86">
        <v>45203.0</v>
      </c>
      <c r="B22" s="63" t="s">
        <v>27</v>
      </c>
      <c r="C22" s="79"/>
      <c r="D22" s="80">
        <v>17255.0</v>
      </c>
      <c r="E22" s="66" t="s">
        <v>33</v>
      </c>
      <c r="F22" s="77"/>
      <c r="G22" s="68">
        <v>0.0</v>
      </c>
      <c r="H22" s="69">
        <f t="shared" si="1"/>
        <v>0</v>
      </c>
      <c r="I22" s="76" t="s">
        <v>53</v>
      </c>
      <c r="J22" s="87" t="s">
        <v>56</v>
      </c>
      <c r="K22" s="82"/>
      <c r="L22" s="82"/>
      <c r="M22" s="82"/>
      <c r="N22" s="72"/>
      <c r="O22" s="83" t="s">
        <v>57</v>
      </c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</row>
    <row r="23" ht="17.25" customHeight="1">
      <c r="A23" s="86">
        <v>45203.0</v>
      </c>
      <c r="B23" s="63" t="s">
        <v>27</v>
      </c>
      <c r="C23" s="80">
        <v>56952.0</v>
      </c>
      <c r="D23" s="79"/>
      <c r="E23" s="66" t="s">
        <v>28</v>
      </c>
      <c r="F23" s="67" t="s">
        <v>51</v>
      </c>
      <c r="G23" s="68">
        <v>20.0</v>
      </c>
      <c r="H23" s="69">
        <f t="shared" si="1"/>
        <v>9492</v>
      </c>
      <c r="I23" s="76" t="s">
        <v>37</v>
      </c>
      <c r="J23" s="81"/>
      <c r="K23" s="82"/>
      <c r="L23" s="82"/>
      <c r="M23" s="82"/>
      <c r="N23" s="72">
        <f>A23-IF(M23&gt;0,M23,A23)</f>
        <v>0</v>
      </c>
      <c r="O23" s="83" t="s">
        <v>58</v>
      </c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</row>
    <row r="24" ht="17.25" customHeight="1">
      <c r="A24" s="86">
        <v>45203.0</v>
      </c>
      <c r="B24" s="63" t="s">
        <v>27</v>
      </c>
      <c r="C24" s="80"/>
      <c r="D24" s="80">
        <v>23730.0</v>
      </c>
      <c r="E24" s="66" t="s">
        <v>28</v>
      </c>
      <c r="F24" s="77"/>
      <c r="G24" s="68">
        <v>20.0</v>
      </c>
      <c r="H24" s="69">
        <f t="shared" si="1"/>
        <v>3955</v>
      </c>
      <c r="I24" s="70" t="s">
        <v>35</v>
      </c>
      <c r="J24" s="81"/>
      <c r="K24" s="82"/>
      <c r="L24" s="82"/>
      <c r="M24" s="82"/>
      <c r="N24" s="72"/>
      <c r="O24" s="83" t="s">
        <v>59</v>
      </c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</row>
    <row r="25" ht="17.25" customHeight="1">
      <c r="A25" s="86">
        <v>45203.0</v>
      </c>
      <c r="B25" s="63" t="s">
        <v>27</v>
      </c>
      <c r="C25" s="79"/>
      <c r="D25" s="80">
        <v>39030.0</v>
      </c>
      <c r="E25" s="66" t="s">
        <v>28</v>
      </c>
      <c r="F25" s="77"/>
      <c r="G25" s="68">
        <v>20.0</v>
      </c>
      <c r="H25" s="69">
        <f t="shared" si="1"/>
        <v>6505</v>
      </c>
      <c r="I25" s="70" t="s">
        <v>35</v>
      </c>
      <c r="J25" s="81"/>
      <c r="K25" s="82"/>
      <c r="L25" s="82"/>
      <c r="M25" s="82"/>
      <c r="N25" s="72"/>
      <c r="O25" s="83" t="s">
        <v>60</v>
      </c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</row>
    <row r="26" ht="17.25" customHeight="1">
      <c r="A26" s="78">
        <v>45211.0</v>
      </c>
      <c r="B26" s="63" t="s">
        <v>27</v>
      </c>
      <c r="C26" s="79"/>
      <c r="D26" s="80">
        <v>722222.0</v>
      </c>
      <c r="E26" s="66" t="s">
        <v>28</v>
      </c>
      <c r="F26" s="77"/>
      <c r="G26" s="68">
        <v>20.0</v>
      </c>
      <c r="H26" s="69">
        <f t="shared" si="1"/>
        <v>120370.3333</v>
      </c>
      <c r="I26" s="76" t="s">
        <v>47</v>
      </c>
      <c r="J26" s="81"/>
      <c r="K26" s="82"/>
      <c r="L26" s="82"/>
      <c r="M26" s="82"/>
      <c r="N26" s="72"/>
      <c r="O26" s="83" t="s">
        <v>48</v>
      </c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</row>
    <row r="27" ht="17.25" customHeight="1">
      <c r="A27" s="78">
        <v>45211.0</v>
      </c>
      <c r="B27" s="63" t="s">
        <v>27</v>
      </c>
      <c r="C27" s="79">
        <v>519999.83999999997</v>
      </c>
      <c r="D27" s="80"/>
      <c r="E27" s="66" t="s">
        <v>33</v>
      </c>
      <c r="F27" s="84" t="s">
        <v>48</v>
      </c>
      <c r="G27" s="68">
        <v>0.0</v>
      </c>
      <c r="H27" s="69">
        <f t="shared" si="1"/>
        <v>0</v>
      </c>
      <c r="I27" s="76" t="s">
        <v>47</v>
      </c>
      <c r="J27" s="81"/>
      <c r="K27" s="82"/>
      <c r="L27" s="82"/>
      <c r="M27" s="82"/>
      <c r="N27" s="72"/>
      <c r="O27" s="83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</row>
    <row r="28" ht="17.25" customHeight="1">
      <c r="A28" s="86">
        <v>45211.0</v>
      </c>
      <c r="B28" s="63" t="s">
        <v>27</v>
      </c>
      <c r="C28" s="79"/>
      <c r="D28" s="80">
        <v>520000.0</v>
      </c>
      <c r="E28" s="66" t="s">
        <v>33</v>
      </c>
      <c r="F28" s="67"/>
      <c r="G28" s="68">
        <v>0.0</v>
      </c>
      <c r="H28" s="69">
        <f t="shared" si="1"/>
        <v>0</v>
      </c>
      <c r="I28" s="85"/>
      <c r="J28" s="71" t="s">
        <v>49</v>
      </c>
      <c r="K28" s="82"/>
      <c r="L28" s="82"/>
      <c r="M28" s="82"/>
      <c r="N28" s="72"/>
      <c r="O28" s="83" t="s">
        <v>50</v>
      </c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</row>
    <row r="29" ht="17.25" customHeight="1">
      <c r="A29" s="86">
        <v>45216.0</v>
      </c>
      <c r="B29" s="63" t="s">
        <v>27</v>
      </c>
      <c r="C29" s="80"/>
      <c r="D29" s="80">
        <v>1090.0</v>
      </c>
      <c r="E29" s="66" t="s">
        <v>33</v>
      </c>
      <c r="F29" s="77"/>
      <c r="G29" s="68">
        <v>0.0</v>
      </c>
      <c r="H29" s="69">
        <f t="shared" si="1"/>
        <v>0</v>
      </c>
      <c r="I29" s="88"/>
      <c r="J29" s="81"/>
      <c r="K29" s="71"/>
      <c r="L29" s="71"/>
      <c r="M29" s="71"/>
      <c r="N29" s="72"/>
      <c r="O29" s="73" t="s">
        <v>36</v>
      </c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</row>
    <row r="30" ht="17.25" customHeight="1">
      <c r="A30" s="86">
        <v>45217.0</v>
      </c>
      <c r="B30" s="63" t="s">
        <v>27</v>
      </c>
      <c r="C30" s="79"/>
      <c r="D30" s="80">
        <v>97996.24</v>
      </c>
      <c r="E30" s="66" t="s">
        <v>28</v>
      </c>
      <c r="F30" s="77"/>
      <c r="G30" s="68">
        <v>0.0</v>
      </c>
      <c r="H30" s="69">
        <f t="shared" si="1"/>
        <v>0</v>
      </c>
      <c r="I30" s="89" t="s">
        <v>61</v>
      </c>
      <c r="J30" s="87" t="s">
        <v>62</v>
      </c>
      <c r="K30" s="82"/>
      <c r="L30" s="82"/>
      <c r="M30" s="82"/>
      <c r="N30" s="72"/>
      <c r="O30" s="83" t="s">
        <v>63</v>
      </c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</row>
    <row r="31" ht="17.25" customHeight="1">
      <c r="A31" s="86">
        <v>45217.0</v>
      </c>
      <c r="B31" s="63" t="s">
        <v>27</v>
      </c>
      <c r="C31" s="79"/>
      <c r="D31" s="80">
        <v>5000.0</v>
      </c>
      <c r="E31" s="66" t="s">
        <v>28</v>
      </c>
      <c r="F31" s="77"/>
      <c r="G31" s="68">
        <v>20.0</v>
      </c>
      <c r="H31" s="69">
        <f t="shared" si="1"/>
        <v>833.3333333</v>
      </c>
      <c r="I31" s="76" t="s">
        <v>44</v>
      </c>
      <c r="J31" s="87" t="s">
        <v>45</v>
      </c>
      <c r="K31" s="82"/>
      <c r="L31" s="82"/>
      <c r="M31" s="82"/>
      <c r="N31" s="72"/>
      <c r="O31" s="83" t="s">
        <v>64</v>
      </c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</row>
    <row r="32" ht="17.25" customHeight="1">
      <c r="A32" s="78">
        <v>45217.0</v>
      </c>
      <c r="B32" s="63" t="s">
        <v>27</v>
      </c>
      <c r="C32" s="79"/>
      <c r="D32" s="79">
        <v>326388.8888888889</v>
      </c>
      <c r="E32" s="66" t="s">
        <v>28</v>
      </c>
      <c r="F32" s="67"/>
      <c r="G32" s="68">
        <v>20.0</v>
      </c>
      <c r="H32" s="69">
        <f t="shared" si="1"/>
        <v>54398.14815</v>
      </c>
      <c r="I32" s="76" t="s">
        <v>47</v>
      </c>
      <c r="J32" s="90"/>
      <c r="K32" s="91"/>
      <c r="L32" s="91"/>
      <c r="M32" s="91"/>
      <c r="N32" s="72"/>
      <c r="O32" s="83" t="s">
        <v>48</v>
      </c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</row>
    <row r="33" ht="17.25" customHeight="1">
      <c r="A33" s="78">
        <v>45217.0</v>
      </c>
      <c r="B33" s="63" t="s">
        <v>27</v>
      </c>
      <c r="C33" s="80">
        <v>235000.0</v>
      </c>
      <c r="D33" s="79"/>
      <c r="E33" s="66" t="s">
        <v>33</v>
      </c>
      <c r="F33" s="84" t="s">
        <v>48</v>
      </c>
      <c r="G33" s="68">
        <v>0.0</v>
      </c>
      <c r="H33" s="69">
        <f t="shared" si="1"/>
        <v>0</v>
      </c>
      <c r="I33" s="89" t="s">
        <v>47</v>
      </c>
      <c r="J33" s="90"/>
      <c r="K33" s="91"/>
      <c r="L33" s="91"/>
      <c r="M33" s="91"/>
      <c r="N33" s="72"/>
      <c r="O33" s="83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</row>
    <row r="34" ht="17.25" customHeight="1">
      <c r="A34" s="86">
        <v>45217.0</v>
      </c>
      <c r="B34" s="63" t="s">
        <v>27</v>
      </c>
      <c r="C34" s="79"/>
      <c r="D34" s="80">
        <v>68729.86</v>
      </c>
      <c r="E34" s="66" t="s">
        <v>28</v>
      </c>
      <c r="F34" s="77"/>
      <c r="G34" s="68">
        <v>20.0</v>
      </c>
      <c r="H34" s="69">
        <f t="shared" si="1"/>
        <v>11454.97667</v>
      </c>
      <c r="I34" s="89" t="s">
        <v>65</v>
      </c>
      <c r="J34" s="87" t="s">
        <v>66</v>
      </c>
      <c r="K34" s="92"/>
      <c r="L34" s="92"/>
      <c r="M34" s="92"/>
      <c r="N34" s="72"/>
      <c r="O34" s="93">
        <v>0.02</v>
      </c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</row>
    <row r="35" ht="17.25" customHeight="1">
      <c r="A35" s="86">
        <v>45217.0</v>
      </c>
      <c r="B35" s="63" t="s">
        <v>27</v>
      </c>
      <c r="C35" s="79"/>
      <c r="D35" s="80">
        <v>5000.0</v>
      </c>
      <c r="E35" s="66" t="s">
        <v>28</v>
      </c>
      <c r="F35" s="77"/>
      <c r="G35" s="68">
        <v>20.0</v>
      </c>
      <c r="H35" s="69">
        <f t="shared" si="1"/>
        <v>833.3333333</v>
      </c>
      <c r="I35" s="76" t="s">
        <v>44</v>
      </c>
      <c r="J35" s="87" t="s">
        <v>45</v>
      </c>
      <c r="K35" s="82"/>
      <c r="L35" s="82"/>
      <c r="M35" s="82"/>
      <c r="N35" s="72"/>
      <c r="O35" s="83" t="s">
        <v>64</v>
      </c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</row>
    <row r="36" ht="17.25" customHeight="1">
      <c r="A36" s="86">
        <v>45218.0</v>
      </c>
      <c r="B36" s="63" t="s">
        <v>27</v>
      </c>
      <c r="C36" s="79"/>
      <c r="D36" s="80">
        <v>23500.0</v>
      </c>
      <c r="E36" s="66" t="s">
        <v>33</v>
      </c>
      <c r="F36" s="77"/>
      <c r="G36" s="68">
        <v>0.0</v>
      </c>
      <c r="H36" s="69">
        <f t="shared" si="1"/>
        <v>0</v>
      </c>
      <c r="I36" s="88"/>
      <c r="J36" s="81"/>
      <c r="K36" s="82"/>
      <c r="L36" s="82"/>
      <c r="M36" s="82"/>
      <c r="N36" s="72"/>
      <c r="O36" s="83" t="s">
        <v>67</v>
      </c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</row>
    <row r="37" ht="17.25" customHeight="1">
      <c r="A37" s="86">
        <v>45222.0</v>
      </c>
      <c r="B37" s="63" t="s">
        <v>27</v>
      </c>
      <c r="C37" s="79"/>
      <c r="D37" s="80">
        <v>50750.0</v>
      </c>
      <c r="E37" s="66" t="s">
        <v>33</v>
      </c>
      <c r="F37" s="77"/>
      <c r="G37" s="68">
        <v>0.0</v>
      </c>
      <c r="H37" s="69">
        <f t="shared" si="1"/>
        <v>0</v>
      </c>
      <c r="I37" s="89" t="s">
        <v>68</v>
      </c>
      <c r="J37" s="87" t="s">
        <v>68</v>
      </c>
      <c r="K37" s="82"/>
      <c r="L37" s="82"/>
      <c r="M37" s="82"/>
      <c r="N37" s="72"/>
      <c r="O37" s="83" t="s">
        <v>69</v>
      </c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</row>
    <row r="38" ht="17.25" customHeight="1">
      <c r="A38" s="86">
        <v>45223.0</v>
      </c>
      <c r="B38" s="63" t="s">
        <v>27</v>
      </c>
      <c r="C38" s="80">
        <v>345869.1</v>
      </c>
      <c r="D38" s="79"/>
      <c r="E38" s="66" t="s">
        <v>28</v>
      </c>
      <c r="F38" s="67" t="s">
        <v>51</v>
      </c>
      <c r="G38" s="68">
        <v>20.0</v>
      </c>
      <c r="H38" s="69">
        <f t="shared" si="1"/>
        <v>57644.85</v>
      </c>
      <c r="I38" s="76" t="s">
        <v>37</v>
      </c>
      <c r="J38" s="71" t="s">
        <v>38</v>
      </c>
      <c r="K38" s="82"/>
      <c r="L38" s="82"/>
      <c r="M38" s="82"/>
      <c r="N38" s="72">
        <f>A38-IF(M38&gt;0,M38,A38)</f>
        <v>0</v>
      </c>
      <c r="O38" s="83" t="s">
        <v>70</v>
      </c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</row>
    <row r="39" ht="17.25" customHeight="1">
      <c r="A39" s="86">
        <v>45231.0</v>
      </c>
      <c r="B39" s="63" t="s">
        <v>27</v>
      </c>
      <c r="C39" s="79"/>
      <c r="D39" s="79">
        <v>265229.19422222226</v>
      </c>
      <c r="E39" s="66" t="s">
        <v>28</v>
      </c>
      <c r="F39" s="77"/>
      <c r="G39" s="68">
        <v>0.0</v>
      </c>
      <c r="H39" s="69">
        <f t="shared" si="1"/>
        <v>0</v>
      </c>
      <c r="I39" s="94" t="s">
        <v>71</v>
      </c>
      <c r="J39" s="87" t="s">
        <v>72</v>
      </c>
      <c r="K39" s="95"/>
      <c r="L39" s="95"/>
      <c r="M39" s="95"/>
      <c r="N39" s="72"/>
      <c r="O39" s="96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</row>
    <row r="40" ht="17.25" customHeight="1">
      <c r="A40" s="86">
        <v>45231.0</v>
      </c>
      <c r="B40" s="63" t="s">
        <v>27</v>
      </c>
      <c r="C40" s="79"/>
      <c r="D40" s="79">
        <v>212183.35537777783</v>
      </c>
      <c r="E40" s="66" t="s">
        <v>28</v>
      </c>
      <c r="F40" s="77"/>
      <c r="G40" s="68">
        <v>0.0</v>
      </c>
      <c r="H40" s="69">
        <f t="shared" si="1"/>
        <v>0</v>
      </c>
      <c r="I40" s="94" t="s">
        <v>71</v>
      </c>
      <c r="J40" s="87" t="s">
        <v>72</v>
      </c>
      <c r="K40" s="95"/>
      <c r="L40" s="95"/>
      <c r="M40" s="95"/>
      <c r="N40" s="72"/>
      <c r="O40" s="96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</row>
    <row r="41" ht="17.25" customHeight="1">
      <c r="A41" s="86">
        <v>45233.0</v>
      </c>
      <c r="B41" s="63" t="s">
        <v>27</v>
      </c>
      <c r="C41" s="79"/>
      <c r="D41" s="79">
        <v>23561.0</v>
      </c>
      <c r="E41" s="66" t="s">
        <v>33</v>
      </c>
      <c r="F41" s="77"/>
      <c r="G41" s="68">
        <v>0.0</v>
      </c>
      <c r="H41" s="69">
        <f t="shared" si="1"/>
        <v>0</v>
      </c>
      <c r="I41" s="89" t="s">
        <v>35</v>
      </c>
      <c r="J41" s="81"/>
      <c r="K41" s="82"/>
      <c r="L41" s="82"/>
      <c r="M41" s="82"/>
      <c r="N41" s="72"/>
      <c r="O41" s="83" t="s">
        <v>73</v>
      </c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</row>
    <row r="42" ht="17.25" customHeight="1">
      <c r="A42" s="86">
        <v>45237.0</v>
      </c>
      <c r="B42" s="63" t="s">
        <v>27</v>
      </c>
      <c r="C42" s="79"/>
      <c r="D42" s="80">
        <v>24000.0</v>
      </c>
      <c r="E42" s="66" t="s">
        <v>33</v>
      </c>
      <c r="F42" s="77"/>
      <c r="G42" s="68">
        <v>0.0</v>
      </c>
      <c r="H42" s="69">
        <f t="shared" si="1"/>
        <v>0</v>
      </c>
      <c r="I42" s="89" t="s">
        <v>35</v>
      </c>
      <c r="J42" s="81"/>
      <c r="K42" s="82"/>
      <c r="L42" s="82"/>
      <c r="M42" s="82"/>
      <c r="N42" s="72"/>
      <c r="O42" s="83" t="s">
        <v>74</v>
      </c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</row>
    <row r="43" ht="17.25" customHeight="1">
      <c r="A43" s="86">
        <v>45240.0</v>
      </c>
      <c r="B43" s="63" t="s">
        <v>27</v>
      </c>
      <c r="C43" s="80">
        <v>846913.92</v>
      </c>
      <c r="D43" s="79"/>
      <c r="E43" s="66" t="s">
        <v>28</v>
      </c>
      <c r="F43" s="67" t="s">
        <v>51</v>
      </c>
      <c r="G43" s="68">
        <v>20.0</v>
      </c>
      <c r="H43" s="69">
        <f t="shared" si="1"/>
        <v>141152.32</v>
      </c>
      <c r="I43" s="76" t="s">
        <v>37</v>
      </c>
      <c r="J43" s="87" t="s">
        <v>75</v>
      </c>
      <c r="K43" s="82"/>
      <c r="L43" s="82"/>
      <c r="M43" s="82"/>
      <c r="N43" s="72">
        <f>A43-IF(M43&gt;0,M43,A43)</f>
        <v>0</v>
      </c>
      <c r="O43" s="83" t="s">
        <v>76</v>
      </c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</row>
    <row r="44" ht="17.25" customHeight="1">
      <c r="A44" s="86">
        <v>45243.0</v>
      </c>
      <c r="B44" s="63" t="s">
        <v>27</v>
      </c>
      <c r="C44" s="79"/>
      <c r="D44" s="80">
        <v>834798.18</v>
      </c>
      <c r="E44" s="66" t="s">
        <v>28</v>
      </c>
      <c r="F44" s="77"/>
      <c r="G44" s="68">
        <v>20.0</v>
      </c>
      <c r="H44" s="69">
        <f t="shared" si="1"/>
        <v>139133.03</v>
      </c>
      <c r="I44" s="97"/>
      <c r="J44" s="87" t="s">
        <v>77</v>
      </c>
      <c r="K44" s="82"/>
      <c r="L44" s="82"/>
      <c r="M44" s="82"/>
      <c r="N44" s="72"/>
      <c r="O44" s="83" t="s">
        <v>78</v>
      </c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</row>
    <row r="45" ht="17.25" customHeight="1">
      <c r="A45" s="86">
        <v>45246.0</v>
      </c>
      <c r="B45" s="63" t="s">
        <v>27</v>
      </c>
      <c r="C45" s="79"/>
      <c r="D45" s="79">
        <v>112454.1</v>
      </c>
      <c r="E45" s="66" t="s">
        <v>33</v>
      </c>
      <c r="F45" s="77"/>
      <c r="G45" s="68">
        <v>0.0</v>
      </c>
      <c r="H45" s="69">
        <f t="shared" si="1"/>
        <v>0</v>
      </c>
      <c r="I45" s="88"/>
      <c r="J45" s="81"/>
      <c r="K45" s="82"/>
      <c r="L45" s="82"/>
      <c r="M45" s="82"/>
      <c r="N45" s="72"/>
      <c r="O45" s="83" t="s">
        <v>79</v>
      </c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</row>
    <row r="46" ht="17.25" customHeight="1">
      <c r="A46" s="86">
        <v>45246.0</v>
      </c>
      <c r="B46" s="63" t="s">
        <v>27</v>
      </c>
      <c r="C46" s="79"/>
      <c r="D46" s="79">
        <v>50975.0</v>
      </c>
      <c r="E46" s="66" t="s">
        <v>33</v>
      </c>
      <c r="F46" s="77"/>
      <c r="G46" s="68">
        <v>0.0</v>
      </c>
      <c r="H46" s="69">
        <f t="shared" si="1"/>
        <v>0</v>
      </c>
      <c r="I46" s="89" t="s">
        <v>68</v>
      </c>
      <c r="J46" s="87" t="s">
        <v>68</v>
      </c>
      <c r="K46" s="82"/>
      <c r="L46" s="82"/>
      <c r="M46" s="82"/>
      <c r="N46" s="72"/>
      <c r="O46" s="83" t="s">
        <v>69</v>
      </c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</row>
    <row r="47" ht="17.25" customHeight="1">
      <c r="A47" s="86">
        <v>45258.0</v>
      </c>
      <c r="B47" s="63" t="s">
        <v>27</v>
      </c>
      <c r="C47" s="79"/>
      <c r="D47" s="80">
        <v>100000.0</v>
      </c>
      <c r="E47" s="66" t="s">
        <v>33</v>
      </c>
      <c r="F47" s="77"/>
      <c r="G47" s="68">
        <v>0.0</v>
      </c>
      <c r="H47" s="69">
        <f t="shared" si="1"/>
        <v>0</v>
      </c>
      <c r="I47" s="89" t="s">
        <v>68</v>
      </c>
      <c r="J47" s="87" t="s">
        <v>68</v>
      </c>
      <c r="K47" s="82"/>
      <c r="L47" s="82"/>
      <c r="M47" s="82"/>
      <c r="N47" s="72"/>
      <c r="O47" s="83" t="s">
        <v>80</v>
      </c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</row>
    <row r="48" ht="17.25" customHeight="1">
      <c r="A48" s="86">
        <v>45258.0</v>
      </c>
      <c r="B48" s="63" t="s">
        <v>27</v>
      </c>
      <c r="C48" s="79"/>
      <c r="D48" s="80">
        <v>24000.0</v>
      </c>
      <c r="E48" s="66" t="s">
        <v>33</v>
      </c>
      <c r="F48" s="77"/>
      <c r="G48" s="68">
        <v>0.0</v>
      </c>
      <c r="H48" s="69">
        <f t="shared" si="1"/>
        <v>0</v>
      </c>
      <c r="I48" s="89" t="s">
        <v>68</v>
      </c>
      <c r="J48" s="87" t="s">
        <v>68</v>
      </c>
      <c r="K48" s="82"/>
      <c r="L48" s="82"/>
      <c r="M48" s="82"/>
      <c r="N48" s="72"/>
      <c r="O48" s="83" t="s">
        <v>74</v>
      </c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</row>
    <row r="49" ht="17.25" customHeight="1">
      <c r="A49" s="86">
        <v>45258.0</v>
      </c>
      <c r="B49" s="63" t="s">
        <v>27</v>
      </c>
      <c r="C49" s="79"/>
      <c r="D49" s="79">
        <v>485714.28571428574</v>
      </c>
      <c r="E49" s="66" t="s">
        <v>28</v>
      </c>
      <c r="F49" s="67"/>
      <c r="G49" s="68">
        <v>20.0</v>
      </c>
      <c r="H49" s="69">
        <f t="shared" si="1"/>
        <v>80952.38095</v>
      </c>
      <c r="I49" s="76" t="s">
        <v>47</v>
      </c>
      <c r="J49" s="81"/>
      <c r="K49" s="95"/>
      <c r="L49" s="95"/>
      <c r="M49" s="95"/>
      <c r="N49" s="72"/>
      <c r="O49" s="96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</row>
    <row r="50" ht="17.25" customHeight="1">
      <c r="A50" s="86">
        <v>45258.0</v>
      </c>
      <c r="B50" s="63" t="s">
        <v>27</v>
      </c>
      <c r="C50" s="80">
        <v>340000.0</v>
      </c>
      <c r="D50" s="79"/>
      <c r="E50" s="66" t="s">
        <v>33</v>
      </c>
      <c r="F50" s="84" t="s">
        <v>48</v>
      </c>
      <c r="G50" s="68">
        <v>0.0</v>
      </c>
      <c r="H50" s="69">
        <f t="shared" si="1"/>
        <v>0</v>
      </c>
      <c r="I50" s="89" t="s">
        <v>47</v>
      </c>
      <c r="J50" s="81"/>
      <c r="K50" s="95"/>
      <c r="L50" s="95"/>
      <c r="M50" s="95"/>
      <c r="N50" s="72"/>
      <c r="O50" s="96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</row>
    <row r="51" ht="17.25" customHeight="1">
      <c r="A51" s="86">
        <v>45260.0</v>
      </c>
      <c r="B51" s="63" t="s">
        <v>27</v>
      </c>
      <c r="C51" s="80">
        <v>796589.1</v>
      </c>
      <c r="D51" s="79"/>
      <c r="E51" s="66" t="s">
        <v>28</v>
      </c>
      <c r="F51" s="67" t="s">
        <v>51</v>
      </c>
      <c r="G51" s="68">
        <v>20.0</v>
      </c>
      <c r="H51" s="69">
        <f t="shared" si="1"/>
        <v>132764.85</v>
      </c>
      <c r="I51" s="76" t="s">
        <v>37</v>
      </c>
      <c r="J51" s="71" t="s">
        <v>38</v>
      </c>
      <c r="K51" s="82"/>
      <c r="L51" s="82"/>
      <c r="M51" s="82"/>
      <c r="N51" s="72">
        <f>A51-IF(M51&gt;0,M51,A51)</f>
        <v>0</v>
      </c>
      <c r="O51" s="83" t="s">
        <v>81</v>
      </c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</row>
    <row r="52" ht="17.25" customHeight="1">
      <c r="A52" s="86">
        <v>45261.0</v>
      </c>
      <c r="B52" s="63" t="s">
        <v>27</v>
      </c>
      <c r="C52" s="79"/>
      <c r="D52" s="80">
        <v>6990.0</v>
      </c>
      <c r="E52" s="66" t="s">
        <v>28</v>
      </c>
      <c r="F52" s="77"/>
      <c r="G52" s="68">
        <v>0.0</v>
      </c>
      <c r="H52" s="69">
        <f t="shared" si="1"/>
        <v>0</v>
      </c>
      <c r="I52" s="70" t="s">
        <v>30</v>
      </c>
      <c r="J52" s="71" t="s">
        <v>31</v>
      </c>
      <c r="K52" s="95"/>
      <c r="L52" s="95"/>
      <c r="M52" s="95"/>
      <c r="N52" s="72"/>
      <c r="O52" s="96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</row>
    <row r="53" ht="17.25" customHeight="1">
      <c r="A53" s="86">
        <v>45263.0</v>
      </c>
      <c r="B53" s="63" t="s">
        <v>27</v>
      </c>
      <c r="C53" s="79"/>
      <c r="D53" s="80">
        <v>100000.0</v>
      </c>
      <c r="E53" s="66" t="s">
        <v>33</v>
      </c>
      <c r="F53" s="77"/>
      <c r="G53" s="68">
        <v>0.0</v>
      </c>
      <c r="H53" s="69">
        <f t="shared" si="1"/>
        <v>0</v>
      </c>
      <c r="I53" s="89" t="s">
        <v>68</v>
      </c>
      <c r="J53" s="87" t="s">
        <v>68</v>
      </c>
      <c r="K53" s="82"/>
      <c r="L53" s="82"/>
      <c r="M53" s="82"/>
      <c r="N53" s="72"/>
      <c r="O53" s="83" t="s">
        <v>80</v>
      </c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</row>
    <row r="54" ht="17.25" customHeight="1">
      <c r="A54" s="86">
        <v>45264.0</v>
      </c>
      <c r="B54" s="63" t="s">
        <v>27</v>
      </c>
      <c r="C54" s="80"/>
      <c r="D54" s="80">
        <v>245350.0</v>
      </c>
      <c r="E54" s="66" t="s">
        <v>28</v>
      </c>
      <c r="F54" s="77"/>
      <c r="G54" s="68">
        <v>0.0</v>
      </c>
      <c r="H54" s="69">
        <f t="shared" si="1"/>
        <v>0</v>
      </c>
      <c r="I54" s="97"/>
      <c r="J54" s="87" t="s">
        <v>82</v>
      </c>
      <c r="K54" s="82"/>
      <c r="L54" s="82"/>
      <c r="M54" s="82"/>
      <c r="N54" s="72"/>
      <c r="O54" s="83" t="s">
        <v>83</v>
      </c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</row>
    <row r="55" ht="17.25" customHeight="1">
      <c r="A55" s="86">
        <v>45264.0</v>
      </c>
      <c r="B55" s="63" t="s">
        <v>27</v>
      </c>
      <c r="C55" s="80"/>
      <c r="D55" s="80">
        <v>27965.89</v>
      </c>
      <c r="E55" s="66" t="s">
        <v>28</v>
      </c>
      <c r="F55" s="77"/>
      <c r="G55" s="68">
        <v>20.0</v>
      </c>
      <c r="H55" s="69">
        <f t="shared" si="1"/>
        <v>4660.981667</v>
      </c>
      <c r="I55" s="97"/>
      <c r="J55" s="87" t="s">
        <v>84</v>
      </c>
      <c r="K55" s="82"/>
      <c r="L55" s="82"/>
      <c r="M55" s="82"/>
      <c r="N55" s="72"/>
      <c r="O55" s="83" t="s">
        <v>85</v>
      </c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</row>
    <row r="56" ht="17.25" customHeight="1">
      <c r="A56" s="86">
        <v>45264.0</v>
      </c>
      <c r="B56" s="63" t="s">
        <v>27</v>
      </c>
      <c r="C56" s="79"/>
      <c r="D56" s="80">
        <v>101950.0</v>
      </c>
      <c r="E56" s="66" t="s">
        <v>33</v>
      </c>
      <c r="F56" s="77"/>
      <c r="G56" s="68">
        <v>0.0</v>
      </c>
      <c r="H56" s="69">
        <f t="shared" si="1"/>
        <v>0</v>
      </c>
      <c r="I56" s="89" t="s">
        <v>68</v>
      </c>
      <c r="J56" s="87" t="s">
        <v>68</v>
      </c>
      <c r="K56" s="82"/>
      <c r="L56" s="82"/>
      <c r="M56" s="82"/>
      <c r="N56" s="72"/>
      <c r="O56" s="83" t="s">
        <v>86</v>
      </c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</row>
    <row r="57" ht="17.25" customHeight="1">
      <c r="A57" s="86">
        <v>45266.0</v>
      </c>
      <c r="B57" s="63" t="s">
        <v>27</v>
      </c>
      <c r="C57" s="80">
        <v>214155.36</v>
      </c>
      <c r="D57" s="79"/>
      <c r="E57" s="66" t="s">
        <v>28</v>
      </c>
      <c r="F57" s="77" t="s">
        <v>51</v>
      </c>
      <c r="G57" s="68">
        <v>20.0</v>
      </c>
      <c r="H57" s="69">
        <f t="shared" si="1"/>
        <v>35692.56</v>
      </c>
      <c r="I57" s="76" t="s">
        <v>37</v>
      </c>
      <c r="J57" s="87" t="s">
        <v>87</v>
      </c>
      <c r="K57" s="95"/>
      <c r="L57" s="95"/>
      <c r="M57" s="95"/>
      <c r="N57" s="72">
        <f t="shared" ref="N57:N58" si="3">A57-IF(M57&gt;0,M57,A57)</f>
        <v>0</v>
      </c>
      <c r="O57" s="96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</row>
    <row r="58" ht="17.25" customHeight="1">
      <c r="A58" s="86">
        <v>45266.0</v>
      </c>
      <c r="B58" s="63" t="s">
        <v>27</v>
      </c>
      <c r="C58" s="80">
        <v>360000.0</v>
      </c>
      <c r="D58" s="79"/>
      <c r="E58" s="66" t="s">
        <v>28</v>
      </c>
      <c r="F58" s="77" t="s">
        <v>51</v>
      </c>
      <c r="G58" s="68">
        <v>20.0</v>
      </c>
      <c r="H58" s="69">
        <f t="shared" si="1"/>
        <v>60000</v>
      </c>
      <c r="I58" s="76" t="s">
        <v>37</v>
      </c>
      <c r="J58" s="71" t="s">
        <v>38</v>
      </c>
      <c r="K58" s="95"/>
      <c r="L58" s="95"/>
      <c r="M58" s="95"/>
      <c r="N58" s="72">
        <f t="shared" si="3"/>
        <v>0</v>
      </c>
      <c r="O58" s="96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</row>
    <row r="59" ht="17.25" customHeight="1">
      <c r="A59" s="86">
        <v>45268.0</v>
      </c>
      <c r="B59" s="63" t="s">
        <v>27</v>
      </c>
      <c r="C59" s="79"/>
      <c r="D59" s="80">
        <v>130000.0</v>
      </c>
      <c r="E59" s="66" t="s">
        <v>33</v>
      </c>
      <c r="F59" s="77"/>
      <c r="G59" s="68">
        <v>0.0</v>
      </c>
      <c r="H59" s="69">
        <f t="shared" si="1"/>
        <v>0</v>
      </c>
      <c r="I59" s="89" t="s">
        <v>68</v>
      </c>
      <c r="J59" s="87" t="s">
        <v>68</v>
      </c>
      <c r="K59" s="82"/>
      <c r="L59" s="82"/>
      <c r="M59" s="82"/>
      <c r="N59" s="72"/>
      <c r="O59" s="83" t="s">
        <v>88</v>
      </c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</row>
    <row r="60" ht="17.25" customHeight="1">
      <c r="A60" s="86">
        <v>45268.0</v>
      </c>
      <c r="B60" s="63" t="s">
        <v>27</v>
      </c>
      <c r="C60" s="79"/>
      <c r="D60" s="80">
        <v>40000.0</v>
      </c>
      <c r="E60" s="66" t="s">
        <v>33</v>
      </c>
      <c r="F60" s="77"/>
      <c r="G60" s="68">
        <v>0.0</v>
      </c>
      <c r="H60" s="69">
        <f t="shared" si="1"/>
        <v>0</v>
      </c>
      <c r="I60" s="97"/>
      <c r="J60" s="98" t="s">
        <v>89</v>
      </c>
      <c r="K60" s="95"/>
      <c r="L60" s="95"/>
      <c r="M60" s="95"/>
      <c r="N60" s="72"/>
      <c r="O60" s="96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</row>
    <row r="61" ht="17.25" customHeight="1">
      <c r="A61" s="86">
        <v>45268.0</v>
      </c>
      <c r="B61" s="63" t="s">
        <v>27</v>
      </c>
      <c r="C61" s="79"/>
      <c r="D61" s="80">
        <v>25000.0</v>
      </c>
      <c r="E61" s="66" t="s">
        <v>33</v>
      </c>
      <c r="F61" s="77"/>
      <c r="G61" s="68">
        <v>0.0</v>
      </c>
      <c r="H61" s="69">
        <f t="shared" si="1"/>
        <v>0</v>
      </c>
      <c r="I61" s="89" t="s">
        <v>68</v>
      </c>
      <c r="J61" s="87" t="s">
        <v>68</v>
      </c>
      <c r="K61" s="82"/>
      <c r="L61" s="82"/>
      <c r="M61" s="82"/>
      <c r="N61" s="72"/>
      <c r="O61" s="83" t="s">
        <v>90</v>
      </c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</row>
    <row r="62" ht="17.25" customHeight="1">
      <c r="A62" s="78">
        <v>45268.0</v>
      </c>
      <c r="B62" s="63" t="s">
        <v>27</v>
      </c>
      <c r="C62" s="79"/>
      <c r="D62" s="79">
        <v>808823.5294117647</v>
      </c>
      <c r="E62" s="66" t="s">
        <v>28</v>
      </c>
      <c r="F62" s="67"/>
      <c r="G62" s="68">
        <v>20.0</v>
      </c>
      <c r="H62" s="69">
        <f t="shared" si="1"/>
        <v>134803.9216</v>
      </c>
      <c r="I62" s="76" t="s">
        <v>47</v>
      </c>
      <c r="J62" s="87"/>
      <c r="K62" s="82"/>
      <c r="L62" s="82"/>
      <c r="M62" s="82"/>
      <c r="N62" s="72"/>
      <c r="O62" s="83" t="s">
        <v>48</v>
      </c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</row>
    <row r="63" ht="17.25" customHeight="1">
      <c r="A63" s="78">
        <v>45268.0</v>
      </c>
      <c r="B63" s="63" t="s">
        <v>27</v>
      </c>
      <c r="C63" s="80">
        <v>550000.0</v>
      </c>
      <c r="D63" s="79"/>
      <c r="E63" s="66" t="s">
        <v>33</v>
      </c>
      <c r="F63" s="84" t="s">
        <v>48</v>
      </c>
      <c r="G63" s="68">
        <v>0.0</v>
      </c>
      <c r="H63" s="69">
        <f t="shared" si="1"/>
        <v>0</v>
      </c>
      <c r="I63" s="76" t="s">
        <v>47</v>
      </c>
      <c r="J63" s="98"/>
      <c r="K63" s="82"/>
      <c r="L63" s="82"/>
      <c r="M63" s="82"/>
      <c r="N63" s="72"/>
      <c r="O63" s="83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</row>
    <row r="64" ht="17.25" customHeight="1">
      <c r="A64" s="86">
        <v>45271.0</v>
      </c>
      <c r="B64" s="63" t="s">
        <v>27</v>
      </c>
      <c r="C64" s="80">
        <v>473906.52</v>
      </c>
      <c r="D64" s="79"/>
      <c r="E64" s="66" t="s">
        <v>28</v>
      </c>
      <c r="F64" s="77" t="s">
        <v>51</v>
      </c>
      <c r="G64" s="68">
        <v>20.0</v>
      </c>
      <c r="H64" s="69">
        <f t="shared" si="1"/>
        <v>78984.42</v>
      </c>
      <c r="I64" s="76" t="s">
        <v>37</v>
      </c>
      <c r="J64" s="87" t="s">
        <v>87</v>
      </c>
      <c r="K64" s="82"/>
      <c r="L64" s="82"/>
      <c r="M64" s="82"/>
      <c r="N64" s="72">
        <f>A64-IF(M64&gt;0,M64,A64)</f>
        <v>0</v>
      </c>
      <c r="O64" s="83" t="s">
        <v>91</v>
      </c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</row>
    <row r="65" ht="17.25" customHeight="1">
      <c r="A65" s="86">
        <v>45272.0</v>
      </c>
      <c r="B65" s="63" t="s">
        <v>27</v>
      </c>
      <c r="C65" s="80"/>
      <c r="D65" s="80">
        <v>225700.24</v>
      </c>
      <c r="E65" s="66" t="s">
        <v>28</v>
      </c>
      <c r="F65" s="77"/>
      <c r="G65" s="68">
        <v>0.0</v>
      </c>
      <c r="H65" s="69">
        <f t="shared" si="1"/>
        <v>0</v>
      </c>
      <c r="I65" s="89" t="s">
        <v>61</v>
      </c>
      <c r="J65" s="87" t="s">
        <v>62</v>
      </c>
      <c r="K65" s="82"/>
      <c r="L65" s="82"/>
      <c r="M65" s="82"/>
      <c r="N65" s="72"/>
      <c r="O65" s="83" t="s">
        <v>92</v>
      </c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</row>
    <row r="66" ht="17.25" customHeight="1">
      <c r="A66" s="86">
        <v>45272.0</v>
      </c>
      <c r="B66" s="63" t="s">
        <v>27</v>
      </c>
      <c r="C66" s="80"/>
      <c r="D66" s="80">
        <v>171392.0</v>
      </c>
      <c r="E66" s="66" t="s">
        <v>28</v>
      </c>
      <c r="F66" s="77"/>
      <c r="G66" s="68">
        <v>20.0</v>
      </c>
      <c r="H66" s="69">
        <f t="shared" si="1"/>
        <v>28565.33333</v>
      </c>
      <c r="I66" s="99" t="s">
        <v>93</v>
      </c>
      <c r="J66" s="71" t="s">
        <v>38</v>
      </c>
      <c r="K66" s="82"/>
      <c r="L66" s="82"/>
      <c r="M66" s="82"/>
      <c r="N66" s="72"/>
      <c r="O66" s="83" t="s">
        <v>94</v>
      </c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</row>
    <row r="67" ht="17.25" customHeight="1">
      <c r="A67" s="86">
        <v>45272.0</v>
      </c>
      <c r="B67" s="63" t="s">
        <v>27</v>
      </c>
      <c r="C67" s="79"/>
      <c r="D67" s="80">
        <v>22935.0</v>
      </c>
      <c r="E67" s="66" t="s">
        <v>28</v>
      </c>
      <c r="F67" s="77"/>
      <c r="G67" s="68">
        <v>20.0</v>
      </c>
      <c r="H67" s="69">
        <f t="shared" si="1"/>
        <v>3822.5</v>
      </c>
      <c r="I67" s="97"/>
      <c r="J67" s="87" t="s">
        <v>95</v>
      </c>
      <c r="K67" s="82"/>
      <c r="L67" s="82"/>
      <c r="M67" s="82"/>
      <c r="N67" s="72"/>
      <c r="O67" s="83" t="s">
        <v>96</v>
      </c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</row>
    <row r="68" ht="17.25" customHeight="1">
      <c r="A68" s="86">
        <v>45272.0</v>
      </c>
      <c r="B68" s="63" t="s">
        <v>27</v>
      </c>
      <c r="C68" s="79"/>
      <c r="D68" s="80">
        <v>32217.53</v>
      </c>
      <c r="E68" s="66" t="s">
        <v>28</v>
      </c>
      <c r="F68" s="77"/>
      <c r="G68" s="68">
        <v>20.0</v>
      </c>
      <c r="H68" s="69">
        <f t="shared" si="1"/>
        <v>5369.588333</v>
      </c>
      <c r="I68" s="89" t="s">
        <v>61</v>
      </c>
      <c r="J68" s="87" t="s">
        <v>84</v>
      </c>
      <c r="K68" s="82"/>
      <c r="L68" s="82"/>
      <c r="M68" s="82"/>
      <c r="N68" s="72"/>
      <c r="O68" s="83" t="s">
        <v>97</v>
      </c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</row>
    <row r="69" ht="17.25" customHeight="1">
      <c r="A69" s="86">
        <v>45273.0</v>
      </c>
      <c r="B69" s="63" t="s">
        <v>27</v>
      </c>
      <c r="C69" s="79"/>
      <c r="D69" s="80">
        <v>30000.0</v>
      </c>
      <c r="E69" s="66" t="s">
        <v>33</v>
      </c>
      <c r="F69" s="77"/>
      <c r="G69" s="68">
        <v>0.0</v>
      </c>
      <c r="H69" s="69">
        <f t="shared" si="1"/>
        <v>0</v>
      </c>
      <c r="I69" s="97"/>
      <c r="J69" s="87" t="s">
        <v>98</v>
      </c>
      <c r="K69" s="95"/>
      <c r="L69" s="95"/>
      <c r="M69" s="95"/>
      <c r="N69" s="72"/>
      <c r="O69" s="96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</row>
    <row r="70" ht="17.25" customHeight="1">
      <c r="A70" s="86">
        <v>45279.0</v>
      </c>
      <c r="B70" s="63" t="s">
        <v>27</v>
      </c>
      <c r="C70" s="79"/>
      <c r="D70" s="80">
        <v>25000.0</v>
      </c>
      <c r="E70" s="66" t="s">
        <v>33</v>
      </c>
      <c r="F70" s="77"/>
      <c r="G70" s="68">
        <v>0.0</v>
      </c>
      <c r="H70" s="69">
        <f t="shared" si="1"/>
        <v>0</v>
      </c>
      <c r="I70" s="97"/>
      <c r="J70" s="98" t="s">
        <v>99</v>
      </c>
      <c r="K70" s="95"/>
      <c r="L70" s="95"/>
      <c r="M70" s="95"/>
      <c r="N70" s="72"/>
      <c r="O70" s="96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</row>
    <row r="71" ht="17.25" customHeight="1">
      <c r="A71" s="86">
        <v>45281.0</v>
      </c>
      <c r="B71" s="63" t="s">
        <v>27</v>
      </c>
      <c r="C71" s="79"/>
      <c r="D71" s="80">
        <v>100500.0</v>
      </c>
      <c r="E71" s="66" t="s">
        <v>33</v>
      </c>
      <c r="F71" s="77"/>
      <c r="G71" s="68">
        <v>0.0</v>
      </c>
      <c r="H71" s="69">
        <f t="shared" si="1"/>
        <v>0</v>
      </c>
      <c r="I71" s="97"/>
      <c r="J71" s="87" t="s">
        <v>100</v>
      </c>
      <c r="K71" s="95"/>
      <c r="L71" s="95"/>
      <c r="M71" s="95"/>
      <c r="N71" s="72"/>
      <c r="O71" s="96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</row>
    <row r="72" ht="17.25" customHeight="1">
      <c r="A72" s="86">
        <v>45288.0</v>
      </c>
      <c r="B72" s="63" t="s">
        <v>27</v>
      </c>
      <c r="C72" s="79"/>
      <c r="D72" s="80">
        <v>500000.0</v>
      </c>
      <c r="E72" s="66" t="s">
        <v>28</v>
      </c>
      <c r="F72" s="77"/>
      <c r="G72" s="68">
        <v>20.0</v>
      </c>
      <c r="H72" s="69">
        <f t="shared" si="1"/>
        <v>83333.33333</v>
      </c>
      <c r="I72" s="76" t="s">
        <v>101</v>
      </c>
      <c r="J72" s="100" t="s">
        <v>102</v>
      </c>
      <c r="K72" s="82"/>
      <c r="L72" s="82"/>
      <c r="M72" s="82"/>
      <c r="N72" s="72"/>
      <c r="O72" s="83" t="s">
        <v>103</v>
      </c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</row>
    <row r="73" ht="17.25" customHeight="1">
      <c r="A73" s="86">
        <v>45289.0</v>
      </c>
      <c r="B73" s="63" t="s">
        <v>27</v>
      </c>
      <c r="C73" s="79"/>
      <c r="D73" s="80">
        <v>33228.0</v>
      </c>
      <c r="E73" s="66" t="s">
        <v>28</v>
      </c>
      <c r="F73" s="77"/>
      <c r="G73" s="68">
        <v>20.0</v>
      </c>
      <c r="H73" s="69">
        <f t="shared" si="1"/>
        <v>5538</v>
      </c>
      <c r="I73" s="97"/>
      <c r="J73" s="87" t="s">
        <v>95</v>
      </c>
      <c r="K73" s="82"/>
      <c r="L73" s="82"/>
      <c r="M73" s="82"/>
      <c r="N73" s="72"/>
      <c r="O73" s="83" t="s">
        <v>104</v>
      </c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</row>
    <row r="74" ht="17.25" customHeight="1">
      <c r="A74" s="86">
        <v>45289.0</v>
      </c>
      <c r="B74" s="63" t="s">
        <v>27</v>
      </c>
      <c r="C74" s="80">
        <v>866884.2</v>
      </c>
      <c r="D74" s="79"/>
      <c r="E74" s="66" t="s">
        <v>28</v>
      </c>
      <c r="F74" s="77"/>
      <c r="G74" s="68">
        <v>20.0</v>
      </c>
      <c r="H74" s="69">
        <f t="shared" si="1"/>
        <v>144480.7</v>
      </c>
      <c r="I74" s="76" t="s">
        <v>37</v>
      </c>
      <c r="J74" s="71" t="s">
        <v>38</v>
      </c>
      <c r="K74" s="82"/>
      <c r="L74" s="82"/>
      <c r="M74" s="82"/>
      <c r="N74" s="72">
        <f>A74-IF(M74&gt;0,M74,A74)</f>
        <v>0</v>
      </c>
      <c r="O74" s="83" t="s">
        <v>105</v>
      </c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</row>
    <row r="75" ht="17.25" customHeight="1">
      <c r="A75" s="86">
        <v>45289.0</v>
      </c>
      <c r="B75" s="63" t="s">
        <v>27</v>
      </c>
      <c r="C75" s="79"/>
      <c r="D75" s="80">
        <v>245617.19</v>
      </c>
      <c r="E75" s="66" t="s">
        <v>28</v>
      </c>
      <c r="F75" s="77"/>
      <c r="G75" s="68">
        <v>0.0</v>
      </c>
      <c r="H75" s="69">
        <f t="shared" si="1"/>
        <v>0</v>
      </c>
      <c r="I75" s="97"/>
      <c r="J75" s="87" t="s">
        <v>62</v>
      </c>
      <c r="K75" s="82"/>
      <c r="L75" s="82"/>
      <c r="M75" s="82"/>
      <c r="N75" s="72"/>
      <c r="O75" s="83" t="s">
        <v>106</v>
      </c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</row>
    <row r="76" ht="17.25" customHeight="1">
      <c r="A76" s="86">
        <v>45289.0</v>
      </c>
      <c r="B76" s="63" t="s">
        <v>27</v>
      </c>
      <c r="C76" s="79"/>
      <c r="D76" s="80">
        <v>5000.0</v>
      </c>
      <c r="E76" s="66" t="s">
        <v>28</v>
      </c>
      <c r="F76" s="77"/>
      <c r="G76" s="68">
        <v>20.0</v>
      </c>
      <c r="H76" s="69">
        <f t="shared" si="1"/>
        <v>833.3333333</v>
      </c>
      <c r="I76" s="76" t="s">
        <v>44</v>
      </c>
      <c r="J76" s="87" t="s">
        <v>45</v>
      </c>
      <c r="K76" s="82"/>
      <c r="L76" s="82"/>
      <c r="M76" s="82"/>
      <c r="N76" s="72"/>
      <c r="O76" s="83" t="s">
        <v>107</v>
      </c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</row>
    <row r="77" ht="17.25" customHeight="1">
      <c r="A77" s="86">
        <v>45289.0</v>
      </c>
      <c r="B77" s="63" t="s">
        <v>27</v>
      </c>
      <c r="C77" s="79"/>
      <c r="D77" s="80">
        <v>133632.94</v>
      </c>
      <c r="E77" s="66" t="s">
        <v>28</v>
      </c>
      <c r="F77" s="77"/>
      <c r="G77" s="68">
        <v>20.0</v>
      </c>
      <c r="H77" s="69">
        <f t="shared" si="1"/>
        <v>22272.15667</v>
      </c>
      <c r="I77" s="97"/>
      <c r="J77" s="87" t="s">
        <v>77</v>
      </c>
      <c r="K77" s="95"/>
      <c r="L77" s="95"/>
      <c r="M77" s="95"/>
      <c r="N77" s="72"/>
      <c r="O77" s="96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</row>
    <row r="78" ht="17.25" customHeight="1">
      <c r="A78" s="86">
        <v>45289.0</v>
      </c>
      <c r="B78" s="63" t="s">
        <v>27</v>
      </c>
      <c r="C78" s="79"/>
      <c r="D78" s="80">
        <v>295717.67</v>
      </c>
      <c r="E78" s="66" t="s">
        <v>28</v>
      </c>
      <c r="F78" s="77"/>
      <c r="G78" s="68">
        <v>20.0</v>
      </c>
      <c r="H78" s="69">
        <f t="shared" si="1"/>
        <v>49286.27833</v>
      </c>
      <c r="I78" s="97"/>
      <c r="J78" s="87" t="s">
        <v>77</v>
      </c>
      <c r="K78" s="95"/>
      <c r="L78" s="95"/>
      <c r="M78" s="95"/>
      <c r="N78" s="72"/>
      <c r="O78" s="96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</row>
    <row r="79" ht="17.25" customHeight="1">
      <c r="A79" s="86">
        <v>45289.0</v>
      </c>
      <c r="B79" s="63" t="s">
        <v>27</v>
      </c>
      <c r="C79" s="79"/>
      <c r="D79" s="80">
        <v>6990.0</v>
      </c>
      <c r="E79" s="66" t="s">
        <v>28</v>
      </c>
      <c r="F79" s="77"/>
      <c r="G79" s="68">
        <v>0.0</v>
      </c>
      <c r="H79" s="69">
        <f t="shared" si="1"/>
        <v>0</v>
      </c>
      <c r="I79" s="70" t="s">
        <v>30</v>
      </c>
      <c r="J79" s="101" t="s">
        <v>31</v>
      </c>
      <c r="K79" s="102"/>
      <c r="L79" s="102"/>
      <c r="M79" s="102"/>
      <c r="N79" s="72"/>
      <c r="O79" s="96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</row>
    <row r="80" ht="17.25" customHeight="1">
      <c r="A80" s="86">
        <v>45289.0</v>
      </c>
      <c r="B80" s="63" t="s">
        <v>27</v>
      </c>
      <c r="C80" s="79"/>
      <c r="D80" s="80">
        <v>170000.0</v>
      </c>
      <c r="E80" s="66" t="s">
        <v>33</v>
      </c>
      <c r="F80" s="77"/>
      <c r="G80" s="68">
        <v>0.0</v>
      </c>
      <c r="H80" s="69">
        <f t="shared" si="1"/>
        <v>0</v>
      </c>
      <c r="I80" s="89" t="s">
        <v>68</v>
      </c>
      <c r="J80" s="87" t="s">
        <v>68</v>
      </c>
      <c r="K80" s="82"/>
      <c r="L80" s="82"/>
      <c r="M80" s="82"/>
      <c r="N80" s="72"/>
      <c r="O80" s="83" t="s">
        <v>80</v>
      </c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</row>
    <row r="81" ht="17.25" customHeight="1">
      <c r="A81" s="86">
        <v>45289.0</v>
      </c>
      <c r="B81" s="63" t="s">
        <v>27</v>
      </c>
      <c r="C81" s="79"/>
      <c r="D81" s="80">
        <v>61430.71</v>
      </c>
      <c r="E81" s="66" t="s">
        <v>28</v>
      </c>
      <c r="F81" s="77"/>
      <c r="G81" s="68">
        <v>20.0</v>
      </c>
      <c r="H81" s="69">
        <f t="shared" si="1"/>
        <v>10238.45167</v>
      </c>
      <c r="I81" s="97"/>
      <c r="J81" s="87" t="s">
        <v>66</v>
      </c>
      <c r="K81" s="92"/>
      <c r="L81" s="92"/>
      <c r="M81" s="92"/>
      <c r="N81" s="72"/>
      <c r="O81" s="93">
        <v>0.02</v>
      </c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</row>
    <row r="82" ht="17.25" customHeight="1">
      <c r="A82" s="86">
        <v>45289.0</v>
      </c>
      <c r="B82" s="63" t="s">
        <v>27</v>
      </c>
      <c r="C82" s="79"/>
      <c r="D82" s="80">
        <v>130650.0</v>
      </c>
      <c r="E82" s="66" t="s">
        <v>33</v>
      </c>
      <c r="F82" s="77"/>
      <c r="G82" s="68">
        <v>0.0</v>
      </c>
      <c r="H82" s="69">
        <f t="shared" si="1"/>
        <v>0</v>
      </c>
      <c r="I82" s="89" t="s">
        <v>68</v>
      </c>
      <c r="J82" s="87" t="s">
        <v>68</v>
      </c>
      <c r="K82" s="82"/>
      <c r="L82" s="82"/>
      <c r="M82" s="82"/>
      <c r="N82" s="72"/>
      <c r="O82" s="83" t="s">
        <v>88</v>
      </c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</row>
    <row r="83" ht="17.25" customHeight="1">
      <c r="A83" s="78">
        <v>45289.0</v>
      </c>
      <c r="B83" s="63" t="s">
        <v>27</v>
      </c>
      <c r="C83" s="79"/>
      <c r="D83" s="79">
        <v>625000.0</v>
      </c>
      <c r="E83" s="66" t="s">
        <v>28</v>
      </c>
      <c r="F83" s="67"/>
      <c r="G83" s="68">
        <v>20.0</v>
      </c>
      <c r="H83" s="69">
        <f t="shared" si="1"/>
        <v>104166.6667</v>
      </c>
      <c r="I83" s="76" t="s">
        <v>47</v>
      </c>
      <c r="J83" s="87"/>
      <c r="K83" s="82"/>
      <c r="L83" s="82"/>
      <c r="M83" s="82"/>
      <c r="N83" s="72"/>
      <c r="O83" s="83" t="s">
        <v>48</v>
      </c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</row>
    <row r="84" ht="17.25" customHeight="1">
      <c r="A84" s="78">
        <v>45289.0</v>
      </c>
      <c r="B84" s="63" t="s">
        <v>27</v>
      </c>
      <c r="C84" s="80">
        <v>425000.0</v>
      </c>
      <c r="D84" s="79"/>
      <c r="E84" s="66" t="s">
        <v>33</v>
      </c>
      <c r="F84" s="84" t="s">
        <v>48</v>
      </c>
      <c r="G84" s="68">
        <v>0.0</v>
      </c>
      <c r="H84" s="69">
        <f t="shared" si="1"/>
        <v>0</v>
      </c>
      <c r="I84" s="76" t="s">
        <v>47</v>
      </c>
      <c r="J84" s="98"/>
      <c r="K84" s="82"/>
      <c r="L84" s="82"/>
      <c r="M84" s="82"/>
      <c r="N84" s="72"/>
      <c r="O84" s="83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</row>
    <row r="85" ht="17.25" customHeight="1">
      <c r="A85" s="86">
        <v>45299.0</v>
      </c>
      <c r="B85" s="63" t="s">
        <v>27</v>
      </c>
      <c r="C85" s="79"/>
      <c r="D85" s="80">
        <v>12000.0</v>
      </c>
      <c r="E85" s="66" t="s">
        <v>33</v>
      </c>
      <c r="F85" s="84" t="s">
        <v>108</v>
      </c>
      <c r="G85" s="68">
        <v>0.0</v>
      </c>
      <c r="H85" s="69">
        <f t="shared" si="1"/>
        <v>0</v>
      </c>
      <c r="I85" s="89" t="s">
        <v>30</v>
      </c>
      <c r="J85" s="87" t="s">
        <v>109</v>
      </c>
      <c r="K85" s="95"/>
      <c r="L85" s="95"/>
      <c r="M85" s="95"/>
      <c r="N85" s="72"/>
      <c r="O85" s="96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</row>
    <row r="86" ht="17.25" customHeight="1">
      <c r="A86" s="86">
        <v>45301.0</v>
      </c>
      <c r="B86" s="63" t="s">
        <v>27</v>
      </c>
      <c r="C86" s="79"/>
      <c r="D86" s="80">
        <v>100000.0</v>
      </c>
      <c r="E86" s="66" t="s">
        <v>33</v>
      </c>
      <c r="F86" s="67"/>
      <c r="G86" s="68">
        <v>0.0</v>
      </c>
      <c r="H86" s="69">
        <f t="shared" si="1"/>
        <v>0</v>
      </c>
      <c r="I86" s="89" t="s">
        <v>68</v>
      </c>
      <c r="J86" s="87" t="s">
        <v>68</v>
      </c>
      <c r="K86" s="82"/>
      <c r="L86" s="82"/>
      <c r="M86" s="82"/>
      <c r="N86" s="72"/>
      <c r="O86" s="83" t="s">
        <v>86</v>
      </c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</row>
    <row r="87" ht="17.25" customHeight="1">
      <c r="A87" s="86">
        <v>45301.0</v>
      </c>
      <c r="B87" s="63" t="s">
        <v>27</v>
      </c>
      <c r="C87" s="79"/>
      <c r="D87" s="80">
        <v>25000.0</v>
      </c>
      <c r="E87" s="66" t="s">
        <v>33</v>
      </c>
      <c r="F87" s="77"/>
      <c r="G87" s="68">
        <v>0.0</v>
      </c>
      <c r="H87" s="69">
        <f t="shared" si="1"/>
        <v>0</v>
      </c>
      <c r="I87" s="89" t="s">
        <v>68</v>
      </c>
      <c r="J87" s="87" t="s">
        <v>68</v>
      </c>
      <c r="K87" s="82"/>
      <c r="L87" s="82"/>
      <c r="M87" s="82"/>
      <c r="N87" s="72">
        <f t="shared" ref="N87:N88" si="4">A87-IF(M87&gt;0,M87,A87)</f>
        <v>0</v>
      </c>
      <c r="O87" s="83" t="s">
        <v>90</v>
      </c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</row>
    <row r="88" ht="17.25" customHeight="1">
      <c r="A88" s="86">
        <v>45309.0</v>
      </c>
      <c r="B88" s="63" t="s">
        <v>27</v>
      </c>
      <c r="C88" s="80">
        <v>420000.0</v>
      </c>
      <c r="D88" s="79"/>
      <c r="E88" s="66" t="s">
        <v>28</v>
      </c>
      <c r="F88" s="77"/>
      <c r="G88" s="68">
        <v>20.0</v>
      </c>
      <c r="H88" s="69">
        <f t="shared" si="1"/>
        <v>70000</v>
      </c>
      <c r="I88" s="76" t="s">
        <v>37</v>
      </c>
      <c r="J88" s="87" t="s">
        <v>110</v>
      </c>
      <c r="K88" s="82"/>
      <c r="L88" s="82"/>
      <c r="M88" s="82"/>
      <c r="N88" s="72">
        <f t="shared" si="4"/>
        <v>0</v>
      </c>
      <c r="O88" s="83" t="s">
        <v>111</v>
      </c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</row>
    <row r="89" ht="17.25" customHeight="1">
      <c r="A89" s="86">
        <v>45309.0</v>
      </c>
      <c r="B89" s="63" t="s">
        <v>27</v>
      </c>
      <c r="C89" s="80">
        <v>905883.26</v>
      </c>
      <c r="D89" s="79"/>
      <c r="E89" s="66" t="s">
        <v>28</v>
      </c>
      <c r="F89" s="77"/>
      <c r="G89" s="68">
        <v>20.0</v>
      </c>
      <c r="H89" s="69">
        <f t="shared" si="1"/>
        <v>150980.5433</v>
      </c>
      <c r="I89" s="76" t="s">
        <v>37</v>
      </c>
      <c r="J89" s="87" t="s">
        <v>75</v>
      </c>
      <c r="K89" s="82"/>
      <c r="L89" s="82"/>
      <c r="M89" s="82"/>
      <c r="N89" s="72"/>
      <c r="O89" s="83" t="s">
        <v>112</v>
      </c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</row>
    <row r="90" ht="17.25" customHeight="1">
      <c r="A90" s="86">
        <v>45310.0</v>
      </c>
      <c r="B90" s="63" t="s">
        <v>27</v>
      </c>
      <c r="C90" s="80"/>
      <c r="D90" s="80">
        <v>823530.24</v>
      </c>
      <c r="E90" s="66" t="s">
        <v>28</v>
      </c>
      <c r="F90" s="77"/>
      <c r="G90" s="68">
        <v>20.0</v>
      </c>
      <c r="H90" s="69">
        <f t="shared" si="1"/>
        <v>137255.04</v>
      </c>
      <c r="I90" s="97"/>
      <c r="J90" s="87" t="s">
        <v>77</v>
      </c>
      <c r="K90" s="82"/>
      <c r="L90" s="82"/>
      <c r="M90" s="82"/>
      <c r="N90" s="72"/>
      <c r="O90" s="83" t="s">
        <v>113</v>
      </c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</row>
    <row r="91" ht="17.25" customHeight="1">
      <c r="A91" s="86">
        <v>45313.0</v>
      </c>
      <c r="B91" s="63" t="s">
        <v>27</v>
      </c>
      <c r="C91" s="80"/>
      <c r="D91" s="80">
        <v>120000.0</v>
      </c>
      <c r="E91" s="66" t="s">
        <v>28</v>
      </c>
      <c r="F91" s="77"/>
      <c r="G91" s="68">
        <v>20.0</v>
      </c>
      <c r="H91" s="69">
        <f t="shared" si="1"/>
        <v>20000</v>
      </c>
      <c r="I91" s="97"/>
      <c r="J91" s="87" t="s">
        <v>114</v>
      </c>
      <c r="K91" s="82"/>
      <c r="L91" s="82"/>
      <c r="M91" s="82"/>
      <c r="N91" s="72"/>
      <c r="O91" s="83" t="s">
        <v>115</v>
      </c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</row>
    <row r="92" ht="17.25" customHeight="1">
      <c r="A92" s="86">
        <v>45313.0</v>
      </c>
      <c r="B92" s="63" t="s">
        <v>27</v>
      </c>
      <c r="C92" s="80"/>
      <c r="D92" s="80">
        <v>120000.0</v>
      </c>
      <c r="E92" s="66" t="s">
        <v>28</v>
      </c>
      <c r="F92" s="77"/>
      <c r="G92" s="68">
        <v>20.0</v>
      </c>
      <c r="H92" s="69">
        <f t="shared" si="1"/>
        <v>20000</v>
      </c>
      <c r="I92" s="97"/>
      <c r="J92" s="87" t="s">
        <v>116</v>
      </c>
      <c r="K92" s="82"/>
      <c r="L92" s="82"/>
      <c r="M92" s="82"/>
      <c r="N92" s="72"/>
      <c r="O92" s="83" t="s">
        <v>117</v>
      </c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</row>
    <row r="93" ht="17.25" customHeight="1">
      <c r="A93" s="86">
        <v>45313.0</v>
      </c>
      <c r="B93" s="63" t="s">
        <v>27</v>
      </c>
      <c r="C93" s="79"/>
      <c r="D93" s="80">
        <v>5000.0</v>
      </c>
      <c r="E93" s="66" t="s">
        <v>28</v>
      </c>
      <c r="F93" s="77"/>
      <c r="G93" s="68">
        <v>20.0</v>
      </c>
      <c r="H93" s="69">
        <f t="shared" si="1"/>
        <v>833.3333333</v>
      </c>
      <c r="I93" s="76" t="s">
        <v>44</v>
      </c>
      <c r="J93" s="87" t="s">
        <v>45</v>
      </c>
      <c r="K93" s="82"/>
      <c r="L93" s="82"/>
      <c r="M93" s="82"/>
      <c r="N93" s="72">
        <f t="shared" ref="N93:N94" si="5">A93-IF(M93&gt;0,M93,A93)</f>
        <v>0</v>
      </c>
      <c r="O93" s="83" t="s">
        <v>118</v>
      </c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</row>
    <row r="94" ht="17.25" customHeight="1">
      <c r="A94" s="86">
        <v>45313.0</v>
      </c>
      <c r="B94" s="63" t="s">
        <v>27</v>
      </c>
      <c r="C94" s="80">
        <v>300000.0</v>
      </c>
      <c r="D94" s="79"/>
      <c r="E94" s="66" t="s">
        <v>28</v>
      </c>
      <c r="F94" s="84" t="s">
        <v>119</v>
      </c>
      <c r="G94" s="68">
        <v>20.0</v>
      </c>
      <c r="H94" s="69">
        <f t="shared" si="1"/>
        <v>50000</v>
      </c>
      <c r="I94" s="76" t="s">
        <v>37</v>
      </c>
      <c r="J94" s="87" t="s">
        <v>120</v>
      </c>
      <c r="K94" s="82"/>
      <c r="L94" s="82"/>
      <c r="M94" s="82"/>
      <c r="N94" s="72">
        <f t="shared" si="5"/>
        <v>0</v>
      </c>
      <c r="O94" s="83" t="s">
        <v>121</v>
      </c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</row>
    <row r="95" ht="17.25" customHeight="1">
      <c r="A95" s="86">
        <v>45314.0</v>
      </c>
      <c r="B95" s="63" t="s">
        <v>27</v>
      </c>
      <c r="C95" s="80">
        <v>411386.69</v>
      </c>
      <c r="D95" s="79"/>
      <c r="E95" s="66" t="s">
        <v>28</v>
      </c>
      <c r="F95" s="84" t="s">
        <v>119</v>
      </c>
      <c r="G95" s="68">
        <v>20.0</v>
      </c>
      <c r="H95" s="69">
        <f t="shared" si="1"/>
        <v>68564.44833</v>
      </c>
      <c r="I95" s="76" t="s">
        <v>37</v>
      </c>
      <c r="J95" s="87" t="s">
        <v>122</v>
      </c>
      <c r="K95" s="82"/>
      <c r="L95" s="82"/>
      <c r="M95" s="82"/>
      <c r="N95" s="72"/>
      <c r="O95" s="83" t="s">
        <v>123</v>
      </c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</row>
    <row r="96" ht="17.25" customHeight="1">
      <c r="A96" s="86">
        <v>45323.0</v>
      </c>
      <c r="B96" s="63" t="s">
        <v>27</v>
      </c>
      <c r="C96" s="79"/>
      <c r="D96" s="79">
        <v>868055.5555555556</v>
      </c>
      <c r="E96" s="66" t="s">
        <v>28</v>
      </c>
      <c r="F96" s="67"/>
      <c r="G96" s="68">
        <v>20.0</v>
      </c>
      <c r="H96" s="69">
        <f t="shared" si="1"/>
        <v>144675.9259</v>
      </c>
      <c r="I96" s="76" t="s">
        <v>47</v>
      </c>
      <c r="J96" s="87"/>
      <c r="K96" s="95"/>
      <c r="L96" s="95"/>
      <c r="M96" s="95"/>
      <c r="N96" s="72"/>
      <c r="O96" s="96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</row>
    <row r="97" ht="17.25" customHeight="1">
      <c r="A97" s="86">
        <v>45323.0</v>
      </c>
      <c r="B97" s="63" t="s">
        <v>27</v>
      </c>
      <c r="C97" s="80">
        <v>625000.0</v>
      </c>
      <c r="D97" s="79"/>
      <c r="E97" s="66" t="s">
        <v>33</v>
      </c>
      <c r="F97" s="84" t="s">
        <v>48</v>
      </c>
      <c r="G97" s="68">
        <v>0.0</v>
      </c>
      <c r="H97" s="69">
        <f t="shared" si="1"/>
        <v>0</v>
      </c>
      <c r="I97" s="76" t="s">
        <v>47</v>
      </c>
      <c r="J97" s="98"/>
      <c r="K97" s="95"/>
      <c r="L97" s="95"/>
      <c r="M97" s="95"/>
      <c r="N97" s="72"/>
      <c r="O97" s="96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</row>
    <row r="98" ht="17.25" customHeight="1">
      <c r="A98" s="86">
        <v>45323.0</v>
      </c>
      <c r="B98" s="63" t="s">
        <v>27</v>
      </c>
      <c r="C98" s="79"/>
      <c r="D98" s="80">
        <v>220565.0703999999</v>
      </c>
      <c r="E98" s="66" t="s">
        <v>28</v>
      </c>
      <c r="F98" s="77"/>
      <c r="G98" s="68">
        <v>0.0</v>
      </c>
      <c r="H98" s="69">
        <f t="shared" si="1"/>
        <v>0</v>
      </c>
      <c r="I98" s="94" t="s">
        <v>71</v>
      </c>
      <c r="J98" s="87" t="s">
        <v>72</v>
      </c>
      <c r="K98" s="95"/>
      <c r="L98" s="95"/>
      <c r="M98" s="95"/>
      <c r="N98" s="72"/>
      <c r="O98" s="96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</row>
    <row r="99" ht="17.25" customHeight="1">
      <c r="A99" s="86">
        <v>45323.0</v>
      </c>
      <c r="B99" s="63" t="s">
        <v>27</v>
      </c>
      <c r="C99" s="79"/>
      <c r="D99" s="80">
        <v>130000.0</v>
      </c>
      <c r="E99" s="66" t="s">
        <v>33</v>
      </c>
      <c r="F99" s="77"/>
      <c r="G99" s="68">
        <v>0.0</v>
      </c>
      <c r="H99" s="69">
        <f t="shared" si="1"/>
        <v>0</v>
      </c>
      <c r="I99" s="89" t="s">
        <v>68</v>
      </c>
      <c r="J99" s="87" t="s">
        <v>68</v>
      </c>
      <c r="K99" s="82"/>
      <c r="L99" s="82"/>
      <c r="M99" s="82"/>
      <c r="N99" s="72"/>
      <c r="O99" s="83" t="s">
        <v>124</v>
      </c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</row>
    <row r="100" ht="17.25" customHeight="1">
      <c r="A100" s="86">
        <v>45323.0</v>
      </c>
      <c r="B100" s="63" t="s">
        <v>27</v>
      </c>
      <c r="C100" s="79"/>
      <c r="D100" s="80">
        <v>170000.0</v>
      </c>
      <c r="E100" s="66" t="s">
        <v>33</v>
      </c>
      <c r="F100" s="77"/>
      <c r="G100" s="68">
        <v>0.0</v>
      </c>
      <c r="H100" s="69">
        <f t="shared" si="1"/>
        <v>0</v>
      </c>
      <c r="I100" s="89" t="s">
        <v>68</v>
      </c>
      <c r="J100" s="87" t="s">
        <v>68</v>
      </c>
      <c r="K100" s="82"/>
      <c r="L100" s="82"/>
      <c r="M100" s="82"/>
      <c r="N100" s="72"/>
      <c r="O100" s="83" t="s">
        <v>125</v>
      </c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</row>
    <row r="101" ht="17.25" customHeight="1">
      <c r="A101" s="86">
        <v>45323.0</v>
      </c>
      <c r="B101" s="63" t="s">
        <v>27</v>
      </c>
      <c r="C101" s="79"/>
      <c r="D101" s="80">
        <v>25000.0</v>
      </c>
      <c r="E101" s="66" t="s">
        <v>33</v>
      </c>
      <c r="F101" s="77"/>
      <c r="G101" s="68">
        <v>0.0</v>
      </c>
      <c r="H101" s="69">
        <f t="shared" si="1"/>
        <v>0</v>
      </c>
      <c r="I101" s="89" t="s">
        <v>68</v>
      </c>
      <c r="J101" s="87" t="s">
        <v>68</v>
      </c>
      <c r="K101" s="82"/>
      <c r="L101" s="82"/>
      <c r="M101" s="82"/>
      <c r="N101" s="72">
        <f>A101-IF(M101&gt;0,M101,A101)</f>
        <v>0</v>
      </c>
      <c r="O101" s="83" t="s">
        <v>126</v>
      </c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</row>
    <row r="102" ht="17.25" customHeight="1">
      <c r="A102" s="86">
        <v>45324.0</v>
      </c>
      <c r="B102" s="63" t="s">
        <v>27</v>
      </c>
      <c r="C102" s="80">
        <v>674113.2</v>
      </c>
      <c r="D102" s="79"/>
      <c r="E102" s="66" t="s">
        <v>28</v>
      </c>
      <c r="F102" s="84" t="s">
        <v>119</v>
      </c>
      <c r="G102" s="68">
        <v>20.0</v>
      </c>
      <c r="H102" s="69">
        <f t="shared" si="1"/>
        <v>112352.2</v>
      </c>
      <c r="I102" s="76" t="s">
        <v>37</v>
      </c>
      <c r="J102" s="87" t="s">
        <v>87</v>
      </c>
      <c r="K102" s="82"/>
      <c r="L102" s="82"/>
      <c r="M102" s="82"/>
      <c r="N102" s="72"/>
      <c r="O102" s="83" t="s">
        <v>127</v>
      </c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</row>
    <row r="103" ht="17.25" customHeight="1">
      <c r="A103" s="86">
        <v>45332.0</v>
      </c>
      <c r="B103" s="63" t="s">
        <v>27</v>
      </c>
      <c r="C103" s="79"/>
      <c r="D103" s="80">
        <v>50000.0</v>
      </c>
      <c r="E103" s="66" t="s">
        <v>33</v>
      </c>
      <c r="F103" s="77"/>
      <c r="G103" s="68">
        <v>0.0</v>
      </c>
      <c r="H103" s="69">
        <f t="shared" si="1"/>
        <v>0</v>
      </c>
      <c r="I103" s="89" t="s">
        <v>68</v>
      </c>
      <c r="J103" s="87" t="s">
        <v>68</v>
      </c>
      <c r="K103" s="82"/>
      <c r="L103" s="82"/>
      <c r="M103" s="82"/>
      <c r="N103" s="72"/>
      <c r="O103" s="83" t="s">
        <v>86</v>
      </c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</row>
    <row r="104" ht="17.25" customHeight="1">
      <c r="A104" s="86">
        <v>45332.0</v>
      </c>
      <c r="B104" s="63" t="s">
        <v>27</v>
      </c>
      <c r="C104" s="79"/>
      <c r="D104" s="80">
        <v>250000.0</v>
      </c>
      <c r="E104" s="66" t="s">
        <v>33</v>
      </c>
      <c r="F104" s="77"/>
      <c r="G104" s="68">
        <v>0.0</v>
      </c>
      <c r="H104" s="69">
        <f t="shared" si="1"/>
        <v>0</v>
      </c>
      <c r="I104" s="89" t="s">
        <v>68</v>
      </c>
      <c r="J104" s="87" t="s">
        <v>68</v>
      </c>
      <c r="K104" s="82"/>
      <c r="L104" s="82"/>
      <c r="M104" s="82"/>
      <c r="N104" s="72">
        <f>A104-IF(M104&gt;0,M104,A104)</f>
        <v>0</v>
      </c>
      <c r="O104" s="83" t="s">
        <v>128</v>
      </c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</row>
    <row r="105" ht="17.25" customHeight="1">
      <c r="A105" s="86">
        <v>45334.0</v>
      </c>
      <c r="B105" s="63" t="s">
        <v>27</v>
      </c>
      <c r="C105" s="80">
        <v>188613.31</v>
      </c>
      <c r="D105" s="79"/>
      <c r="E105" s="66" t="s">
        <v>28</v>
      </c>
      <c r="F105" s="84" t="s">
        <v>129</v>
      </c>
      <c r="G105" s="68">
        <v>20.0</v>
      </c>
      <c r="H105" s="69">
        <f t="shared" si="1"/>
        <v>31435.55167</v>
      </c>
      <c r="I105" s="76" t="s">
        <v>37</v>
      </c>
      <c r="J105" s="87" t="s">
        <v>120</v>
      </c>
      <c r="K105" s="82"/>
      <c r="L105" s="82"/>
      <c r="M105" s="82"/>
      <c r="N105" s="72"/>
      <c r="O105" s="83" t="s">
        <v>130</v>
      </c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</row>
    <row r="106" ht="17.25" customHeight="1">
      <c r="A106" s="86">
        <v>45335.0</v>
      </c>
      <c r="B106" s="63" t="s">
        <v>27</v>
      </c>
      <c r="C106" s="79"/>
      <c r="D106" s="80">
        <v>48100.0</v>
      </c>
      <c r="E106" s="66" t="s">
        <v>28</v>
      </c>
      <c r="F106" s="77"/>
      <c r="G106" s="68">
        <v>20.0</v>
      </c>
      <c r="H106" s="69">
        <f t="shared" si="1"/>
        <v>8016.666667</v>
      </c>
      <c r="I106" s="97"/>
      <c r="J106" s="87" t="s">
        <v>131</v>
      </c>
      <c r="K106" s="82"/>
      <c r="L106" s="82"/>
      <c r="M106" s="82"/>
      <c r="N106" s="72"/>
      <c r="O106" s="83" t="s">
        <v>132</v>
      </c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</row>
    <row r="107" ht="17.25" customHeight="1">
      <c r="A107" s="86">
        <v>45335.0</v>
      </c>
      <c r="B107" s="63" t="s">
        <v>27</v>
      </c>
      <c r="C107" s="79"/>
      <c r="D107" s="80">
        <v>50.0</v>
      </c>
      <c r="E107" s="66" t="s">
        <v>28</v>
      </c>
      <c r="F107" s="77"/>
      <c r="G107" s="68">
        <v>20.0</v>
      </c>
      <c r="H107" s="69">
        <f t="shared" si="1"/>
        <v>8.333333333</v>
      </c>
      <c r="I107" s="97"/>
      <c r="J107" s="87" t="s">
        <v>131</v>
      </c>
      <c r="K107" s="82"/>
      <c r="L107" s="82"/>
      <c r="M107" s="82"/>
      <c r="N107" s="72"/>
      <c r="O107" s="83" t="s">
        <v>133</v>
      </c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</row>
    <row r="108" ht="17.25" customHeight="1">
      <c r="A108" s="86">
        <v>45335.0</v>
      </c>
      <c r="B108" s="63" t="s">
        <v>27</v>
      </c>
      <c r="C108" s="79"/>
      <c r="D108" s="80">
        <v>10.0</v>
      </c>
      <c r="E108" s="66" t="s">
        <v>28</v>
      </c>
      <c r="F108" s="77"/>
      <c r="G108" s="68">
        <v>20.0</v>
      </c>
      <c r="H108" s="69">
        <f t="shared" si="1"/>
        <v>1.666666667</v>
      </c>
      <c r="I108" s="76" t="s">
        <v>44</v>
      </c>
      <c r="J108" s="98" t="s">
        <v>134</v>
      </c>
      <c r="K108" s="82"/>
      <c r="L108" s="82"/>
      <c r="M108" s="82"/>
      <c r="N108" s="72">
        <f>A108-IF(M108&gt;0,M108,A108)</f>
        <v>0</v>
      </c>
      <c r="O108" s="83" t="s">
        <v>135</v>
      </c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</row>
    <row r="109" ht="17.25" customHeight="1">
      <c r="A109" s="86">
        <v>45338.0</v>
      </c>
      <c r="B109" s="63" t="s">
        <v>27</v>
      </c>
      <c r="C109" s="80">
        <v>439289.76</v>
      </c>
      <c r="D109" s="79"/>
      <c r="E109" s="66" t="s">
        <v>28</v>
      </c>
      <c r="F109" s="84" t="s">
        <v>129</v>
      </c>
      <c r="G109" s="68">
        <v>20.0</v>
      </c>
      <c r="H109" s="69">
        <f t="shared" si="1"/>
        <v>73214.96</v>
      </c>
      <c r="I109" s="76" t="s">
        <v>37</v>
      </c>
      <c r="J109" s="87" t="s">
        <v>87</v>
      </c>
      <c r="K109" s="82"/>
      <c r="L109" s="82"/>
      <c r="M109" s="82"/>
      <c r="N109" s="72"/>
      <c r="O109" s="83" t="s">
        <v>136</v>
      </c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</row>
    <row r="110" ht="17.25" customHeight="1">
      <c r="A110" s="86">
        <v>45340.0</v>
      </c>
      <c r="B110" s="63" t="s">
        <v>27</v>
      </c>
      <c r="C110" s="79"/>
      <c r="D110" s="80">
        <v>50000.0</v>
      </c>
      <c r="E110" s="66" t="s">
        <v>33</v>
      </c>
      <c r="F110" s="77"/>
      <c r="G110" s="68">
        <v>0.0</v>
      </c>
      <c r="H110" s="69">
        <f t="shared" si="1"/>
        <v>0</v>
      </c>
      <c r="I110" s="97"/>
      <c r="J110" s="87" t="s">
        <v>137</v>
      </c>
      <c r="K110" s="82"/>
      <c r="L110" s="82"/>
      <c r="M110" s="82"/>
      <c r="N110" s="72"/>
      <c r="O110" s="83" t="s">
        <v>138</v>
      </c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</row>
    <row r="111" ht="17.25" customHeight="1">
      <c r="A111" s="86">
        <v>45341.0</v>
      </c>
      <c r="B111" s="63" t="s">
        <v>27</v>
      </c>
      <c r="C111" s="79"/>
      <c r="D111" s="80">
        <v>220000.0</v>
      </c>
      <c r="E111" s="66" t="s">
        <v>28</v>
      </c>
      <c r="F111" s="77"/>
      <c r="G111" s="68">
        <v>0.0</v>
      </c>
      <c r="H111" s="69">
        <f t="shared" si="1"/>
        <v>0</v>
      </c>
      <c r="I111" s="97"/>
      <c r="J111" s="87" t="s">
        <v>139</v>
      </c>
      <c r="K111" s="82"/>
      <c r="L111" s="82"/>
      <c r="M111" s="82"/>
      <c r="N111" s="72"/>
      <c r="O111" s="83" t="s">
        <v>140</v>
      </c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</row>
    <row r="112" ht="17.25" customHeight="1">
      <c r="A112" s="86">
        <v>45343.0</v>
      </c>
      <c r="B112" s="63" t="s">
        <v>27</v>
      </c>
      <c r="C112" s="79"/>
      <c r="D112" s="80">
        <v>40000.0</v>
      </c>
      <c r="E112" s="66" t="s">
        <v>33</v>
      </c>
      <c r="F112" s="77"/>
      <c r="G112" s="68">
        <v>0.0</v>
      </c>
      <c r="H112" s="69">
        <f t="shared" si="1"/>
        <v>0</v>
      </c>
      <c r="I112" s="89" t="s">
        <v>68</v>
      </c>
      <c r="J112" s="87" t="s">
        <v>68</v>
      </c>
      <c r="K112" s="82"/>
      <c r="L112" s="82"/>
      <c r="M112" s="82"/>
      <c r="N112" s="72"/>
      <c r="O112" s="83" t="s">
        <v>141</v>
      </c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</row>
    <row r="113" ht="17.25" customHeight="1">
      <c r="A113" s="86">
        <v>45343.0</v>
      </c>
      <c r="B113" s="63" t="s">
        <v>27</v>
      </c>
      <c r="C113" s="79"/>
      <c r="D113" s="80">
        <v>50000.0</v>
      </c>
      <c r="E113" s="66" t="s">
        <v>33</v>
      </c>
      <c r="F113" s="77"/>
      <c r="G113" s="68">
        <v>0.0</v>
      </c>
      <c r="H113" s="69">
        <f t="shared" si="1"/>
        <v>0</v>
      </c>
      <c r="I113" s="89" t="s">
        <v>68</v>
      </c>
      <c r="J113" s="87" t="s">
        <v>68</v>
      </c>
      <c r="K113" s="82"/>
      <c r="L113" s="82"/>
      <c r="M113" s="82"/>
      <c r="N113" s="72"/>
      <c r="O113" s="83" t="s">
        <v>128</v>
      </c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</row>
    <row r="114" ht="17.25" customHeight="1">
      <c r="A114" s="86">
        <v>45347.0</v>
      </c>
      <c r="B114" s="63" t="s">
        <v>27</v>
      </c>
      <c r="C114" s="80">
        <v>400000.0</v>
      </c>
      <c r="D114" s="79"/>
      <c r="E114" s="66" t="s">
        <v>33</v>
      </c>
      <c r="F114" s="84" t="s">
        <v>48</v>
      </c>
      <c r="G114" s="68">
        <v>0.0</v>
      </c>
      <c r="H114" s="69">
        <f t="shared" si="1"/>
        <v>0</v>
      </c>
      <c r="I114" s="76" t="s">
        <v>47</v>
      </c>
      <c r="J114" s="87"/>
      <c r="K114" s="82"/>
      <c r="L114" s="82"/>
      <c r="M114" s="82"/>
      <c r="N114" s="72">
        <f>A114-IF(M114&gt;0,M114,A114)</f>
        <v>0</v>
      </c>
      <c r="O114" s="83" t="s">
        <v>142</v>
      </c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</row>
    <row r="115" ht="17.25" customHeight="1">
      <c r="A115" s="86">
        <v>45349.0</v>
      </c>
      <c r="B115" s="63" t="s">
        <v>27</v>
      </c>
      <c r="C115" s="80">
        <v>1500000.0</v>
      </c>
      <c r="D115" s="79"/>
      <c r="E115" s="66" t="s">
        <v>28</v>
      </c>
      <c r="F115" s="84" t="s">
        <v>143</v>
      </c>
      <c r="G115" s="68">
        <v>20.0</v>
      </c>
      <c r="H115" s="69">
        <f t="shared" si="1"/>
        <v>250000</v>
      </c>
      <c r="I115" s="76" t="s">
        <v>37</v>
      </c>
      <c r="J115" s="87" t="s">
        <v>120</v>
      </c>
      <c r="K115" s="95"/>
      <c r="L115" s="95"/>
      <c r="M115" s="95"/>
      <c r="N115" s="72"/>
      <c r="O115" s="96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</row>
    <row r="116" ht="17.25" customHeight="1">
      <c r="A116" s="86">
        <v>45350.0</v>
      </c>
      <c r="B116" s="63" t="s">
        <v>27</v>
      </c>
      <c r="C116" s="80"/>
      <c r="D116" s="80">
        <v>1200027.6</v>
      </c>
      <c r="E116" s="66" t="s">
        <v>28</v>
      </c>
      <c r="F116" s="84" t="s">
        <v>119</v>
      </c>
      <c r="G116" s="68">
        <v>20.0</v>
      </c>
      <c r="H116" s="69">
        <f t="shared" si="1"/>
        <v>200004.6</v>
      </c>
      <c r="I116" s="97"/>
      <c r="J116" s="87" t="s">
        <v>77</v>
      </c>
      <c r="K116" s="95"/>
      <c r="L116" s="95"/>
      <c r="M116" s="95"/>
      <c r="N116" s="72"/>
      <c r="O116" s="96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</row>
    <row r="117" ht="17.25" customHeight="1">
      <c r="A117" s="86">
        <v>45350.0</v>
      </c>
      <c r="B117" s="63" t="s">
        <v>27</v>
      </c>
      <c r="C117" s="79"/>
      <c r="D117" s="79">
        <v>1131944.4444444445</v>
      </c>
      <c r="E117" s="66" t="s">
        <v>28</v>
      </c>
      <c r="F117" s="67"/>
      <c r="G117" s="68">
        <v>20.0</v>
      </c>
      <c r="H117" s="69">
        <f t="shared" si="1"/>
        <v>188657.4074</v>
      </c>
      <c r="I117" s="76" t="s">
        <v>47</v>
      </c>
      <c r="J117" s="87"/>
      <c r="K117" s="95"/>
      <c r="L117" s="95"/>
      <c r="M117" s="95"/>
      <c r="N117" s="72"/>
      <c r="O117" s="96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</row>
    <row r="118" ht="17.25" customHeight="1">
      <c r="A118" s="86">
        <v>45350.0</v>
      </c>
      <c r="B118" s="63" t="s">
        <v>27</v>
      </c>
      <c r="C118" s="80">
        <v>815000.0</v>
      </c>
      <c r="D118" s="79"/>
      <c r="E118" s="66" t="s">
        <v>33</v>
      </c>
      <c r="F118" s="84" t="s">
        <v>48</v>
      </c>
      <c r="G118" s="68">
        <v>0.0</v>
      </c>
      <c r="H118" s="69">
        <f t="shared" si="1"/>
        <v>0</v>
      </c>
      <c r="I118" s="76" t="s">
        <v>47</v>
      </c>
      <c r="J118" s="98"/>
      <c r="K118" s="95"/>
      <c r="L118" s="95"/>
      <c r="M118" s="95"/>
      <c r="N118" s="72"/>
      <c r="O118" s="96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</row>
    <row r="119" ht="17.25" customHeight="1">
      <c r="A119" s="86">
        <v>45350.0</v>
      </c>
      <c r="B119" s="63" t="s">
        <v>27</v>
      </c>
      <c r="C119" s="79"/>
      <c r="D119" s="80">
        <v>10000.0</v>
      </c>
      <c r="E119" s="66" t="s">
        <v>33</v>
      </c>
      <c r="F119" s="77"/>
      <c r="G119" s="68">
        <v>0.0</v>
      </c>
      <c r="H119" s="69">
        <f t="shared" si="1"/>
        <v>0</v>
      </c>
      <c r="I119" s="97"/>
      <c r="J119" s="87" t="s">
        <v>144</v>
      </c>
      <c r="K119" s="82"/>
      <c r="L119" s="82"/>
      <c r="M119" s="82"/>
      <c r="N119" s="72"/>
      <c r="O119" s="83">
        <v>7.9206502116E10</v>
      </c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</row>
    <row r="120" ht="17.25" customHeight="1">
      <c r="A120" s="86">
        <v>45352.0</v>
      </c>
      <c r="B120" s="63" t="s">
        <v>27</v>
      </c>
      <c r="C120" s="79"/>
      <c r="D120" s="80">
        <v>170000.0</v>
      </c>
      <c r="E120" s="66" t="s">
        <v>33</v>
      </c>
      <c r="F120" s="77"/>
      <c r="G120" s="68">
        <v>0.0</v>
      </c>
      <c r="H120" s="69">
        <f t="shared" si="1"/>
        <v>0</v>
      </c>
      <c r="I120" s="89" t="s">
        <v>68</v>
      </c>
      <c r="J120" s="87" t="s">
        <v>68</v>
      </c>
      <c r="K120" s="82"/>
      <c r="L120" s="82"/>
      <c r="M120" s="82"/>
      <c r="N120" s="72"/>
      <c r="O120" s="83" t="s">
        <v>80</v>
      </c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</row>
    <row r="121" ht="17.25" customHeight="1">
      <c r="A121" s="86">
        <v>45352.0</v>
      </c>
      <c r="B121" s="63" t="s">
        <v>27</v>
      </c>
      <c r="C121" s="79"/>
      <c r="D121" s="80">
        <v>300000.0</v>
      </c>
      <c r="E121" s="66" t="s">
        <v>33</v>
      </c>
      <c r="F121" s="77"/>
      <c r="G121" s="68">
        <v>0.0</v>
      </c>
      <c r="H121" s="69">
        <f t="shared" si="1"/>
        <v>0</v>
      </c>
      <c r="I121" s="89" t="s">
        <v>68</v>
      </c>
      <c r="J121" s="87" t="s">
        <v>68</v>
      </c>
      <c r="K121" s="82"/>
      <c r="L121" s="82"/>
      <c r="M121" s="82"/>
      <c r="N121" s="72"/>
      <c r="O121" s="83" t="s">
        <v>128</v>
      </c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</row>
    <row r="122" ht="17.25" customHeight="1">
      <c r="A122" s="86">
        <v>45352.0</v>
      </c>
      <c r="B122" s="63" t="s">
        <v>27</v>
      </c>
      <c r="C122" s="79"/>
      <c r="D122" s="80">
        <v>130000.0</v>
      </c>
      <c r="E122" s="66" t="s">
        <v>33</v>
      </c>
      <c r="F122" s="77"/>
      <c r="G122" s="68">
        <v>0.0</v>
      </c>
      <c r="H122" s="69">
        <f t="shared" si="1"/>
        <v>0</v>
      </c>
      <c r="I122" s="89" t="s">
        <v>68</v>
      </c>
      <c r="J122" s="87" t="s">
        <v>68</v>
      </c>
      <c r="K122" s="82"/>
      <c r="L122" s="82"/>
      <c r="M122" s="82"/>
      <c r="N122" s="72"/>
      <c r="O122" s="83" t="s">
        <v>145</v>
      </c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</row>
    <row r="123" ht="17.25" customHeight="1">
      <c r="A123" s="86">
        <v>45352.0</v>
      </c>
      <c r="B123" s="63" t="s">
        <v>27</v>
      </c>
      <c r="C123" s="79"/>
      <c r="D123" s="80">
        <v>40000.0</v>
      </c>
      <c r="E123" s="66" t="s">
        <v>33</v>
      </c>
      <c r="F123" s="77"/>
      <c r="G123" s="68">
        <v>0.0</v>
      </c>
      <c r="H123" s="69">
        <f t="shared" si="1"/>
        <v>0</v>
      </c>
      <c r="I123" s="89" t="s">
        <v>68</v>
      </c>
      <c r="J123" s="87" t="s">
        <v>68</v>
      </c>
      <c r="K123" s="82"/>
      <c r="L123" s="82"/>
      <c r="M123" s="82"/>
      <c r="N123" s="72"/>
      <c r="O123" s="83" t="s">
        <v>146</v>
      </c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</row>
    <row r="124" ht="17.25" customHeight="1">
      <c r="A124" s="86">
        <v>45352.0</v>
      </c>
      <c r="B124" s="63" t="s">
        <v>27</v>
      </c>
      <c r="C124" s="79"/>
      <c r="D124" s="80">
        <v>25000.0</v>
      </c>
      <c r="E124" s="66" t="s">
        <v>33</v>
      </c>
      <c r="F124" s="77"/>
      <c r="G124" s="68">
        <v>0.0</v>
      </c>
      <c r="H124" s="69">
        <f t="shared" si="1"/>
        <v>0</v>
      </c>
      <c r="I124" s="89" t="s">
        <v>68</v>
      </c>
      <c r="J124" s="87" t="s">
        <v>68</v>
      </c>
      <c r="K124" s="82"/>
      <c r="L124" s="82"/>
      <c r="M124" s="82"/>
      <c r="N124" s="72">
        <f>A124-IF(M124&gt;0,M124,A124)</f>
        <v>0</v>
      </c>
      <c r="O124" s="83" t="s">
        <v>147</v>
      </c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</row>
    <row r="125" ht="17.25" customHeight="1">
      <c r="A125" s="86">
        <v>45352.0</v>
      </c>
      <c r="B125" s="63" t="s">
        <v>27</v>
      </c>
      <c r="C125" s="80">
        <v>600000.0</v>
      </c>
      <c r="D125" s="79"/>
      <c r="E125" s="66" t="s">
        <v>28</v>
      </c>
      <c r="F125" s="84" t="s">
        <v>129</v>
      </c>
      <c r="G125" s="68">
        <v>20.0</v>
      </c>
      <c r="H125" s="69">
        <f t="shared" si="1"/>
        <v>100000</v>
      </c>
      <c r="I125" s="76" t="s">
        <v>37</v>
      </c>
      <c r="J125" s="87" t="s">
        <v>148</v>
      </c>
      <c r="K125" s="82"/>
      <c r="L125" s="82"/>
      <c r="M125" s="82"/>
      <c r="N125" s="72"/>
      <c r="O125" s="83" t="s">
        <v>149</v>
      </c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</row>
    <row r="126" ht="17.25" customHeight="1">
      <c r="A126" s="86">
        <v>45355.0</v>
      </c>
      <c r="B126" s="63" t="s">
        <v>27</v>
      </c>
      <c r="C126" s="79"/>
      <c r="D126" s="80">
        <v>13990.0</v>
      </c>
      <c r="E126" s="66" t="s">
        <v>28</v>
      </c>
      <c r="F126" s="77"/>
      <c r="G126" s="68">
        <v>0.0</v>
      </c>
      <c r="H126" s="69">
        <f t="shared" si="1"/>
        <v>0</v>
      </c>
      <c r="I126" s="70" t="s">
        <v>30</v>
      </c>
      <c r="J126" s="71" t="s">
        <v>31</v>
      </c>
      <c r="K126" s="95"/>
      <c r="L126" s="95"/>
      <c r="M126" s="95"/>
      <c r="N126" s="72"/>
      <c r="O126" s="96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</row>
    <row r="127" ht="17.25" customHeight="1">
      <c r="A127" s="86">
        <v>45356.0</v>
      </c>
      <c r="B127" s="63" t="s">
        <v>27</v>
      </c>
      <c r="C127" s="79"/>
      <c r="D127" s="80">
        <v>17000.0</v>
      </c>
      <c r="E127" s="66" t="s">
        <v>33</v>
      </c>
      <c r="F127" s="77"/>
      <c r="G127" s="68">
        <v>0.0</v>
      </c>
      <c r="H127" s="69">
        <f t="shared" si="1"/>
        <v>0</v>
      </c>
      <c r="I127" s="97"/>
      <c r="J127" s="87" t="s">
        <v>137</v>
      </c>
      <c r="K127" s="82"/>
      <c r="L127" s="82"/>
      <c r="M127" s="82"/>
      <c r="N127" s="72"/>
      <c r="O127" s="83" t="s">
        <v>80</v>
      </c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</row>
    <row r="128" ht="17.25" customHeight="1">
      <c r="A128" s="86">
        <v>45361.0</v>
      </c>
      <c r="B128" s="63" t="s">
        <v>27</v>
      </c>
      <c r="C128" s="79"/>
      <c r="D128" s="80">
        <v>10000.0</v>
      </c>
      <c r="E128" s="66" t="s">
        <v>33</v>
      </c>
      <c r="F128" s="77"/>
      <c r="G128" s="68">
        <v>0.0</v>
      </c>
      <c r="H128" s="69">
        <f t="shared" si="1"/>
        <v>0</v>
      </c>
      <c r="I128" s="97"/>
      <c r="J128" s="87" t="s">
        <v>144</v>
      </c>
      <c r="K128" s="82"/>
      <c r="L128" s="82"/>
      <c r="M128" s="82"/>
      <c r="N128" s="72">
        <f>A128-IF(M128&gt;0,M128,A128)</f>
        <v>0</v>
      </c>
      <c r="O128" s="83" t="s">
        <v>150</v>
      </c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</row>
    <row r="129" ht="17.25" customHeight="1">
      <c r="A129" s="86">
        <v>45362.0</v>
      </c>
      <c r="B129" s="63" t="s">
        <v>27</v>
      </c>
      <c r="C129" s="80">
        <f>500000*1.2</f>
        <v>600000</v>
      </c>
      <c r="D129" s="79"/>
      <c r="E129" s="66" t="s">
        <v>28</v>
      </c>
      <c r="F129" s="84" t="s">
        <v>151</v>
      </c>
      <c r="G129" s="68">
        <v>20.0</v>
      </c>
      <c r="H129" s="69">
        <f t="shared" si="1"/>
        <v>100000</v>
      </c>
      <c r="I129" s="76" t="s">
        <v>37</v>
      </c>
      <c r="J129" s="87" t="s">
        <v>148</v>
      </c>
      <c r="K129" s="82"/>
      <c r="L129" s="82"/>
      <c r="M129" s="82"/>
      <c r="N129" s="72"/>
      <c r="O129" s="83" t="s">
        <v>152</v>
      </c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</row>
    <row r="130" ht="17.25" customHeight="1">
      <c r="A130" s="86">
        <v>45363.0</v>
      </c>
      <c r="B130" s="63" t="s">
        <v>27</v>
      </c>
      <c r="C130" s="79"/>
      <c r="D130" s="80">
        <v>23390.4</v>
      </c>
      <c r="E130" s="66" t="s">
        <v>28</v>
      </c>
      <c r="F130" s="77"/>
      <c r="G130" s="68">
        <v>20.0</v>
      </c>
      <c r="H130" s="69">
        <f t="shared" si="1"/>
        <v>3898.4</v>
      </c>
      <c r="I130" s="97"/>
      <c r="J130" s="87" t="s">
        <v>153</v>
      </c>
      <c r="K130" s="82"/>
      <c r="L130" s="82"/>
      <c r="M130" s="82"/>
      <c r="N130" s="72"/>
      <c r="O130" s="83" t="s">
        <v>154</v>
      </c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</row>
    <row r="131" ht="17.25" customHeight="1">
      <c r="A131" s="86">
        <v>45363.0</v>
      </c>
      <c r="B131" s="63" t="s">
        <v>27</v>
      </c>
      <c r="C131" s="79"/>
      <c r="D131" s="80">
        <v>20000.0</v>
      </c>
      <c r="E131" s="66" t="s">
        <v>28</v>
      </c>
      <c r="F131" s="77"/>
      <c r="G131" s="68">
        <v>20.0</v>
      </c>
      <c r="H131" s="69">
        <f t="shared" si="1"/>
        <v>3333.333333</v>
      </c>
      <c r="I131" s="76" t="s">
        <v>44</v>
      </c>
      <c r="J131" s="87" t="s">
        <v>45</v>
      </c>
      <c r="K131" s="82"/>
      <c r="L131" s="82"/>
      <c r="M131" s="82"/>
      <c r="N131" s="72"/>
      <c r="O131" s="83" t="s">
        <v>155</v>
      </c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</row>
    <row r="132" ht="17.25" customHeight="1">
      <c r="A132" s="86">
        <v>45363.0</v>
      </c>
      <c r="B132" s="63" t="s">
        <v>27</v>
      </c>
      <c r="C132" s="79"/>
      <c r="D132" s="80">
        <v>20000.0</v>
      </c>
      <c r="E132" s="66" t="s">
        <v>28</v>
      </c>
      <c r="F132" s="77"/>
      <c r="G132" s="68">
        <v>20.0</v>
      </c>
      <c r="H132" s="69">
        <f t="shared" si="1"/>
        <v>3333.333333</v>
      </c>
      <c r="I132" s="76" t="s">
        <v>44</v>
      </c>
      <c r="J132" s="87" t="s">
        <v>45</v>
      </c>
      <c r="K132" s="82"/>
      <c r="L132" s="82"/>
      <c r="M132" s="82"/>
      <c r="N132" s="72"/>
      <c r="O132" s="83" t="s">
        <v>156</v>
      </c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</row>
    <row r="133" ht="17.25" customHeight="1">
      <c r="A133" s="86">
        <v>45364.0</v>
      </c>
      <c r="B133" s="63" t="s">
        <v>27</v>
      </c>
      <c r="C133" s="79"/>
      <c r="D133" s="80">
        <v>27000.0</v>
      </c>
      <c r="E133" s="66" t="s">
        <v>33</v>
      </c>
      <c r="F133" s="77"/>
      <c r="G133" s="68">
        <v>0.0</v>
      </c>
      <c r="H133" s="69">
        <f t="shared" si="1"/>
        <v>0</v>
      </c>
      <c r="I133" s="97"/>
      <c r="J133" s="87" t="s">
        <v>144</v>
      </c>
      <c r="K133" s="82"/>
      <c r="L133" s="82"/>
      <c r="M133" s="82"/>
      <c r="N133" s="72">
        <f t="shared" ref="N133:N134" si="6">A133-IF(M133&gt;0,M133,A133)</f>
        <v>0</v>
      </c>
      <c r="O133" s="83" t="s">
        <v>150</v>
      </c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</row>
    <row r="134" ht="17.25" customHeight="1">
      <c r="A134" s="86">
        <v>45365.0</v>
      </c>
      <c r="B134" s="63" t="s">
        <v>27</v>
      </c>
      <c r="C134" s="80">
        <v>407555.69</v>
      </c>
      <c r="D134" s="79"/>
      <c r="E134" s="66" t="s">
        <v>28</v>
      </c>
      <c r="F134" s="84" t="s">
        <v>119</v>
      </c>
      <c r="G134" s="68">
        <v>20.0</v>
      </c>
      <c r="H134" s="69">
        <f t="shared" si="1"/>
        <v>67925.94833</v>
      </c>
      <c r="I134" s="76" t="s">
        <v>37</v>
      </c>
      <c r="J134" s="87" t="s">
        <v>157</v>
      </c>
      <c r="K134" s="82"/>
      <c r="L134" s="82"/>
      <c r="M134" s="82"/>
      <c r="N134" s="72">
        <f t="shared" si="6"/>
        <v>0</v>
      </c>
      <c r="O134" s="83" t="s">
        <v>158</v>
      </c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</row>
    <row r="135" ht="17.25" customHeight="1">
      <c r="A135" s="86">
        <v>45365.0</v>
      </c>
      <c r="B135" s="63" t="s">
        <v>27</v>
      </c>
      <c r="C135" s="80">
        <v>268844.26</v>
      </c>
      <c r="D135" s="79"/>
      <c r="E135" s="66" t="s">
        <v>28</v>
      </c>
      <c r="F135" s="84" t="s">
        <v>119</v>
      </c>
      <c r="G135" s="68">
        <v>20.0</v>
      </c>
      <c r="H135" s="69">
        <f t="shared" si="1"/>
        <v>44807.37667</v>
      </c>
      <c r="I135" s="76" t="s">
        <v>37</v>
      </c>
      <c r="J135" s="87" t="s">
        <v>157</v>
      </c>
      <c r="K135" s="82"/>
      <c r="L135" s="82"/>
      <c r="M135" s="82"/>
      <c r="N135" s="72"/>
      <c r="O135" s="83" t="s">
        <v>159</v>
      </c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</row>
    <row r="136" ht="17.25" customHeight="1">
      <c r="A136" s="86">
        <v>45365.0</v>
      </c>
      <c r="B136" s="63" t="s">
        <v>27</v>
      </c>
      <c r="C136" s="80"/>
      <c r="D136" s="80">
        <v>30000.0</v>
      </c>
      <c r="E136" s="66" t="s">
        <v>33</v>
      </c>
      <c r="F136" s="77"/>
      <c r="G136" s="68">
        <v>0.0</v>
      </c>
      <c r="H136" s="69">
        <f t="shared" si="1"/>
        <v>0</v>
      </c>
      <c r="I136" s="97"/>
      <c r="J136" s="87" t="s">
        <v>160</v>
      </c>
      <c r="K136" s="82"/>
      <c r="L136" s="82"/>
      <c r="M136" s="82"/>
      <c r="N136" s="72"/>
      <c r="O136" s="83" t="s">
        <v>161</v>
      </c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</row>
    <row r="137" ht="17.25" customHeight="1">
      <c r="A137" s="86">
        <v>45367.0</v>
      </c>
      <c r="B137" s="63" t="s">
        <v>27</v>
      </c>
      <c r="C137" s="80"/>
      <c r="D137" s="80">
        <v>30000.0</v>
      </c>
      <c r="E137" s="66" t="s">
        <v>33</v>
      </c>
      <c r="F137" s="77"/>
      <c r="G137" s="68">
        <v>0.0</v>
      </c>
      <c r="H137" s="69">
        <f t="shared" si="1"/>
        <v>0</v>
      </c>
      <c r="I137" s="97"/>
      <c r="J137" s="87" t="s">
        <v>137</v>
      </c>
      <c r="K137" s="82"/>
      <c r="L137" s="82"/>
      <c r="M137" s="82"/>
      <c r="N137" s="72">
        <f>A137-IF(M137&gt;0,M137,A137)</f>
        <v>0</v>
      </c>
      <c r="O137" s="83" t="s">
        <v>162</v>
      </c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</row>
    <row r="138" ht="17.25" customHeight="1">
      <c r="A138" s="86">
        <v>45369.0</v>
      </c>
      <c r="B138" s="63" t="s">
        <v>27</v>
      </c>
      <c r="C138" s="80">
        <v>606370.32</v>
      </c>
      <c r="D138" s="79"/>
      <c r="E138" s="66" t="s">
        <v>28</v>
      </c>
      <c r="F138" s="84" t="s">
        <v>151</v>
      </c>
      <c r="G138" s="68">
        <v>20.0</v>
      </c>
      <c r="H138" s="69">
        <f t="shared" si="1"/>
        <v>101061.72</v>
      </c>
      <c r="I138" s="76" t="s">
        <v>37</v>
      </c>
      <c r="J138" s="87" t="s">
        <v>87</v>
      </c>
      <c r="K138" s="82"/>
      <c r="L138" s="82"/>
      <c r="M138" s="82"/>
      <c r="N138" s="72"/>
      <c r="O138" s="83" t="s">
        <v>163</v>
      </c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</row>
    <row r="139" ht="17.25" customHeight="1">
      <c r="A139" s="86">
        <v>45369.0</v>
      </c>
      <c r="B139" s="63" t="s">
        <v>27</v>
      </c>
      <c r="C139" s="79"/>
      <c r="D139" s="80">
        <v>50000.0</v>
      </c>
      <c r="E139" s="66" t="s">
        <v>33</v>
      </c>
      <c r="F139" s="77"/>
      <c r="G139" s="68">
        <v>0.0</v>
      </c>
      <c r="H139" s="69">
        <f t="shared" si="1"/>
        <v>0</v>
      </c>
      <c r="I139" s="97"/>
      <c r="J139" s="87" t="s">
        <v>137</v>
      </c>
      <c r="K139" s="82"/>
      <c r="L139" s="82"/>
      <c r="M139" s="82"/>
      <c r="N139" s="72"/>
      <c r="O139" s="83" t="s">
        <v>164</v>
      </c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</row>
    <row r="140" ht="17.25" customHeight="1">
      <c r="A140" s="86">
        <v>45370.0</v>
      </c>
      <c r="B140" s="63" t="s">
        <v>27</v>
      </c>
      <c r="C140" s="79"/>
      <c r="D140" s="80">
        <v>20000.0</v>
      </c>
      <c r="E140" s="66" t="s">
        <v>33</v>
      </c>
      <c r="F140" s="77"/>
      <c r="G140" s="68">
        <v>0.0</v>
      </c>
      <c r="H140" s="69">
        <f t="shared" si="1"/>
        <v>0</v>
      </c>
      <c r="I140" s="97"/>
      <c r="J140" s="87" t="s">
        <v>144</v>
      </c>
      <c r="K140" s="82"/>
      <c r="L140" s="82"/>
      <c r="M140" s="82"/>
      <c r="N140" s="72"/>
      <c r="O140" s="83" t="s">
        <v>150</v>
      </c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</row>
    <row r="141" ht="17.25" customHeight="1">
      <c r="A141" s="86">
        <v>45372.0</v>
      </c>
      <c r="B141" s="63" t="s">
        <v>27</v>
      </c>
      <c r="C141" s="79"/>
      <c r="D141" s="80">
        <v>50000.0</v>
      </c>
      <c r="E141" s="66" t="s">
        <v>33</v>
      </c>
      <c r="F141" s="77"/>
      <c r="G141" s="68">
        <v>0.0</v>
      </c>
      <c r="H141" s="69">
        <f t="shared" si="1"/>
        <v>0</v>
      </c>
      <c r="I141" s="97"/>
      <c r="J141" s="87" t="s">
        <v>137</v>
      </c>
      <c r="K141" s="82"/>
      <c r="L141" s="82"/>
      <c r="M141" s="82"/>
      <c r="N141" s="72"/>
      <c r="O141" s="83" t="s">
        <v>165</v>
      </c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</row>
    <row r="142" ht="17.25" customHeight="1">
      <c r="A142" s="86">
        <v>45377.0</v>
      </c>
      <c r="B142" s="63" t="s">
        <v>27</v>
      </c>
      <c r="C142" s="79"/>
      <c r="D142" s="80">
        <v>122340.0</v>
      </c>
      <c r="E142" s="66" t="s">
        <v>33</v>
      </c>
      <c r="F142" s="84" t="s">
        <v>143</v>
      </c>
      <c r="G142" s="68">
        <v>0.0</v>
      </c>
      <c r="H142" s="69">
        <f t="shared" si="1"/>
        <v>0</v>
      </c>
      <c r="I142" s="89" t="s">
        <v>68</v>
      </c>
      <c r="J142" s="87" t="s">
        <v>68</v>
      </c>
      <c r="K142" s="82"/>
      <c r="L142" s="82"/>
      <c r="M142" s="82"/>
      <c r="N142" s="72"/>
      <c r="O142" s="83" t="s">
        <v>146</v>
      </c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</row>
    <row r="143" ht="17.25" customHeight="1">
      <c r="A143" s="86">
        <v>45377.0</v>
      </c>
      <c r="B143" s="63" t="s">
        <v>27</v>
      </c>
      <c r="C143" s="79"/>
      <c r="D143" s="80">
        <v>30000.0</v>
      </c>
      <c r="E143" s="66" t="s">
        <v>33</v>
      </c>
      <c r="F143" s="84" t="s">
        <v>143</v>
      </c>
      <c r="G143" s="68">
        <v>0.0</v>
      </c>
      <c r="H143" s="69">
        <f t="shared" si="1"/>
        <v>0</v>
      </c>
      <c r="I143" s="89" t="s">
        <v>68</v>
      </c>
      <c r="J143" s="87" t="s">
        <v>68</v>
      </c>
      <c r="K143" s="82"/>
      <c r="L143" s="82"/>
      <c r="M143" s="82"/>
      <c r="N143" s="72"/>
      <c r="O143" s="83" t="s">
        <v>166</v>
      </c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</row>
    <row r="144" ht="17.25" customHeight="1">
      <c r="A144" s="86">
        <v>45379.0</v>
      </c>
      <c r="B144" s="63" t="s">
        <v>27</v>
      </c>
      <c r="C144" s="79"/>
      <c r="D144" s="80">
        <v>82861.46</v>
      </c>
      <c r="E144" s="66" t="s">
        <v>28</v>
      </c>
      <c r="F144" s="77"/>
      <c r="G144" s="68">
        <v>20.0</v>
      </c>
      <c r="H144" s="69">
        <f t="shared" si="1"/>
        <v>13810.24333</v>
      </c>
      <c r="I144" s="97"/>
      <c r="J144" s="87" t="s">
        <v>131</v>
      </c>
      <c r="K144" s="95"/>
      <c r="L144" s="95"/>
      <c r="M144" s="95"/>
      <c r="N144" s="72"/>
      <c r="O144" s="96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</row>
    <row r="145" ht="17.25" customHeight="1">
      <c r="A145" s="86">
        <v>45379.0</v>
      </c>
      <c r="B145" s="63" t="s">
        <v>27</v>
      </c>
      <c r="C145" s="79"/>
      <c r="D145" s="80">
        <v>52000.0</v>
      </c>
      <c r="E145" s="66" t="s">
        <v>28</v>
      </c>
      <c r="F145" s="77"/>
      <c r="G145" s="68">
        <v>0.0</v>
      </c>
      <c r="H145" s="69">
        <f t="shared" si="1"/>
        <v>0</v>
      </c>
      <c r="I145" s="97"/>
      <c r="J145" s="87" t="s">
        <v>167</v>
      </c>
      <c r="K145" s="82"/>
      <c r="L145" s="82"/>
      <c r="M145" s="82"/>
      <c r="N145" s="72"/>
      <c r="O145" s="83" t="s">
        <v>168</v>
      </c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</row>
    <row r="146" ht="17.25" customHeight="1">
      <c r="A146" s="86">
        <v>45379.0</v>
      </c>
      <c r="B146" s="63" t="s">
        <v>27</v>
      </c>
      <c r="C146" s="79"/>
      <c r="D146" s="80">
        <v>643209.67</v>
      </c>
      <c r="E146" s="66" t="s">
        <v>28</v>
      </c>
      <c r="F146" s="84" t="s">
        <v>169</v>
      </c>
      <c r="G146" s="68">
        <v>20.0</v>
      </c>
      <c r="H146" s="69">
        <f t="shared" si="1"/>
        <v>107201.6117</v>
      </c>
      <c r="I146" s="85"/>
      <c r="J146" s="71" t="s">
        <v>38</v>
      </c>
      <c r="K146" s="95"/>
      <c r="L146" s="95"/>
      <c r="M146" s="95"/>
      <c r="N146" s="72"/>
      <c r="O146" s="96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</row>
    <row r="147" ht="17.25" customHeight="1">
      <c r="A147" s="86">
        <v>45379.0</v>
      </c>
      <c r="B147" s="63" t="s">
        <v>27</v>
      </c>
      <c r="C147" s="79"/>
      <c r="D147" s="80">
        <v>1374336.75</v>
      </c>
      <c r="E147" s="66" t="s">
        <v>28</v>
      </c>
      <c r="F147" s="84" t="s">
        <v>129</v>
      </c>
      <c r="G147" s="68">
        <v>20.0</v>
      </c>
      <c r="H147" s="69">
        <f t="shared" si="1"/>
        <v>229056.125</v>
      </c>
      <c r="I147" s="97"/>
      <c r="J147" s="87" t="s">
        <v>77</v>
      </c>
      <c r="K147" s="95"/>
      <c r="L147" s="95"/>
      <c r="M147" s="95"/>
      <c r="N147" s="72"/>
      <c r="O147" s="96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</row>
    <row r="148" ht="17.25" customHeight="1">
      <c r="A148" s="86">
        <v>45383.0</v>
      </c>
      <c r="B148" s="63" t="s">
        <v>27</v>
      </c>
      <c r="C148" s="79"/>
      <c r="D148" s="80">
        <v>170000.0</v>
      </c>
      <c r="E148" s="66" t="s">
        <v>33</v>
      </c>
      <c r="F148" s="84" t="s">
        <v>143</v>
      </c>
      <c r="G148" s="68">
        <v>0.0</v>
      </c>
      <c r="H148" s="69">
        <f t="shared" si="1"/>
        <v>0</v>
      </c>
      <c r="I148" s="89" t="s">
        <v>68</v>
      </c>
      <c r="J148" s="87" t="s">
        <v>170</v>
      </c>
      <c r="K148" s="82"/>
      <c r="L148" s="82"/>
      <c r="M148" s="82"/>
      <c r="N148" s="72"/>
      <c r="O148" s="83" t="s">
        <v>80</v>
      </c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</row>
    <row r="149" ht="17.25" customHeight="1">
      <c r="A149" s="86">
        <v>45383.0</v>
      </c>
      <c r="B149" s="63" t="s">
        <v>27</v>
      </c>
      <c r="C149" s="79"/>
      <c r="D149" s="80">
        <v>270000.0</v>
      </c>
      <c r="E149" s="66" t="s">
        <v>33</v>
      </c>
      <c r="F149" s="84" t="s">
        <v>143</v>
      </c>
      <c r="G149" s="68">
        <v>0.0</v>
      </c>
      <c r="H149" s="69">
        <f t="shared" si="1"/>
        <v>0</v>
      </c>
      <c r="I149" s="89" t="s">
        <v>68</v>
      </c>
      <c r="J149" s="87" t="s">
        <v>170</v>
      </c>
      <c r="K149" s="82"/>
      <c r="L149" s="82"/>
      <c r="M149" s="82"/>
      <c r="N149" s="72"/>
      <c r="O149" s="83" t="s">
        <v>128</v>
      </c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</row>
    <row r="150" ht="17.25" customHeight="1">
      <c r="A150" s="86">
        <v>45383.0</v>
      </c>
      <c r="B150" s="63" t="s">
        <v>27</v>
      </c>
      <c r="C150" s="79"/>
      <c r="D150" s="80">
        <v>130000.0</v>
      </c>
      <c r="E150" s="66" t="s">
        <v>33</v>
      </c>
      <c r="F150" s="84" t="s">
        <v>143</v>
      </c>
      <c r="G150" s="68">
        <v>0.0</v>
      </c>
      <c r="H150" s="69">
        <f t="shared" si="1"/>
        <v>0</v>
      </c>
      <c r="I150" s="89" t="s">
        <v>68</v>
      </c>
      <c r="J150" s="87" t="s">
        <v>170</v>
      </c>
      <c r="K150" s="82"/>
      <c r="L150" s="82"/>
      <c r="M150" s="82"/>
      <c r="N150" s="72"/>
      <c r="O150" s="83" t="s">
        <v>145</v>
      </c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</row>
    <row r="151" ht="17.25" customHeight="1">
      <c r="A151" s="86">
        <v>45383.0</v>
      </c>
      <c r="B151" s="63" t="s">
        <v>27</v>
      </c>
      <c r="C151" s="79"/>
      <c r="D151" s="80">
        <v>40000.0</v>
      </c>
      <c r="E151" s="66" t="s">
        <v>33</v>
      </c>
      <c r="F151" s="84" t="s">
        <v>143</v>
      </c>
      <c r="G151" s="68">
        <v>0.0</v>
      </c>
      <c r="H151" s="69">
        <f t="shared" si="1"/>
        <v>0</v>
      </c>
      <c r="I151" s="89" t="s">
        <v>68</v>
      </c>
      <c r="J151" s="87" t="s">
        <v>170</v>
      </c>
      <c r="K151" s="82"/>
      <c r="L151" s="82"/>
      <c r="M151" s="82"/>
      <c r="N151" s="72"/>
      <c r="O151" s="83" t="s">
        <v>171</v>
      </c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</row>
    <row r="152" ht="17.25" customHeight="1">
      <c r="A152" s="86">
        <v>45383.0</v>
      </c>
      <c r="B152" s="63" t="s">
        <v>27</v>
      </c>
      <c r="C152" s="79"/>
      <c r="D152" s="80">
        <v>35000.0</v>
      </c>
      <c r="E152" s="66" t="s">
        <v>33</v>
      </c>
      <c r="F152" s="84" t="s">
        <v>143</v>
      </c>
      <c r="G152" s="68">
        <v>0.0</v>
      </c>
      <c r="H152" s="69">
        <f t="shared" si="1"/>
        <v>0</v>
      </c>
      <c r="I152" s="89" t="s">
        <v>68</v>
      </c>
      <c r="J152" s="87" t="s">
        <v>170</v>
      </c>
      <c r="K152" s="82"/>
      <c r="L152" s="82"/>
      <c r="M152" s="82"/>
      <c r="N152" s="72"/>
      <c r="O152" s="83" t="s">
        <v>147</v>
      </c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</row>
    <row r="153" ht="17.25" customHeight="1">
      <c r="A153" s="86">
        <v>45383.0</v>
      </c>
      <c r="B153" s="63" t="s">
        <v>27</v>
      </c>
      <c r="C153" s="79"/>
      <c r="D153" s="79">
        <v>1250000.0</v>
      </c>
      <c r="E153" s="66" t="s">
        <v>28</v>
      </c>
      <c r="F153" s="84" t="s">
        <v>48</v>
      </c>
      <c r="G153" s="68">
        <v>20.0</v>
      </c>
      <c r="H153" s="69">
        <f t="shared" si="1"/>
        <v>208333.3333</v>
      </c>
      <c r="I153" s="76" t="s">
        <v>47</v>
      </c>
      <c r="J153" s="87"/>
      <c r="K153" s="95"/>
      <c r="L153" s="95"/>
      <c r="M153" s="95"/>
      <c r="N153" s="72"/>
      <c r="O153" s="96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</row>
    <row r="154" ht="17.25" customHeight="1">
      <c r="A154" s="86">
        <v>45383.0</v>
      </c>
      <c r="B154" s="63" t="s">
        <v>27</v>
      </c>
      <c r="C154" s="80">
        <v>900000.0</v>
      </c>
      <c r="D154" s="79"/>
      <c r="E154" s="66" t="s">
        <v>33</v>
      </c>
      <c r="F154" s="84" t="s">
        <v>48</v>
      </c>
      <c r="G154" s="68">
        <v>0.0</v>
      </c>
      <c r="H154" s="69">
        <f t="shared" si="1"/>
        <v>0</v>
      </c>
      <c r="I154" s="76" t="s">
        <v>47</v>
      </c>
      <c r="J154" s="98"/>
      <c r="K154" s="95"/>
      <c r="L154" s="95"/>
      <c r="M154" s="95"/>
      <c r="N154" s="72"/>
      <c r="O154" s="96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</row>
    <row r="155" ht="17.25" customHeight="1">
      <c r="A155" s="86">
        <v>45384.0</v>
      </c>
      <c r="B155" s="63" t="s">
        <v>27</v>
      </c>
      <c r="C155" s="79"/>
      <c r="D155" s="80">
        <v>327173.72</v>
      </c>
      <c r="E155" s="66" t="s">
        <v>28</v>
      </c>
      <c r="F155" s="77"/>
      <c r="G155" s="68">
        <v>20.0</v>
      </c>
      <c r="H155" s="69">
        <f t="shared" si="1"/>
        <v>54528.95333</v>
      </c>
      <c r="I155" s="97"/>
      <c r="J155" s="98" t="s">
        <v>172</v>
      </c>
      <c r="K155" s="82"/>
      <c r="L155" s="82"/>
      <c r="M155" s="82"/>
      <c r="N155" s="72"/>
      <c r="O155" s="83" t="s">
        <v>173</v>
      </c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</row>
    <row r="156" ht="17.25" customHeight="1">
      <c r="A156" s="86">
        <v>45385.0</v>
      </c>
      <c r="B156" s="63" t="s">
        <v>27</v>
      </c>
      <c r="C156" s="79"/>
      <c r="D156" s="80">
        <v>13990.0</v>
      </c>
      <c r="E156" s="66" t="s">
        <v>28</v>
      </c>
      <c r="F156" s="84" t="s">
        <v>143</v>
      </c>
      <c r="G156" s="68">
        <v>0.0</v>
      </c>
      <c r="H156" s="69">
        <f t="shared" si="1"/>
        <v>0</v>
      </c>
      <c r="I156" s="70" t="s">
        <v>30</v>
      </c>
      <c r="J156" s="71" t="s">
        <v>31</v>
      </c>
      <c r="K156" s="82"/>
      <c r="L156" s="82"/>
      <c r="M156" s="82"/>
      <c r="N156" s="72"/>
      <c r="O156" s="83" t="s">
        <v>174</v>
      </c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</row>
    <row r="157" ht="17.25" customHeight="1">
      <c r="A157" s="86">
        <v>45386.0</v>
      </c>
      <c r="B157" s="63" t="s">
        <v>27</v>
      </c>
      <c r="C157" s="79"/>
      <c r="D157" s="80">
        <v>15000.0</v>
      </c>
      <c r="E157" s="66" t="s">
        <v>33</v>
      </c>
      <c r="F157" s="77"/>
      <c r="G157" s="68">
        <v>0.0</v>
      </c>
      <c r="H157" s="69">
        <f t="shared" si="1"/>
        <v>0</v>
      </c>
      <c r="I157" s="97"/>
      <c r="J157" s="87" t="s">
        <v>137</v>
      </c>
      <c r="K157" s="82"/>
      <c r="L157" s="82"/>
      <c r="M157" s="82"/>
      <c r="N157" s="72"/>
      <c r="O157" s="83" t="s">
        <v>175</v>
      </c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</row>
    <row r="158" ht="17.25" customHeight="1">
      <c r="A158" s="86">
        <v>45391.0</v>
      </c>
      <c r="B158" s="63" t="s">
        <v>27</v>
      </c>
      <c r="C158" s="79"/>
      <c r="D158" s="80">
        <v>124800.0</v>
      </c>
      <c r="E158" s="66" t="s">
        <v>28</v>
      </c>
      <c r="F158" s="84" t="s">
        <v>143</v>
      </c>
      <c r="G158" s="68">
        <v>0.0</v>
      </c>
      <c r="H158" s="69">
        <f t="shared" si="1"/>
        <v>0</v>
      </c>
      <c r="I158" s="97"/>
      <c r="J158" s="87" t="s">
        <v>167</v>
      </c>
      <c r="K158" s="82"/>
      <c r="L158" s="82"/>
      <c r="M158" s="82"/>
      <c r="N158" s="72"/>
      <c r="O158" s="83" t="s">
        <v>176</v>
      </c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</row>
    <row r="159" ht="17.25" customHeight="1">
      <c r="A159" s="86">
        <v>45391.0</v>
      </c>
      <c r="B159" s="63" t="s">
        <v>27</v>
      </c>
      <c r="C159" s="79"/>
      <c r="D159" s="80">
        <v>12000.0</v>
      </c>
      <c r="E159" s="66" t="s">
        <v>33</v>
      </c>
      <c r="F159" s="84" t="s">
        <v>143</v>
      </c>
      <c r="G159" s="68">
        <v>0.0</v>
      </c>
      <c r="H159" s="69">
        <f t="shared" si="1"/>
        <v>0</v>
      </c>
      <c r="I159" s="97"/>
      <c r="J159" s="87" t="s">
        <v>128</v>
      </c>
      <c r="K159" s="82"/>
      <c r="L159" s="82"/>
      <c r="M159" s="82"/>
      <c r="N159" s="72"/>
      <c r="O159" s="83" t="s">
        <v>177</v>
      </c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</row>
    <row r="160" ht="17.25" customHeight="1">
      <c r="A160" s="86">
        <v>45391.0</v>
      </c>
      <c r="B160" s="63" t="s">
        <v>27</v>
      </c>
      <c r="C160" s="79"/>
      <c r="D160" s="80">
        <v>4250.0</v>
      </c>
      <c r="E160" s="66" t="s">
        <v>33</v>
      </c>
      <c r="F160" s="84" t="s">
        <v>143</v>
      </c>
      <c r="G160" s="68">
        <v>0.0</v>
      </c>
      <c r="H160" s="69">
        <f t="shared" si="1"/>
        <v>0</v>
      </c>
      <c r="I160" s="97"/>
      <c r="J160" s="87" t="s">
        <v>128</v>
      </c>
      <c r="K160" s="82"/>
      <c r="L160" s="82"/>
      <c r="M160" s="82"/>
      <c r="N160" s="72"/>
      <c r="O160" s="83" t="s">
        <v>144</v>
      </c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</row>
    <row r="161" ht="17.25" customHeight="1">
      <c r="A161" s="86">
        <v>45392.0</v>
      </c>
      <c r="B161" s="63" t="s">
        <v>27</v>
      </c>
      <c r="C161" s="79"/>
      <c r="D161" s="80">
        <v>110000.0</v>
      </c>
      <c r="E161" s="66" t="s">
        <v>33</v>
      </c>
      <c r="F161" s="77"/>
      <c r="G161" s="68">
        <v>0.0</v>
      </c>
      <c r="H161" s="69">
        <f t="shared" si="1"/>
        <v>0</v>
      </c>
      <c r="I161" s="97"/>
      <c r="J161" s="87" t="s">
        <v>137</v>
      </c>
      <c r="K161" s="82"/>
      <c r="L161" s="82"/>
      <c r="M161" s="82"/>
      <c r="N161" s="72">
        <f t="shared" ref="N161:N163" si="7">A161-IF(M161&gt;0,M161,A161)</f>
        <v>0</v>
      </c>
      <c r="O161" s="83" t="s">
        <v>178</v>
      </c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</row>
    <row r="162" ht="17.25" customHeight="1">
      <c r="A162" s="86">
        <v>45393.0</v>
      </c>
      <c r="B162" s="63" t="s">
        <v>27</v>
      </c>
      <c r="C162" s="80">
        <v>1800000.0</v>
      </c>
      <c r="D162" s="79"/>
      <c r="E162" s="66" t="s">
        <v>28</v>
      </c>
      <c r="F162" s="84" t="s">
        <v>143</v>
      </c>
      <c r="G162" s="68">
        <v>20.0</v>
      </c>
      <c r="H162" s="69">
        <f t="shared" si="1"/>
        <v>300000</v>
      </c>
      <c r="I162" s="76" t="s">
        <v>37</v>
      </c>
      <c r="J162" s="87" t="s">
        <v>179</v>
      </c>
      <c r="K162" s="82"/>
      <c r="L162" s="82"/>
      <c r="M162" s="82"/>
      <c r="N162" s="72">
        <f t="shared" si="7"/>
        <v>0</v>
      </c>
      <c r="O162" s="83" t="s">
        <v>180</v>
      </c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</row>
    <row r="163" ht="17.25" customHeight="1">
      <c r="A163" s="86">
        <v>45393.0</v>
      </c>
      <c r="B163" s="63" t="s">
        <v>27</v>
      </c>
      <c r="C163" s="80">
        <v>600000.0</v>
      </c>
      <c r="D163" s="79"/>
      <c r="E163" s="66" t="s">
        <v>28</v>
      </c>
      <c r="F163" s="84" t="s">
        <v>143</v>
      </c>
      <c r="G163" s="68">
        <v>20.0</v>
      </c>
      <c r="H163" s="69">
        <f t="shared" si="1"/>
        <v>100000</v>
      </c>
      <c r="I163" s="76" t="s">
        <v>37</v>
      </c>
      <c r="J163" s="87" t="s">
        <v>181</v>
      </c>
      <c r="K163" s="82"/>
      <c r="L163" s="82"/>
      <c r="M163" s="82"/>
      <c r="N163" s="72">
        <f t="shared" si="7"/>
        <v>0</v>
      </c>
      <c r="O163" s="83" t="s">
        <v>182</v>
      </c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</row>
    <row r="164" ht="17.25" customHeight="1">
      <c r="A164" s="86">
        <v>45397.0</v>
      </c>
      <c r="B164" s="63" t="s">
        <v>27</v>
      </c>
      <c r="C164" s="80">
        <v>228418.64</v>
      </c>
      <c r="D164" s="79"/>
      <c r="E164" s="66" t="s">
        <v>28</v>
      </c>
      <c r="F164" s="84" t="s">
        <v>143</v>
      </c>
      <c r="G164" s="68">
        <v>20.0</v>
      </c>
      <c r="H164" s="69">
        <f t="shared" si="1"/>
        <v>38069.77333</v>
      </c>
      <c r="I164" s="76" t="s">
        <v>37</v>
      </c>
      <c r="J164" s="87" t="s">
        <v>181</v>
      </c>
      <c r="K164" s="82"/>
      <c r="L164" s="82"/>
      <c r="M164" s="82"/>
      <c r="N164" s="72"/>
      <c r="O164" s="83" t="s">
        <v>183</v>
      </c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</row>
    <row r="165" ht="17.25" customHeight="1">
      <c r="A165" s="86">
        <v>45398.0</v>
      </c>
      <c r="B165" s="63" t="s">
        <v>27</v>
      </c>
      <c r="C165" s="79"/>
      <c r="D165" s="80">
        <v>15300.0</v>
      </c>
      <c r="E165" s="66" t="s">
        <v>33</v>
      </c>
      <c r="F165" s="77"/>
      <c r="G165" s="68">
        <v>0.0</v>
      </c>
      <c r="H165" s="69">
        <f t="shared" si="1"/>
        <v>0</v>
      </c>
      <c r="I165" s="97"/>
      <c r="J165" s="87" t="s">
        <v>137</v>
      </c>
      <c r="K165" s="82"/>
      <c r="L165" s="82"/>
      <c r="M165" s="82"/>
      <c r="N165" s="72"/>
      <c r="O165" s="83" t="s">
        <v>184</v>
      </c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</row>
    <row r="166" ht="17.25" customHeight="1">
      <c r="A166" s="86">
        <v>45398.0</v>
      </c>
      <c r="B166" s="63" t="s">
        <v>27</v>
      </c>
      <c r="C166" s="79"/>
      <c r="D166" s="80">
        <v>33000.0</v>
      </c>
      <c r="E166" s="66" t="s">
        <v>33</v>
      </c>
      <c r="F166" s="77"/>
      <c r="G166" s="68">
        <v>0.0</v>
      </c>
      <c r="H166" s="69">
        <f t="shared" si="1"/>
        <v>0</v>
      </c>
      <c r="I166" s="97"/>
      <c r="J166" s="87" t="s">
        <v>137</v>
      </c>
      <c r="K166" s="82"/>
      <c r="L166" s="82"/>
      <c r="M166" s="82"/>
      <c r="N166" s="72"/>
      <c r="O166" s="83" t="s">
        <v>185</v>
      </c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</row>
    <row r="167" ht="17.25" customHeight="1">
      <c r="A167" s="86">
        <v>45399.0</v>
      </c>
      <c r="B167" s="63" t="s">
        <v>27</v>
      </c>
      <c r="C167" s="79"/>
      <c r="D167" s="79">
        <v>26382.0</v>
      </c>
      <c r="E167" s="66" t="s">
        <v>33</v>
      </c>
      <c r="F167" s="84" t="s">
        <v>186</v>
      </c>
      <c r="G167" s="68">
        <v>0.0</v>
      </c>
      <c r="H167" s="69">
        <f t="shared" si="1"/>
        <v>0</v>
      </c>
      <c r="I167" s="97"/>
      <c r="J167" s="87" t="s">
        <v>137</v>
      </c>
      <c r="K167" s="82"/>
      <c r="L167" s="82"/>
      <c r="M167" s="82"/>
      <c r="N167" s="72">
        <f>A167-IF(M167&gt;0,M167,A167)</f>
        <v>0</v>
      </c>
      <c r="O167" s="83" t="s">
        <v>187</v>
      </c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</row>
    <row r="168" ht="17.25" customHeight="1">
      <c r="A168" s="86">
        <v>45400.0</v>
      </c>
      <c r="B168" s="63" t="s">
        <v>27</v>
      </c>
      <c r="C168" s="80">
        <v>794636.88</v>
      </c>
      <c r="D168" s="79"/>
      <c r="E168" s="66" t="s">
        <v>28</v>
      </c>
      <c r="F168" s="84" t="s">
        <v>143</v>
      </c>
      <c r="G168" s="68">
        <v>20.0</v>
      </c>
      <c r="H168" s="69">
        <f t="shared" si="1"/>
        <v>132439.48</v>
      </c>
      <c r="I168" s="76" t="s">
        <v>37</v>
      </c>
      <c r="J168" s="87" t="s">
        <v>87</v>
      </c>
      <c r="K168" s="82"/>
      <c r="L168" s="82"/>
      <c r="M168" s="82"/>
      <c r="N168" s="72"/>
      <c r="O168" s="83" t="s">
        <v>188</v>
      </c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</row>
    <row r="169" ht="17.25" customHeight="1">
      <c r="A169" s="86">
        <v>45400.0</v>
      </c>
      <c r="B169" s="63" t="s">
        <v>27</v>
      </c>
      <c r="C169" s="79"/>
      <c r="D169" s="80">
        <v>105705.0</v>
      </c>
      <c r="E169" s="66" t="s">
        <v>28</v>
      </c>
      <c r="F169" s="84" t="s">
        <v>189</v>
      </c>
      <c r="G169" s="68">
        <v>0.0</v>
      </c>
      <c r="H169" s="69">
        <f t="shared" si="1"/>
        <v>0</v>
      </c>
      <c r="I169" s="89" t="s">
        <v>68</v>
      </c>
      <c r="J169" s="87" t="s">
        <v>170</v>
      </c>
      <c r="K169" s="82"/>
      <c r="L169" s="82"/>
      <c r="M169" s="82"/>
      <c r="N169" s="72"/>
      <c r="O169" s="83" t="s">
        <v>190</v>
      </c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</row>
    <row r="170" ht="17.25" customHeight="1">
      <c r="A170" s="86">
        <v>45401.0</v>
      </c>
      <c r="B170" s="63" t="s">
        <v>27</v>
      </c>
      <c r="C170" s="79"/>
      <c r="D170" s="80">
        <v>26387.0</v>
      </c>
      <c r="E170" s="66" t="s">
        <v>33</v>
      </c>
      <c r="F170" s="84" t="s">
        <v>186</v>
      </c>
      <c r="G170" s="68">
        <v>0.0</v>
      </c>
      <c r="H170" s="69">
        <f t="shared" si="1"/>
        <v>0</v>
      </c>
      <c r="I170" s="97"/>
      <c r="J170" s="87" t="s">
        <v>191</v>
      </c>
      <c r="K170" s="82"/>
      <c r="L170" s="82"/>
      <c r="M170" s="82"/>
      <c r="N170" s="72"/>
      <c r="O170" s="83" t="s">
        <v>192</v>
      </c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</row>
    <row r="171" ht="17.25" customHeight="1">
      <c r="A171" s="86">
        <v>45401.0</v>
      </c>
      <c r="B171" s="63" t="s">
        <v>27</v>
      </c>
      <c r="C171" s="79"/>
      <c r="D171" s="80">
        <v>9250.0</v>
      </c>
      <c r="E171" s="66" t="s">
        <v>33</v>
      </c>
      <c r="F171" s="84" t="s">
        <v>144</v>
      </c>
      <c r="G171" s="68">
        <v>0.0</v>
      </c>
      <c r="H171" s="69">
        <f t="shared" si="1"/>
        <v>0</v>
      </c>
      <c r="I171" s="97"/>
      <c r="J171" s="87" t="s">
        <v>191</v>
      </c>
      <c r="K171" s="82"/>
      <c r="L171" s="82"/>
      <c r="M171" s="82"/>
      <c r="N171" s="72"/>
      <c r="O171" s="83" t="s">
        <v>193</v>
      </c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</row>
    <row r="172" ht="17.25" customHeight="1">
      <c r="A172" s="86">
        <v>45404.0</v>
      </c>
      <c r="B172" s="63" t="s">
        <v>27</v>
      </c>
      <c r="C172" s="79"/>
      <c r="D172" s="80">
        <v>69175.0</v>
      </c>
      <c r="E172" s="66" t="s">
        <v>33</v>
      </c>
      <c r="F172" s="84" t="s">
        <v>189</v>
      </c>
      <c r="G172" s="68">
        <v>0.0</v>
      </c>
      <c r="H172" s="69">
        <f t="shared" si="1"/>
        <v>0</v>
      </c>
      <c r="I172" s="89" t="s">
        <v>68</v>
      </c>
      <c r="J172" s="87" t="s">
        <v>68</v>
      </c>
      <c r="K172" s="82"/>
      <c r="L172" s="82"/>
      <c r="M172" s="82"/>
      <c r="N172" s="72"/>
      <c r="O172" s="83" t="s">
        <v>194</v>
      </c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</row>
    <row r="173" ht="17.25" customHeight="1">
      <c r="A173" s="86">
        <v>45406.0</v>
      </c>
      <c r="B173" s="63" t="s">
        <v>27</v>
      </c>
      <c r="C173" s="79"/>
      <c r="D173" s="80">
        <v>50000.0</v>
      </c>
      <c r="E173" s="66" t="s">
        <v>33</v>
      </c>
      <c r="F173" s="77"/>
      <c r="G173" s="68">
        <v>0.0</v>
      </c>
      <c r="H173" s="69">
        <f t="shared" si="1"/>
        <v>0</v>
      </c>
      <c r="I173" s="89" t="s">
        <v>68</v>
      </c>
      <c r="J173" s="87" t="s">
        <v>170</v>
      </c>
      <c r="K173" s="82"/>
      <c r="L173" s="82"/>
      <c r="M173" s="82"/>
      <c r="N173" s="72"/>
      <c r="O173" s="83" t="s">
        <v>195</v>
      </c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</row>
    <row r="174" ht="17.25" customHeight="1">
      <c r="A174" s="86">
        <v>45406.0</v>
      </c>
      <c r="B174" s="63" t="s">
        <v>27</v>
      </c>
      <c r="C174" s="79"/>
      <c r="D174" s="80">
        <v>25000.0</v>
      </c>
      <c r="E174" s="66" t="s">
        <v>33</v>
      </c>
      <c r="F174" s="77"/>
      <c r="G174" s="68">
        <v>0.0</v>
      </c>
      <c r="H174" s="69">
        <f t="shared" si="1"/>
        <v>0</v>
      </c>
      <c r="I174" s="89" t="s">
        <v>68</v>
      </c>
      <c r="J174" s="87" t="s">
        <v>170</v>
      </c>
      <c r="K174" s="82"/>
      <c r="L174" s="82"/>
      <c r="M174" s="82"/>
      <c r="N174" s="72"/>
      <c r="O174" s="83" t="s">
        <v>196</v>
      </c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</row>
    <row r="175" ht="17.25" customHeight="1">
      <c r="A175" s="86">
        <v>45406.0</v>
      </c>
      <c r="B175" s="63" t="s">
        <v>27</v>
      </c>
      <c r="C175" s="79"/>
      <c r="D175" s="80">
        <v>30000.0</v>
      </c>
      <c r="E175" s="66" t="s">
        <v>33</v>
      </c>
      <c r="F175" s="84" t="s">
        <v>197</v>
      </c>
      <c r="G175" s="68">
        <v>0.0</v>
      </c>
      <c r="H175" s="69">
        <f t="shared" si="1"/>
        <v>0</v>
      </c>
      <c r="I175" s="97"/>
      <c r="J175" s="87" t="s">
        <v>137</v>
      </c>
      <c r="K175" s="82"/>
      <c r="L175" s="82"/>
      <c r="M175" s="82"/>
      <c r="N175" s="72"/>
      <c r="O175" s="83" t="s">
        <v>198</v>
      </c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</row>
    <row r="176" ht="17.25" customHeight="1">
      <c r="A176" s="86">
        <v>45407.0</v>
      </c>
      <c r="B176" s="63" t="s">
        <v>27</v>
      </c>
      <c r="C176" s="79"/>
      <c r="D176" s="80">
        <v>220000.0</v>
      </c>
      <c r="E176" s="66" t="s">
        <v>28</v>
      </c>
      <c r="F176" s="77"/>
      <c r="G176" s="68">
        <v>0.0</v>
      </c>
      <c r="H176" s="69">
        <f t="shared" si="1"/>
        <v>0</v>
      </c>
      <c r="I176" s="97"/>
      <c r="J176" s="87" t="s">
        <v>139</v>
      </c>
      <c r="K176" s="95"/>
      <c r="L176" s="95"/>
      <c r="M176" s="95"/>
      <c r="N176" s="72"/>
      <c r="O176" s="96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</row>
    <row r="177" ht="17.25" customHeight="1">
      <c r="A177" s="86">
        <v>45407.0</v>
      </c>
      <c r="B177" s="63" t="s">
        <v>27</v>
      </c>
      <c r="C177" s="79"/>
      <c r="D177" s="80">
        <v>58777.2</v>
      </c>
      <c r="E177" s="66" t="s">
        <v>28</v>
      </c>
      <c r="F177" s="77"/>
      <c r="G177" s="68">
        <v>20.0</v>
      </c>
      <c r="H177" s="69">
        <f t="shared" si="1"/>
        <v>9796.2</v>
      </c>
      <c r="I177" s="97"/>
      <c r="J177" s="87" t="s">
        <v>116</v>
      </c>
      <c r="K177" s="82"/>
      <c r="L177" s="82"/>
      <c r="M177" s="82"/>
      <c r="N177" s="72"/>
      <c r="O177" s="83" t="s">
        <v>199</v>
      </c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</row>
    <row r="178" ht="17.25" customHeight="1">
      <c r="A178" s="86">
        <v>45408.0</v>
      </c>
      <c r="B178" s="63" t="s">
        <v>27</v>
      </c>
      <c r="C178" s="79"/>
      <c r="D178" s="80">
        <v>5000.0</v>
      </c>
      <c r="E178" s="66" t="s">
        <v>33</v>
      </c>
      <c r="F178" s="84" t="s">
        <v>197</v>
      </c>
      <c r="G178" s="68">
        <v>0.0</v>
      </c>
      <c r="H178" s="69">
        <f t="shared" si="1"/>
        <v>0</v>
      </c>
      <c r="I178" s="97"/>
      <c r="J178" s="87" t="s">
        <v>137</v>
      </c>
      <c r="K178" s="82"/>
      <c r="L178" s="82"/>
      <c r="M178" s="82"/>
      <c r="N178" s="72"/>
      <c r="O178" s="83" t="s">
        <v>200</v>
      </c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</row>
    <row r="179" ht="17.25" customHeight="1">
      <c r="A179" s="86">
        <v>45408.0</v>
      </c>
      <c r="B179" s="63" t="s">
        <v>27</v>
      </c>
      <c r="C179" s="79"/>
      <c r="D179" s="80">
        <v>30000.0</v>
      </c>
      <c r="E179" s="66" t="s">
        <v>33</v>
      </c>
      <c r="F179" s="84" t="s">
        <v>197</v>
      </c>
      <c r="G179" s="68">
        <v>0.0</v>
      </c>
      <c r="H179" s="69">
        <f t="shared" si="1"/>
        <v>0</v>
      </c>
      <c r="I179" s="97"/>
      <c r="J179" s="87" t="s">
        <v>137</v>
      </c>
      <c r="K179" s="82"/>
      <c r="L179" s="82"/>
      <c r="M179" s="82"/>
      <c r="N179" s="72"/>
      <c r="O179" s="83" t="s">
        <v>201</v>
      </c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</row>
    <row r="180" ht="17.25" customHeight="1">
      <c r="A180" s="86">
        <v>45408.0</v>
      </c>
      <c r="B180" s="63" t="s">
        <v>27</v>
      </c>
      <c r="C180" s="79"/>
      <c r="D180" s="80">
        <v>175000.0</v>
      </c>
      <c r="E180" s="66" t="s">
        <v>33</v>
      </c>
      <c r="F180" s="84" t="s">
        <v>197</v>
      </c>
      <c r="G180" s="68">
        <v>0.0</v>
      </c>
      <c r="H180" s="69">
        <f t="shared" si="1"/>
        <v>0</v>
      </c>
      <c r="I180" s="97"/>
      <c r="J180" s="87" t="s">
        <v>137</v>
      </c>
      <c r="K180" s="82"/>
      <c r="L180" s="82"/>
      <c r="M180" s="82"/>
      <c r="N180" s="72"/>
      <c r="O180" s="83" t="s">
        <v>202</v>
      </c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</row>
    <row r="181" ht="17.25" customHeight="1">
      <c r="A181" s="86">
        <v>45408.0</v>
      </c>
      <c r="B181" s="63" t="s">
        <v>27</v>
      </c>
      <c r="C181" s="79"/>
      <c r="D181" s="80">
        <v>95000.0</v>
      </c>
      <c r="E181" s="66" t="s">
        <v>33</v>
      </c>
      <c r="F181" s="84" t="s">
        <v>189</v>
      </c>
      <c r="G181" s="68">
        <v>0.0</v>
      </c>
      <c r="H181" s="69">
        <f t="shared" si="1"/>
        <v>0</v>
      </c>
      <c r="I181" s="89" t="s">
        <v>68</v>
      </c>
      <c r="J181" s="87" t="s">
        <v>203</v>
      </c>
      <c r="K181" s="82"/>
      <c r="L181" s="82"/>
      <c r="M181" s="82"/>
      <c r="N181" s="72"/>
      <c r="O181" s="83" t="s">
        <v>166</v>
      </c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</row>
    <row r="182" ht="17.25" customHeight="1">
      <c r="A182" s="86">
        <v>45408.0</v>
      </c>
      <c r="B182" s="63" t="s">
        <v>27</v>
      </c>
      <c r="C182" s="79"/>
      <c r="D182" s="79">
        <v>74700.0</v>
      </c>
      <c r="E182" s="66" t="s">
        <v>33</v>
      </c>
      <c r="F182" s="84" t="s">
        <v>197</v>
      </c>
      <c r="G182" s="68">
        <v>0.0</v>
      </c>
      <c r="H182" s="69">
        <f t="shared" si="1"/>
        <v>0</v>
      </c>
      <c r="I182" s="97"/>
      <c r="J182" s="87" t="s">
        <v>137</v>
      </c>
      <c r="K182" s="82"/>
      <c r="L182" s="82"/>
      <c r="M182" s="82"/>
      <c r="N182" s="72">
        <f>A182-IF(M182&gt;0,M182,A182)</f>
        <v>0</v>
      </c>
      <c r="O182" s="83" t="s">
        <v>204</v>
      </c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</row>
    <row r="183" ht="17.25" customHeight="1">
      <c r="A183" s="86">
        <v>45409.0</v>
      </c>
      <c r="B183" s="63" t="s">
        <v>27</v>
      </c>
      <c r="C183" s="80">
        <v>720000.12</v>
      </c>
      <c r="D183" s="79"/>
      <c r="E183" s="66" t="s">
        <v>28</v>
      </c>
      <c r="F183" s="84" t="s">
        <v>143</v>
      </c>
      <c r="G183" s="68">
        <v>20.0</v>
      </c>
      <c r="H183" s="69">
        <f t="shared" si="1"/>
        <v>120000.02</v>
      </c>
      <c r="I183" s="76" t="s">
        <v>37</v>
      </c>
      <c r="J183" s="87" t="s">
        <v>205</v>
      </c>
      <c r="K183" s="82"/>
      <c r="L183" s="82"/>
      <c r="M183" s="82"/>
      <c r="N183" s="72"/>
      <c r="O183" s="83" t="s">
        <v>206</v>
      </c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</row>
    <row r="184" ht="17.25" customHeight="1">
      <c r="A184" s="86">
        <v>45409.0</v>
      </c>
      <c r="B184" s="63" t="s">
        <v>27</v>
      </c>
      <c r="C184" s="79"/>
      <c r="D184" s="80">
        <v>130500.0</v>
      </c>
      <c r="E184" s="66" t="s">
        <v>28</v>
      </c>
      <c r="F184" s="84" t="s">
        <v>189</v>
      </c>
      <c r="G184" s="68">
        <v>0.0</v>
      </c>
      <c r="H184" s="69">
        <f t="shared" si="1"/>
        <v>0</v>
      </c>
      <c r="I184" s="89" t="s">
        <v>68</v>
      </c>
      <c r="J184" s="87" t="s">
        <v>203</v>
      </c>
      <c r="K184" s="82"/>
      <c r="L184" s="82"/>
      <c r="M184" s="82"/>
      <c r="N184" s="72"/>
      <c r="O184" s="83" t="s">
        <v>207</v>
      </c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</row>
    <row r="185" ht="17.25" customHeight="1">
      <c r="A185" s="86">
        <v>45409.0</v>
      </c>
      <c r="B185" s="63" t="s">
        <v>27</v>
      </c>
      <c r="C185" s="79"/>
      <c r="D185" s="80">
        <v>36450.0</v>
      </c>
      <c r="E185" s="66" t="s">
        <v>28</v>
      </c>
      <c r="F185" s="84" t="s">
        <v>189</v>
      </c>
      <c r="G185" s="68">
        <v>0.0</v>
      </c>
      <c r="H185" s="69">
        <f t="shared" si="1"/>
        <v>0</v>
      </c>
      <c r="I185" s="94" t="s">
        <v>71</v>
      </c>
      <c r="J185" s="87" t="s">
        <v>72</v>
      </c>
      <c r="K185" s="82"/>
      <c r="L185" s="82"/>
      <c r="M185" s="82"/>
      <c r="N185" s="72"/>
      <c r="O185" s="83" t="s">
        <v>208</v>
      </c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</row>
    <row r="186" ht="17.25" customHeight="1">
      <c r="A186" s="86">
        <v>45409.0</v>
      </c>
      <c r="B186" s="63" t="s">
        <v>27</v>
      </c>
      <c r="C186" s="79"/>
      <c r="D186" s="80">
        <v>19500.0</v>
      </c>
      <c r="E186" s="66" t="s">
        <v>28</v>
      </c>
      <c r="F186" s="84" t="s">
        <v>189</v>
      </c>
      <c r="G186" s="68">
        <v>0.0</v>
      </c>
      <c r="H186" s="69">
        <f t="shared" si="1"/>
        <v>0</v>
      </c>
      <c r="I186" s="94" t="s">
        <v>71</v>
      </c>
      <c r="J186" s="87" t="s">
        <v>72</v>
      </c>
      <c r="K186" s="82"/>
      <c r="L186" s="82"/>
      <c r="M186" s="82"/>
      <c r="N186" s="72">
        <f>A186-IF(M186&gt;0,M186,A186)</f>
        <v>0</v>
      </c>
      <c r="O186" s="83" t="s">
        <v>209</v>
      </c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</row>
    <row r="187" ht="17.25" customHeight="1">
      <c r="A187" s="86">
        <v>45414.0</v>
      </c>
      <c r="B187" s="63" t="s">
        <v>27</v>
      </c>
      <c r="C187" s="80">
        <v>916226.44</v>
      </c>
      <c r="D187" s="79"/>
      <c r="E187" s="66" t="s">
        <v>28</v>
      </c>
      <c r="F187" s="84" t="s">
        <v>129</v>
      </c>
      <c r="G187" s="68">
        <v>20.0</v>
      </c>
      <c r="H187" s="69">
        <f t="shared" si="1"/>
        <v>152704.4067</v>
      </c>
      <c r="I187" s="76" t="s">
        <v>37</v>
      </c>
      <c r="J187" s="87" t="s">
        <v>157</v>
      </c>
      <c r="K187" s="82"/>
      <c r="L187" s="82"/>
      <c r="M187" s="82"/>
      <c r="N187" s="72"/>
      <c r="O187" s="83" t="s">
        <v>210</v>
      </c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</row>
    <row r="188" ht="17.25" customHeight="1">
      <c r="A188" s="86">
        <v>45414.0</v>
      </c>
      <c r="B188" s="63" t="s">
        <v>27</v>
      </c>
      <c r="C188" s="79"/>
      <c r="D188" s="80">
        <v>27732.24</v>
      </c>
      <c r="E188" s="66" t="s">
        <v>28</v>
      </c>
      <c r="F188" s="67"/>
      <c r="G188" s="68">
        <v>0.0</v>
      </c>
      <c r="H188" s="69">
        <f t="shared" si="1"/>
        <v>0</v>
      </c>
      <c r="I188" s="97"/>
      <c r="J188" s="87" t="s">
        <v>211</v>
      </c>
      <c r="K188" s="82"/>
      <c r="L188" s="82"/>
      <c r="M188" s="82"/>
      <c r="N188" s="72"/>
      <c r="O188" s="83" t="s">
        <v>212</v>
      </c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</row>
    <row r="189" ht="17.25" customHeight="1">
      <c r="A189" s="86">
        <v>45414.0</v>
      </c>
      <c r="B189" s="63" t="s">
        <v>27</v>
      </c>
      <c r="C189" s="79"/>
      <c r="D189" s="80">
        <v>56182.0</v>
      </c>
      <c r="E189" s="66" t="s">
        <v>28</v>
      </c>
      <c r="F189" s="84" t="s">
        <v>213</v>
      </c>
      <c r="G189" s="68">
        <v>0.0</v>
      </c>
      <c r="H189" s="69">
        <f t="shared" si="1"/>
        <v>0</v>
      </c>
      <c r="I189" s="97"/>
      <c r="J189" s="87" t="s">
        <v>214</v>
      </c>
      <c r="K189" s="82"/>
      <c r="L189" s="82"/>
      <c r="M189" s="82"/>
      <c r="N189" s="72"/>
      <c r="O189" s="83" t="s">
        <v>215</v>
      </c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</row>
    <row r="190" ht="17.25" customHeight="1">
      <c r="A190" s="86">
        <v>45414.0</v>
      </c>
      <c r="B190" s="63" t="s">
        <v>27</v>
      </c>
      <c r="C190" s="79"/>
      <c r="D190" s="80">
        <v>13990.0</v>
      </c>
      <c r="E190" s="66" t="s">
        <v>28</v>
      </c>
      <c r="F190" s="67"/>
      <c r="G190" s="68">
        <v>0.0</v>
      </c>
      <c r="H190" s="69">
        <f t="shared" si="1"/>
        <v>0</v>
      </c>
      <c r="I190" s="70" t="s">
        <v>30</v>
      </c>
      <c r="J190" s="71" t="s">
        <v>31</v>
      </c>
      <c r="K190" s="82"/>
      <c r="L190" s="82"/>
      <c r="M190" s="82"/>
      <c r="N190" s="72">
        <f>A190-IF(M190&gt;0,M190,A190)</f>
        <v>0</v>
      </c>
      <c r="O190" s="83" t="s">
        <v>216</v>
      </c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</row>
    <row r="191" ht="17.25" customHeight="1">
      <c r="A191" s="86">
        <v>45415.0</v>
      </c>
      <c r="B191" s="63" t="s">
        <v>27</v>
      </c>
      <c r="C191" s="80">
        <v>520908.0</v>
      </c>
      <c r="D191" s="80"/>
      <c r="E191" s="66" t="s">
        <v>28</v>
      </c>
      <c r="F191" s="84" t="s">
        <v>129</v>
      </c>
      <c r="G191" s="68">
        <v>20.0</v>
      </c>
      <c r="H191" s="69">
        <f t="shared" si="1"/>
        <v>86818</v>
      </c>
      <c r="I191" s="76" t="s">
        <v>37</v>
      </c>
      <c r="J191" s="87" t="s">
        <v>157</v>
      </c>
      <c r="K191" s="82"/>
      <c r="L191" s="82"/>
      <c r="M191" s="82"/>
      <c r="N191" s="72"/>
      <c r="O191" s="83" t="s">
        <v>217</v>
      </c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</row>
    <row r="192" ht="17.25" customHeight="1">
      <c r="A192" s="86">
        <v>45415.0</v>
      </c>
      <c r="B192" s="63" t="s">
        <v>27</v>
      </c>
      <c r="C192" s="79"/>
      <c r="D192" s="79">
        <v>1111111.1111111112</v>
      </c>
      <c r="E192" s="66" t="s">
        <v>28</v>
      </c>
      <c r="F192" s="84" t="s">
        <v>48</v>
      </c>
      <c r="G192" s="68">
        <v>20.0</v>
      </c>
      <c r="H192" s="69">
        <f t="shared" si="1"/>
        <v>185185.1852</v>
      </c>
      <c r="I192" s="76" t="s">
        <v>47</v>
      </c>
      <c r="J192" s="87"/>
      <c r="K192" s="95"/>
      <c r="L192" s="95"/>
      <c r="M192" s="95"/>
      <c r="N192" s="72"/>
      <c r="O192" s="96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</row>
    <row r="193" ht="17.25" customHeight="1">
      <c r="A193" s="86">
        <v>45415.0</v>
      </c>
      <c r="B193" s="63" t="s">
        <v>27</v>
      </c>
      <c r="C193" s="80">
        <v>800000.0</v>
      </c>
      <c r="D193" s="79"/>
      <c r="E193" s="66" t="s">
        <v>33</v>
      </c>
      <c r="F193" s="84" t="s">
        <v>48</v>
      </c>
      <c r="G193" s="68">
        <v>0.0</v>
      </c>
      <c r="H193" s="69">
        <f t="shared" si="1"/>
        <v>0</v>
      </c>
      <c r="I193" s="76" t="s">
        <v>47</v>
      </c>
      <c r="J193" s="98"/>
      <c r="K193" s="95"/>
      <c r="L193" s="95"/>
      <c r="M193" s="95"/>
      <c r="N193" s="72"/>
      <c r="O193" s="96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</row>
    <row r="194" ht="17.25" customHeight="1">
      <c r="A194" s="86">
        <v>45416.0</v>
      </c>
      <c r="B194" s="63" t="s">
        <v>27</v>
      </c>
      <c r="C194" s="79"/>
      <c r="D194" s="80">
        <v>253870.0</v>
      </c>
      <c r="E194" s="66" t="s">
        <v>33</v>
      </c>
      <c r="F194" s="84" t="s">
        <v>189</v>
      </c>
      <c r="G194" s="68">
        <v>0.0</v>
      </c>
      <c r="H194" s="69">
        <f t="shared" si="1"/>
        <v>0</v>
      </c>
      <c r="I194" s="89" t="s">
        <v>68</v>
      </c>
      <c r="J194" s="87" t="s">
        <v>203</v>
      </c>
      <c r="K194" s="95"/>
      <c r="L194" s="95"/>
      <c r="M194" s="95"/>
      <c r="N194" s="72">
        <f>A194-IF(M194&gt;0,M194,A194)</f>
        <v>0</v>
      </c>
      <c r="O194" s="96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</row>
    <row r="195" ht="17.25" customHeight="1">
      <c r="A195" s="86">
        <v>45419.0</v>
      </c>
      <c r="B195" s="63" t="s">
        <v>27</v>
      </c>
      <c r="C195" s="80">
        <v>576922.92</v>
      </c>
      <c r="D195" s="79"/>
      <c r="E195" s="66" t="s">
        <v>28</v>
      </c>
      <c r="F195" s="84" t="s">
        <v>143</v>
      </c>
      <c r="G195" s="68">
        <v>20.0</v>
      </c>
      <c r="H195" s="69">
        <f t="shared" si="1"/>
        <v>96153.82</v>
      </c>
      <c r="I195" s="76" t="s">
        <v>37</v>
      </c>
      <c r="J195" s="71" t="s">
        <v>38</v>
      </c>
      <c r="K195" s="82"/>
      <c r="L195" s="82"/>
      <c r="M195" s="82"/>
      <c r="N195" s="72"/>
      <c r="O195" s="83" t="s">
        <v>218</v>
      </c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</row>
    <row r="196" ht="17.25" customHeight="1">
      <c r="A196" s="86">
        <v>45420.0</v>
      </c>
      <c r="B196" s="63" t="s">
        <v>27</v>
      </c>
      <c r="C196" s="79"/>
      <c r="D196" s="80">
        <v>195750.0</v>
      </c>
      <c r="E196" s="66" t="s">
        <v>28</v>
      </c>
      <c r="F196" s="84" t="s">
        <v>189</v>
      </c>
      <c r="G196" s="68">
        <v>0.0</v>
      </c>
      <c r="H196" s="69">
        <f t="shared" si="1"/>
        <v>0</v>
      </c>
      <c r="I196" s="89" t="s">
        <v>68</v>
      </c>
      <c r="J196" s="87" t="s">
        <v>203</v>
      </c>
      <c r="K196" s="95"/>
      <c r="L196" s="95"/>
      <c r="M196" s="95"/>
      <c r="N196" s="72">
        <f>A196-IF(M196&gt;0,M196,A196)</f>
        <v>0</v>
      </c>
      <c r="O196" s="96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</row>
    <row r="197" ht="17.25" customHeight="1">
      <c r="A197" s="86">
        <v>45420.0</v>
      </c>
      <c r="B197" s="63" t="s">
        <v>27</v>
      </c>
      <c r="C197" s="80">
        <v>800000.0</v>
      </c>
      <c r="D197" s="79"/>
      <c r="E197" s="66" t="s">
        <v>28</v>
      </c>
      <c r="F197" s="84" t="s">
        <v>189</v>
      </c>
      <c r="G197" s="68">
        <v>20.0</v>
      </c>
      <c r="H197" s="69">
        <f t="shared" si="1"/>
        <v>133333.3333</v>
      </c>
      <c r="I197" s="76" t="s">
        <v>37</v>
      </c>
      <c r="J197" s="87" t="s">
        <v>179</v>
      </c>
      <c r="K197" s="82"/>
      <c r="L197" s="82"/>
      <c r="M197" s="82"/>
      <c r="N197" s="72"/>
      <c r="O197" s="83" t="s">
        <v>219</v>
      </c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</row>
    <row r="198" ht="17.25" customHeight="1">
      <c r="A198" s="86">
        <v>45420.0</v>
      </c>
      <c r="B198" s="63" t="s">
        <v>27</v>
      </c>
      <c r="C198" s="79"/>
      <c r="D198" s="80">
        <f>837346.19/3</f>
        <v>279115.3967</v>
      </c>
      <c r="E198" s="66" t="s">
        <v>28</v>
      </c>
      <c r="F198" s="84" t="s">
        <v>220</v>
      </c>
      <c r="G198" s="68">
        <v>0.0</v>
      </c>
      <c r="H198" s="69">
        <f t="shared" si="1"/>
        <v>0</v>
      </c>
      <c r="I198" s="94" t="s">
        <v>71</v>
      </c>
      <c r="J198" s="87" t="s">
        <v>72</v>
      </c>
      <c r="K198" s="82"/>
      <c r="L198" s="82"/>
      <c r="M198" s="82"/>
      <c r="N198" s="72"/>
      <c r="O198" s="83" t="s">
        <v>221</v>
      </c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</row>
    <row r="199" ht="17.25" customHeight="1">
      <c r="A199" s="86">
        <v>45420.0</v>
      </c>
      <c r="B199" s="63" t="s">
        <v>27</v>
      </c>
      <c r="C199" s="79"/>
      <c r="D199" s="80">
        <v>547971.71</v>
      </c>
      <c r="E199" s="66" t="s">
        <v>28</v>
      </c>
      <c r="F199" s="84" t="s">
        <v>220</v>
      </c>
      <c r="G199" s="68">
        <v>0.0</v>
      </c>
      <c r="H199" s="69">
        <f t="shared" si="1"/>
        <v>0</v>
      </c>
      <c r="I199" s="94" t="s">
        <v>71</v>
      </c>
      <c r="J199" s="87" t="s">
        <v>72</v>
      </c>
      <c r="K199" s="82"/>
      <c r="L199" s="82"/>
      <c r="M199" s="82"/>
      <c r="N199" s="72">
        <f>A199-IF(M199&gt;0,M199,A199)</f>
        <v>0</v>
      </c>
      <c r="O199" s="83" t="s">
        <v>222</v>
      </c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</row>
    <row r="200" ht="17.25" customHeight="1">
      <c r="A200" s="86">
        <v>45425.0</v>
      </c>
      <c r="B200" s="63" t="s">
        <v>27</v>
      </c>
      <c r="C200" s="80">
        <v>128154.82</v>
      </c>
      <c r="D200" s="79"/>
      <c r="E200" s="66" t="s">
        <v>28</v>
      </c>
      <c r="F200" s="84" t="s">
        <v>189</v>
      </c>
      <c r="G200" s="68">
        <v>20.0</v>
      </c>
      <c r="H200" s="69">
        <f t="shared" si="1"/>
        <v>21359.13667</v>
      </c>
      <c r="I200" s="76" t="s">
        <v>37</v>
      </c>
      <c r="J200" s="87" t="s">
        <v>181</v>
      </c>
      <c r="K200" s="82"/>
      <c r="L200" s="82"/>
      <c r="M200" s="82"/>
      <c r="N200" s="72"/>
      <c r="O200" s="83" t="s">
        <v>223</v>
      </c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</row>
    <row r="201" ht="17.25" customHeight="1">
      <c r="A201" s="86">
        <v>45426.0</v>
      </c>
      <c r="B201" s="63" t="s">
        <v>27</v>
      </c>
      <c r="C201" s="79"/>
      <c r="D201" s="80">
        <v>50000.0</v>
      </c>
      <c r="E201" s="66" t="s">
        <v>28</v>
      </c>
      <c r="F201" s="84" t="s">
        <v>143</v>
      </c>
      <c r="G201" s="68">
        <v>20.0</v>
      </c>
      <c r="H201" s="69">
        <f t="shared" si="1"/>
        <v>8333.333333</v>
      </c>
      <c r="I201" s="76" t="s">
        <v>44</v>
      </c>
      <c r="J201" s="87" t="s">
        <v>45</v>
      </c>
      <c r="K201" s="82"/>
      <c r="L201" s="82"/>
      <c r="M201" s="82"/>
      <c r="N201" s="72"/>
      <c r="O201" s="83" t="s">
        <v>224</v>
      </c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</row>
    <row r="202" ht="17.25" customHeight="1">
      <c r="A202" s="86">
        <v>45426.0</v>
      </c>
      <c r="B202" s="63" t="s">
        <v>27</v>
      </c>
      <c r="C202" s="79"/>
      <c r="D202" s="80">
        <v>276676.31</v>
      </c>
      <c r="E202" s="66" t="s">
        <v>28</v>
      </c>
      <c r="F202" s="84" t="s">
        <v>143</v>
      </c>
      <c r="G202" s="68">
        <v>20.0</v>
      </c>
      <c r="H202" s="69">
        <f t="shared" si="1"/>
        <v>46112.71833</v>
      </c>
      <c r="I202" s="89" t="s">
        <v>61</v>
      </c>
      <c r="J202" s="87" t="s">
        <v>84</v>
      </c>
      <c r="K202" s="82"/>
      <c r="L202" s="82"/>
      <c r="M202" s="82"/>
      <c r="N202" s="72"/>
      <c r="O202" s="83" t="s">
        <v>225</v>
      </c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</row>
    <row r="203" ht="17.25" customHeight="1">
      <c r="A203" s="86">
        <v>45426.0</v>
      </c>
      <c r="B203" s="63" t="s">
        <v>27</v>
      </c>
      <c r="C203" s="79"/>
      <c r="D203" s="80">
        <v>30000.0</v>
      </c>
      <c r="E203" s="66" t="s">
        <v>28</v>
      </c>
      <c r="F203" s="77"/>
      <c r="G203" s="68">
        <v>0.0</v>
      </c>
      <c r="H203" s="69">
        <f t="shared" si="1"/>
        <v>0</v>
      </c>
      <c r="I203" s="89" t="s">
        <v>61</v>
      </c>
      <c r="J203" s="87" t="s">
        <v>82</v>
      </c>
      <c r="K203" s="82"/>
      <c r="L203" s="82"/>
      <c r="M203" s="82"/>
      <c r="N203" s="72"/>
      <c r="O203" s="83" t="s">
        <v>226</v>
      </c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</row>
    <row r="204" ht="17.25" customHeight="1">
      <c r="A204" s="86">
        <v>45426.0</v>
      </c>
      <c r="B204" s="63" t="s">
        <v>27</v>
      </c>
      <c r="C204" s="79"/>
      <c r="D204" s="80">
        <v>615649.0</v>
      </c>
      <c r="E204" s="66" t="s">
        <v>28</v>
      </c>
      <c r="F204" s="84" t="s">
        <v>143</v>
      </c>
      <c r="G204" s="68">
        <v>20.0</v>
      </c>
      <c r="H204" s="68">
        <v>0.0</v>
      </c>
      <c r="I204" s="76" t="s">
        <v>101</v>
      </c>
      <c r="J204" s="100" t="s">
        <v>102</v>
      </c>
      <c r="K204" s="82"/>
      <c r="L204" s="82"/>
      <c r="M204" s="82"/>
      <c r="N204" s="72"/>
      <c r="O204" s="83" t="s">
        <v>227</v>
      </c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</row>
    <row r="205" ht="17.25" customHeight="1">
      <c r="A205" s="86">
        <v>45426.0</v>
      </c>
      <c r="B205" s="63" t="s">
        <v>27</v>
      </c>
      <c r="C205" s="79"/>
      <c r="D205" s="80">
        <v>548076.77</v>
      </c>
      <c r="E205" s="66" t="s">
        <v>28</v>
      </c>
      <c r="F205" s="84" t="s">
        <v>143</v>
      </c>
      <c r="G205" s="68">
        <v>20.0</v>
      </c>
      <c r="H205" s="69">
        <f t="shared" ref="H205:H309" si="8">SUM(C205:D205)*G205/(G205+100)</f>
        <v>91346.12833</v>
      </c>
      <c r="I205" s="89" t="s">
        <v>61</v>
      </c>
      <c r="J205" s="103" t="s">
        <v>228</v>
      </c>
      <c r="K205" s="82"/>
      <c r="L205" s="82"/>
      <c r="M205" s="82"/>
      <c r="N205" s="72">
        <f t="shared" ref="N205:N206" si="9">A205-IF(M205&gt;0,M205,A205)</f>
        <v>0</v>
      </c>
      <c r="O205" s="83" t="s">
        <v>229</v>
      </c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</row>
    <row r="206" ht="17.25" customHeight="1">
      <c r="A206" s="86">
        <v>45426.0</v>
      </c>
      <c r="B206" s="63" t="s">
        <v>27</v>
      </c>
      <c r="C206" s="80">
        <v>413064.48</v>
      </c>
      <c r="D206" s="79"/>
      <c r="E206" s="66" t="s">
        <v>28</v>
      </c>
      <c r="F206" s="84" t="s">
        <v>143</v>
      </c>
      <c r="G206" s="68">
        <v>20.0</v>
      </c>
      <c r="H206" s="69">
        <f t="shared" si="8"/>
        <v>68844.08</v>
      </c>
      <c r="I206" s="76" t="s">
        <v>37</v>
      </c>
      <c r="J206" s="87" t="s">
        <v>230</v>
      </c>
      <c r="K206" s="82"/>
      <c r="L206" s="82"/>
      <c r="M206" s="82"/>
      <c r="N206" s="72">
        <f t="shared" si="9"/>
        <v>0</v>
      </c>
      <c r="O206" s="83" t="s">
        <v>231</v>
      </c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</row>
    <row r="207" ht="17.25" customHeight="1">
      <c r="A207" s="86">
        <v>45426.0</v>
      </c>
      <c r="B207" s="63" t="s">
        <v>27</v>
      </c>
      <c r="C207" s="80">
        <v>449776.32</v>
      </c>
      <c r="D207" s="79"/>
      <c r="E207" s="66" t="s">
        <v>28</v>
      </c>
      <c r="F207" s="84" t="s">
        <v>189</v>
      </c>
      <c r="G207" s="68">
        <v>20.0</v>
      </c>
      <c r="H207" s="69">
        <f t="shared" si="8"/>
        <v>74962.72</v>
      </c>
      <c r="I207" s="76" t="s">
        <v>37</v>
      </c>
      <c r="J207" s="87" t="s">
        <v>87</v>
      </c>
      <c r="K207" s="82"/>
      <c r="L207" s="82"/>
      <c r="M207" s="82"/>
      <c r="N207" s="72"/>
      <c r="O207" s="83" t="s">
        <v>232</v>
      </c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</row>
    <row r="208" ht="17.25" customHeight="1">
      <c r="A208" s="86">
        <v>45426.0</v>
      </c>
      <c r="B208" s="63" t="s">
        <v>27</v>
      </c>
      <c r="C208" s="79"/>
      <c r="D208" s="80">
        <v>28000.0</v>
      </c>
      <c r="E208" s="66" t="s">
        <v>28</v>
      </c>
      <c r="F208" s="84" t="s">
        <v>213</v>
      </c>
      <c r="G208" s="68">
        <v>0.0</v>
      </c>
      <c r="H208" s="69">
        <f t="shared" si="8"/>
        <v>0</v>
      </c>
      <c r="I208" s="104" t="s">
        <v>233</v>
      </c>
      <c r="J208" s="87" t="s">
        <v>234</v>
      </c>
      <c r="K208" s="82"/>
      <c r="L208" s="82"/>
      <c r="M208" s="82"/>
      <c r="N208" s="72"/>
      <c r="O208" s="83" t="s">
        <v>235</v>
      </c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</row>
    <row r="209" ht="17.25" customHeight="1">
      <c r="A209" s="86">
        <v>45426.0</v>
      </c>
      <c r="B209" s="63" t="s">
        <v>27</v>
      </c>
      <c r="C209" s="79"/>
      <c r="D209" s="80">
        <v>6180.0</v>
      </c>
      <c r="E209" s="66" t="s">
        <v>28</v>
      </c>
      <c r="F209" s="84" t="s">
        <v>213</v>
      </c>
      <c r="G209" s="68">
        <v>0.0</v>
      </c>
      <c r="H209" s="69">
        <f t="shared" si="8"/>
        <v>0</v>
      </c>
      <c r="I209" s="104" t="s">
        <v>233</v>
      </c>
      <c r="J209" s="87" t="s">
        <v>234</v>
      </c>
      <c r="K209" s="95"/>
      <c r="L209" s="95"/>
      <c r="M209" s="95"/>
      <c r="N209" s="72"/>
      <c r="O209" s="96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</row>
    <row r="210" ht="17.25" customHeight="1">
      <c r="A210" s="86">
        <v>45427.0</v>
      </c>
      <c r="B210" s="63" t="s">
        <v>27</v>
      </c>
      <c r="C210" s="79"/>
      <c r="D210" s="80">
        <v>750.0</v>
      </c>
      <c r="E210" s="66" t="s">
        <v>28</v>
      </c>
      <c r="F210" s="84" t="s">
        <v>236</v>
      </c>
      <c r="G210" s="68">
        <v>0.0</v>
      </c>
      <c r="H210" s="69">
        <f t="shared" si="8"/>
        <v>0</v>
      </c>
      <c r="I210" s="97"/>
      <c r="J210" s="98"/>
      <c r="K210" s="95"/>
      <c r="L210" s="95"/>
      <c r="M210" s="95"/>
      <c r="N210" s="72"/>
      <c r="O210" s="96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</row>
    <row r="211" ht="17.25" customHeight="1">
      <c r="A211" s="86">
        <v>45428.0</v>
      </c>
      <c r="B211" s="63" t="s">
        <v>27</v>
      </c>
      <c r="C211" s="79"/>
      <c r="D211" s="80">
        <v>2217537.68</v>
      </c>
      <c r="E211" s="66" t="s">
        <v>28</v>
      </c>
      <c r="F211" s="84" t="s">
        <v>151</v>
      </c>
      <c r="G211" s="68">
        <v>20.0</v>
      </c>
      <c r="H211" s="69">
        <f t="shared" si="8"/>
        <v>369589.6133</v>
      </c>
      <c r="I211" s="89" t="s">
        <v>61</v>
      </c>
      <c r="J211" s="103" t="s">
        <v>228</v>
      </c>
      <c r="K211" s="82"/>
      <c r="L211" s="82"/>
      <c r="M211" s="82"/>
      <c r="N211" s="72">
        <f t="shared" ref="N211:N212" si="10">A211-IF(M211&gt;0,M211,A211)</f>
        <v>0</v>
      </c>
      <c r="O211" s="83" t="s">
        <v>237</v>
      </c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</row>
    <row r="212" ht="17.25" customHeight="1">
      <c r="A212" s="86">
        <v>45428.0</v>
      </c>
      <c r="B212" s="63" t="s">
        <v>27</v>
      </c>
      <c r="C212" s="80">
        <v>210759.2</v>
      </c>
      <c r="D212" s="79"/>
      <c r="E212" s="66" t="s">
        <v>28</v>
      </c>
      <c r="F212" s="84" t="s">
        <v>189</v>
      </c>
      <c r="G212" s="68">
        <v>20.0</v>
      </c>
      <c r="H212" s="69">
        <f t="shared" si="8"/>
        <v>35126.53333</v>
      </c>
      <c r="I212" s="76" t="s">
        <v>37</v>
      </c>
      <c r="J212" s="87" t="s">
        <v>120</v>
      </c>
      <c r="K212" s="95"/>
      <c r="L212" s="95"/>
      <c r="M212" s="95"/>
      <c r="N212" s="72">
        <f t="shared" si="10"/>
        <v>0</v>
      </c>
      <c r="O212" s="96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</row>
    <row r="213" ht="17.25" customHeight="1">
      <c r="A213" s="86">
        <v>45428.0</v>
      </c>
      <c r="B213" s="63" t="s">
        <v>27</v>
      </c>
      <c r="C213" s="80">
        <v>1554.0</v>
      </c>
      <c r="D213" s="79"/>
      <c r="E213" s="66" t="s">
        <v>28</v>
      </c>
      <c r="F213" s="84" t="s">
        <v>189</v>
      </c>
      <c r="G213" s="68">
        <v>20.0</v>
      </c>
      <c r="H213" s="69">
        <f t="shared" si="8"/>
        <v>259</v>
      </c>
      <c r="I213" s="76" t="s">
        <v>37</v>
      </c>
      <c r="J213" s="87" t="s">
        <v>120</v>
      </c>
      <c r="K213" s="95"/>
      <c r="L213" s="95"/>
      <c r="M213" s="95"/>
      <c r="N213" s="72"/>
      <c r="O213" s="96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</row>
    <row r="214" ht="17.25" customHeight="1">
      <c r="A214" s="86">
        <v>45429.0</v>
      </c>
      <c r="B214" s="63" t="s">
        <v>27</v>
      </c>
      <c r="C214" s="79"/>
      <c r="D214" s="80">
        <v>11000.0</v>
      </c>
      <c r="E214" s="66" t="s">
        <v>33</v>
      </c>
      <c r="F214" s="84" t="s">
        <v>189</v>
      </c>
      <c r="G214" s="68">
        <v>0.0</v>
      </c>
      <c r="H214" s="69">
        <f t="shared" si="8"/>
        <v>0</v>
      </c>
      <c r="I214" s="89" t="s">
        <v>61</v>
      </c>
      <c r="J214" s="87" t="s">
        <v>238</v>
      </c>
      <c r="K214" s="82"/>
      <c r="L214" s="82"/>
      <c r="M214" s="82"/>
      <c r="N214" s="72"/>
      <c r="O214" s="83" t="s">
        <v>239</v>
      </c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</row>
    <row r="215" ht="17.25" customHeight="1">
      <c r="A215" s="86">
        <v>45429.0</v>
      </c>
      <c r="B215" s="63" t="s">
        <v>27</v>
      </c>
      <c r="C215" s="79"/>
      <c r="D215" s="80">
        <v>55130.0</v>
      </c>
      <c r="E215" s="66" t="s">
        <v>33</v>
      </c>
      <c r="F215" s="84" t="s">
        <v>189</v>
      </c>
      <c r="G215" s="68">
        <v>0.0</v>
      </c>
      <c r="H215" s="69">
        <f t="shared" si="8"/>
        <v>0</v>
      </c>
      <c r="I215" s="89" t="s">
        <v>68</v>
      </c>
      <c r="J215" s="87" t="s">
        <v>203</v>
      </c>
      <c r="K215" s="82"/>
      <c r="L215" s="82"/>
      <c r="M215" s="82"/>
      <c r="N215" s="72"/>
      <c r="O215" s="83" t="s">
        <v>240</v>
      </c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</row>
    <row r="216" ht="17.25" customHeight="1">
      <c r="A216" s="86">
        <v>45429.0</v>
      </c>
      <c r="B216" s="63" t="s">
        <v>27</v>
      </c>
      <c r="C216" s="79"/>
      <c r="D216" s="80">
        <v>25000.0</v>
      </c>
      <c r="E216" s="66" t="s">
        <v>33</v>
      </c>
      <c r="F216" s="84" t="s">
        <v>189</v>
      </c>
      <c r="G216" s="68">
        <v>0.0</v>
      </c>
      <c r="H216" s="69">
        <f t="shared" si="8"/>
        <v>0</v>
      </c>
      <c r="I216" s="89" t="s">
        <v>68</v>
      </c>
      <c r="J216" s="87" t="s">
        <v>203</v>
      </c>
      <c r="K216" s="82"/>
      <c r="L216" s="82"/>
      <c r="M216" s="82"/>
      <c r="N216" s="72"/>
      <c r="O216" s="83" t="s">
        <v>241</v>
      </c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</row>
    <row r="217" ht="17.25" customHeight="1">
      <c r="A217" s="86">
        <v>45429.0</v>
      </c>
      <c r="B217" s="63" t="s">
        <v>27</v>
      </c>
      <c r="C217" s="79"/>
      <c r="D217" s="80">
        <v>100000.0</v>
      </c>
      <c r="E217" s="66" t="s">
        <v>33</v>
      </c>
      <c r="F217" s="84" t="s">
        <v>189</v>
      </c>
      <c r="G217" s="68">
        <v>0.0</v>
      </c>
      <c r="H217" s="69">
        <f t="shared" si="8"/>
        <v>0</v>
      </c>
      <c r="I217" s="89" t="s">
        <v>68</v>
      </c>
      <c r="J217" s="87" t="s">
        <v>203</v>
      </c>
      <c r="K217" s="82"/>
      <c r="L217" s="82"/>
      <c r="M217" s="82"/>
      <c r="N217" s="72"/>
      <c r="O217" s="83" t="s">
        <v>242</v>
      </c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</row>
    <row r="218" ht="17.25" customHeight="1">
      <c r="A218" s="86">
        <v>45429.0</v>
      </c>
      <c r="B218" s="63" t="s">
        <v>27</v>
      </c>
      <c r="C218" s="79"/>
      <c r="D218" s="80">
        <v>89880.0</v>
      </c>
      <c r="E218" s="66" t="s">
        <v>33</v>
      </c>
      <c r="F218" s="84" t="s">
        <v>189</v>
      </c>
      <c r="G218" s="68">
        <v>0.0</v>
      </c>
      <c r="H218" s="69">
        <f t="shared" si="8"/>
        <v>0</v>
      </c>
      <c r="I218" s="89" t="s">
        <v>68</v>
      </c>
      <c r="J218" s="87" t="s">
        <v>203</v>
      </c>
      <c r="K218" s="82"/>
      <c r="L218" s="82"/>
      <c r="M218" s="82"/>
      <c r="N218" s="72"/>
      <c r="O218" s="83" t="s">
        <v>243</v>
      </c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</row>
    <row r="219" ht="17.25" customHeight="1">
      <c r="A219" s="86">
        <v>45429.0</v>
      </c>
      <c r="B219" s="63" t="s">
        <v>27</v>
      </c>
      <c r="C219" s="79"/>
      <c r="D219" s="80">
        <v>84000.0</v>
      </c>
      <c r="E219" s="66" t="s">
        <v>33</v>
      </c>
      <c r="F219" s="84" t="s">
        <v>244</v>
      </c>
      <c r="G219" s="68">
        <v>0.0</v>
      </c>
      <c r="H219" s="69">
        <f t="shared" si="8"/>
        <v>0</v>
      </c>
      <c r="I219" s="89" t="s">
        <v>35</v>
      </c>
      <c r="J219" s="87" t="s">
        <v>137</v>
      </c>
      <c r="K219" s="82"/>
      <c r="L219" s="82"/>
      <c r="M219" s="82"/>
      <c r="N219" s="72">
        <f>A219-IF(M219&gt;0,M219,A219)</f>
        <v>0</v>
      </c>
      <c r="O219" s="83" t="s">
        <v>245</v>
      </c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</row>
    <row r="220" ht="17.25" customHeight="1">
      <c r="A220" s="86">
        <v>45433.0</v>
      </c>
      <c r="B220" s="63" t="s">
        <v>27</v>
      </c>
      <c r="C220" s="80">
        <v>600000.0</v>
      </c>
      <c r="D220" s="80"/>
      <c r="E220" s="66" t="s">
        <v>28</v>
      </c>
      <c r="F220" s="84" t="s">
        <v>189</v>
      </c>
      <c r="G220" s="68">
        <v>20.0</v>
      </c>
      <c r="H220" s="69">
        <f t="shared" si="8"/>
        <v>100000</v>
      </c>
      <c r="I220" s="76" t="s">
        <v>37</v>
      </c>
      <c r="J220" s="87" t="s">
        <v>181</v>
      </c>
      <c r="K220" s="82"/>
      <c r="L220" s="82"/>
      <c r="M220" s="82"/>
      <c r="N220" s="72"/>
      <c r="O220" s="83" t="s">
        <v>246</v>
      </c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</row>
    <row r="221" ht="17.25" customHeight="1">
      <c r="A221" s="86">
        <v>45433.0</v>
      </c>
      <c r="B221" s="63" t="s">
        <v>27</v>
      </c>
      <c r="C221" s="79"/>
      <c r="D221" s="80">
        <v>59920.0</v>
      </c>
      <c r="E221" s="66" t="s">
        <v>28</v>
      </c>
      <c r="F221" s="84" t="s">
        <v>213</v>
      </c>
      <c r="G221" s="68">
        <v>0.0</v>
      </c>
      <c r="H221" s="69">
        <f t="shared" si="8"/>
        <v>0</v>
      </c>
      <c r="I221" s="104" t="s">
        <v>233</v>
      </c>
      <c r="J221" s="87" t="s">
        <v>234</v>
      </c>
      <c r="K221" s="82"/>
      <c r="L221" s="82"/>
      <c r="M221" s="82"/>
      <c r="N221" s="72">
        <f t="shared" ref="N221:N222" si="11">A221-IF(M221&gt;0,M221,A221)</f>
        <v>0</v>
      </c>
      <c r="O221" s="83" t="s">
        <v>247</v>
      </c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</row>
    <row r="222" ht="17.25" customHeight="1">
      <c r="A222" s="86">
        <v>45435.0</v>
      </c>
      <c r="B222" s="63" t="s">
        <v>27</v>
      </c>
      <c r="C222" s="80">
        <v>935524.84</v>
      </c>
      <c r="D222" s="79"/>
      <c r="E222" s="66" t="s">
        <v>28</v>
      </c>
      <c r="F222" s="84" t="s">
        <v>151</v>
      </c>
      <c r="G222" s="68">
        <v>20.0</v>
      </c>
      <c r="H222" s="69">
        <f t="shared" si="8"/>
        <v>155920.8067</v>
      </c>
      <c r="I222" s="76" t="s">
        <v>37</v>
      </c>
      <c r="J222" s="87" t="s">
        <v>157</v>
      </c>
      <c r="K222" s="82"/>
      <c r="L222" s="82"/>
      <c r="M222" s="82"/>
      <c r="N222" s="72">
        <f t="shared" si="11"/>
        <v>0</v>
      </c>
      <c r="O222" s="83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</row>
    <row r="223" ht="17.25" customHeight="1">
      <c r="A223" s="86">
        <v>45435.0</v>
      </c>
      <c r="B223" s="63" t="s">
        <v>27</v>
      </c>
      <c r="C223" s="80">
        <v>952670.66</v>
      </c>
      <c r="D223" s="79"/>
      <c r="E223" s="66" t="s">
        <v>28</v>
      </c>
      <c r="F223" s="84" t="s">
        <v>151</v>
      </c>
      <c r="G223" s="68">
        <v>20.0</v>
      </c>
      <c r="H223" s="69">
        <f t="shared" si="8"/>
        <v>158778.4433</v>
      </c>
      <c r="I223" s="76" t="s">
        <v>37</v>
      </c>
      <c r="J223" s="87" t="s">
        <v>157</v>
      </c>
      <c r="K223" s="82"/>
      <c r="L223" s="82"/>
      <c r="M223" s="82"/>
      <c r="N223" s="72"/>
      <c r="O223" s="83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</row>
    <row r="224" ht="17.25" customHeight="1">
      <c r="A224" s="86">
        <v>45435.0</v>
      </c>
      <c r="B224" s="63" t="s">
        <v>27</v>
      </c>
      <c r="C224" s="79"/>
      <c r="D224" s="80">
        <f>837346.19/3</f>
        <v>279115.3967</v>
      </c>
      <c r="E224" s="66" t="s">
        <v>28</v>
      </c>
      <c r="F224" s="84" t="s">
        <v>220</v>
      </c>
      <c r="G224" s="68">
        <v>0.0</v>
      </c>
      <c r="H224" s="69">
        <f t="shared" si="8"/>
        <v>0</v>
      </c>
      <c r="I224" s="94" t="s">
        <v>71</v>
      </c>
      <c r="J224" s="87" t="s">
        <v>72</v>
      </c>
      <c r="K224" s="82"/>
      <c r="L224" s="82"/>
      <c r="M224" s="82"/>
      <c r="N224" s="72"/>
      <c r="O224" s="83" t="s">
        <v>221</v>
      </c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</row>
    <row r="225" ht="17.25" customHeight="1">
      <c r="A225" s="86">
        <v>45435.0</v>
      </c>
      <c r="B225" s="63" t="s">
        <v>27</v>
      </c>
      <c r="C225" s="79"/>
      <c r="D225" s="80">
        <v>29960.0</v>
      </c>
      <c r="E225" s="66" t="s">
        <v>28</v>
      </c>
      <c r="F225" s="84" t="s">
        <v>213</v>
      </c>
      <c r="G225" s="68">
        <v>0.0</v>
      </c>
      <c r="H225" s="69">
        <f t="shared" si="8"/>
        <v>0</v>
      </c>
      <c r="I225" s="104" t="s">
        <v>233</v>
      </c>
      <c r="J225" s="87" t="s">
        <v>234</v>
      </c>
      <c r="K225" s="82"/>
      <c r="L225" s="82"/>
      <c r="M225" s="82"/>
      <c r="N225" s="72"/>
      <c r="O225" s="83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</row>
    <row r="226" ht="17.25" customHeight="1">
      <c r="A226" s="86">
        <v>45437.0</v>
      </c>
      <c r="B226" s="63" t="s">
        <v>27</v>
      </c>
      <c r="C226" s="79"/>
      <c r="D226" s="80">
        <v>193766.0</v>
      </c>
      <c r="E226" s="66" t="s">
        <v>28</v>
      </c>
      <c r="F226" s="84" t="s">
        <v>244</v>
      </c>
      <c r="G226" s="68">
        <v>0.0</v>
      </c>
      <c r="H226" s="69">
        <f t="shared" si="8"/>
        <v>0</v>
      </c>
      <c r="I226" s="89" t="s">
        <v>68</v>
      </c>
      <c r="J226" s="87" t="s">
        <v>203</v>
      </c>
      <c r="K226" s="82"/>
      <c r="L226" s="82"/>
      <c r="M226" s="82"/>
      <c r="N226" s="72"/>
      <c r="O226" s="83" t="s">
        <v>248</v>
      </c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</row>
    <row r="227" ht="17.25" customHeight="1">
      <c r="A227" s="86">
        <v>45437.0</v>
      </c>
      <c r="B227" s="63" t="s">
        <v>27</v>
      </c>
      <c r="C227" s="79"/>
      <c r="D227" s="80">
        <v>59902.0</v>
      </c>
      <c r="E227" s="66" t="s">
        <v>28</v>
      </c>
      <c r="F227" s="84" t="s">
        <v>213</v>
      </c>
      <c r="G227" s="68">
        <v>0.0</v>
      </c>
      <c r="H227" s="69">
        <f t="shared" si="8"/>
        <v>0</v>
      </c>
      <c r="I227" s="104" t="s">
        <v>233</v>
      </c>
      <c r="J227" s="87" t="s">
        <v>234</v>
      </c>
      <c r="K227" s="82"/>
      <c r="L227" s="82"/>
      <c r="M227" s="82"/>
      <c r="N227" s="72"/>
      <c r="O227" s="83" t="s">
        <v>249</v>
      </c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</row>
    <row r="228" ht="17.25" customHeight="1">
      <c r="A228" s="86">
        <v>45439.0</v>
      </c>
      <c r="B228" s="63" t="s">
        <v>27</v>
      </c>
      <c r="C228" s="80"/>
      <c r="D228" s="80">
        <v>60000.0</v>
      </c>
      <c r="E228" s="66" t="s">
        <v>33</v>
      </c>
      <c r="F228" s="77"/>
      <c r="G228" s="68">
        <v>0.0</v>
      </c>
      <c r="H228" s="69">
        <f t="shared" si="8"/>
        <v>0</v>
      </c>
      <c r="I228" s="89" t="s">
        <v>68</v>
      </c>
      <c r="J228" s="87" t="s">
        <v>203</v>
      </c>
      <c r="K228" s="82"/>
      <c r="L228" s="82"/>
      <c r="M228" s="82"/>
      <c r="N228" s="72"/>
      <c r="O228" s="83" t="s">
        <v>128</v>
      </c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</row>
    <row r="229" ht="17.25" customHeight="1">
      <c r="A229" s="86">
        <v>45440.0</v>
      </c>
      <c r="B229" s="63" t="s">
        <v>27</v>
      </c>
      <c r="C229" s="79"/>
      <c r="D229" s="80">
        <v>112500.0</v>
      </c>
      <c r="E229" s="66" t="s">
        <v>28</v>
      </c>
      <c r="F229" s="77"/>
      <c r="G229" s="68">
        <v>0.0</v>
      </c>
      <c r="H229" s="69">
        <f t="shared" si="8"/>
        <v>0</v>
      </c>
      <c r="I229" s="94" t="s">
        <v>71</v>
      </c>
      <c r="J229" s="87" t="s">
        <v>72</v>
      </c>
      <c r="K229" s="82"/>
      <c r="L229" s="82"/>
      <c r="M229" s="82"/>
      <c r="N229" s="72"/>
      <c r="O229" s="83" t="s">
        <v>208</v>
      </c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</row>
    <row r="230" ht="17.25" customHeight="1">
      <c r="A230" s="86">
        <v>45440.0</v>
      </c>
      <c r="B230" s="63" t="s">
        <v>27</v>
      </c>
      <c r="C230" s="79"/>
      <c r="D230" s="80">
        <v>28954.0</v>
      </c>
      <c r="E230" s="66" t="s">
        <v>28</v>
      </c>
      <c r="F230" s="77"/>
      <c r="G230" s="68">
        <v>0.0</v>
      </c>
      <c r="H230" s="69">
        <f t="shared" si="8"/>
        <v>0</v>
      </c>
      <c r="I230" s="94" t="s">
        <v>71</v>
      </c>
      <c r="J230" s="87" t="s">
        <v>72</v>
      </c>
      <c r="K230" s="82"/>
      <c r="L230" s="82"/>
      <c r="M230" s="82"/>
      <c r="N230" s="72">
        <f>A230-IF(M230&gt;0,M230,A230)</f>
        <v>0</v>
      </c>
      <c r="O230" s="83" t="s">
        <v>209</v>
      </c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</row>
    <row r="231" ht="17.25" customHeight="1">
      <c r="A231" s="86">
        <v>45441.0</v>
      </c>
      <c r="B231" s="63" t="s">
        <v>27</v>
      </c>
      <c r="C231" s="80">
        <v>1440000.0</v>
      </c>
      <c r="D231" s="79"/>
      <c r="E231" s="66" t="s">
        <v>28</v>
      </c>
      <c r="F231" s="84" t="s">
        <v>143</v>
      </c>
      <c r="G231" s="68">
        <v>20.0</v>
      </c>
      <c r="H231" s="69">
        <f t="shared" si="8"/>
        <v>240000</v>
      </c>
      <c r="I231" s="76" t="s">
        <v>37</v>
      </c>
      <c r="J231" s="87" t="s">
        <v>250</v>
      </c>
      <c r="K231" s="82">
        <v>2.0</v>
      </c>
      <c r="L231" s="95"/>
      <c r="M231" s="95"/>
      <c r="N231" s="105"/>
      <c r="O231" s="9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</row>
    <row r="232" ht="17.25" customHeight="1">
      <c r="A232" s="107">
        <v>45441.0</v>
      </c>
      <c r="B232" s="63" t="s">
        <v>27</v>
      </c>
      <c r="C232" s="108"/>
      <c r="D232" s="109">
        <v>96000.0</v>
      </c>
      <c r="E232" s="66" t="s">
        <v>28</v>
      </c>
      <c r="F232" s="110" t="s">
        <v>251</v>
      </c>
      <c r="G232" s="68">
        <v>20.0</v>
      </c>
      <c r="H232" s="69">
        <f t="shared" si="8"/>
        <v>16000</v>
      </c>
      <c r="I232" s="89" t="s">
        <v>61</v>
      </c>
      <c r="J232" s="87" t="s">
        <v>157</v>
      </c>
      <c r="K232" s="111"/>
      <c r="L232" s="111"/>
      <c r="M232" s="111"/>
      <c r="N232" s="72"/>
      <c r="O232" s="112" t="s">
        <v>252</v>
      </c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</row>
    <row r="233" ht="17.25" customHeight="1">
      <c r="A233" s="86">
        <v>45443.0</v>
      </c>
      <c r="B233" s="63" t="s">
        <v>27</v>
      </c>
      <c r="C233" s="79"/>
      <c r="D233" s="79">
        <v>407870.0</v>
      </c>
      <c r="E233" s="66" t="s">
        <v>33</v>
      </c>
      <c r="F233" s="84" t="s">
        <v>244</v>
      </c>
      <c r="G233" s="68">
        <v>0.0</v>
      </c>
      <c r="H233" s="69">
        <f t="shared" si="8"/>
        <v>0</v>
      </c>
      <c r="I233" s="89" t="s">
        <v>68</v>
      </c>
      <c r="J233" s="87" t="s">
        <v>203</v>
      </c>
      <c r="K233" s="95"/>
      <c r="L233" s="95"/>
      <c r="M233" s="95"/>
      <c r="N233" s="72">
        <f>A233-IF(M233&gt;0,M233,A233)</f>
        <v>0</v>
      </c>
      <c r="O233" s="96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</row>
    <row r="234" ht="17.25" customHeight="1">
      <c r="A234" s="86">
        <v>45443.0</v>
      </c>
      <c r="B234" s="63" t="s">
        <v>27</v>
      </c>
      <c r="C234" s="80">
        <v>420000.0</v>
      </c>
      <c r="D234" s="79"/>
      <c r="E234" s="66" t="s">
        <v>28</v>
      </c>
      <c r="F234" s="84" t="s">
        <v>189</v>
      </c>
      <c r="G234" s="68">
        <v>20.0</v>
      </c>
      <c r="H234" s="69">
        <f t="shared" si="8"/>
        <v>70000</v>
      </c>
      <c r="I234" s="76" t="s">
        <v>37</v>
      </c>
      <c r="J234" s="87" t="s">
        <v>230</v>
      </c>
      <c r="K234" s="82"/>
      <c r="L234" s="82"/>
      <c r="M234" s="82"/>
      <c r="N234" s="72"/>
      <c r="O234" s="83" t="s">
        <v>253</v>
      </c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</row>
    <row r="235" ht="17.25" customHeight="1">
      <c r="A235" s="86">
        <v>45443.0</v>
      </c>
      <c r="B235" s="63" t="s">
        <v>27</v>
      </c>
      <c r="C235" s="79"/>
      <c r="D235" s="80">
        <v>30000.0</v>
      </c>
      <c r="E235" s="66" t="s">
        <v>33</v>
      </c>
      <c r="F235" s="77"/>
      <c r="G235" s="68">
        <v>0.0</v>
      </c>
      <c r="H235" s="69">
        <f t="shared" si="8"/>
        <v>0</v>
      </c>
      <c r="I235" s="89" t="s">
        <v>35</v>
      </c>
      <c r="J235" s="87" t="s">
        <v>254</v>
      </c>
      <c r="K235" s="82"/>
      <c r="L235" s="82"/>
      <c r="M235" s="82"/>
      <c r="N235" s="72">
        <f>A235-IF(M235&gt;0,M235,A235)</f>
        <v>0</v>
      </c>
      <c r="O235" s="83" t="s">
        <v>255</v>
      </c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</row>
    <row r="236" ht="17.25" customHeight="1">
      <c r="A236" s="86">
        <v>45443.0</v>
      </c>
      <c r="B236" s="63" t="s">
        <v>27</v>
      </c>
      <c r="C236" s="80">
        <v>100000.0</v>
      </c>
      <c r="D236" s="80"/>
      <c r="E236" s="66" t="s">
        <v>28</v>
      </c>
      <c r="F236" s="84" t="s">
        <v>256</v>
      </c>
      <c r="G236" s="68">
        <v>20.0</v>
      </c>
      <c r="H236" s="69">
        <f t="shared" si="8"/>
        <v>16666.66667</v>
      </c>
      <c r="I236" s="76" t="s">
        <v>37</v>
      </c>
      <c r="J236" s="87" t="s">
        <v>257</v>
      </c>
      <c r="K236" s="82"/>
      <c r="L236" s="82"/>
      <c r="M236" s="82"/>
      <c r="N236" s="72"/>
      <c r="O236" s="83" t="s">
        <v>258</v>
      </c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</row>
    <row r="237" ht="17.25" customHeight="1">
      <c r="A237" s="86">
        <v>45443.0</v>
      </c>
      <c r="B237" s="63" t="s">
        <v>27</v>
      </c>
      <c r="C237" s="79"/>
      <c r="D237" s="79">
        <v>1200000.0</v>
      </c>
      <c r="E237" s="66" t="s">
        <v>28</v>
      </c>
      <c r="F237" s="84" t="s">
        <v>48</v>
      </c>
      <c r="G237" s="68">
        <v>20.0</v>
      </c>
      <c r="H237" s="69">
        <f t="shared" si="8"/>
        <v>200000</v>
      </c>
      <c r="I237" s="76" t="s">
        <v>47</v>
      </c>
      <c r="J237" s="81"/>
      <c r="K237" s="95"/>
      <c r="L237" s="95"/>
      <c r="M237" s="95"/>
      <c r="N237" s="72"/>
      <c r="O237" s="96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</row>
    <row r="238" ht="17.25" customHeight="1">
      <c r="A238" s="86">
        <v>45443.0</v>
      </c>
      <c r="B238" s="63" t="s">
        <v>27</v>
      </c>
      <c r="C238" s="80">
        <v>900000.0</v>
      </c>
      <c r="D238" s="79"/>
      <c r="E238" s="66" t="s">
        <v>33</v>
      </c>
      <c r="F238" s="84" t="s">
        <v>48</v>
      </c>
      <c r="G238" s="68">
        <v>0.0</v>
      </c>
      <c r="H238" s="69">
        <f t="shared" si="8"/>
        <v>0</v>
      </c>
      <c r="I238" s="76" t="s">
        <v>47</v>
      </c>
      <c r="J238" s="81"/>
      <c r="K238" s="95"/>
      <c r="L238" s="95"/>
      <c r="M238" s="95"/>
      <c r="N238" s="72"/>
      <c r="O238" s="96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</row>
    <row r="239" ht="22.5" customHeight="1">
      <c r="A239" s="86">
        <v>45446.0</v>
      </c>
      <c r="B239" s="63" t="s">
        <v>27</v>
      </c>
      <c r="C239" s="79"/>
      <c r="D239" s="80">
        <f>19282+2039</f>
        <v>21321</v>
      </c>
      <c r="E239" s="66" t="s">
        <v>28</v>
      </c>
      <c r="F239" s="77"/>
      <c r="G239" s="68">
        <v>20.0</v>
      </c>
      <c r="H239" s="69">
        <f t="shared" si="8"/>
        <v>3553.5</v>
      </c>
      <c r="I239" s="89" t="s">
        <v>259</v>
      </c>
      <c r="J239" s="87" t="s">
        <v>260</v>
      </c>
      <c r="K239" s="95"/>
      <c r="L239" s="95"/>
      <c r="M239" s="95"/>
      <c r="N239" s="72"/>
      <c r="O239" s="96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</row>
    <row r="240" ht="16.5" customHeight="1">
      <c r="A240" s="86">
        <v>45446.0</v>
      </c>
      <c r="B240" s="63" t="s">
        <v>27</v>
      </c>
      <c r="C240" s="79"/>
      <c r="D240" s="80">
        <v>13990.0</v>
      </c>
      <c r="E240" s="66" t="s">
        <v>28</v>
      </c>
      <c r="F240" s="77"/>
      <c r="G240" s="68">
        <v>0.0</v>
      </c>
      <c r="H240" s="69">
        <f t="shared" si="8"/>
        <v>0</v>
      </c>
      <c r="I240" s="70" t="s">
        <v>30</v>
      </c>
      <c r="J240" s="71" t="s">
        <v>31</v>
      </c>
      <c r="K240" s="95"/>
      <c r="L240" s="95"/>
      <c r="M240" s="95"/>
      <c r="N240" s="72"/>
      <c r="O240" s="96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</row>
    <row r="241" ht="22.5" customHeight="1">
      <c r="A241" s="113">
        <v>45446.0</v>
      </c>
      <c r="B241" s="63" t="s">
        <v>27</v>
      </c>
      <c r="C241" s="79"/>
      <c r="D241" s="80">
        <v>58380.0</v>
      </c>
      <c r="E241" s="66" t="s">
        <v>28</v>
      </c>
      <c r="F241" s="84" t="s">
        <v>213</v>
      </c>
      <c r="G241" s="68">
        <v>0.0</v>
      </c>
      <c r="H241" s="69">
        <f t="shared" si="8"/>
        <v>0</v>
      </c>
      <c r="I241" s="104" t="s">
        <v>233</v>
      </c>
      <c r="J241" s="87" t="s">
        <v>234</v>
      </c>
      <c r="K241" s="82"/>
      <c r="L241" s="82"/>
      <c r="M241" s="82"/>
      <c r="N241" s="72"/>
      <c r="O241" s="83" t="s">
        <v>261</v>
      </c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</row>
    <row r="242" ht="22.5" customHeight="1">
      <c r="A242" s="86">
        <v>45449.0</v>
      </c>
      <c r="B242" s="63" t="s">
        <v>27</v>
      </c>
      <c r="C242" s="79"/>
      <c r="D242" s="80">
        <v>1500.0</v>
      </c>
      <c r="E242" s="66" t="s">
        <v>33</v>
      </c>
      <c r="F242" s="77"/>
      <c r="G242" s="68">
        <v>0.0</v>
      </c>
      <c r="H242" s="69">
        <f t="shared" si="8"/>
        <v>0</v>
      </c>
      <c r="I242" s="89" t="s">
        <v>35</v>
      </c>
      <c r="J242" s="87" t="s">
        <v>254</v>
      </c>
      <c r="K242" s="82"/>
      <c r="L242" s="82"/>
      <c r="M242" s="82"/>
      <c r="N242" s="72"/>
      <c r="O242" s="83" t="s">
        <v>36</v>
      </c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</row>
    <row r="243" ht="22.5" customHeight="1">
      <c r="A243" s="86">
        <v>45449.0</v>
      </c>
      <c r="B243" s="63" t="s">
        <v>27</v>
      </c>
      <c r="C243" s="80">
        <v>176571.85</v>
      </c>
      <c r="D243" s="79"/>
      <c r="E243" s="66" t="s">
        <v>28</v>
      </c>
      <c r="F243" s="84" t="s">
        <v>143</v>
      </c>
      <c r="G243" s="68">
        <v>20.0</v>
      </c>
      <c r="H243" s="69">
        <f t="shared" si="8"/>
        <v>29428.64167</v>
      </c>
      <c r="I243" s="76" t="s">
        <v>37</v>
      </c>
      <c r="J243" s="87" t="s">
        <v>157</v>
      </c>
      <c r="K243" s="114"/>
      <c r="L243" s="114"/>
      <c r="M243" s="114"/>
      <c r="N243" s="72">
        <f t="shared" ref="N243:N244" si="12">A243-IF(M243&gt;0,M243,A243)</f>
        <v>0</v>
      </c>
      <c r="O243" s="115" t="s">
        <v>262</v>
      </c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</row>
    <row r="244" ht="22.5" customHeight="1">
      <c r="A244" s="86">
        <v>45449.0</v>
      </c>
      <c r="B244" s="63" t="s">
        <v>27</v>
      </c>
      <c r="C244" s="80">
        <v>576922.92</v>
      </c>
      <c r="D244" s="79"/>
      <c r="E244" s="66" t="s">
        <v>28</v>
      </c>
      <c r="F244" s="84" t="s">
        <v>189</v>
      </c>
      <c r="G244" s="68">
        <v>20.0</v>
      </c>
      <c r="H244" s="69">
        <f t="shared" si="8"/>
        <v>96153.82</v>
      </c>
      <c r="I244" s="76" t="s">
        <v>37</v>
      </c>
      <c r="J244" s="71" t="s">
        <v>38</v>
      </c>
      <c r="K244" s="114"/>
      <c r="L244" s="114"/>
      <c r="M244" s="114"/>
      <c r="N244" s="72">
        <f t="shared" si="12"/>
        <v>0</v>
      </c>
      <c r="O244" s="115" t="s">
        <v>263</v>
      </c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</row>
    <row r="245" ht="22.5" customHeight="1">
      <c r="A245" s="86">
        <v>45449.0</v>
      </c>
      <c r="B245" s="63" t="s">
        <v>27</v>
      </c>
      <c r="C245" s="79"/>
      <c r="D245" s="80">
        <v>42689.0</v>
      </c>
      <c r="E245" s="66" t="s">
        <v>28</v>
      </c>
      <c r="F245" s="67"/>
      <c r="G245" s="68">
        <v>0.0</v>
      </c>
      <c r="H245" s="69">
        <f t="shared" si="8"/>
        <v>0</v>
      </c>
      <c r="I245" s="94" t="s">
        <v>71</v>
      </c>
      <c r="J245" s="87" t="s">
        <v>72</v>
      </c>
      <c r="K245" s="116"/>
      <c r="L245" s="116"/>
      <c r="M245" s="116"/>
      <c r="N245" s="72"/>
      <c r="O245" s="117" t="s">
        <v>209</v>
      </c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</row>
    <row r="246" ht="22.5" customHeight="1">
      <c r="A246" s="86">
        <v>45450.0</v>
      </c>
      <c r="B246" s="63" t="s">
        <v>27</v>
      </c>
      <c r="C246" s="79"/>
      <c r="D246" s="80">
        <v>548076.77</v>
      </c>
      <c r="E246" s="66" t="s">
        <v>28</v>
      </c>
      <c r="F246" s="84" t="s">
        <v>189</v>
      </c>
      <c r="G246" s="68">
        <v>20.0</v>
      </c>
      <c r="H246" s="69">
        <f t="shared" si="8"/>
        <v>91346.12833</v>
      </c>
      <c r="I246" s="89" t="s">
        <v>61</v>
      </c>
      <c r="J246" s="103" t="s">
        <v>228</v>
      </c>
      <c r="K246" s="95"/>
      <c r="L246" s="95"/>
      <c r="M246" s="95"/>
      <c r="N246" s="72"/>
      <c r="O246" s="96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</row>
    <row r="247" ht="22.5" customHeight="1">
      <c r="A247" s="86">
        <v>45453.0</v>
      </c>
      <c r="B247" s="63" t="s">
        <v>27</v>
      </c>
      <c r="C247" s="79"/>
      <c r="D247" s="80">
        <v>20000.0</v>
      </c>
      <c r="E247" s="66" t="s">
        <v>33</v>
      </c>
      <c r="F247" s="84" t="s">
        <v>213</v>
      </c>
      <c r="G247" s="68">
        <v>0.0</v>
      </c>
      <c r="H247" s="69">
        <f t="shared" si="8"/>
        <v>0</v>
      </c>
      <c r="I247" s="104" t="s">
        <v>233</v>
      </c>
      <c r="J247" s="87" t="s">
        <v>254</v>
      </c>
      <c r="K247" s="82"/>
      <c r="L247" s="82"/>
      <c r="M247" s="82"/>
      <c r="N247" s="72"/>
      <c r="O247" s="83" t="s">
        <v>264</v>
      </c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</row>
    <row r="248" ht="22.5" customHeight="1">
      <c r="A248" s="86">
        <v>45453.0</v>
      </c>
      <c r="B248" s="63" t="s">
        <v>27</v>
      </c>
      <c r="C248" s="79"/>
      <c r="D248" s="80">
        <v>44407.0</v>
      </c>
      <c r="E248" s="66" t="s">
        <v>28</v>
      </c>
      <c r="F248" s="84" t="s">
        <v>213</v>
      </c>
      <c r="G248" s="68">
        <v>0.0</v>
      </c>
      <c r="H248" s="69">
        <f t="shared" si="8"/>
        <v>0</v>
      </c>
      <c r="I248" s="104" t="s">
        <v>233</v>
      </c>
      <c r="J248" s="87" t="s">
        <v>234</v>
      </c>
      <c r="K248" s="82"/>
      <c r="L248" s="82"/>
      <c r="M248" s="82"/>
      <c r="N248" s="72"/>
      <c r="O248" s="83" t="s">
        <v>265</v>
      </c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</row>
    <row r="249" ht="22.5" customHeight="1">
      <c r="A249" s="86">
        <v>45453.0</v>
      </c>
      <c r="B249" s="63" t="s">
        <v>27</v>
      </c>
      <c r="C249" s="79"/>
      <c r="D249" s="80">
        <v>285691.0</v>
      </c>
      <c r="E249" s="66" t="s">
        <v>28</v>
      </c>
      <c r="F249" s="84" t="s">
        <v>244</v>
      </c>
      <c r="G249" s="68">
        <v>0.0</v>
      </c>
      <c r="H249" s="69">
        <f t="shared" si="8"/>
        <v>0</v>
      </c>
      <c r="I249" s="89" t="s">
        <v>68</v>
      </c>
      <c r="J249" s="87" t="s">
        <v>203</v>
      </c>
      <c r="K249" s="95"/>
      <c r="L249" s="95"/>
      <c r="M249" s="95"/>
      <c r="N249" s="72"/>
      <c r="O249" s="96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</row>
    <row r="250" ht="22.5" customHeight="1">
      <c r="A250" s="86">
        <v>45453.0</v>
      </c>
      <c r="B250" s="63" t="s">
        <v>27</v>
      </c>
      <c r="C250" s="79"/>
      <c r="D250" s="80">
        <v>4900.0</v>
      </c>
      <c r="E250" s="66" t="s">
        <v>28</v>
      </c>
      <c r="F250" s="77"/>
      <c r="G250" s="68">
        <v>0.0</v>
      </c>
      <c r="H250" s="69">
        <f t="shared" si="8"/>
        <v>0</v>
      </c>
      <c r="I250" s="89" t="s">
        <v>259</v>
      </c>
      <c r="J250" s="87" t="s">
        <v>266</v>
      </c>
      <c r="K250" s="82"/>
      <c r="L250" s="82"/>
      <c r="M250" s="82"/>
      <c r="N250" s="72"/>
      <c r="O250" s="83" t="s">
        <v>267</v>
      </c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</row>
    <row r="251" ht="22.5" customHeight="1">
      <c r="A251" s="86">
        <v>45454.0</v>
      </c>
      <c r="B251" s="63" t="s">
        <v>27</v>
      </c>
      <c r="C251" s="79"/>
      <c r="D251" s="80">
        <v>62000.0</v>
      </c>
      <c r="E251" s="66" t="s">
        <v>33</v>
      </c>
      <c r="F251" s="77"/>
      <c r="G251" s="68">
        <v>0.0</v>
      </c>
      <c r="H251" s="69">
        <f t="shared" si="8"/>
        <v>0</v>
      </c>
      <c r="I251" s="89" t="s">
        <v>35</v>
      </c>
      <c r="J251" s="87" t="s">
        <v>254</v>
      </c>
      <c r="K251" s="82"/>
      <c r="L251" s="82"/>
      <c r="M251" s="82"/>
      <c r="N251" s="72"/>
      <c r="O251" s="83" t="s">
        <v>268</v>
      </c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</row>
    <row r="252" ht="22.5" customHeight="1">
      <c r="A252" s="86">
        <v>45454.0</v>
      </c>
      <c r="B252" s="63" t="s">
        <v>27</v>
      </c>
      <c r="C252" s="79"/>
      <c r="D252" s="80">
        <f>837346.19/3</f>
        <v>279115.3967</v>
      </c>
      <c r="E252" s="66" t="s">
        <v>28</v>
      </c>
      <c r="F252" s="84" t="s">
        <v>220</v>
      </c>
      <c r="G252" s="68">
        <v>0.0</v>
      </c>
      <c r="H252" s="69">
        <f t="shared" si="8"/>
        <v>0</v>
      </c>
      <c r="I252" s="94" t="s">
        <v>71</v>
      </c>
      <c r="J252" s="87" t="s">
        <v>72</v>
      </c>
      <c r="K252" s="82"/>
      <c r="L252" s="82"/>
      <c r="M252" s="82"/>
      <c r="N252" s="72"/>
      <c r="O252" s="83" t="s">
        <v>221</v>
      </c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</row>
    <row r="253" ht="22.5" customHeight="1">
      <c r="A253" s="86">
        <v>45454.0</v>
      </c>
      <c r="B253" s="63" t="s">
        <v>27</v>
      </c>
      <c r="C253" s="80">
        <v>700000.0</v>
      </c>
      <c r="D253" s="79"/>
      <c r="E253" s="66" t="s">
        <v>28</v>
      </c>
      <c r="F253" s="84" t="s">
        <v>244</v>
      </c>
      <c r="G253" s="68">
        <v>20.0</v>
      </c>
      <c r="H253" s="69">
        <f t="shared" si="8"/>
        <v>116666.6667</v>
      </c>
      <c r="I253" s="76" t="s">
        <v>37</v>
      </c>
      <c r="J253" s="87" t="s">
        <v>179</v>
      </c>
      <c r="K253" s="82"/>
      <c r="L253" s="82"/>
      <c r="M253" s="82"/>
      <c r="N253" s="72">
        <f>A253-IF(M253&gt;0,M253,A253)</f>
        <v>0</v>
      </c>
      <c r="O253" s="83" t="s">
        <v>269</v>
      </c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</row>
    <row r="254" ht="22.5" customHeight="1">
      <c r="A254" s="86">
        <v>45456.0</v>
      </c>
      <c r="B254" s="63" t="s">
        <v>27</v>
      </c>
      <c r="C254" s="79"/>
      <c r="D254" s="80">
        <v>29190.0</v>
      </c>
      <c r="E254" s="66" t="s">
        <v>28</v>
      </c>
      <c r="F254" s="84" t="s">
        <v>213</v>
      </c>
      <c r="G254" s="68">
        <v>0.0</v>
      </c>
      <c r="H254" s="69">
        <f t="shared" si="8"/>
        <v>0</v>
      </c>
      <c r="I254" s="104" t="s">
        <v>233</v>
      </c>
      <c r="J254" s="87" t="s">
        <v>234</v>
      </c>
      <c r="K254" s="82"/>
      <c r="L254" s="82"/>
      <c r="M254" s="82"/>
      <c r="N254" s="72"/>
      <c r="O254" s="83" t="s">
        <v>270</v>
      </c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</row>
    <row r="255" ht="22.5" customHeight="1">
      <c r="A255" s="86">
        <v>45456.0</v>
      </c>
      <c r="B255" s="63" t="s">
        <v>27</v>
      </c>
      <c r="C255" s="79"/>
      <c r="D255" s="80">
        <v>6766.0</v>
      </c>
      <c r="E255" s="66" t="s">
        <v>28</v>
      </c>
      <c r="F255" s="84" t="s">
        <v>244</v>
      </c>
      <c r="G255" s="68">
        <v>0.0</v>
      </c>
      <c r="H255" s="69">
        <f t="shared" si="8"/>
        <v>0</v>
      </c>
      <c r="I255" s="89" t="s">
        <v>68</v>
      </c>
      <c r="J255" s="87" t="s">
        <v>203</v>
      </c>
      <c r="K255" s="82"/>
      <c r="L255" s="82"/>
      <c r="M255" s="82"/>
      <c r="N255" s="72"/>
      <c r="O255" s="83" t="s">
        <v>271</v>
      </c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</row>
    <row r="256" ht="22.5" customHeight="1">
      <c r="A256" s="86">
        <v>45460.0</v>
      </c>
      <c r="B256" s="63" t="s">
        <v>27</v>
      </c>
      <c r="C256" s="80">
        <v>500000.0</v>
      </c>
      <c r="D256" s="79"/>
      <c r="E256" s="66" t="s">
        <v>28</v>
      </c>
      <c r="F256" s="84" t="s">
        <v>244</v>
      </c>
      <c r="G256" s="68">
        <v>20.0</v>
      </c>
      <c r="H256" s="69">
        <f t="shared" si="8"/>
        <v>83333.33333</v>
      </c>
      <c r="I256" s="76" t="s">
        <v>37</v>
      </c>
      <c r="J256" s="87" t="s">
        <v>120</v>
      </c>
      <c r="K256" s="82"/>
      <c r="L256" s="82"/>
      <c r="M256" s="82"/>
      <c r="N256" s="72">
        <f t="shared" ref="N256:N257" si="13">A256-IF(M256&gt;0,M256,A256)</f>
        <v>0</v>
      </c>
      <c r="O256" s="83" t="s">
        <v>272</v>
      </c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</row>
    <row r="257" ht="22.5" customHeight="1">
      <c r="A257" s="86">
        <v>45460.0</v>
      </c>
      <c r="B257" s="63" t="s">
        <v>27</v>
      </c>
      <c r="C257" s="80">
        <v>358446.0</v>
      </c>
      <c r="D257" s="79"/>
      <c r="E257" s="66" t="s">
        <v>28</v>
      </c>
      <c r="F257" s="84" t="s">
        <v>244</v>
      </c>
      <c r="G257" s="68">
        <v>20.0</v>
      </c>
      <c r="H257" s="69">
        <f t="shared" si="8"/>
        <v>59741</v>
      </c>
      <c r="I257" s="76" t="s">
        <v>37</v>
      </c>
      <c r="J257" s="87" t="s">
        <v>120</v>
      </c>
      <c r="K257" s="82"/>
      <c r="L257" s="82"/>
      <c r="M257" s="82"/>
      <c r="N257" s="72">
        <f t="shared" si="13"/>
        <v>0</v>
      </c>
      <c r="O257" s="83" t="s">
        <v>273</v>
      </c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</row>
    <row r="258" ht="22.5" customHeight="1">
      <c r="A258" s="86">
        <v>45460.0</v>
      </c>
      <c r="B258" s="63" t="s">
        <v>27</v>
      </c>
      <c r="C258" s="79"/>
      <c r="D258" s="118">
        <v>55440.0</v>
      </c>
      <c r="E258" s="66" t="s">
        <v>28</v>
      </c>
      <c r="F258" s="84" t="s">
        <v>213</v>
      </c>
      <c r="G258" s="68">
        <v>0.0</v>
      </c>
      <c r="H258" s="69">
        <f t="shared" si="8"/>
        <v>0</v>
      </c>
      <c r="I258" s="104" t="s">
        <v>233</v>
      </c>
      <c r="J258" s="87" t="s">
        <v>274</v>
      </c>
      <c r="K258" s="82"/>
      <c r="L258" s="82"/>
      <c r="M258" s="82"/>
      <c r="N258" s="72"/>
      <c r="O258" s="83" t="s">
        <v>275</v>
      </c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</row>
    <row r="259" ht="22.5" customHeight="1">
      <c r="A259" s="86">
        <v>45462.0</v>
      </c>
      <c r="B259" s="63" t="s">
        <v>27</v>
      </c>
      <c r="C259" s="79"/>
      <c r="D259" s="80">
        <v>50000.0</v>
      </c>
      <c r="E259" s="66" t="s">
        <v>33</v>
      </c>
      <c r="F259" s="77"/>
      <c r="G259" s="68">
        <v>0.0</v>
      </c>
      <c r="H259" s="69">
        <f t="shared" si="8"/>
        <v>0</v>
      </c>
      <c r="I259" s="70" t="s">
        <v>35</v>
      </c>
      <c r="J259" s="87" t="s">
        <v>254</v>
      </c>
      <c r="K259" s="82"/>
      <c r="L259" s="82"/>
      <c r="M259" s="82"/>
      <c r="N259" s="72"/>
      <c r="O259" s="83" t="s">
        <v>128</v>
      </c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</row>
    <row r="260" ht="22.5" customHeight="1">
      <c r="A260" s="86">
        <v>45462.0</v>
      </c>
      <c r="B260" s="63" t="s">
        <v>27</v>
      </c>
      <c r="C260" s="79"/>
      <c r="D260" s="80">
        <v>58380.0</v>
      </c>
      <c r="E260" s="66" t="s">
        <v>28</v>
      </c>
      <c r="F260" s="84" t="s">
        <v>213</v>
      </c>
      <c r="G260" s="68">
        <v>0.0</v>
      </c>
      <c r="H260" s="69">
        <f t="shared" si="8"/>
        <v>0</v>
      </c>
      <c r="I260" s="104" t="s">
        <v>233</v>
      </c>
      <c r="J260" s="87" t="s">
        <v>234</v>
      </c>
      <c r="K260" s="82"/>
      <c r="L260" s="82"/>
      <c r="M260" s="82"/>
      <c r="N260" s="72"/>
      <c r="O260" s="83" t="s">
        <v>276</v>
      </c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</row>
    <row r="261" ht="22.5" customHeight="1">
      <c r="A261" s="86">
        <v>45467.0</v>
      </c>
      <c r="B261" s="63" t="s">
        <v>27</v>
      </c>
      <c r="C261" s="79"/>
      <c r="D261" s="80">
        <v>20000.0</v>
      </c>
      <c r="E261" s="66" t="s">
        <v>33</v>
      </c>
      <c r="F261" s="84" t="s">
        <v>213</v>
      </c>
      <c r="G261" s="68">
        <v>0.0</v>
      </c>
      <c r="H261" s="69">
        <f t="shared" si="8"/>
        <v>0</v>
      </c>
      <c r="I261" s="104" t="s">
        <v>233</v>
      </c>
      <c r="J261" s="87" t="s">
        <v>264</v>
      </c>
      <c r="K261" s="95"/>
      <c r="L261" s="95"/>
      <c r="M261" s="95"/>
      <c r="N261" s="72"/>
      <c r="O261" s="96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</row>
    <row r="262" ht="22.5" customHeight="1">
      <c r="A262" s="86">
        <v>45467.0</v>
      </c>
      <c r="B262" s="63" t="s">
        <v>27</v>
      </c>
      <c r="C262" s="79"/>
      <c r="D262" s="80">
        <v>67562.0</v>
      </c>
      <c r="E262" s="66" t="s">
        <v>28</v>
      </c>
      <c r="F262" s="84" t="s">
        <v>213</v>
      </c>
      <c r="G262" s="68">
        <v>0.0</v>
      </c>
      <c r="H262" s="69">
        <f t="shared" si="8"/>
        <v>0</v>
      </c>
      <c r="I262" s="104" t="s">
        <v>233</v>
      </c>
      <c r="J262" s="87" t="s">
        <v>234</v>
      </c>
      <c r="K262" s="91"/>
      <c r="L262" s="91"/>
      <c r="M262" s="91"/>
      <c r="N262" s="72"/>
      <c r="O262" s="119" t="s">
        <v>277</v>
      </c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</row>
    <row r="263" ht="22.5" customHeight="1">
      <c r="A263" s="86">
        <v>45467.0</v>
      </c>
      <c r="B263" s="63" t="s">
        <v>27</v>
      </c>
      <c r="C263" s="79"/>
      <c r="D263" s="80">
        <v>17805.15</v>
      </c>
      <c r="E263" s="66" t="s">
        <v>28</v>
      </c>
      <c r="F263" s="84" t="s">
        <v>213</v>
      </c>
      <c r="G263" s="68">
        <v>20.0</v>
      </c>
      <c r="H263" s="69">
        <f t="shared" si="8"/>
        <v>2967.525</v>
      </c>
      <c r="I263" s="104" t="s">
        <v>233</v>
      </c>
      <c r="J263" s="87" t="s">
        <v>278</v>
      </c>
      <c r="K263" s="82"/>
      <c r="L263" s="82"/>
      <c r="M263" s="82"/>
      <c r="N263" s="72"/>
      <c r="O263" s="83" t="s">
        <v>279</v>
      </c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</row>
    <row r="264" ht="22.5" customHeight="1">
      <c r="A264" s="86">
        <v>45467.0</v>
      </c>
      <c r="B264" s="63" t="s">
        <v>27</v>
      </c>
      <c r="C264" s="79"/>
      <c r="D264" s="80">
        <v>186805.0</v>
      </c>
      <c r="E264" s="66" t="s">
        <v>28</v>
      </c>
      <c r="F264" s="84" t="s">
        <v>203</v>
      </c>
      <c r="G264" s="68">
        <v>0.0</v>
      </c>
      <c r="H264" s="69">
        <f t="shared" si="8"/>
        <v>0</v>
      </c>
      <c r="I264" s="76" t="s">
        <v>280</v>
      </c>
      <c r="J264" s="87" t="s">
        <v>203</v>
      </c>
      <c r="K264" s="82"/>
      <c r="L264" s="82"/>
      <c r="M264" s="82"/>
      <c r="N264" s="72"/>
      <c r="O264" s="83" t="s">
        <v>281</v>
      </c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</row>
    <row r="265" ht="22.5" customHeight="1">
      <c r="A265" s="86">
        <v>45467.0</v>
      </c>
      <c r="B265" s="63" t="s">
        <v>27</v>
      </c>
      <c r="C265" s="79"/>
      <c r="D265" s="80">
        <v>1117.75</v>
      </c>
      <c r="E265" s="66" t="s">
        <v>28</v>
      </c>
      <c r="F265" s="84" t="s">
        <v>236</v>
      </c>
      <c r="G265" s="68">
        <v>0.0</v>
      </c>
      <c r="H265" s="69">
        <f t="shared" si="8"/>
        <v>0</v>
      </c>
      <c r="I265" s="94" t="s">
        <v>71</v>
      </c>
      <c r="J265" s="87" t="s">
        <v>72</v>
      </c>
      <c r="K265" s="82"/>
      <c r="L265" s="82"/>
      <c r="M265" s="82"/>
      <c r="N265" s="72"/>
      <c r="O265" s="83" t="s">
        <v>282</v>
      </c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</row>
    <row r="266" ht="22.5" customHeight="1">
      <c r="A266" s="86">
        <v>45469.0</v>
      </c>
      <c r="B266" s="63" t="s">
        <v>27</v>
      </c>
      <c r="C266" s="79"/>
      <c r="D266" s="80">
        <v>3881992.52</v>
      </c>
      <c r="E266" s="66" t="s">
        <v>28</v>
      </c>
      <c r="F266" s="84" t="s">
        <v>143</v>
      </c>
      <c r="G266" s="68">
        <v>20.0</v>
      </c>
      <c r="H266" s="69">
        <f t="shared" si="8"/>
        <v>646998.7533</v>
      </c>
      <c r="I266" s="89" t="s">
        <v>61</v>
      </c>
      <c r="J266" s="103" t="s">
        <v>228</v>
      </c>
      <c r="K266" s="95"/>
      <c r="L266" s="95"/>
      <c r="M266" s="95"/>
      <c r="N266" s="72"/>
      <c r="O266" s="96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</row>
    <row r="267" ht="22.5" customHeight="1">
      <c r="A267" s="86">
        <v>45469.0</v>
      </c>
      <c r="B267" s="63" t="s">
        <v>27</v>
      </c>
      <c r="C267" s="79"/>
      <c r="D267" s="79">
        <f>351024.58*1.2</f>
        <v>421229.496</v>
      </c>
      <c r="E267" s="66" t="s">
        <v>28</v>
      </c>
      <c r="F267" s="84" t="s">
        <v>189</v>
      </c>
      <c r="G267" s="68">
        <v>20.0</v>
      </c>
      <c r="H267" s="69">
        <f t="shared" si="8"/>
        <v>70204.916</v>
      </c>
      <c r="I267" s="97"/>
      <c r="J267" s="87" t="s">
        <v>84</v>
      </c>
      <c r="K267" s="95"/>
      <c r="L267" s="95"/>
      <c r="M267" s="95"/>
      <c r="N267" s="72"/>
      <c r="O267" s="96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</row>
    <row r="268" ht="22.5" customHeight="1">
      <c r="A268" s="86">
        <v>45469.0</v>
      </c>
      <c r="B268" s="63" t="s">
        <v>27</v>
      </c>
      <c r="C268" s="79"/>
      <c r="D268" s="80">
        <v>990.0</v>
      </c>
      <c r="E268" s="66" t="s">
        <v>28</v>
      </c>
      <c r="F268" s="84" t="s">
        <v>151</v>
      </c>
      <c r="G268" s="68">
        <v>20.0</v>
      </c>
      <c r="H268" s="69">
        <f t="shared" si="8"/>
        <v>165</v>
      </c>
      <c r="I268" s="76" t="s">
        <v>44</v>
      </c>
      <c r="J268" s="98" t="s">
        <v>134</v>
      </c>
      <c r="K268" s="95"/>
      <c r="L268" s="95"/>
      <c r="M268" s="95"/>
      <c r="N268" s="72"/>
      <c r="O268" s="96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</row>
    <row r="269" ht="22.5" customHeight="1">
      <c r="A269" s="86">
        <v>45469.0</v>
      </c>
      <c r="B269" s="63" t="s">
        <v>27</v>
      </c>
      <c r="C269" s="79"/>
      <c r="D269" s="80">
        <v>3814.57</v>
      </c>
      <c r="E269" s="66" t="s">
        <v>28</v>
      </c>
      <c r="F269" s="84" t="s">
        <v>143</v>
      </c>
      <c r="G269" s="68">
        <v>20.0</v>
      </c>
      <c r="H269" s="69">
        <f t="shared" si="8"/>
        <v>635.7616667</v>
      </c>
      <c r="I269" s="76" t="s">
        <v>44</v>
      </c>
      <c r="J269" s="98" t="s">
        <v>134</v>
      </c>
      <c r="K269" s="95"/>
      <c r="L269" s="95"/>
      <c r="M269" s="95"/>
      <c r="N269" s="72"/>
      <c r="O269" s="96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</row>
    <row r="270" ht="22.5" customHeight="1">
      <c r="A270" s="86">
        <v>45469.0</v>
      </c>
      <c r="B270" s="63" t="s">
        <v>27</v>
      </c>
      <c r="C270" s="79"/>
      <c r="D270" s="80">
        <v>67678.83</v>
      </c>
      <c r="E270" s="66" t="s">
        <v>28</v>
      </c>
      <c r="F270" s="84" t="s">
        <v>189</v>
      </c>
      <c r="G270" s="68">
        <v>20.0</v>
      </c>
      <c r="H270" s="69">
        <f t="shared" si="8"/>
        <v>11279.805</v>
      </c>
      <c r="I270" s="76" t="s">
        <v>44</v>
      </c>
      <c r="J270" s="98" t="s">
        <v>134</v>
      </c>
      <c r="K270" s="95"/>
      <c r="L270" s="95"/>
      <c r="M270" s="95"/>
      <c r="N270" s="72"/>
      <c r="O270" s="96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</row>
    <row r="271" ht="22.5" customHeight="1">
      <c r="A271" s="86">
        <v>45469.0</v>
      </c>
      <c r="B271" s="63" t="s">
        <v>27</v>
      </c>
      <c r="C271" s="79"/>
      <c r="D271" s="80">
        <v>16073.0</v>
      </c>
      <c r="E271" s="66" t="s">
        <v>28</v>
      </c>
      <c r="F271" s="84" t="s">
        <v>203</v>
      </c>
      <c r="G271" s="68">
        <v>0.0</v>
      </c>
      <c r="H271" s="69">
        <f t="shared" si="8"/>
        <v>0</v>
      </c>
      <c r="I271" s="76" t="s">
        <v>280</v>
      </c>
      <c r="J271" s="87" t="s">
        <v>203</v>
      </c>
      <c r="K271" s="82"/>
      <c r="L271" s="82"/>
      <c r="M271" s="82"/>
      <c r="N271" s="72"/>
      <c r="O271" s="83" t="s">
        <v>281</v>
      </c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</row>
    <row r="272" ht="22.5" customHeight="1">
      <c r="A272" s="86">
        <v>45471.0</v>
      </c>
      <c r="B272" s="63" t="s">
        <v>27</v>
      </c>
      <c r="C272" s="79"/>
      <c r="D272" s="80">
        <v>167663.1</v>
      </c>
      <c r="E272" s="66" t="s">
        <v>28</v>
      </c>
      <c r="F272" s="84" t="s">
        <v>283</v>
      </c>
      <c r="G272" s="68">
        <v>0.0</v>
      </c>
      <c r="H272" s="69">
        <f t="shared" si="8"/>
        <v>0</v>
      </c>
      <c r="I272" s="94" t="s">
        <v>71</v>
      </c>
      <c r="J272" s="87" t="s">
        <v>72</v>
      </c>
      <c r="K272" s="116"/>
      <c r="L272" s="116"/>
      <c r="M272" s="116"/>
      <c r="N272" s="72"/>
      <c r="O272" s="117" t="s">
        <v>208</v>
      </c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</row>
    <row r="273" ht="22.5" customHeight="1">
      <c r="A273" s="86">
        <v>45471.0</v>
      </c>
      <c r="B273" s="63" t="s">
        <v>27</v>
      </c>
      <c r="C273" s="79"/>
      <c r="D273" s="80">
        <v>31326.0</v>
      </c>
      <c r="E273" s="66" t="s">
        <v>28</v>
      </c>
      <c r="F273" s="84" t="s">
        <v>283</v>
      </c>
      <c r="G273" s="68">
        <v>0.0</v>
      </c>
      <c r="H273" s="69">
        <f t="shared" si="8"/>
        <v>0</v>
      </c>
      <c r="I273" s="94" t="s">
        <v>71</v>
      </c>
      <c r="J273" s="87" t="s">
        <v>72</v>
      </c>
      <c r="K273" s="82"/>
      <c r="L273" s="82"/>
      <c r="M273" s="82"/>
      <c r="N273" s="72"/>
      <c r="O273" s="83" t="s">
        <v>209</v>
      </c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</row>
    <row r="274" ht="22.5" customHeight="1">
      <c r="A274" s="86">
        <v>45471.0</v>
      </c>
      <c r="B274" s="63" t="s">
        <v>27</v>
      </c>
      <c r="C274" s="79"/>
      <c r="D274" s="80">
        <v>17105.0</v>
      </c>
      <c r="E274" s="66" t="s">
        <v>33</v>
      </c>
      <c r="F274" s="84" t="s">
        <v>284</v>
      </c>
      <c r="G274" s="68">
        <v>0.0</v>
      </c>
      <c r="H274" s="69">
        <f t="shared" si="8"/>
        <v>0</v>
      </c>
      <c r="I274" s="89" t="s">
        <v>68</v>
      </c>
      <c r="J274" s="87" t="s">
        <v>203</v>
      </c>
      <c r="K274" s="82"/>
      <c r="L274" s="82"/>
      <c r="M274" s="82"/>
      <c r="N274" s="72"/>
      <c r="O274" s="83" t="s">
        <v>285</v>
      </c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</row>
    <row r="275" ht="22.5" customHeight="1">
      <c r="A275" s="86">
        <v>45477.0</v>
      </c>
      <c r="B275" s="63" t="s">
        <v>27</v>
      </c>
      <c r="C275" s="80">
        <v>360000.0</v>
      </c>
      <c r="D275" s="79"/>
      <c r="E275" s="66" t="s">
        <v>28</v>
      </c>
      <c r="F275" s="84" t="s">
        <v>189</v>
      </c>
      <c r="G275" s="68">
        <v>20.0</v>
      </c>
      <c r="H275" s="69">
        <f t="shared" si="8"/>
        <v>60000</v>
      </c>
      <c r="I275" s="76" t="s">
        <v>37</v>
      </c>
      <c r="J275" s="87" t="s">
        <v>250</v>
      </c>
      <c r="K275" s="82">
        <v>3.0</v>
      </c>
      <c r="L275" s="95"/>
      <c r="M275" s="95"/>
      <c r="N275" s="72">
        <f>A275-IF(M275&gt;0,M275,A275)</f>
        <v>0</v>
      </c>
      <c r="O275" s="96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</row>
    <row r="276" ht="22.5" customHeight="1">
      <c r="A276" s="86">
        <v>45477.0</v>
      </c>
      <c r="B276" s="63" t="s">
        <v>27</v>
      </c>
      <c r="C276" s="79"/>
      <c r="D276" s="80">
        <v>46000.0</v>
      </c>
      <c r="E276" s="66" t="s">
        <v>33</v>
      </c>
      <c r="F276" s="77"/>
      <c r="G276" s="68">
        <v>0.0</v>
      </c>
      <c r="H276" s="69">
        <f t="shared" si="8"/>
        <v>0</v>
      </c>
      <c r="I276" s="76" t="s">
        <v>286</v>
      </c>
      <c r="J276" s="87" t="s">
        <v>144</v>
      </c>
      <c r="K276" s="82"/>
      <c r="L276" s="82"/>
      <c r="M276" s="82"/>
      <c r="N276" s="72"/>
      <c r="O276" s="83" t="s">
        <v>128</v>
      </c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</row>
    <row r="277" ht="22.5" customHeight="1">
      <c r="A277" s="86">
        <v>45477.0</v>
      </c>
      <c r="B277" s="63" t="s">
        <v>27</v>
      </c>
      <c r="C277" s="79"/>
      <c r="D277" s="80">
        <v>550000.0</v>
      </c>
      <c r="E277" s="66" t="s">
        <v>33</v>
      </c>
      <c r="F277" s="84" t="s">
        <v>284</v>
      </c>
      <c r="G277" s="68">
        <v>0.0</v>
      </c>
      <c r="H277" s="69">
        <f t="shared" si="8"/>
        <v>0</v>
      </c>
      <c r="I277" s="89" t="s">
        <v>68</v>
      </c>
      <c r="J277" s="87" t="s">
        <v>203</v>
      </c>
      <c r="K277" s="82"/>
      <c r="L277" s="82"/>
      <c r="M277" s="82"/>
      <c r="N277" s="72"/>
      <c r="O277" s="83" t="s">
        <v>287</v>
      </c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</row>
    <row r="278" ht="22.5" customHeight="1">
      <c r="A278" s="86">
        <v>45477.0</v>
      </c>
      <c r="B278" s="63" t="s">
        <v>27</v>
      </c>
      <c r="C278" s="79"/>
      <c r="D278" s="80">
        <v>13990.0</v>
      </c>
      <c r="E278" s="66" t="s">
        <v>28</v>
      </c>
      <c r="F278" s="77"/>
      <c r="G278" s="68">
        <v>0.0</v>
      </c>
      <c r="H278" s="69">
        <f t="shared" si="8"/>
        <v>0</v>
      </c>
      <c r="I278" s="70" t="s">
        <v>30</v>
      </c>
      <c r="J278" s="71" t="s">
        <v>31</v>
      </c>
      <c r="K278" s="95"/>
      <c r="L278" s="95"/>
      <c r="M278" s="95"/>
      <c r="N278" s="72"/>
      <c r="O278" s="96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</row>
    <row r="279" ht="22.5" customHeight="1">
      <c r="A279" s="86">
        <v>45477.0</v>
      </c>
      <c r="B279" s="63" t="s">
        <v>27</v>
      </c>
      <c r="C279" s="79"/>
      <c r="D279" s="80">
        <v>63772.0</v>
      </c>
      <c r="E279" s="66" t="s">
        <v>28</v>
      </c>
      <c r="F279" s="84" t="s">
        <v>213</v>
      </c>
      <c r="G279" s="68">
        <v>0.0</v>
      </c>
      <c r="H279" s="69">
        <f t="shared" si="8"/>
        <v>0</v>
      </c>
      <c r="I279" s="104" t="s">
        <v>233</v>
      </c>
      <c r="J279" s="87" t="s">
        <v>234</v>
      </c>
      <c r="K279" s="82"/>
      <c r="L279" s="82"/>
      <c r="M279" s="82"/>
      <c r="N279" s="72"/>
      <c r="O279" s="83" t="s">
        <v>288</v>
      </c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</row>
    <row r="280" ht="22.5" customHeight="1">
      <c r="A280" s="86">
        <v>45477.0</v>
      </c>
      <c r="B280" s="63" t="s">
        <v>27</v>
      </c>
      <c r="C280" s="79"/>
      <c r="D280" s="80">
        <v>31951.0</v>
      </c>
      <c r="E280" s="66" t="s">
        <v>28</v>
      </c>
      <c r="F280" s="84" t="s">
        <v>213</v>
      </c>
      <c r="G280" s="68">
        <v>0.0</v>
      </c>
      <c r="H280" s="69">
        <f t="shared" si="8"/>
        <v>0</v>
      </c>
      <c r="I280" s="104" t="s">
        <v>233</v>
      </c>
      <c r="J280" s="87" t="s">
        <v>234</v>
      </c>
      <c r="K280" s="82"/>
      <c r="L280" s="82"/>
      <c r="M280" s="82"/>
      <c r="N280" s="72"/>
      <c r="O280" s="83" t="s">
        <v>289</v>
      </c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</row>
    <row r="281" ht="22.5" customHeight="1">
      <c r="A281" s="86">
        <v>45477.0</v>
      </c>
      <c r="B281" s="63" t="s">
        <v>27</v>
      </c>
      <c r="C281" s="79"/>
      <c r="D281" s="80">
        <v>3000.0</v>
      </c>
      <c r="E281" s="66" t="s">
        <v>33</v>
      </c>
      <c r="F281" s="77"/>
      <c r="G281" s="68">
        <v>0.0</v>
      </c>
      <c r="H281" s="69">
        <f t="shared" si="8"/>
        <v>0</v>
      </c>
      <c r="I281" s="70" t="s">
        <v>35</v>
      </c>
      <c r="J281" s="87" t="s">
        <v>254</v>
      </c>
      <c r="K281" s="82"/>
      <c r="L281" s="82"/>
      <c r="M281" s="82"/>
      <c r="N281" s="72"/>
      <c r="O281" s="83" t="s">
        <v>290</v>
      </c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</row>
    <row r="282" ht="22.5" customHeight="1">
      <c r="A282" s="86">
        <v>45477.0</v>
      </c>
      <c r="B282" s="63" t="s">
        <v>27</v>
      </c>
      <c r="C282" s="79">
        <f>1057350*1.2</f>
        <v>1268820</v>
      </c>
      <c r="D282" s="79"/>
      <c r="E282" s="66" t="s">
        <v>28</v>
      </c>
      <c r="F282" s="84" t="s">
        <v>143</v>
      </c>
      <c r="G282" s="68">
        <v>20.0</v>
      </c>
      <c r="H282" s="69">
        <f t="shared" si="8"/>
        <v>211470</v>
      </c>
      <c r="I282" s="76" t="s">
        <v>37</v>
      </c>
      <c r="J282" s="87" t="s">
        <v>157</v>
      </c>
      <c r="K282" s="82"/>
      <c r="L282" s="82"/>
      <c r="M282" s="82"/>
      <c r="N282" s="72">
        <f t="shared" ref="N282:N283" si="14">A282-IF(M282&gt;0,M282,A282)</f>
        <v>0</v>
      </c>
      <c r="O282" s="83" t="s">
        <v>291</v>
      </c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</row>
    <row r="283" ht="22.5" customHeight="1">
      <c r="A283" s="86">
        <v>45477.0</v>
      </c>
      <c r="B283" s="63" t="s">
        <v>27</v>
      </c>
      <c r="C283" s="80">
        <v>1080648.0</v>
      </c>
      <c r="D283" s="79"/>
      <c r="E283" s="66" t="s">
        <v>28</v>
      </c>
      <c r="F283" s="84" t="s">
        <v>143</v>
      </c>
      <c r="G283" s="68">
        <v>20.0</v>
      </c>
      <c r="H283" s="69">
        <f t="shared" si="8"/>
        <v>180108</v>
      </c>
      <c r="I283" s="76" t="s">
        <v>37</v>
      </c>
      <c r="J283" s="87" t="s">
        <v>157</v>
      </c>
      <c r="K283" s="82"/>
      <c r="L283" s="82"/>
      <c r="M283" s="82"/>
      <c r="N283" s="72">
        <f t="shared" si="14"/>
        <v>0</v>
      </c>
      <c r="O283" s="83" t="s">
        <v>292</v>
      </c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</row>
    <row r="284" ht="22.5" customHeight="1">
      <c r="A284" s="86">
        <v>45477.0</v>
      </c>
      <c r="B284" s="63" t="s">
        <v>27</v>
      </c>
      <c r="C284" s="79"/>
      <c r="D284" s="80">
        <v>34373.0</v>
      </c>
      <c r="E284" s="66" t="s">
        <v>28</v>
      </c>
      <c r="F284" s="84" t="s">
        <v>283</v>
      </c>
      <c r="G284" s="68">
        <v>0.0</v>
      </c>
      <c r="H284" s="69">
        <f t="shared" si="8"/>
        <v>0</v>
      </c>
      <c r="I284" s="94" t="s">
        <v>71</v>
      </c>
      <c r="J284" s="87" t="s">
        <v>72</v>
      </c>
      <c r="K284" s="82"/>
      <c r="L284" s="82"/>
      <c r="M284" s="82"/>
      <c r="N284" s="72"/>
      <c r="O284" s="83" t="s">
        <v>209</v>
      </c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</row>
    <row r="285" ht="22.5" customHeight="1">
      <c r="A285" s="86">
        <v>45478.0</v>
      </c>
      <c r="B285" s="63" t="s">
        <v>27</v>
      </c>
      <c r="C285" s="79"/>
      <c r="D285" s="80">
        <v>5475.0</v>
      </c>
      <c r="E285" s="66" t="s">
        <v>28</v>
      </c>
      <c r="F285" s="84" t="s">
        <v>293</v>
      </c>
      <c r="G285" s="68">
        <v>20.0</v>
      </c>
      <c r="H285" s="69">
        <f t="shared" si="8"/>
        <v>912.5</v>
      </c>
      <c r="I285" s="76" t="s">
        <v>294</v>
      </c>
      <c r="J285" s="87" t="s">
        <v>295</v>
      </c>
      <c r="K285" s="95"/>
      <c r="L285" s="95"/>
      <c r="M285" s="95"/>
      <c r="N285" s="72"/>
      <c r="O285" s="96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</row>
    <row r="286" ht="22.5" customHeight="1">
      <c r="A286" s="86">
        <v>45481.0</v>
      </c>
      <c r="B286" s="63" t="s">
        <v>27</v>
      </c>
      <c r="C286" s="80">
        <v>57000.0</v>
      </c>
      <c r="D286" s="79"/>
      <c r="E286" s="66" t="s">
        <v>28</v>
      </c>
      <c r="F286" s="84" t="s">
        <v>189</v>
      </c>
      <c r="G286" s="68">
        <v>20.0</v>
      </c>
      <c r="H286" s="69">
        <f t="shared" si="8"/>
        <v>9500</v>
      </c>
      <c r="I286" s="76" t="s">
        <v>37</v>
      </c>
      <c r="J286" s="87" t="s">
        <v>157</v>
      </c>
      <c r="K286" s="82"/>
      <c r="L286" s="82"/>
      <c r="M286" s="82"/>
      <c r="N286" s="72">
        <f t="shared" ref="N286:N287" si="15">A286-IF(M286&gt;0,M286,A286)</f>
        <v>0</v>
      </c>
      <c r="O286" s="83" t="s">
        <v>296</v>
      </c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</row>
    <row r="287" ht="22.5" customHeight="1">
      <c r="A287" s="86">
        <v>45481.0</v>
      </c>
      <c r="B287" s="63" t="s">
        <v>27</v>
      </c>
      <c r="C287" s="80">
        <v>328965.41</v>
      </c>
      <c r="D287" s="79"/>
      <c r="E287" s="66" t="s">
        <v>28</v>
      </c>
      <c r="F287" s="84" t="s">
        <v>189</v>
      </c>
      <c r="G287" s="68">
        <v>20.0</v>
      </c>
      <c r="H287" s="69">
        <f t="shared" si="8"/>
        <v>54827.56833</v>
      </c>
      <c r="I287" s="76" t="s">
        <v>37</v>
      </c>
      <c r="J287" s="87" t="s">
        <v>157</v>
      </c>
      <c r="K287" s="82"/>
      <c r="L287" s="82"/>
      <c r="M287" s="82"/>
      <c r="N287" s="72">
        <f t="shared" si="15"/>
        <v>0</v>
      </c>
      <c r="O287" s="83" t="s">
        <v>297</v>
      </c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</row>
    <row r="288" ht="22.5" customHeight="1">
      <c r="A288" s="86">
        <v>45483.0</v>
      </c>
      <c r="B288" s="63" t="s">
        <v>27</v>
      </c>
      <c r="C288" s="79"/>
      <c r="D288" s="79">
        <v>1111111.1111111112</v>
      </c>
      <c r="E288" s="66" t="s">
        <v>28</v>
      </c>
      <c r="F288" s="84" t="s">
        <v>48</v>
      </c>
      <c r="G288" s="68">
        <v>20.0</v>
      </c>
      <c r="H288" s="69">
        <f t="shared" si="8"/>
        <v>185185.1852</v>
      </c>
      <c r="I288" s="76" t="s">
        <v>47</v>
      </c>
      <c r="J288" s="81"/>
      <c r="K288" s="95"/>
      <c r="L288" s="95"/>
      <c r="M288" s="95"/>
      <c r="N288" s="72"/>
      <c r="O288" s="96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</row>
    <row r="289" ht="22.5" customHeight="1">
      <c r="A289" s="86">
        <v>45483.0</v>
      </c>
      <c r="B289" s="63" t="s">
        <v>27</v>
      </c>
      <c r="C289" s="80">
        <v>800000.0</v>
      </c>
      <c r="D289" s="79"/>
      <c r="E289" s="66" t="s">
        <v>33</v>
      </c>
      <c r="F289" s="84" t="s">
        <v>48</v>
      </c>
      <c r="G289" s="68">
        <v>0.0</v>
      </c>
      <c r="H289" s="69">
        <f t="shared" si="8"/>
        <v>0</v>
      </c>
      <c r="I289" s="76" t="s">
        <v>47</v>
      </c>
      <c r="J289" s="81"/>
      <c r="K289" s="95"/>
      <c r="L289" s="95"/>
      <c r="M289" s="95"/>
      <c r="N289" s="72"/>
      <c r="O289" s="96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</row>
    <row r="290" ht="22.5" customHeight="1">
      <c r="A290" s="86">
        <v>45483.0</v>
      </c>
      <c r="B290" s="63" t="s">
        <v>27</v>
      </c>
      <c r="C290" s="79"/>
      <c r="D290" s="80">
        <f>229901.37+11136</f>
        <v>241037.37</v>
      </c>
      <c r="E290" s="66" t="s">
        <v>28</v>
      </c>
      <c r="F290" s="84" t="s">
        <v>284</v>
      </c>
      <c r="G290" s="68">
        <v>0.0</v>
      </c>
      <c r="H290" s="69">
        <f t="shared" si="8"/>
        <v>0</v>
      </c>
      <c r="I290" s="89" t="s">
        <v>68</v>
      </c>
      <c r="J290" s="87" t="s">
        <v>298</v>
      </c>
      <c r="K290" s="82"/>
      <c r="L290" s="82"/>
      <c r="M290" s="82"/>
      <c r="N290" s="72"/>
      <c r="O290" s="83" t="s">
        <v>299</v>
      </c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</row>
    <row r="291" ht="22.5" customHeight="1">
      <c r="A291" s="86">
        <v>45484.0</v>
      </c>
      <c r="B291" s="63" t="s">
        <v>27</v>
      </c>
      <c r="C291" s="80">
        <v>226195.2</v>
      </c>
      <c r="D291" s="79"/>
      <c r="E291" s="66" t="s">
        <v>28</v>
      </c>
      <c r="F291" s="84" t="s">
        <v>284</v>
      </c>
      <c r="G291" s="68">
        <v>20.0</v>
      </c>
      <c r="H291" s="69">
        <f t="shared" si="8"/>
        <v>37699.2</v>
      </c>
      <c r="I291" s="76" t="s">
        <v>37</v>
      </c>
      <c r="J291" s="87" t="s">
        <v>179</v>
      </c>
      <c r="K291" s="82"/>
      <c r="L291" s="82"/>
      <c r="M291" s="82"/>
      <c r="N291" s="72">
        <f t="shared" ref="N291:N294" si="16">A291-IF(M291&gt;0,M291,A291)</f>
        <v>0</v>
      </c>
      <c r="O291" s="83" t="s">
        <v>300</v>
      </c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</row>
    <row r="292" ht="22.5" customHeight="1">
      <c r="A292" s="86">
        <v>45484.0</v>
      </c>
      <c r="B292" s="63" t="s">
        <v>27</v>
      </c>
      <c r="C292" s="80">
        <v>532.38</v>
      </c>
      <c r="D292" s="79"/>
      <c r="E292" s="66" t="s">
        <v>28</v>
      </c>
      <c r="F292" s="84" t="s">
        <v>189</v>
      </c>
      <c r="G292" s="68">
        <v>20.0</v>
      </c>
      <c r="H292" s="69">
        <f t="shared" si="8"/>
        <v>88.73</v>
      </c>
      <c r="I292" s="76" t="s">
        <v>37</v>
      </c>
      <c r="J292" s="87" t="s">
        <v>157</v>
      </c>
      <c r="K292" s="82"/>
      <c r="L292" s="82"/>
      <c r="M292" s="82"/>
      <c r="N292" s="72">
        <f t="shared" si="16"/>
        <v>0</v>
      </c>
      <c r="O292" s="83" t="s">
        <v>301</v>
      </c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</row>
    <row r="293" ht="22.5" customHeight="1">
      <c r="A293" s="86">
        <v>45484.0</v>
      </c>
      <c r="B293" s="63" t="s">
        <v>27</v>
      </c>
      <c r="C293" s="80">
        <v>5065.44</v>
      </c>
      <c r="D293" s="79"/>
      <c r="E293" s="66" t="s">
        <v>28</v>
      </c>
      <c r="F293" s="84" t="s">
        <v>189</v>
      </c>
      <c r="G293" s="68">
        <v>20.0</v>
      </c>
      <c r="H293" s="69">
        <f t="shared" si="8"/>
        <v>844.24</v>
      </c>
      <c r="I293" s="76" t="s">
        <v>37</v>
      </c>
      <c r="J293" s="87" t="s">
        <v>157</v>
      </c>
      <c r="K293" s="82"/>
      <c r="L293" s="82"/>
      <c r="M293" s="82"/>
      <c r="N293" s="72">
        <f t="shared" si="16"/>
        <v>0</v>
      </c>
      <c r="O293" s="83" t="s">
        <v>302</v>
      </c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</row>
    <row r="294" ht="22.5" customHeight="1">
      <c r="A294" s="86">
        <v>45485.0</v>
      </c>
      <c r="B294" s="63" t="s">
        <v>27</v>
      </c>
      <c r="C294" s="80">
        <v>170210.52</v>
      </c>
      <c r="D294" s="79"/>
      <c r="E294" s="66" t="s">
        <v>28</v>
      </c>
      <c r="F294" s="84" t="s">
        <v>284</v>
      </c>
      <c r="G294" s="68">
        <v>20.0</v>
      </c>
      <c r="H294" s="69">
        <f t="shared" si="8"/>
        <v>28368.42</v>
      </c>
      <c r="I294" s="76" t="s">
        <v>37</v>
      </c>
      <c r="J294" s="87" t="s">
        <v>120</v>
      </c>
      <c r="K294" s="82"/>
      <c r="L294" s="82"/>
      <c r="M294" s="82"/>
      <c r="N294" s="72">
        <f t="shared" si="16"/>
        <v>0</v>
      </c>
      <c r="O294" s="83" t="s">
        <v>303</v>
      </c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</row>
    <row r="295" ht="22.5" customHeight="1">
      <c r="A295" s="86">
        <v>45485.0</v>
      </c>
      <c r="B295" s="63" t="s">
        <v>27</v>
      </c>
      <c r="C295" s="79"/>
      <c r="D295" s="80">
        <v>31951.0</v>
      </c>
      <c r="E295" s="66" t="s">
        <v>28</v>
      </c>
      <c r="F295" s="84" t="s">
        <v>213</v>
      </c>
      <c r="G295" s="68">
        <v>0.0</v>
      </c>
      <c r="H295" s="69">
        <f t="shared" si="8"/>
        <v>0</v>
      </c>
      <c r="I295" s="104" t="s">
        <v>233</v>
      </c>
      <c r="J295" s="87" t="s">
        <v>234</v>
      </c>
      <c r="K295" s="82"/>
      <c r="L295" s="82"/>
      <c r="M295" s="82"/>
      <c r="N295" s="72"/>
      <c r="O295" s="83" t="s">
        <v>304</v>
      </c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</row>
    <row r="296" ht="22.5" customHeight="1">
      <c r="A296" s="86">
        <v>45485.0</v>
      </c>
      <c r="B296" s="63" t="s">
        <v>27</v>
      </c>
      <c r="C296" s="79"/>
      <c r="D296" s="80">
        <v>20000.0</v>
      </c>
      <c r="E296" s="66" t="s">
        <v>33</v>
      </c>
      <c r="F296" s="84" t="s">
        <v>213</v>
      </c>
      <c r="G296" s="68">
        <v>0.0</v>
      </c>
      <c r="H296" s="69">
        <f t="shared" si="8"/>
        <v>0</v>
      </c>
      <c r="I296" s="104" t="s">
        <v>233</v>
      </c>
      <c r="J296" s="87" t="s">
        <v>254</v>
      </c>
      <c r="K296" s="82"/>
      <c r="L296" s="82"/>
      <c r="M296" s="82"/>
      <c r="N296" s="72"/>
      <c r="O296" s="83" t="s">
        <v>264</v>
      </c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</row>
    <row r="297" ht="22.5" customHeight="1">
      <c r="A297" s="86">
        <v>45488.0</v>
      </c>
      <c r="B297" s="63" t="s">
        <v>27</v>
      </c>
      <c r="C297" s="80">
        <v>600000.0</v>
      </c>
      <c r="D297" s="79"/>
      <c r="E297" s="66" t="s">
        <v>28</v>
      </c>
      <c r="F297" s="84" t="s">
        <v>189</v>
      </c>
      <c r="G297" s="68">
        <v>20.0</v>
      </c>
      <c r="H297" s="69">
        <f t="shared" si="8"/>
        <v>100000</v>
      </c>
      <c r="I297" s="76" t="s">
        <v>37</v>
      </c>
      <c r="J297" s="87" t="s">
        <v>305</v>
      </c>
      <c r="K297" s="82"/>
      <c r="L297" s="82"/>
      <c r="M297" s="82"/>
      <c r="N297" s="72">
        <f t="shared" ref="N297:N298" si="17">A297-IF(M297&gt;0,M297,A297)</f>
        <v>0</v>
      </c>
      <c r="O297" s="83" t="s">
        <v>306</v>
      </c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</row>
    <row r="298" ht="22.5" customHeight="1">
      <c r="A298" s="86">
        <v>45489.0</v>
      </c>
      <c r="B298" s="63" t="s">
        <v>27</v>
      </c>
      <c r="C298" s="80">
        <v>464655.86</v>
      </c>
      <c r="D298" s="79"/>
      <c r="E298" s="66" t="s">
        <v>28</v>
      </c>
      <c r="F298" s="84" t="s">
        <v>189</v>
      </c>
      <c r="G298" s="68">
        <v>20.0</v>
      </c>
      <c r="H298" s="69">
        <f t="shared" si="8"/>
        <v>77442.64333</v>
      </c>
      <c r="I298" s="76" t="s">
        <v>37</v>
      </c>
      <c r="J298" s="87" t="s">
        <v>157</v>
      </c>
      <c r="K298" s="82"/>
      <c r="L298" s="82"/>
      <c r="M298" s="82"/>
      <c r="N298" s="72">
        <f t="shared" si="17"/>
        <v>0</v>
      </c>
      <c r="O298" s="83" t="s">
        <v>307</v>
      </c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</row>
    <row r="299" ht="22.5" customHeight="1">
      <c r="A299" s="86">
        <v>45489.0</v>
      </c>
      <c r="B299" s="63" t="s">
        <v>27</v>
      </c>
      <c r="C299" s="79"/>
      <c r="D299" s="80">
        <v>31951.0</v>
      </c>
      <c r="E299" s="66" t="s">
        <v>28</v>
      </c>
      <c r="F299" s="84" t="s">
        <v>213</v>
      </c>
      <c r="G299" s="68">
        <v>0.0</v>
      </c>
      <c r="H299" s="69">
        <f t="shared" si="8"/>
        <v>0</v>
      </c>
      <c r="I299" s="104" t="s">
        <v>233</v>
      </c>
      <c r="J299" s="87" t="s">
        <v>234</v>
      </c>
      <c r="K299" s="82"/>
      <c r="L299" s="82"/>
      <c r="M299" s="82"/>
      <c r="N299" s="72"/>
      <c r="O299" s="83" t="s">
        <v>308</v>
      </c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</row>
    <row r="300" ht="22.5" customHeight="1">
      <c r="A300" s="86">
        <v>45490.0</v>
      </c>
      <c r="B300" s="63" t="s">
        <v>27</v>
      </c>
      <c r="C300" s="79"/>
      <c r="D300" s="80">
        <v>1020.49</v>
      </c>
      <c r="E300" s="66" t="s">
        <v>28</v>
      </c>
      <c r="F300" s="84" t="s">
        <v>283</v>
      </c>
      <c r="G300" s="68">
        <v>0.0</v>
      </c>
      <c r="H300" s="69">
        <f t="shared" si="8"/>
        <v>0</v>
      </c>
      <c r="I300" s="94" t="s">
        <v>71</v>
      </c>
      <c r="J300" s="87" t="s">
        <v>309</v>
      </c>
      <c r="K300" s="82"/>
      <c r="L300" s="82"/>
      <c r="M300" s="82"/>
      <c r="N300" s="72"/>
      <c r="O300" s="83" t="s">
        <v>310</v>
      </c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</row>
    <row r="301" ht="22.5" customHeight="1">
      <c r="A301" s="86">
        <v>45492.0</v>
      </c>
      <c r="B301" s="63" t="s">
        <v>27</v>
      </c>
      <c r="C301" s="79"/>
      <c r="D301" s="80">
        <v>115577.06</v>
      </c>
      <c r="E301" s="66" t="s">
        <v>28</v>
      </c>
      <c r="F301" s="77"/>
      <c r="G301" s="68">
        <v>20.0</v>
      </c>
      <c r="H301" s="69">
        <f t="shared" si="8"/>
        <v>19262.84333</v>
      </c>
      <c r="I301" s="76" t="s">
        <v>101</v>
      </c>
      <c r="J301" s="100" t="s">
        <v>102</v>
      </c>
      <c r="K301" s="82"/>
      <c r="L301" s="82"/>
      <c r="M301" s="82"/>
      <c r="N301" s="72"/>
      <c r="O301" s="83" t="s">
        <v>311</v>
      </c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</row>
    <row r="302" ht="22.5" customHeight="1">
      <c r="A302" s="86">
        <v>45492.0</v>
      </c>
      <c r="B302" s="63" t="s">
        <v>27</v>
      </c>
      <c r="C302" s="79"/>
      <c r="D302" s="80">
        <v>10674.0</v>
      </c>
      <c r="E302" s="66" t="s">
        <v>28</v>
      </c>
      <c r="F302" s="77"/>
      <c r="G302" s="68">
        <v>0.0</v>
      </c>
      <c r="H302" s="69">
        <f t="shared" si="8"/>
        <v>0</v>
      </c>
      <c r="I302" s="70" t="s">
        <v>35</v>
      </c>
      <c r="J302" s="87" t="s">
        <v>312</v>
      </c>
      <c r="K302" s="82"/>
      <c r="L302" s="82"/>
      <c r="M302" s="82"/>
      <c r="N302" s="72"/>
      <c r="O302" s="83" t="s">
        <v>313</v>
      </c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</row>
    <row r="303" ht="22.5" customHeight="1">
      <c r="A303" s="86">
        <v>45492.0</v>
      </c>
      <c r="B303" s="63" t="s">
        <v>27</v>
      </c>
      <c r="C303" s="80">
        <v>600000.24</v>
      </c>
      <c r="D303" s="79"/>
      <c r="E303" s="66" t="s">
        <v>28</v>
      </c>
      <c r="F303" s="84" t="s">
        <v>314</v>
      </c>
      <c r="G303" s="68">
        <v>20.0</v>
      </c>
      <c r="H303" s="69">
        <f t="shared" si="8"/>
        <v>100000.04</v>
      </c>
      <c r="I303" s="76" t="s">
        <v>37</v>
      </c>
      <c r="J303" s="87" t="s">
        <v>315</v>
      </c>
      <c r="K303" s="82"/>
      <c r="L303" s="82"/>
      <c r="M303" s="82"/>
      <c r="N303" s="72">
        <f t="shared" ref="N303:N306" si="18">A303-IF(M303&gt;0,M303,A303)</f>
        <v>0</v>
      </c>
      <c r="O303" s="83" t="s">
        <v>316</v>
      </c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</row>
    <row r="304" ht="22.5" customHeight="1">
      <c r="A304" s="86">
        <v>45495.0</v>
      </c>
      <c r="B304" s="63" t="s">
        <v>27</v>
      </c>
      <c r="C304" s="80">
        <v>120000.0</v>
      </c>
      <c r="D304" s="79"/>
      <c r="E304" s="66" t="s">
        <v>28</v>
      </c>
      <c r="F304" s="84" t="s">
        <v>284</v>
      </c>
      <c r="G304" s="68">
        <v>20.0</v>
      </c>
      <c r="H304" s="69">
        <f t="shared" si="8"/>
        <v>20000</v>
      </c>
      <c r="I304" s="76" t="s">
        <v>37</v>
      </c>
      <c r="J304" s="87" t="s">
        <v>317</v>
      </c>
      <c r="K304" s="82">
        <v>1.0</v>
      </c>
      <c r="L304" s="82"/>
      <c r="M304" s="82"/>
      <c r="N304" s="72">
        <f t="shared" si="18"/>
        <v>0</v>
      </c>
      <c r="O304" s="83" t="s">
        <v>318</v>
      </c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</row>
    <row r="305" ht="22.5" customHeight="1">
      <c r="A305" s="86">
        <v>45497.0</v>
      </c>
      <c r="B305" s="63" t="s">
        <v>27</v>
      </c>
      <c r="C305" s="80">
        <v>628189.67</v>
      </c>
      <c r="D305" s="79"/>
      <c r="E305" s="66" t="s">
        <v>28</v>
      </c>
      <c r="F305" s="84" t="s">
        <v>189</v>
      </c>
      <c r="G305" s="68">
        <v>20.0</v>
      </c>
      <c r="H305" s="69">
        <f t="shared" si="8"/>
        <v>104698.2783</v>
      </c>
      <c r="I305" s="76" t="s">
        <v>37</v>
      </c>
      <c r="J305" s="87" t="s">
        <v>157</v>
      </c>
      <c r="K305" s="82"/>
      <c r="L305" s="82"/>
      <c r="M305" s="82"/>
      <c r="N305" s="72">
        <f t="shared" si="18"/>
        <v>0</v>
      </c>
      <c r="O305" s="83" t="s">
        <v>319</v>
      </c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</row>
    <row r="306" ht="17.25" customHeight="1">
      <c r="A306" s="86">
        <v>45497.0</v>
      </c>
      <c r="B306" s="63" t="s">
        <v>27</v>
      </c>
      <c r="C306" s="80">
        <v>969040.73</v>
      </c>
      <c r="D306" s="79"/>
      <c r="E306" s="66" t="s">
        <v>28</v>
      </c>
      <c r="F306" s="84" t="s">
        <v>189</v>
      </c>
      <c r="G306" s="68">
        <v>20.0</v>
      </c>
      <c r="H306" s="69">
        <f t="shared" si="8"/>
        <v>161506.7883</v>
      </c>
      <c r="I306" s="76" t="s">
        <v>37</v>
      </c>
      <c r="J306" s="87" t="s">
        <v>157</v>
      </c>
      <c r="K306" s="82"/>
      <c r="L306" s="82"/>
      <c r="M306" s="82"/>
      <c r="N306" s="72">
        <f t="shared" si="18"/>
        <v>0</v>
      </c>
      <c r="O306" s="83" t="s">
        <v>320</v>
      </c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</row>
    <row r="307" ht="22.5" customHeight="1">
      <c r="A307" s="86">
        <v>45498.0</v>
      </c>
      <c r="B307" s="63" t="s">
        <v>27</v>
      </c>
      <c r="C307" s="79"/>
      <c r="D307" s="120">
        <v>543980.81</v>
      </c>
      <c r="E307" s="66" t="s">
        <v>28</v>
      </c>
      <c r="F307" s="84" t="s">
        <v>321</v>
      </c>
      <c r="G307" s="68">
        <v>0.0</v>
      </c>
      <c r="H307" s="69">
        <f t="shared" si="8"/>
        <v>0</v>
      </c>
      <c r="I307" s="76" t="s">
        <v>322</v>
      </c>
      <c r="J307" s="87" t="s">
        <v>157</v>
      </c>
      <c r="K307" s="82"/>
      <c r="L307" s="82"/>
      <c r="M307" s="82"/>
      <c r="N307" s="72"/>
      <c r="O307" s="83" t="s">
        <v>323</v>
      </c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</row>
    <row r="308" ht="22.5" customHeight="1">
      <c r="A308" s="86">
        <v>45498.0</v>
      </c>
      <c r="B308" s="63" t="s">
        <v>27</v>
      </c>
      <c r="C308" s="80">
        <v>600000.24</v>
      </c>
      <c r="D308" s="79"/>
      <c r="E308" s="66" t="s">
        <v>28</v>
      </c>
      <c r="F308" s="84" t="s">
        <v>314</v>
      </c>
      <c r="G308" s="68">
        <v>20.0</v>
      </c>
      <c r="H308" s="69">
        <f t="shared" si="8"/>
        <v>100000.04</v>
      </c>
      <c r="I308" s="76" t="s">
        <v>37</v>
      </c>
      <c r="J308" s="87" t="s">
        <v>315</v>
      </c>
      <c r="K308" s="82"/>
      <c r="L308" s="82"/>
      <c r="M308" s="82"/>
      <c r="N308" s="72">
        <f>A308-IF(M308&gt;0,M308,A308)</f>
        <v>0</v>
      </c>
      <c r="O308" s="83" t="s">
        <v>324</v>
      </c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</row>
    <row r="309" ht="22.5" customHeight="1">
      <c r="A309" s="86">
        <v>45498.0</v>
      </c>
      <c r="B309" s="63" t="s">
        <v>27</v>
      </c>
      <c r="C309" s="79"/>
      <c r="D309" s="80">
        <v>239518.0</v>
      </c>
      <c r="E309" s="66" t="s">
        <v>28</v>
      </c>
      <c r="F309" s="84" t="s">
        <v>314</v>
      </c>
      <c r="G309" s="68">
        <v>0.0</v>
      </c>
      <c r="H309" s="69">
        <f t="shared" si="8"/>
        <v>0</v>
      </c>
      <c r="I309" s="89" t="s">
        <v>280</v>
      </c>
      <c r="J309" s="87" t="s">
        <v>298</v>
      </c>
      <c r="K309" s="82"/>
      <c r="L309" s="82"/>
      <c r="M309" s="82"/>
      <c r="N309" s="72"/>
      <c r="O309" s="83" t="s">
        <v>325</v>
      </c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</row>
    <row r="310" ht="22.5" customHeight="1">
      <c r="A310" s="86">
        <v>45502.0</v>
      </c>
      <c r="B310" s="63" t="s">
        <v>27</v>
      </c>
      <c r="C310" s="79"/>
      <c r="D310" s="80">
        <v>1001.12</v>
      </c>
      <c r="E310" s="66" t="s">
        <v>28</v>
      </c>
      <c r="F310" s="77"/>
      <c r="G310" s="68">
        <v>0.0</v>
      </c>
      <c r="H310" s="69">
        <v>0.0</v>
      </c>
      <c r="I310" s="76" t="s">
        <v>294</v>
      </c>
      <c r="J310" s="87" t="s">
        <v>295</v>
      </c>
      <c r="K310" s="95"/>
      <c r="L310" s="82"/>
      <c r="M310" s="82"/>
      <c r="N310" s="72"/>
      <c r="O310" s="83" t="s">
        <v>326</v>
      </c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</row>
    <row r="311" ht="22.5" customHeight="1">
      <c r="A311" s="86">
        <v>45503.0</v>
      </c>
      <c r="B311" s="63" t="s">
        <v>27</v>
      </c>
      <c r="C311" s="79"/>
      <c r="D311" s="80">
        <v>154095.0</v>
      </c>
      <c r="E311" s="66" t="s">
        <v>28</v>
      </c>
      <c r="F311" s="84" t="s">
        <v>283</v>
      </c>
      <c r="G311" s="68">
        <v>0.0</v>
      </c>
      <c r="H311" s="69">
        <v>0.0</v>
      </c>
      <c r="I311" s="94" t="s">
        <v>71</v>
      </c>
      <c r="J311" s="87" t="s">
        <v>72</v>
      </c>
      <c r="K311" s="95"/>
      <c r="L311" s="82"/>
      <c r="M311" s="82"/>
      <c r="N311" s="72"/>
      <c r="O311" s="83" t="s">
        <v>208</v>
      </c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</row>
    <row r="312" ht="22.5" customHeight="1">
      <c r="A312" s="86">
        <v>45503.0</v>
      </c>
      <c r="B312" s="63" t="s">
        <v>27</v>
      </c>
      <c r="C312" s="79"/>
      <c r="D312" s="80">
        <v>35791.0</v>
      </c>
      <c r="E312" s="66" t="s">
        <v>28</v>
      </c>
      <c r="F312" s="84" t="s">
        <v>283</v>
      </c>
      <c r="G312" s="68">
        <v>0.0</v>
      </c>
      <c r="H312" s="69">
        <v>0.0</v>
      </c>
      <c r="I312" s="94" t="s">
        <v>71</v>
      </c>
      <c r="J312" s="87" t="s">
        <v>72</v>
      </c>
      <c r="K312" s="95"/>
      <c r="L312" s="82"/>
      <c r="M312" s="82"/>
      <c r="N312" s="72"/>
      <c r="O312" s="83" t="s">
        <v>209</v>
      </c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</row>
    <row r="313" ht="22.5" customHeight="1">
      <c r="A313" s="86">
        <v>45503.0</v>
      </c>
      <c r="B313" s="63" t="s">
        <v>27</v>
      </c>
      <c r="C313" s="79"/>
      <c r="D313" s="80">
        <v>9950.0</v>
      </c>
      <c r="E313" s="66" t="s">
        <v>28</v>
      </c>
      <c r="F313" s="84" t="s">
        <v>213</v>
      </c>
      <c r="G313" s="68">
        <v>0.0</v>
      </c>
      <c r="H313" s="69">
        <f t="shared" ref="H313:H482" si="19">SUM(C313:D313)*G313/(G313+100)</f>
        <v>0</v>
      </c>
      <c r="I313" s="104" t="s">
        <v>233</v>
      </c>
      <c r="J313" s="87" t="s">
        <v>327</v>
      </c>
      <c r="K313" s="95"/>
      <c r="L313" s="82"/>
      <c r="M313" s="82"/>
      <c r="N313" s="72"/>
      <c r="O313" s="83" t="s">
        <v>328</v>
      </c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</row>
    <row r="314" ht="22.5" customHeight="1">
      <c r="A314" s="86">
        <v>45503.0</v>
      </c>
      <c r="B314" s="63" t="s">
        <v>27</v>
      </c>
      <c r="C314" s="79"/>
      <c r="D314" s="79">
        <f>1518050/3</f>
        <v>506016.6667</v>
      </c>
      <c r="E314" s="66" t="s">
        <v>28</v>
      </c>
      <c r="F314" s="84" t="s">
        <v>314</v>
      </c>
      <c r="G314" s="68">
        <v>0.0</v>
      </c>
      <c r="H314" s="69">
        <f t="shared" si="19"/>
        <v>0</v>
      </c>
      <c r="I314" s="94" t="s">
        <v>71</v>
      </c>
      <c r="J314" s="87" t="s">
        <v>72</v>
      </c>
      <c r="K314" s="95"/>
      <c r="L314" s="82"/>
      <c r="M314" s="82"/>
      <c r="N314" s="72"/>
      <c r="O314" s="83" t="s">
        <v>221</v>
      </c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</row>
    <row r="315" ht="22.5" customHeight="1">
      <c r="A315" s="86">
        <v>45503.0</v>
      </c>
      <c r="B315" s="63" t="s">
        <v>27</v>
      </c>
      <c r="C315" s="79"/>
      <c r="D315" s="80">
        <v>681149.0</v>
      </c>
      <c r="E315" s="66" t="s">
        <v>28</v>
      </c>
      <c r="F315" s="84" t="s">
        <v>329</v>
      </c>
      <c r="G315" s="68">
        <v>0.0</v>
      </c>
      <c r="H315" s="69">
        <f t="shared" si="19"/>
        <v>0</v>
      </c>
      <c r="I315" s="94" t="s">
        <v>71</v>
      </c>
      <c r="J315" s="87" t="s">
        <v>72</v>
      </c>
      <c r="K315" s="95"/>
      <c r="L315" s="82"/>
      <c r="M315" s="82"/>
      <c r="N315" s="72"/>
      <c r="O315" s="83" t="s">
        <v>330</v>
      </c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</row>
    <row r="316" ht="22.5" customHeight="1">
      <c r="A316" s="86">
        <v>45504.0</v>
      </c>
      <c r="B316" s="63" t="s">
        <v>27</v>
      </c>
      <c r="C316" s="79"/>
      <c r="D316" s="80">
        <v>98838.0</v>
      </c>
      <c r="E316" s="66" t="s">
        <v>28</v>
      </c>
      <c r="F316" s="84" t="s">
        <v>213</v>
      </c>
      <c r="G316" s="68">
        <v>0.0</v>
      </c>
      <c r="H316" s="69">
        <f t="shared" si="19"/>
        <v>0</v>
      </c>
      <c r="I316" s="104" t="s">
        <v>233</v>
      </c>
      <c r="J316" s="87" t="s">
        <v>234</v>
      </c>
      <c r="K316" s="95"/>
      <c r="L316" s="95"/>
      <c r="M316" s="95"/>
      <c r="N316" s="72"/>
      <c r="O316" s="96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</row>
    <row r="317" ht="22.5" customHeight="1">
      <c r="A317" s="86">
        <v>45504.0</v>
      </c>
      <c r="B317" s="63" t="s">
        <v>27</v>
      </c>
      <c r="C317" s="79"/>
      <c r="D317" s="80">
        <v>80856.0</v>
      </c>
      <c r="E317" s="66" t="s">
        <v>28</v>
      </c>
      <c r="F317" s="84" t="s">
        <v>213</v>
      </c>
      <c r="G317" s="68">
        <v>0.0</v>
      </c>
      <c r="H317" s="69">
        <f t="shared" si="19"/>
        <v>0</v>
      </c>
      <c r="I317" s="104" t="s">
        <v>233</v>
      </c>
      <c r="J317" s="87" t="s">
        <v>234</v>
      </c>
      <c r="K317" s="95"/>
      <c r="L317" s="95"/>
      <c r="M317" s="95"/>
      <c r="N317" s="72"/>
      <c r="O317" s="96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</row>
    <row r="318" ht="22.5" customHeight="1">
      <c r="A318" s="86">
        <v>45505.0</v>
      </c>
      <c r="B318" s="63" t="s">
        <v>27</v>
      </c>
      <c r="C318" s="79"/>
      <c r="D318" s="80">
        <v>380383.95</v>
      </c>
      <c r="E318" s="66" t="s">
        <v>28</v>
      </c>
      <c r="F318" s="77"/>
      <c r="G318" s="68">
        <v>20.0</v>
      </c>
      <c r="H318" s="69">
        <f t="shared" si="19"/>
        <v>63397.325</v>
      </c>
      <c r="I318" s="70" t="s">
        <v>35</v>
      </c>
      <c r="J318" s="98" t="s">
        <v>172</v>
      </c>
      <c r="K318" s="82"/>
      <c r="L318" s="82"/>
      <c r="M318" s="82"/>
      <c r="N318" s="72"/>
      <c r="O318" s="83" t="s">
        <v>331</v>
      </c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</row>
    <row r="319" ht="22.5" customHeight="1">
      <c r="A319" s="86">
        <v>45509.0</v>
      </c>
      <c r="B319" s="63" t="s">
        <v>27</v>
      </c>
      <c r="C319" s="79"/>
      <c r="D319" s="120">
        <v>1207101.99</v>
      </c>
      <c r="E319" s="66" t="s">
        <v>28</v>
      </c>
      <c r="F319" s="84" t="s">
        <v>284</v>
      </c>
      <c r="G319" s="68">
        <v>20.0</v>
      </c>
      <c r="H319" s="69">
        <f t="shared" si="19"/>
        <v>201183.665</v>
      </c>
      <c r="I319" s="76" t="s">
        <v>101</v>
      </c>
      <c r="J319" s="100" t="s">
        <v>102</v>
      </c>
      <c r="K319" s="95"/>
      <c r="L319" s="95"/>
      <c r="M319" s="95"/>
      <c r="N319" s="72"/>
      <c r="O319" s="96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</row>
    <row r="320" ht="22.5" customHeight="1">
      <c r="A320" s="86">
        <v>45509.0</v>
      </c>
      <c r="B320" s="63" t="s">
        <v>27</v>
      </c>
      <c r="C320" s="79"/>
      <c r="D320" s="80">
        <v>20000.0</v>
      </c>
      <c r="E320" s="66" t="s">
        <v>33</v>
      </c>
      <c r="F320" s="84" t="s">
        <v>213</v>
      </c>
      <c r="G320" s="68">
        <v>0.0</v>
      </c>
      <c r="H320" s="69">
        <f t="shared" si="19"/>
        <v>0</v>
      </c>
      <c r="I320" s="104" t="s">
        <v>233</v>
      </c>
      <c r="J320" s="87" t="s">
        <v>264</v>
      </c>
      <c r="K320" s="95"/>
      <c r="L320" s="95"/>
      <c r="M320" s="95"/>
      <c r="N320" s="72"/>
      <c r="O320" s="96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</row>
    <row r="321" ht="22.5" customHeight="1">
      <c r="A321" s="86">
        <v>45509.0</v>
      </c>
      <c r="B321" s="63" t="s">
        <v>27</v>
      </c>
      <c r="C321" s="79"/>
      <c r="D321" s="80">
        <v>75000.0</v>
      </c>
      <c r="E321" s="66" t="s">
        <v>33</v>
      </c>
      <c r="F321" s="77"/>
      <c r="G321" s="68">
        <v>0.0</v>
      </c>
      <c r="H321" s="69">
        <f t="shared" si="19"/>
        <v>0</v>
      </c>
      <c r="I321" s="76" t="s">
        <v>286</v>
      </c>
      <c r="J321" s="87" t="s">
        <v>239</v>
      </c>
      <c r="K321" s="95"/>
      <c r="L321" s="95"/>
      <c r="M321" s="95"/>
      <c r="N321" s="72"/>
      <c r="O321" s="96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</row>
    <row r="322" ht="22.5" customHeight="1">
      <c r="A322" s="86">
        <v>45509.0</v>
      </c>
      <c r="B322" s="63" t="s">
        <v>27</v>
      </c>
      <c r="C322" s="79"/>
      <c r="D322" s="80">
        <v>775870.0</v>
      </c>
      <c r="E322" s="66" t="s">
        <v>33</v>
      </c>
      <c r="F322" s="84" t="s">
        <v>203</v>
      </c>
      <c r="G322" s="68">
        <v>0.0</v>
      </c>
      <c r="H322" s="69">
        <f t="shared" si="19"/>
        <v>0</v>
      </c>
      <c r="I322" s="76" t="s">
        <v>53</v>
      </c>
      <c r="J322" s="87" t="s">
        <v>332</v>
      </c>
      <c r="K322" s="102"/>
      <c r="L322" s="102"/>
      <c r="M322" s="102"/>
      <c r="N322" s="72"/>
      <c r="O322" s="121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</row>
    <row r="323" ht="22.5" customHeight="1">
      <c r="A323" s="86">
        <v>45509.0</v>
      </c>
      <c r="B323" s="63" t="s">
        <v>27</v>
      </c>
      <c r="C323" s="79"/>
      <c r="D323" s="80">
        <v>13990.0</v>
      </c>
      <c r="E323" s="66" t="s">
        <v>28</v>
      </c>
      <c r="F323" s="77"/>
      <c r="G323" s="68">
        <v>0.0</v>
      </c>
      <c r="H323" s="69">
        <f t="shared" si="19"/>
        <v>0</v>
      </c>
      <c r="I323" s="70" t="s">
        <v>30</v>
      </c>
      <c r="J323" s="71" t="s">
        <v>31</v>
      </c>
      <c r="K323" s="95"/>
      <c r="L323" s="95"/>
      <c r="M323" s="95"/>
      <c r="N323" s="72"/>
      <c r="O323" s="96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</row>
    <row r="324" ht="22.5" customHeight="1">
      <c r="A324" s="86">
        <v>45509.0</v>
      </c>
      <c r="B324" s="63" t="s">
        <v>27</v>
      </c>
      <c r="C324" s="79"/>
      <c r="D324" s="80">
        <v>42058.0</v>
      </c>
      <c r="E324" s="66" t="s">
        <v>28</v>
      </c>
      <c r="F324" s="84" t="s">
        <v>283</v>
      </c>
      <c r="G324" s="68">
        <v>0.0</v>
      </c>
      <c r="H324" s="69">
        <f t="shared" si="19"/>
        <v>0</v>
      </c>
      <c r="I324" s="94" t="s">
        <v>71</v>
      </c>
      <c r="J324" s="87" t="s">
        <v>72</v>
      </c>
      <c r="K324" s="95"/>
      <c r="L324" s="82"/>
      <c r="M324" s="82"/>
      <c r="N324" s="72"/>
      <c r="O324" s="83" t="s">
        <v>203</v>
      </c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</row>
    <row r="325" ht="22.5" customHeight="1">
      <c r="A325" s="86">
        <v>45509.0</v>
      </c>
      <c r="B325" s="63" t="s">
        <v>27</v>
      </c>
      <c r="C325" s="79"/>
      <c r="D325" s="79">
        <v>1133333.3333333333</v>
      </c>
      <c r="E325" s="66" t="s">
        <v>28</v>
      </c>
      <c r="F325" s="84" t="s">
        <v>48</v>
      </c>
      <c r="G325" s="68">
        <v>20.0</v>
      </c>
      <c r="H325" s="69">
        <f t="shared" si="19"/>
        <v>188888.8889</v>
      </c>
      <c r="I325" s="76" t="s">
        <v>47</v>
      </c>
      <c r="J325" s="81"/>
      <c r="K325" s="95"/>
      <c r="L325" s="95"/>
      <c r="M325" s="95"/>
      <c r="N325" s="72"/>
      <c r="O325" s="96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</row>
    <row r="326" ht="22.5" customHeight="1">
      <c r="A326" s="86">
        <v>45509.0</v>
      </c>
      <c r="B326" s="63" t="s">
        <v>27</v>
      </c>
      <c r="C326" s="80">
        <v>850000.0</v>
      </c>
      <c r="D326" s="79"/>
      <c r="E326" s="66" t="s">
        <v>33</v>
      </c>
      <c r="F326" s="84" t="s">
        <v>48</v>
      </c>
      <c r="G326" s="68">
        <v>0.0</v>
      </c>
      <c r="H326" s="69">
        <f t="shared" si="19"/>
        <v>0</v>
      </c>
      <c r="I326" s="76" t="s">
        <v>47</v>
      </c>
      <c r="J326" s="81"/>
      <c r="K326" s="95"/>
      <c r="L326" s="95"/>
      <c r="M326" s="95"/>
      <c r="N326" s="72"/>
      <c r="O326" s="96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</row>
    <row r="327" ht="22.5" customHeight="1">
      <c r="A327" s="86">
        <v>45509.0</v>
      </c>
      <c r="B327" s="63" t="s">
        <v>27</v>
      </c>
      <c r="C327" s="79"/>
      <c r="D327" s="80">
        <v>40000.0</v>
      </c>
      <c r="E327" s="66" t="s">
        <v>33</v>
      </c>
      <c r="F327" s="84" t="s">
        <v>203</v>
      </c>
      <c r="G327" s="68">
        <v>0.0</v>
      </c>
      <c r="H327" s="69">
        <f t="shared" si="19"/>
        <v>0</v>
      </c>
      <c r="I327" s="97"/>
      <c r="J327" s="87" t="s">
        <v>333</v>
      </c>
      <c r="K327" s="95"/>
      <c r="L327" s="95"/>
      <c r="M327" s="95"/>
      <c r="N327" s="72"/>
      <c r="O327" s="96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</row>
    <row r="328" ht="22.5" customHeight="1">
      <c r="A328" s="86">
        <v>45511.0</v>
      </c>
      <c r="B328" s="63" t="s">
        <v>27</v>
      </c>
      <c r="C328" s="80">
        <v>600000.0</v>
      </c>
      <c r="D328" s="79"/>
      <c r="E328" s="66" t="s">
        <v>28</v>
      </c>
      <c r="F328" s="84" t="s">
        <v>244</v>
      </c>
      <c r="G328" s="68">
        <v>20.0</v>
      </c>
      <c r="H328" s="69">
        <f t="shared" si="19"/>
        <v>100000</v>
      </c>
      <c r="I328" s="76" t="s">
        <v>37</v>
      </c>
      <c r="J328" s="87" t="s">
        <v>305</v>
      </c>
      <c r="K328" s="82"/>
      <c r="L328" s="82"/>
      <c r="M328" s="82"/>
      <c r="N328" s="72">
        <f t="shared" ref="N328:N329" si="20">A328-IF(M328&gt;0,M328,A328)</f>
        <v>0</v>
      </c>
      <c r="O328" s="83" t="s">
        <v>334</v>
      </c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</row>
    <row r="329" ht="22.5" customHeight="1">
      <c r="A329" s="86">
        <v>45511.0</v>
      </c>
      <c r="B329" s="63" t="s">
        <v>27</v>
      </c>
      <c r="C329" s="80">
        <v>364800.0</v>
      </c>
      <c r="D329" s="79"/>
      <c r="E329" s="66" t="s">
        <v>28</v>
      </c>
      <c r="F329" s="84" t="s">
        <v>244</v>
      </c>
      <c r="G329" s="68">
        <v>20.0</v>
      </c>
      <c r="H329" s="69">
        <f t="shared" si="19"/>
        <v>60800</v>
      </c>
      <c r="I329" s="76" t="s">
        <v>37</v>
      </c>
      <c r="J329" s="87" t="s">
        <v>157</v>
      </c>
      <c r="K329" s="95"/>
      <c r="L329" s="82"/>
      <c r="M329" s="82"/>
      <c r="N329" s="72">
        <f t="shared" si="20"/>
        <v>0</v>
      </c>
      <c r="O329" s="83" t="s">
        <v>335</v>
      </c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</row>
    <row r="330" ht="22.5" customHeight="1">
      <c r="A330" s="86">
        <v>45511.0</v>
      </c>
      <c r="B330" s="63" t="s">
        <v>27</v>
      </c>
      <c r="C330" s="79"/>
      <c r="D330" s="80">
        <v>8000.0</v>
      </c>
      <c r="E330" s="66" t="s">
        <v>33</v>
      </c>
      <c r="F330" s="84" t="s">
        <v>336</v>
      </c>
      <c r="G330" s="68">
        <v>0.0</v>
      </c>
      <c r="H330" s="69">
        <f t="shared" si="19"/>
        <v>0</v>
      </c>
      <c r="I330" s="97"/>
      <c r="J330" s="87" t="s">
        <v>337</v>
      </c>
      <c r="K330" s="95"/>
      <c r="L330" s="95"/>
      <c r="M330" s="95"/>
      <c r="N330" s="72"/>
      <c r="O330" s="96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</row>
    <row r="331" ht="22.5" customHeight="1">
      <c r="A331" s="86">
        <v>45512.0</v>
      </c>
      <c r="B331" s="63" t="s">
        <v>27</v>
      </c>
      <c r="C331" s="79"/>
      <c r="D331" s="80">
        <v>50000.0</v>
      </c>
      <c r="E331" s="66" t="s">
        <v>33</v>
      </c>
      <c r="F331" s="84" t="s">
        <v>170</v>
      </c>
      <c r="G331" s="68">
        <v>0.0</v>
      </c>
      <c r="H331" s="69">
        <f t="shared" si="19"/>
        <v>0</v>
      </c>
      <c r="I331" s="89" t="s">
        <v>68</v>
      </c>
      <c r="J331" s="87" t="s">
        <v>338</v>
      </c>
      <c r="K331" s="82" t="s">
        <v>128</v>
      </c>
      <c r="L331" s="95"/>
      <c r="M331" s="95"/>
      <c r="N331" s="72"/>
      <c r="O331" s="96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</row>
    <row r="332" ht="22.5" customHeight="1">
      <c r="A332" s="86">
        <v>45516.0</v>
      </c>
      <c r="B332" s="63" t="s">
        <v>27</v>
      </c>
      <c r="C332" s="79"/>
      <c r="D332" s="80">
        <v>281472.13</v>
      </c>
      <c r="E332" s="66" t="s">
        <v>28</v>
      </c>
      <c r="F332" s="84" t="s">
        <v>170</v>
      </c>
      <c r="G332" s="68">
        <v>0.0</v>
      </c>
      <c r="H332" s="69">
        <f t="shared" si="19"/>
        <v>0</v>
      </c>
      <c r="I332" s="89" t="s">
        <v>68</v>
      </c>
      <c r="J332" s="87" t="s">
        <v>338</v>
      </c>
      <c r="K332" s="82" t="s">
        <v>339</v>
      </c>
      <c r="L332" s="95"/>
      <c r="M332" s="95"/>
      <c r="N332" s="72"/>
      <c r="O332" s="96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</row>
    <row r="333" ht="22.5" customHeight="1">
      <c r="A333" s="86">
        <v>45516.0</v>
      </c>
      <c r="B333" s="63" t="s">
        <v>27</v>
      </c>
      <c r="C333" s="80">
        <v>182122.02</v>
      </c>
      <c r="D333" s="79"/>
      <c r="E333" s="66" t="s">
        <v>28</v>
      </c>
      <c r="F333" s="84" t="s">
        <v>244</v>
      </c>
      <c r="G333" s="68">
        <v>20.0</v>
      </c>
      <c r="H333" s="69">
        <f t="shared" si="19"/>
        <v>30353.67</v>
      </c>
      <c r="I333" s="76" t="s">
        <v>37</v>
      </c>
      <c r="J333" s="87" t="s">
        <v>157</v>
      </c>
      <c r="K333" s="82"/>
      <c r="L333" s="82"/>
      <c r="M333" s="82"/>
      <c r="N333" s="72">
        <f t="shared" ref="N333:N338" si="21">A333-IF(M333&gt;0,M333,A333)</f>
        <v>0</v>
      </c>
      <c r="O333" s="83" t="s">
        <v>340</v>
      </c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</row>
    <row r="334" ht="22.5" customHeight="1">
      <c r="A334" s="86">
        <v>45516.0</v>
      </c>
      <c r="B334" s="63" t="s">
        <v>27</v>
      </c>
      <c r="C334" s="80">
        <v>138264.88</v>
      </c>
      <c r="D334" s="79"/>
      <c r="E334" s="66" t="s">
        <v>28</v>
      </c>
      <c r="F334" s="84" t="s">
        <v>244</v>
      </c>
      <c r="G334" s="68">
        <v>20.0</v>
      </c>
      <c r="H334" s="69">
        <f t="shared" si="19"/>
        <v>23044.14667</v>
      </c>
      <c r="I334" s="76" t="s">
        <v>37</v>
      </c>
      <c r="J334" s="87" t="s">
        <v>157</v>
      </c>
      <c r="K334" s="82"/>
      <c r="L334" s="82"/>
      <c r="M334" s="82"/>
      <c r="N334" s="72">
        <f t="shared" si="21"/>
        <v>0</v>
      </c>
      <c r="O334" s="83" t="s">
        <v>341</v>
      </c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</row>
    <row r="335" ht="22.5" customHeight="1">
      <c r="A335" s="86">
        <v>45516.0</v>
      </c>
      <c r="B335" s="63" t="s">
        <v>27</v>
      </c>
      <c r="C335" s="80">
        <v>792065.2</v>
      </c>
      <c r="D335" s="79"/>
      <c r="E335" s="66" t="s">
        <v>28</v>
      </c>
      <c r="F335" s="84" t="s">
        <v>244</v>
      </c>
      <c r="G335" s="68">
        <v>20.0</v>
      </c>
      <c r="H335" s="69">
        <f t="shared" si="19"/>
        <v>132010.8667</v>
      </c>
      <c r="I335" s="76" t="s">
        <v>37</v>
      </c>
      <c r="J335" s="87" t="s">
        <v>157</v>
      </c>
      <c r="K335" s="95"/>
      <c r="L335" s="82"/>
      <c r="M335" s="82"/>
      <c r="N335" s="72">
        <f t="shared" si="21"/>
        <v>0</v>
      </c>
      <c r="O335" s="83" t="s">
        <v>342</v>
      </c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</row>
    <row r="336" ht="22.5" customHeight="1">
      <c r="A336" s="86">
        <v>45517.0</v>
      </c>
      <c r="B336" s="63" t="s">
        <v>27</v>
      </c>
      <c r="C336" s="80">
        <v>540381.8</v>
      </c>
      <c r="D336" s="79"/>
      <c r="E336" s="66" t="s">
        <v>28</v>
      </c>
      <c r="F336" s="84" t="s">
        <v>244</v>
      </c>
      <c r="G336" s="68">
        <v>20.0</v>
      </c>
      <c r="H336" s="69">
        <f t="shared" si="19"/>
        <v>90063.63333</v>
      </c>
      <c r="I336" s="76" t="s">
        <v>37</v>
      </c>
      <c r="J336" s="87" t="s">
        <v>157</v>
      </c>
      <c r="K336" s="95"/>
      <c r="L336" s="82"/>
      <c r="M336" s="82"/>
      <c r="N336" s="72">
        <f t="shared" si="21"/>
        <v>0</v>
      </c>
      <c r="O336" s="83" t="s">
        <v>343</v>
      </c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</row>
    <row r="337" ht="22.5" customHeight="1">
      <c r="A337" s="86">
        <v>45517.0</v>
      </c>
      <c r="B337" s="63" t="s">
        <v>27</v>
      </c>
      <c r="C337" s="80">
        <v>815905.56</v>
      </c>
      <c r="D337" s="79"/>
      <c r="E337" s="66" t="s">
        <v>28</v>
      </c>
      <c r="F337" s="84" t="s">
        <v>244</v>
      </c>
      <c r="G337" s="68">
        <v>20.0</v>
      </c>
      <c r="H337" s="69">
        <f t="shared" si="19"/>
        <v>135984.26</v>
      </c>
      <c r="I337" s="76" t="s">
        <v>37</v>
      </c>
      <c r="J337" s="87" t="s">
        <v>157</v>
      </c>
      <c r="K337" s="95"/>
      <c r="L337" s="82"/>
      <c r="M337" s="82"/>
      <c r="N337" s="72">
        <f t="shared" si="21"/>
        <v>0</v>
      </c>
      <c r="O337" s="83" t="s">
        <v>344</v>
      </c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</row>
    <row r="338" ht="22.5" customHeight="1">
      <c r="A338" s="86">
        <v>45517.0</v>
      </c>
      <c r="B338" s="63" t="s">
        <v>27</v>
      </c>
      <c r="C338" s="80">
        <v>790185.6</v>
      </c>
      <c r="D338" s="79"/>
      <c r="E338" s="66" t="s">
        <v>28</v>
      </c>
      <c r="F338" s="84" t="s">
        <v>244</v>
      </c>
      <c r="G338" s="68">
        <v>20.0</v>
      </c>
      <c r="H338" s="69">
        <f t="shared" si="19"/>
        <v>131697.6</v>
      </c>
      <c r="I338" s="76" t="s">
        <v>37</v>
      </c>
      <c r="J338" s="87" t="s">
        <v>157</v>
      </c>
      <c r="K338" s="95"/>
      <c r="L338" s="82"/>
      <c r="M338" s="82"/>
      <c r="N338" s="72">
        <f t="shared" si="21"/>
        <v>0</v>
      </c>
      <c r="O338" s="83" t="s">
        <v>345</v>
      </c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</row>
    <row r="339" ht="22.5" customHeight="1">
      <c r="A339" s="86">
        <v>45517.0</v>
      </c>
      <c r="B339" s="63" t="s">
        <v>27</v>
      </c>
      <c r="C339" s="79"/>
      <c r="D339" s="120">
        <v>69034.88</v>
      </c>
      <c r="E339" s="66" t="s">
        <v>28</v>
      </c>
      <c r="F339" s="84" t="s">
        <v>321</v>
      </c>
      <c r="G339" s="68">
        <v>0.0</v>
      </c>
      <c r="H339" s="69">
        <f t="shared" si="19"/>
        <v>0</v>
      </c>
      <c r="I339" s="97"/>
      <c r="J339" s="87" t="s">
        <v>181</v>
      </c>
      <c r="K339" s="95"/>
      <c r="L339" s="82"/>
      <c r="M339" s="82"/>
      <c r="N339" s="72"/>
      <c r="O339" s="83" t="s">
        <v>346</v>
      </c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</row>
    <row r="340" ht="22.5" customHeight="1">
      <c r="A340" s="86">
        <v>45517.0</v>
      </c>
      <c r="B340" s="63" t="s">
        <v>27</v>
      </c>
      <c r="C340" s="80"/>
      <c r="D340" s="120">
        <v>149875.44</v>
      </c>
      <c r="E340" s="66" t="s">
        <v>28</v>
      </c>
      <c r="F340" s="84" t="s">
        <v>244</v>
      </c>
      <c r="G340" s="68">
        <v>20.0</v>
      </c>
      <c r="H340" s="69">
        <f t="shared" si="19"/>
        <v>24979.24</v>
      </c>
      <c r="I340" s="97"/>
      <c r="J340" s="87" t="s">
        <v>84</v>
      </c>
      <c r="K340" s="95"/>
      <c r="L340" s="82"/>
      <c r="M340" s="82"/>
      <c r="N340" s="72"/>
      <c r="O340" s="83" t="s">
        <v>347</v>
      </c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</row>
    <row r="341" ht="22.5" customHeight="1">
      <c r="A341" s="86">
        <v>45517.0</v>
      </c>
      <c r="B341" s="63" t="s">
        <v>27</v>
      </c>
      <c r="C341" s="79"/>
      <c r="D341" s="79">
        <f>1518050/3</f>
        <v>506016.6667</v>
      </c>
      <c r="E341" s="66" t="s">
        <v>28</v>
      </c>
      <c r="F341" s="84" t="s">
        <v>348</v>
      </c>
      <c r="G341" s="68">
        <v>0.0</v>
      </c>
      <c r="H341" s="69">
        <f t="shared" si="19"/>
        <v>0</v>
      </c>
      <c r="I341" s="94" t="s">
        <v>71</v>
      </c>
      <c r="J341" s="87" t="s">
        <v>72</v>
      </c>
      <c r="K341" s="95"/>
      <c r="L341" s="82"/>
      <c r="M341" s="82"/>
      <c r="N341" s="72"/>
      <c r="O341" s="83" t="s">
        <v>221</v>
      </c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</row>
    <row r="342" ht="22.5" customHeight="1">
      <c r="A342" s="86">
        <v>45517.0</v>
      </c>
      <c r="B342" s="63" t="s">
        <v>27</v>
      </c>
      <c r="C342" s="79"/>
      <c r="D342" s="80">
        <v>53904.0</v>
      </c>
      <c r="E342" s="66" t="s">
        <v>28</v>
      </c>
      <c r="F342" s="84" t="s">
        <v>213</v>
      </c>
      <c r="G342" s="68">
        <v>0.0</v>
      </c>
      <c r="H342" s="69">
        <f t="shared" si="19"/>
        <v>0</v>
      </c>
      <c r="I342" s="97"/>
      <c r="J342" s="87" t="s">
        <v>234</v>
      </c>
      <c r="K342" s="95"/>
      <c r="L342" s="82"/>
      <c r="M342" s="82"/>
      <c r="N342" s="72"/>
      <c r="O342" s="83" t="s">
        <v>349</v>
      </c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</row>
    <row r="343" ht="22.5" customHeight="1">
      <c r="A343" s="86">
        <v>45517.0</v>
      </c>
      <c r="B343" s="63" t="s">
        <v>27</v>
      </c>
      <c r="C343" s="79"/>
      <c r="D343" s="80">
        <v>26952.0</v>
      </c>
      <c r="E343" s="66" t="s">
        <v>28</v>
      </c>
      <c r="F343" s="84" t="s">
        <v>213</v>
      </c>
      <c r="G343" s="68">
        <v>0.0</v>
      </c>
      <c r="H343" s="69">
        <f t="shared" si="19"/>
        <v>0</v>
      </c>
      <c r="I343" s="97"/>
      <c r="J343" s="87" t="s">
        <v>234</v>
      </c>
      <c r="K343" s="95"/>
      <c r="L343" s="82"/>
      <c r="M343" s="82"/>
      <c r="N343" s="72"/>
      <c r="O343" s="83" t="s">
        <v>350</v>
      </c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</row>
    <row r="344" ht="22.5" customHeight="1">
      <c r="A344" s="86">
        <v>45517.0</v>
      </c>
      <c r="B344" s="63" t="s">
        <v>27</v>
      </c>
      <c r="C344" s="79"/>
      <c r="D344" s="80">
        <v>53904.0</v>
      </c>
      <c r="E344" s="66" t="s">
        <v>28</v>
      </c>
      <c r="F344" s="84" t="s">
        <v>213</v>
      </c>
      <c r="G344" s="68">
        <v>0.0</v>
      </c>
      <c r="H344" s="69">
        <f t="shared" si="19"/>
        <v>0</v>
      </c>
      <c r="I344" s="97"/>
      <c r="J344" s="87" t="s">
        <v>234</v>
      </c>
      <c r="K344" s="95"/>
      <c r="L344" s="82"/>
      <c r="M344" s="82"/>
      <c r="N344" s="72"/>
      <c r="O344" s="83" t="s">
        <v>351</v>
      </c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</row>
    <row r="345" ht="22.5" customHeight="1">
      <c r="A345" s="86">
        <v>45518.0</v>
      </c>
      <c r="B345" s="63" t="s">
        <v>27</v>
      </c>
      <c r="C345" s="80">
        <v>96000.0</v>
      </c>
      <c r="D345" s="79"/>
      <c r="E345" s="66" t="s">
        <v>28</v>
      </c>
      <c r="F345" s="110" t="s">
        <v>251</v>
      </c>
      <c r="G345" s="68">
        <v>20.0</v>
      </c>
      <c r="H345" s="69">
        <f t="shared" si="19"/>
        <v>16000</v>
      </c>
      <c r="I345" s="76" t="s">
        <v>37</v>
      </c>
      <c r="J345" s="87" t="s">
        <v>157</v>
      </c>
      <c r="K345" s="95"/>
      <c r="L345" s="95"/>
      <c r="M345" s="95"/>
      <c r="N345" s="72">
        <f t="shared" ref="N345:N347" si="22">A345-IF(M345&gt;0,M345,A345)</f>
        <v>0</v>
      </c>
      <c r="O345" s="96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</row>
    <row r="346" ht="22.5" customHeight="1">
      <c r="A346" s="86">
        <v>45519.0</v>
      </c>
      <c r="B346" s="63" t="s">
        <v>27</v>
      </c>
      <c r="C346" s="80">
        <v>476781.84</v>
      </c>
      <c r="D346" s="79"/>
      <c r="E346" s="66" t="s">
        <v>28</v>
      </c>
      <c r="F346" s="84" t="s">
        <v>244</v>
      </c>
      <c r="G346" s="68">
        <v>20.0</v>
      </c>
      <c r="H346" s="69">
        <f t="shared" si="19"/>
        <v>79463.64</v>
      </c>
      <c r="I346" s="76" t="s">
        <v>37</v>
      </c>
      <c r="J346" s="87" t="s">
        <v>87</v>
      </c>
      <c r="K346" s="82">
        <v>9.0</v>
      </c>
      <c r="L346" s="82"/>
      <c r="M346" s="82"/>
      <c r="N346" s="72">
        <f t="shared" si="22"/>
        <v>0</v>
      </c>
      <c r="O346" s="83" t="s">
        <v>352</v>
      </c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</row>
    <row r="347" ht="22.5" customHeight="1">
      <c r="A347" s="86">
        <v>45519.0</v>
      </c>
      <c r="B347" s="63" t="s">
        <v>27</v>
      </c>
      <c r="C347" s="80">
        <v>81048.0</v>
      </c>
      <c r="D347" s="79"/>
      <c r="E347" s="66" t="s">
        <v>28</v>
      </c>
      <c r="F347" s="84" t="s">
        <v>284</v>
      </c>
      <c r="G347" s="68">
        <v>20.0</v>
      </c>
      <c r="H347" s="69">
        <f t="shared" si="19"/>
        <v>13508</v>
      </c>
      <c r="I347" s="76" t="s">
        <v>37</v>
      </c>
      <c r="J347" s="87" t="s">
        <v>87</v>
      </c>
      <c r="K347" s="82">
        <v>10.0</v>
      </c>
      <c r="L347" s="82"/>
      <c r="M347" s="82"/>
      <c r="N347" s="72">
        <f t="shared" si="22"/>
        <v>0</v>
      </c>
      <c r="O347" s="83" t="s">
        <v>353</v>
      </c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</row>
    <row r="348" ht="22.5" customHeight="1">
      <c r="A348" s="86">
        <v>45519.0</v>
      </c>
      <c r="B348" s="63" t="s">
        <v>27</v>
      </c>
      <c r="C348" s="79"/>
      <c r="D348" s="80">
        <v>18102.0</v>
      </c>
      <c r="E348" s="66" t="s">
        <v>28</v>
      </c>
      <c r="F348" s="84" t="s">
        <v>213</v>
      </c>
      <c r="G348" s="68">
        <v>0.0</v>
      </c>
      <c r="H348" s="69">
        <f t="shared" si="19"/>
        <v>0</v>
      </c>
      <c r="I348" s="97"/>
      <c r="J348" s="87" t="s">
        <v>354</v>
      </c>
      <c r="K348" s="95"/>
      <c r="L348" s="82"/>
      <c r="M348" s="82"/>
      <c r="N348" s="72"/>
      <c r="O348" s="83" t="s">
        <v>355</v>
      </c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</row>
    <row r="349" ht="22.5" customHeight="1">
      <c r="A349" s="86">
        <v>45519.0</v>
      </c>
      <c r="B349" s="63" t="s">
        <v>27</v>
      </c>
      <c r="C349" s="79"/>
      <c r="D349" s="80">
        <v>1000000.0</v>
      </c>
      <c r="E349" s="66" t="s">
        <v>28</v>
      </c>
      <c r="F349" s="84" t="s">
        <v>189</v>
      </c>
      <c r="G349" s="68">
        <v>20.0</v>
      </c>
      <c r="H349" s="69">
        <f t="shared" si="19"/>
        <v>166666.6667</v>
      </c>
      <c r="I349" s="89" t="s">
        <v>61</v>
      </c>
      <c r="J349" s="103" t="s">
        <v>228</v>
      </c>
      <c r="K349" s="95"/>
      <c r="L349" s="95"/>
      <c r="M349" s="95"/>
      <c r="N349" s="72"/>
      <c r="O349" s="96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</row>
    <row r="350" ht="22.5" customHeight="1">
      <c r="A350" s="86">
        <v>45520.0</v>
      </c>
      <c r="B350" s="63" t="s">
        <v>27</v>
      </c>
      <c r="C350" s="79"/>
      <c r="D350" s="80">
        <v>8000.0</v>
      </c>
      <c r="E350" s="66" t="s">
        <v>33</v>
      </c>
      <c r="F350" s="84" t="s">
        <v>213</v>
      </c>
      <c r="G350" s="68">
        <v>0.0</v>
      </c>
      <c r="H350" s="69">
        <f t="shared" si="19"/>
        <v>0</v>
      </c>
      <c r="I350" s="97"/>
      <c r="J350" s="87" t="s">
        <v>337</v>
      </c>
      <c r="K350" s="95"/>
      <c r="L350" s="95"/>
      <c r="M350" s="95"/>
      <c r="N350" s="72"/>
      <c r="O350" s="96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</row>
    <row r="351" ht="22.5" customHeight="1">
      <c r="A351" s="86">
        <v>45523.0</v>
      </c>
      <c r="B351" s="63" t="s">
        <v>27</v>
      </c>
      <c r="C351" s="79"/>
      <c r="D351" s="120">
        <v>191249.28</v>
      </c>
      <c r="E351" s="66" t="s">
        <v>28</v>
      </c>
      <c r="F351" s="84" t="s">
        <v>321</v>
      </c>
      <c r="G351" s="68">
        <v>20.0</v>
      </c>
      <c r="H351" s="69">
        <f t="shared" si="19"/>
        <v>31874.88</v>
      </c>
      <c r="I351" s="97"/>
      <c r="J351" s="87" t="s">
        <v>122</v>
      </c>
      <c r="K351" s="95"/>
      <c r="L351" s="82"/>
      <c r="M351" s="82"/>
      <c r="N351" s="72"/>
      <c r="O351" s="83" t="s">
        <v>356</v>
      </c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</row>
    <row r="352" ht="22.5" customHeight="1">
      <c r="A352" s="86">
        <v>45523.0</v>
      </c>
      <c r="B352" s="63" t="s">
        <v>27</v>
      </c>
      <c r="C352" s="120">
        <v>261041.04</v>
      </c>
      <c r="D352" s="79"/>
      <c r="E352" s="66" t="s">
        <v>28</v>
      </c>
      <c r="F352" s="84" t="s">
        <v>314</v>
      </c>
      <c r="G352" s="68">
        <v>20.0</v>
      </c>
      <c r="H352" s="69">
        <f t="shared" si="19"/>
        <v>43506.84</v>
      </c>
      <c r="I352" s="76" t="s">
        <v>37</v>
      </c>
      <c r="J352" s="87" t="s">
        <v>122</v>
      </c>
      <c r="K352" s="82">
        <v>13.0</v>
      </c>
      <c r="L352" s="82"/>
      <c r="M352" s="82"/>
      <c r="N352" s="72">
        <f t="shared" ref="N352:N354" si="23">A352-IF(M352&gt;0,M352,A352)</f>
        <v>0</v>
      </c>
      <c r="O352" s="83" t="s">
        <v>357</v>
      </c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</row>
    <row r="353" ht="22.5" customHeight="1">
      <c r="A353" s="86">
        <v>45523.0</v>
      </c>
      <c r="B353" s="63" t="s">
        <v>27</v>
      </c>
      <c r="C353" s="120">
        <v>600000.0</v>
      </c>
      <c r="D353" s="79"/>
      <c r="E353" s="66" t="s">
        <v>28</v>
      </c>
      <c r="F353" s="84" t="s">
        <v>314</v>
      </c>
      <c r="G353" s="68">
        <v>20.0</v>
      </c>
      <c r="H353" s="69">
        <f t="shared" si="19"/>
        <v>100000</v>
      </c>
      <c r="I353" s="76" t="s">
        <v>37</v>
      </c>
      <c r="J353" s="87" t="s">
        <v>122</v>
      </c>
      <c r="K353" s="82">
        <v>11.0</v>
      </c>
      <c r="L353" s="82"/>
      <c r="M353" s="82"/>
      <c r="N353" s="72">
        <f t="shared" si="23"/>
        <v>0</v>
      </c>
      <c r="O353" s="83" t="s">
        <v>358</v>
      </c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</row>
    <row r="354" ht="22.5" customHeight="1">
      <c r="A354" s="86">
        <v>45523.0</v>
      </c>
      <c r="B354" s="63" t="s">
        <v>27</v>
      </c>
      <c r="C354" s="120">
        <v>500000.0</v>
      </c>
      <c r="D354" s="79"/>
      <c r="E354" s="66" t="s">
        <v>28</v>
      </c>
      <c r="F354" s="84" t="s">
        <v>314</v>
      </c>
      <c r="G354" s="68">
        <v>20.0</v>
      </c>
      <c r="H354" s="69">
        <f t="shared" si="19"/>
        <v>83333.33333</v>
      </c>
      <c r="I354" s="76" t="s">
        <v>37</v>
      </c>
      <c r="J354" s="87" t="s">
        <v>122</v>
      </c>
      <c r="K354" s="82">
        <v>12.0</v>
      </c>
      <c r="L354" s="82"/>
      <c r="M354" s="82"/>
      <c r="N354" s="72">
        <f t="shared" si="23"/>
        <v>0</v>
      </c>
      <c r="O354" s="83" t="s">
        <v>359</v>
      </c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</row>
    <row r="355" ht="22.5" customHeight="1">
      <c r="A355" s="86">
        <v>45523.0</v>
      </c>
      <c r="B355" s="63" t="s">
        <v>27</v>
      </c>
      <c r="C355" s="79"/>
      <c r="D355" s="80">
        <v>14945.07</v>
      </c>
      <c r="E355" s="66" t="s">
        <v>28</v>
      </c>
      <c r="F355" s="84" t="s">
        <v>203</v>
      </c>
      <c r="G355" s="68">
        <v>0.0</v>
      </c>
      <c r="H355" s="69">
        <f t="shared" si="19"/>
        <v>0</v>
      </c>
      <c r="I355" s="89" t="s">
        <v>68</v>
      </c>
      <c r="J355" s="87" t="s">
        <v>203</v>
      </c>
      <c r="K355" s="95"/>
      <c r="L355" s="82"/>
      <c r="M355" s="82"/>
      <c r="N355" s="72"/>
      <c r="O355" s="83" t="s">
        <v>360</v>
      </c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</row>
    <row r="356" ht="22.5" customHeight="1">
      <c r="A356" s="86">
        <v>45523.0</v>
      </c>
      <c r="B356" s="63" t="s">
        <v>27</v>
      </c>
      <c r="C356" s="79"/>
      <c r="D356" s="80">
        <v>1197.68</v>
      </c>
      <c r="E356" s="66" t="s">
        <v>28</v>
      </c>
      <c r="F356" s="84" t="s">
        <v>236</v>
      </c>
      <c r="G356" s="68">
        <v>0.0</v>
      </c>
      <c r="H356" s="69">
        <f t="shared" si="19"/>
        <v>0</v>
      </c>
      <c r="I356" s="94" t="s">
        <v>71</v>
      </c>
      <c r="J356" s="87" t="s">
        <v>72</v>
      </c>
      <c r="K356" s="95"/>
      <c r="L356" s="82"/>
      <c r="M356" s="82"/>
      <c r="N356" s="72"/>
      <c r="O356" s="83" t="s">
        <v>361</v>
      </c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</row>
    <row r="357" ht="22.5" customHeight="1">
      <c r="A357" s="86">
        <v>45523.0</v>
      </c>
      <c r="B357" s="63" t="s">
        <v>27</v>
      </c>
      <c r="C357" s="79"/>
      <c r="D357" s="80">
        <v>80856.0</v>
      </c>
      <c r="E357" s="66" t="s">
        <v>28</v>
      </c>
      <c r="F357" s="84" t="s">
        <v>213</v>
      </c>
      <c r="G357" s="68">
        <v>0.0</v>
      </c>
      <c r="H357" s="69">
        <f t="shared" si="19"/>
        <v>0</v>
      </c>
      <c r="I357" s="97"/>
      <c r="J357" s="87" t="s">
        <v>234</v>
      </c>
      <c r="K357" s="95"/>
      <c r="L357" s="82"/>
      <c r="M357" s="82"/>
      <c r="N357" s="72"/>
      <c r="O357" s="83" t="s">
        <v>362</v>
      </c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</row>
    <row r="358" ht="22.5" customHeight="1">
      <c r="A358" s="86">
        <v>45523.0</v>
      </c>
      <c r="B358" s="63" t="s">
        <v>27</v>
      </c>
      <c r="C358" s="79"/>
      <c r="D358" s="80">
        <v>10000.0</v>
      </c>
      <c r="E358" s="66" t="s">
        <v>33</v>
      </c>
      <c r="F358" s="84" t="s">
        <v>203</v>
      </c>
      <c r="G358" s="68">
        <v>0.0</v>
      </c>
      <c r="H358" s="69">
        <f t="shared" si="19"/>
        <v>0</v>
      </c>
      <c r="I358" s="89" t="s">
        <v>68</v>
      </c>
      <c r="J358" s="87" t="s">
        <v>203</v>
      </c>
      <c r="K358" s="95"/>
      <c r="L358" s="82"/>
      <c r="M358" s="82"/>
      <c r="N358" s="72"/>
      <c r="O358" s="83" t="s">
        <v>240</v>
      </c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</row>
    <row r="359" ht="22.5" customHeight="1">
      <c r="A359" s="86">
        <v>45525.0</v>
      </c>
      <c r="B359" s="63" t="s">
        <v>27</v>
      </c>
      <c r="C359" s="80">
        <v>67200.0</v>
      </c>
      <c r="D359" s="79"/>
      <c r="E359" s="66" t="s">
        <v>28</v>
      </c>
      <c r="F359" s="84" t="s">
        <v>244</v>
      </c>
      <c r="G359" s="68">
        <v>20.0</v>
      </c>
      <c r="H359" s="69">
        <f t="shared" si="19"/>
        <v>11200</v>
      </c>
      <c r="I359" s="76" t="s">
        <v>37</v>
      </c>
      <c r="J359" s="87" t="s">
        <v>157</v>
      </c>
      <c r="K359" s="95"/>
      <c r="L359" s="82"/>
      <c r="M359" s="82"/>
      <c r="N359" s="72">
        <f>A359-IF(M359&gt;0,M359,A359)</f>
        <v>0</v>
      </c>
      <c r="O359" s="83" t="s">
        <v>363</v>
      </c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</row>
    <row r="360" ht="22.5" customHeight="1">
      <c r="A360" s="86">
        <v>45525.0</v>
      </c>
      <c r="B360" s="63" t="s">
        <v>27</v>
      </c>
      <c r="C360" s="79"/>
      <c r="D360" s="80">
        <v>500000.0</v>
      </c>
      <c r="E360" s="66" t="s">
        <v>28</v>
      </c>
      <c r="F360" s="84" t="s">
        <v>189</v>
      </c>
      <c r="G360" s="68">
        <v>20.0</v>
      </c>
      <c r="H360" s="69">
        <f t="shared" si="19"/>
        <v>83333.33333</v>
      </c>
      <c r="I360" s="89" t="s">
        <v>61</v>
      </c>
      <c r="J360" s="103" t="s">
        <v>228</v>
      </c>
      <c r="K360" s="95"/>
      <c r="L360" s="95"/>
      <c r="M360" s="95"/>
      <c r="N360" s="72"/>
      <c r="O360" s="96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</row>
    <row r="361" ht="22.5" customHeight="1">
      <c r="A361" s="86">
        <v>45527.0</v>
      </c>
      <c r="B361" s="63" t="s">
        <v>27</v>
      </c>
      <c r="C361" s="79"/>
      <c r="D361" s="80">
        <v>240154.0</v>
      </c>
      <c r="E361" s="66" t="s">
        <v>28</v>
      </c>
      <c r="F361" s="84" t="s">
        <v>203</v>
      </c>
      <c r="G361" s="68">
        <v>0.0</v>
      </c>
      <c r="H361" s="69">
        <f t="shared" si="19"/>
        <v>0</v>
      </c>
      <c r="I361" s="89" t="s">
        <v>280</v>
      </c>
      <c r="J361" s="87" t="s">
        <v>338</v>
      </c>
      <c r="K361" s="95"/>
      <c r="L361" s="95"/>
      <c r="M361" s="95"/>
      <c r="N361" s="72"/>
      <c r="O361" s="96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</row>
    <row r="362" ht="22.5" customHeight="1">
      <c r="A362" s="86">
        <v>45531.0</v>
      </c>
      <c r="B362" s="63" t="s">
        <v>27</v>
      </c>
      <c r="C362" s="80">
        <v>147000.0</v>
      </c>
      <c r="D362" s="79"/>
      <c r="E362" s="66" t="s">
        <v>28</v>
      </c>
      <c r="F362" s="84" t="s">
        <v>314</v>
      </c>
      <c r="G362" s="68">
        <v>20.0</v>
      </c>
      <c r="H362" s="69">
        <f t="shared" si="19"/>
        <v>24500</v>
      </c>
      <c r="I362" s="76" t="s">
        <v>37</v>
      </c>
      <c r="J362" s="87" t="s">
        <v>317</v>
      </c>
      <c r="K362" s="82">
        <v>4.0</v>
      </c>
      <c r="L362" s="82"/>
      <c r="M362" s="82"/>
      <c r="N362" s="72">
        <f t="shared" ref="N362:N365" si="24">A362-IF(M362&gt;0,M362,A362)</f>
        <v>0</v>
      </c>
      <c r="O362" s="83" t="s">
        <v>364</v>
      </c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</row>
    <row r="363" ht="22.5" customHeight="1">
      <c r="A363" s="86">
        <v>45531.0</v>
      </c>
      <c r="B363" s="63" t="s">
        <v>27</v>
      </c>
      <c r="C363" s="80">
        <v>147000.0</v>
      </c>
      <c r="D363" s="79"/>
      <c r="E363" s="66" t="s">
        <v>28</v>
      </c>
      <c r="F363" s="84" t="s">
        <v>314</v>
      </c>
      <c r="G363" s="68">
        <v>20.0</v>
      </c>
      <c r="H363" s="69">
        <f t="shared" si="19"/>
        <v>24500</v>
      </c>
      <c r="I363" s="76" t="s">
        <v>37</v>
      </c>
      <c r="J363" s="87" t="s">
        <v>317</v>
      </c>
      <c r="K363" s="82">
        <v>3.0</v>
      </c>
      <c r="L363" s="82"/>
      <c r="M363" s="82"/>
      <c r="N363" s="72">
        <f t="shared" si="24"/>
        <v>0</v>
      </c>
      <c r="O363" s="83" t="s">
        <v>365</v>
      </c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</row>
    <row r="364" ht="22.5" customHeight="1">
      <c r="A364" s="86">
        <v>45531.0</v>
      </c>
      <c r="B364" s="63" t="s">
        <v>27</v>
      </c>
      <c r="C364" s="80">
        <v>240000.18</v>
      </c>
      <c r="D364" s="79"/>
      <c r="E364" s="66" t="s">
        <v>28</v>
      </c>
      <c r="F364" s="84" t="s">
        <v>314</v>
      </c>
      <c r="G364" s="68">
        <v>20.0</v>
      </c>
      <c r="H364" s="69">
        <f t="shared" si="19"/>
        <v>40000.03</v>
      </c>
      <c r="I364" s="76" t="s">
        <v>37</v>
      </c>
      <c r="J364" s="87" t="s">
        <v>317</v>
      </c>
      <c r="K364" s="82">
        <v>2.0</v>
      </c>
      <c r="L364" s="82"/>
      <c r="M364" s="82"/>
      <c r="N364" s="72">
        <f t="shared" si="24"/>
        <v>0</v>
      </c>
      <c r="O364" s="83" t="s">
        <v>366</v>
      </c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</row>
    <row r="365" ht="22.5" customHeight="1">
      <c r="A365" s="86">
        <v>45532.0</v>
      </c>
      <c r="B365" s="63" t="s">
        <v>27</v>
      </c>
      <c r="C365" s="80">
        <v>19517.4</v>
      </c>
      <c r="D365" s="79"/>
      <c r="E365" s="66" t="s">
        <v>28</v>
      </c>
      <c r="F365" s="84" t="s">
        <v>284</v>
      </c>
      <c r="G365" s="68">
        <v>20.0</v>
      </c>
      <c r="H365" s="69">
        <f t="shared" si="19"/>
        <v>3252.9</v>
      </c>
      <c r="I365" s="76" t="s">
        <v>37</v>
      </c>
      <c r="J365" s="87" t="s">
        <v>367</v>
      </c>
      <c r="K365" s="95"/>
      <c r="L365" s="82"/>
      <c r="M365" s="82"/>
      <c r="N365" s="72">
        <f t="shared" si="24"/>
        <v>0</v>
      </c>
      <c r="O365" s="83" t="s">
        <v>368</v>
      </c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</row>
    <row r="366" ht="22.5" customHeight="1">
      <c r="A366" s="86">
        <v>45532.0</v>
      </c>
      <c r="B366" s="63" t="s">
        <v>27</v>
      </c>
      <c r="C366" s="79"/>
      <c r="D366" s="80">
        <v>53904.0</v>
      </c>
      <c r="E366" s="66" t="s">
        <v>28</v>
      </c>
      <c r="F366" s="84" t="s">
        <v>213</v>
      </c>
      <c r="G366" s="68">
        <v>0.0</v>
      </c>
      <c r="H366" s="69">
        <f t="shared" si="19"/>
        <v>0</v>
      </c>
      <c r="I366" s="97"/>
      <c r="J366" s="87" t="s">
        <v>234</v>
      </c>
      <c r="K366" s="95"/>
      <c r="L366" s="82"/>
      <c r="M366" s="82"/>
      <c r="N366" s="72"/>
      <c r="O366" s="83" t="s">
        <v>369</v>
      </c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</row>
    <row r="367" ht="22.5" customHeight="1">
      <c r="A367" s="86">
        <v>45532.0</v>
      </c>
      <c r="B367" s="63" t="s">
        <v>27</v>
      </c>
      <c r="C367" s="79"/>
      <c r="D367" s="80">
        <v>26952.0</v>
      </c>
      <c r="E367" s="66" t="s">
        <v>28</v>
      </c>
      <c r="F367" s="84" t="s">
        <v>213</v>
      </c>
      <c r="G367" s="68">
        <v>0.0</v>
      </c>
      <c r="H367" s="69">
        <f t="shared" si="19"/>
        <v>0</v>
      </c>
      <c r="I367" s="97"/>
      <c r="J367" s="87" t="s">
        <v>234</v>
      </c>
      <c r="K367" s="95"/>
      <c r="L367" s="82"/>
      <c r="M367" s="82"/>
      <c r="N367" s="72"/>
      <c r="O367" s="83" t="s">
        <v>370</v>
      </c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</row>
    <row r="368" ht="22.5" customHeight="1">
      <c r="A368" s="86">
        <v>45532.0</v>
      </c>
      <c r="B368" s="63" t="s">
        <v>27</v>
      </c>
      <c r="C368" s="79"/>
      <c r="D368" s="80">
        <v>15000.0</v>
      </c>
      <c r="E368" s="66" t="s">
        <v>33</v>
      </c>
      <c r="F368" s="84" t="s">
        <v>203</v>
      </c>
      <c r="G368" s="68">
        <v>0.0</v>
      </c>
      <c r="H368" s="69">
        <f t="shared" si="19"/>
        <v>0</v>
      </c>
      <c r="I368" s="89" t="s">
        <v>68</v>
      </c>
      <c r="J368" s="87" t="s">
        <v>203</v>
      </c>
      <c r="K368" s="95"/>
      <c r="L368" s="82"/>
      <c r="M368" s="82"/>
      <c r="N368" s="72"/>
      <c r="O368" s="83" t="s">
        <v>240</v>
      </c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</row>
    <row r="369" ht="22.5" customHeight="1">
      <c r="A369" s="86">
        <v>45532.0</v>
      </c>
      <c r="B369" s="63" t="s">
        <v>27</v>
      </c>
      <c r="C369" s="79"/>
      <c r="D369" s="80">
        <v>140000.0</v>
      </c>
      <c r="E369" s="66" t="s">
        <v>28</v>
      </c>
      <c r="F369" s="84" t="s">
        <v>251</v>
      </c>
      <c r="G369" s="68">
        <v>0.0</v>
      </c>
      <c r="H369" s="69">
        <f t="shared" si="19"/>
        <v>0</v>
      </c>
      <c r="I369" s="97"/>
      <c r="J369" s="87" t="s">
        <v>371</v>
      </c>
      <c r="K369" s="95"/>
      <c r="L369" s="82"/>
      <c r="M369" s="82"/>
      <c r="N369" s="72"/>
      <c r="O369" s="83" t="s">
        <v>372</v>
      </c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</row>
    <row r="370" ht="22.5" customHeight="1">
      <c r="A370" s="86">
        <v>45534.0</v>
      </c>
      <c r="B370" s="63" t="s">
        <v>27</v>
      </c>
      <c r="C370" s="79"/>
      <c r="D370" s="80">
        <v>67915.4</v>
      </c>
      <c r="E370" s="66" t="s">
        <v>28</v>
      </c>
      <c r="F370" s="84" t="s">
        <v>284</v>
      </c>
      <c r="G370" s="68">
        <v>20.0</v>
      </c>
      <c r="H370" s="69">
        <f t="shared" si="19"/>
        <v>11319.23333</v>
      </c>
      <c r="I370" s="76" t="s">
        <v>44</v>
      </c>
      <c r="J370" s="98" t="s">
        <v>134</v>
      </c>
      <c r="K370" s="95"/>
      <c r="L370" s="82"/>
      <c r="M370" s="82"/>
      <c r="N370" s="72"/>
      <c r="O370" s="83" t="s">
        <v>373</v>
      </c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</row>
    <row r="371" ht="22.5" customHeight="1">
      <c r="A371" s="86">
        <v>45534.0</v>
      </c>
      <c r="B371" s="63" t="s">
        <v>27</v>
      </c>
      <c r="C371" s="79"/>
      <c r="D371" s="80">
        <v>49623.93</v>
      </c>
      <c r="E371" s="66" t="s">
        <v>28</v>
      </c>
      <c r="F371" s="84" t="s">
        <v>244</v>
      </c>
      <c r="G371" s="68">
        <v>20.0</v>
      </c>
      <c r="H371" s="69">
        <f t="shared" si="19"/>
        <v>8270.655</v>
      </c>
      <c r="I371" s="76" t="s">
        <v>44</v>
      </c>
      <c r="J371" s="98" t="s">
        <v>134</v>
      </c>
      <c r="K371" s="95"/>
      <c r="L371" s="82"/>
      <c r="M371" s="82"/>
      <c r="N371" s="72"/>
      <c r="O371" s="83" t="s">
        <v>374</v>
      </c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</row>
    <row r="372" ht="22.5" customHeight="1">
      <c r="A372" s="86">
        <v>45534.0</v>
      </c>
      <c r="B372" s="63" t="s">
        <v>27</v>
      </c>
      <c r="C372" s="79"/>
      <c r="D372" s="80">
        <v>14252.97</v>
      </c>
      <c r="E372" s="66" t="s">
        <v>28</v>
      </c>
      <c r="F372" s="84" t="s">
        <v>314</v>
      </c>
      <c r="G372" s="68">
        <v>20.0</v>
      </c>
      <c r="H372" s="69">
        <f t="shared" si="19"/>
        <v>2375.495</v>
      </c>
      <c r="I372" s="76" t="s">
        <v>44</v>
      </c>
      <c r="J372" s="98" t="s">
        <v>134</v>
      </c>
      <c r="K372" s="95"/>
      <c r="L372" s="82"/>
      <c r="M372" s="82"/>
      <c r="N372" s="72"/>
      <c r="O372" s="83" t="s">
        <v>375</v>
      </c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</row>
    <row r="373" ht="22.5" customHeight="1">
      <c r="A373" s="86">
        <v>45534.0</v>
      </c>
      <c r="B373" s="63" t="s">
        <v>27</v>
      </c>
      <c r="C373" s="79"/>
      <c r="D373" s="80">
        <v>179651.74</v>
      </c>
      <c r="E373" s="66" t="s">
        <v>28</v>
      </c>
      <c r="F373" s="84" t="s">
        <v>283</v>
      </c>
      <c r="G373" s="68">
        <v>0.0</v>
      </c>
      <c r="H373" s="69">
        <f t="shared" si="19"/>
        <v>0</v>
      </c>
      <c r="I373" s="94" t="s">
        <v>71</v>
      </c>
      <c r="J373" s="87" t="s">
        <v>72</v>
      </c>
      <c r="K373" s="95"/>
      <c r="L373" s="82"/>
      <c r="M373" s="82"/>
      <c r="N373" s="72"/>
      <c r="O373" s="83" t="s">
        <v>208</v>
      </c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</row>
    <row r="374" ht="22.5" customHeight="1">
      <c r="A374" s="86">
        <v>45534.0</v>
      </c>
      <c r="B374" s="63" t="s">
        <v>27</v>
      </c>
      <c r="C374" s="79"/>
      <c r="D374" s="80">
        <v>35886.0</v>
      </c>
      <c r="E374" s="66" t="s">
        <v>28</v>
      </c>
      <c r="F374" s="84" t="s">
        <v>283</v>
      </c>
      <c r="G374" s="68">
        <v>0.0</v>
      </c>
      <c r="H374" s="69">
        <f t="shared" si="19"/>
        <v>0</v>
      </c>
      <c r="I374" s="94" t="s">
        <v>71</v>
      </c>
      <c r="J374" s="87" t="s">
        <v>72</v>
      </c>
      <c r="K374" s="95"/>
      <c r="L374" s="82"/>
      <c r="M374" s="82"/>
      <c r="N374" s="72"/>
      <c r="O374" s="83" t="s">
        <v>209</v>
      </c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</row>
    <row r="375" ht="22.5" customHeight="1">
      <c r="A375" s="86">
        <v>45534.0</v>
      </c>
      <c r="B375" s="63" t="s">
        <v>27</v>
      </c>
      <c r="C375" s="122">
        <v>1007999.7</v>
      </c>
      <c r="D375" s="79"/>
      <c r="E375" s="66" t="s">
        <v>376</v>
      </c>
      <c r="F375" s="84" t="s">
        <v>284</v>
      </c>
      <c r="G375" s="68">
        <v>20.0</v>
      </c>
      <c r="H375" s="69">
        <f t="shared" si="19"/>
        <v>167999.95</v>
      </c>
      <c r="I375" s="76" t="s">
        <v>37</v>
      </c>
      <c r="J375" s="87" t="s">
        <v>250</v>
      </c>
      <c r="K375" s="82">
        <v>6.0</v>
      </c>
      <c r="L375" s="82">
        <v>81.0</v>
      </c>
      <c r="M375" s="95"/>
      <c r="N375" s="72">
        <f t="shared" ref="N375:N377" si="25">A375-IF(M375&gt;0,M375,A375)</f>
        <v>0</v>
      </c>
      <c r="O375" s="96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</row>
    <row r="376" ht="22.5" customHeight="1">
      <c r="A376" s="86">
        <v>45534.0</v>
      </c>
      <c r="B376" s="63" t="s">
        <v>27</v>
      </c>
      <c r="C376" s="122">
        <v>840000.12</v>
      </c>
      <c r="D376" s="79"/>
      <c r="E376" s="66" t="s">
        <v>376</v>
      </c>
      <c r="F376" s="84" t="s">
        <v>284</v>
      </c>
      <c r="G376" s="68">
        <v>20.0</v>
      </c>
      <c r="H376" s="69">
        <f t="shared" si="19"/>
        <v>140000.02</v>
      </c>
      <c r="I376" s="76" t="s">
        <v>37</v>
      </c>
      <c r="J376" s="87" t="s">
        <v>250</v>
      </c>
      <c r="K376" s="82">
        <v>7.0</v>
      </c>
      <c r="L376" s="82">
        <v>79.0</v>
      </c>
      <c r="M376" s="95"/>
      <c r="N376" s="72">
        <f t="shared" si="25"/>
        <v>0</v>
      </c>
      <c r="O376" s="96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</row>
    <row r="377" ht="22.5" customHeight="1">
      <c r="A377" s="86">
        <v>45534.0</v>
      </c>
      <c r="B377" s="63" t="s">
        <v>27</v>
      </c>
      <c r="C377" s="122">
        <v>1159673.76</v>
      </c>
      <c r="D377" s="79"/>
      <c r="E377" s="66" t="s">
        <v>376</v>
      </c>
      <c r="F377" s="84" t="s">
        <v>284</v>
      </c>
      <c r="G377" s="68">
        <v>20.0</v>
      </c>
      <c r="H377" s="69">
        <f t="shared" si="19"/>
        <v>193278.96</v>
      </c>
      <c r="I377" s="76" t="s">
        <v>37</v>
      </c>
      <c r="J377" s="87" t="s">
        <v>250</v>
      </c>
      <c r="K377" s="82">
        <v>5.0</v>
      </c>
      <c r="L377" s="82">
        <v>80.0</v>
      </c>
      <c r="M377" s="95"/>
      <c r="N377" s="72">
        <f t="shared" si="25"/>
        <v>0</v>
      </c>
      <c r="O377" s="96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</row>
    <row r="378" ht="22.5" customHeight="1">
      <c r="A378" s="86">
        <v>45534.0</v>
      </c>
      <c r="B378" s="63" t="s">
        <v>27</v>
      </c>
      <c r="C378" s="79"/>
      <c r="D378" s="80">
        <v>2400.0</v>
      </c>
      <c r="E378" s="66" t="s">
        <v>28</v>
      </c>
      <c r="F378" s="77"/>
      <c r="G378" s="68">
        <v>0.0</v>
      </c>
      <c r="H378" s="69">
        <f t="shared" si="19"/>
        <v>0</v>
      </c>
      <c r="I378" s="76" t="s">
        <v>294</v>
      </c>
      <c r="J378" s="87" t="s">
        <v>377</v>
      </c>
      <c r="K378" s="95"/>
      <c r="L378" s="95"/>
      <c r="M378" s="95"/>
      <c r="N378" s="72"/>
      <c r="O378" s="83" t="s">
        <v>378</v>
      </c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</row>
    <row r="379" ht="22.5" customHeight="1">
      <c r="A379" s="86">
        <v>45534.0</v>
      </c>
      <c r="B379" s="63" t="s">
        <v>27</v>
      </c>
      <c r="C379" s="79"/>
      <c r="D379" s="80">
        <v>2400.0</v>
      </c>
      <c r="E379" s="66" t="s">
        <v>28</v>
      </c>
      <c r="F379" s="77"/>
      <c r="G379" s="68">
        <v>0.0</v>
      </c>
      <c r="H379" s="69">
        <f t="shared" si="19"/>
        <v>0</v>
      </c>
      <c r="I379" s="76" t="s">
        <v>294</v>
      </c>
      <c r="J379" s="87" t="s">
        <v>377</v>
      </c>
      <c r="K379" s="95"/>
      <c r="L379" s="95"/>
      <c r="M379" s="95"/>
      <c r="N379" s="72"/>
      <c r="O379" s="83" t="s">
        <v>378</v>
      </c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</row>
    <row r="380" ht="22.5" customHeight="1">
      <c r="A380" s="86">
        <v>45537.0</v>
      </c>
      <c r="B380" s="63" t="s">
        <v>27</v>
      </c>
      <c r="C380" s="79"/>
      <c r="D380" s="79">
        <f>1518050/3</f>
        <v>506016.6667</v>
      </c>
      <c r="E380" s="66" t="s">
        <v>28</v>
      </c>
      <c r="F380" s="84" t="s">
        <v>379</v>
      </c>
      <c r="G380" s="68">
        <v>0.0</v>
      </c>
      <c r="H380" s="69">
        <f t="shared" si="19"/>
        <v>0</v>
      </c>
      <c r="I380" s="94" t="s">
        <v>71</v>
      </c>
      <c r="J380" s="87" t="s">
        <v>72</v>
      </c>
      <c r="K380" s="95"/>
      <c r="L380" s="82"/>
      <c r="M380" s="82"/>
      <c r="N380" s="72"/>
      <c r="O380" s="83" t="s">
        <v>221</v>
      </c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</row>
    <row r="381" ht="22.5" customHeight="1">
      <c r="A381" s="86">
        <v>45538.0</v>
      </c>
      <c r="B381" s="63" t="s">
        <v>27</v>
      </c>
      <c r="C381" s="80">
        <v>96900.0</v>
      </c>
      <c r="D381" s="79"/>
      <c r="E381" s="66" t="s">
        <v>28</v>
      </c>
      <c r="F381" s="84" t="s">
        <v>284</v>
      </c>
      <c r="G381" s="68">
        <v>20.0</v>
      </c>
      <c r="H381" s="69">
        <f t="shared" si="19"/>
        <v>16150</v>
      </c>
      <c r="I381" s="76" t="s">
        <v>37</v>
      </c>
      <c r="J381" s="87" t="s">
        <v>157</v>
      </c>
      <c r="K381" s="95"/>
      <c r="L381" s="82"/>
      <c r="M381" s="82"/>
      <c r="N381" s="72">
        <f t="shared" ref="N381:N382" si="26">A381-IF(M381&gt;0,M381,A381)</f>
        <v>0</v>
      </c>
      <c r="O381" s="83" t="s">
        <v>380</v>
      </c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</row>
    <row r="382" ht="22.5" customHeight="1">
      <c r="A382" s="86">
        <v>45538.0</v>
      </c>
      <c r="B382" s="63" t="s">
        <v>27</v>
      </c>
      <c r="C382" s="80">
        <v>6720.0</v>
      </c>
      <c r="D382" s="79"/>
      <c r="E382" s="66" t="s">
        <v>28</v>
      </c>
      <c r="F382" s="84" t="s">
        <v>284</v>
      </c>
      <c r="G382" s="68">
        <v>20.0</v>
      </c>
      <c r="H382" s="69">
        <f t="shared" si="19"/>
        <v>1120</v>
      </c>
      <c r="I382" s="76" t="s">
        <v>37</v>
      </c>
      <c r="J382" s="87" t="s">
        <v>157</v>
      </c>
      <c r="K382" s="95"/>
      <c r="L382" s="82"/>
      <c r="M382" s="82"/>
      <c r="N382" s="72">
        <f t="shared" si="26"/>
        <v>0</v>
      </c>
      <c r="O382" s="83" t="s">
        <v>381</v>
      </c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</row>
    <row r="383" ht="22.5" customHeight="1">
      <c r="A383" s="86">
        <v>45538.0</v>
      </c>
      <c r="B383" s="63" t="s">
        <v>27</v>
      </c>
      <c r="C383" s="79"/>
      <c r="D383" s="80">
        <v>50429.0</v>
      </c>
      <c r="E383" s="66" t="s">
        <v>28</v>
      </c>
      <c r="F383" s="84" t="s">
        <v>283</v>
      </c>
      <c r="G383" s="68">
        <v>0.0</v>
      </c>
      <c r="H383" s="69">
        <f t="shared" si="19"/>
        <v>0</v>
      </c>
      <c r="I383" s="94" t="s">
        <v>71</v>
      </c>
      <c r="J383" s="87" t="s">
        <v>72</v>
      </c>
      <c r="K383" s="95"/>
      <c r="L383" s="82"/>
      <c r="M383" s="82"/>
      <c r="N383" s="72"/>
      <c r="O383" s="83" t="s">
        <v>209</v>
      </c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</row>
    <row r="384" ht="22.5" customHeight="1">
      <c r="A384" s="86">
        <v>45538.0</v>
      </c>
      <c r="B384" s="63" t="s">
        <v>27</v>
      </c>
      <c r="C384" s="79"/>
      <c r="D384" s="80">
        <v>13990.0</v>
      </c>
      <c r="E384" s="66" t="s">
        <v>28</v>
      </c>
      <c r="F384" s="77"/>
      <c r="G384" s="68">
        <v>0.0</v>
      </c>
      <c r="H384" s="69">
        <f t="shared" si="19"/>
        <v>0</v>
      </c>
      <c r="I384" s="70" t="s">
        <v>30</v>
      </c>
      <c r="J384" s="101" t="s">
        <v>31</v>
      </c>
      <c r="K384" s="95"/>
      <c r="L384" s="95"/>
      <c r="M384" s="95"/>
      <c r="N384" s="72"/>
      <c r="O384" s="96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</row>
    <row r="385" ht="22.5" customHeight="1">
      <c r="A385" s="86">
        <v>45538.0</v>
      </c>
      <c r="B385" s="63" t="s">
        <v>27</v>
      </c>
      <c r="C385" s="79"/>
      <c r="D385" s="80">
        <v>624000.0</v>
      </c>
      <c r="E385" s="66" t="s">
        <v>376</v>
      </c>
      <c r="F385" s="84" t="s">
        <v>382</v>
      </c>
      <c r="G385" s="68">
        <v>20.0</v>
      </c>
      <c r="H385" s="69">
        <f t="shared" si="19"/>
        <v>104000</v>
      </c>
      <c r="I385" s="76" t="s">
        <v>383</v>
      </c>
      <c r="J385" s="87" t="s">
        <v>384</v>
      </c>
      <c r="K385" s="95"/>
      <c r="L385" s="95"/>
      <c r="M385" s="95"/>
      <c r="N385" s="72"/>
      <c r="O385" s="96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</row>
    <row r="386" ht="22.5" customHeight="1">
      <c r="A386" s="86">
        <v>45539.0</v>
      </c>
      <c r="B386" s="63" t="s">
        <v>27</v>
      </c>
      <c r="C386" s="79"/>
      <c r="D386" s="120">
        <f>2216154.88-500000</f>
        <v>1716154.88</v>
      </c>
      <c r="E386" s="66" t="s">
        <v>28</v>
      </c>
      <c r="F386" s="84" t="s">
        <v>189</v>
      </c>
      <c r="G386" s="68">
        <v>20.0</v>
      </c>
      <c r="H386" s="69">
        <f t="shared" si="19"/>
        <v>286025.8133</v>
      </c>
      <c r="I386" s="89" t="s">
        <v>61</v>
      </c>
      <c r="J386" s="103" t="s">
        <v>228</v>
      </c>
      <c r="K386" s="95"/>
      <c r="L386" s="95"/>
      <c r="M386" s="95"/>
      <c r="N386" s="72"/>
      <c r="O386" s="96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</row>
    <row r="387" ht="22.5" customHeight="1">
      <c r="A387" s="86">
        <v>45539.0</v>
      </c>
      <c r="B387" s="63" t="s">
        <v>27</v>
      </c>
      <c r="C387" s="79"/>
      <c r="D387" s="79">
        <v>656900.0</v>
      </c>
      <c r="E387" s="66" t="s">
        <v>33</v>
      </c>
      <c r="F387" s="84" t="s">
        <v>203</v>
      </c>
      <c r="G387" s="68">
        <v>0.0</v>
      </c>
      <c r="H387" s="69">
        <f t="shared" si="19"/>
        <v>0</v>
      </c>
      <c r="I387" s="89" t="s">
        <v>68</v>
      </c>
      <c r="J387" s="87" t="s">
        <v>203</v>
      </c>
      <c r="K387" s="95"/>
      <c r="L387" s="82"/>
      <c r="M387" s="82"/>
      <c r="N387" s="72"/>
      <c r="O387" s="83" t="s">
        <v>385</v>
      </c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</row>
    <row r="388" ht="22.5" customHeight="1">
      <c r="A388" s="86">
        <v>45539.0</v>
      </c>
      <c r="B388" s="63" t="s">
        <v>27</v>
      </c>
      <c r="C388" s="79"/>
      <c r="D388" s="80">
        <v>45800.0</v>
      </c>
      <c r="E388" s="66" t="s">
        <v>33</v>
      </c>
      <c r="F388" s="84" t="s">
        <v>108</v>
      </c>
      <c r="G388" s="68">
        <v>0.0</v>
      </c>
      <c r="H388" s="69">
        <f t="shared" si="19"/>
        <v>0</v>
      </c>
      <c r="I388" s="97"/>
      <c r="J388" s="87" t="s">
        <v>386</v>
      </c>
      <c r="K388" s="95"/>
      <c r="L388" s="95"/>
      <c r="M388" s="95"/>
      <c r="N388" s="72"/>
      <c r="O388" s="96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</row>
    <row r="389" ht="22.5" customHeight="1">
      <c r="A389" s="86">
        <v>45541.0</v>
      </c>
      <c r="B389" s="63" t="s">
        <v>27</v>
      </c>
      <c r="C389" s="79"/>
      <c r="D389" s="80">
        <v>1300.0</v>
      </c>
      <c r="E389" s="66" t="s">
        <v>28</v>
      </c>
      <c r="F389" s="77"/>
      <c r="G389" s="68">
        <v>0.0</v>
      </c>
      <c r="H389" s="69">
        <f t="shared" si="19"/>
        <v>0</v>
      </c>
      <c r="I389" s="97"/>
      <c r="J389" s="87" t="s">
        <v>387</v>
      </c>
      <c r="K389" s="95"/>
      <c r="L389" s="82"/>
      <c r="M389" s="82"/>
      <c r="N389" s="72"/>
      <c r="O389" s="83" t="s">
        <v>388</v>
      </c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</row>
    <row r="390" ht="22.5" customHeight="1">
      <c r="A390" s="86">
        <v>45544.0</v>
      </c>
      <c r="B390" s="63" t="s">
        <v>27</v>
      </c>
      <c r="C390" s="80">
        <v>28571.14</v>
      </c>
      <c r="D390" s="79"/>
      <c r="E390" s="66" t="s">
        <v>28</v>
      </c>
      <c r="F390" s="84" t="s">
        <v>314</v>
      </c>
      <c r="G390" s="68">
        <v>20.0</v>
      </c>
      <c r="H390" s="69">
        <f t="shared" si="19"/>
        <v>4761.856667</v>
      </c>
      <c r="I390" s="76" t="s">
        <v>37</v>
      </c>
      <c r="J390" s="87" t="s">
        <v>389</v>
      </c>
      <c r="K390" s="82">
        <v>3.0</v>
      </c>
      <c r="L390" s="95"/>
      <c r="M390" s="95"/>
      <c r="N390" s="72">
        <f>A390-IF(M390&gt;0,M390,A390)</f>
        <v>0</v>
      </c>
      <c r="O390" s="96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</row>
    <row r="391" ht="22.5" customHeight="1">
      <c r="A391" s="86">
        <v>45544.0</v>
      </c>
      <c r="B391" s="63" t="s">
        <v>27</v>
      </c>
      <c r="C391" s="79"/>
      <c r="D391" s="80">
        <v>14000.0</v>
      </c>
      <c r="E391" s="66" t="s">
        <v>33</v>
      </c>
      <c r="F391" s="84" t="s">
        <v>213</v>
      </c>
      <c r="G391" s="68">
        <v>0.0</v>
      </c>
      <c r="H391" s="69">
        <f t="shared" si="19"/>
        <v>0</v>
      </c>
      <c r="I391" s="97"/>
      <c r="J391" s="87" t="s">
        <v>390</v>
      </c>
      <c r="K391" s="95"/>
      <c r="L391" s="95"/>
      <c r="M391" s="95"/>
      <c r="N391" s="72"/>
      <c r="O391" s="96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</row>
    <row r="392" ht="22.5" customHeight="1">
      <c r="A392" s="86">
        <v>45544.0</v>
      </c>
      <c r="B392" s="63" t="s">
        <v>27</v>
      </c>
      <c r="C392" s="79"/>
      <c r="D392" s="80">
        <v>7450.0</v>
      </c>
      <c r="E392" s="66" t="s">
        <v>33</v>
      </c>
      <c r="F392" s="84" t="s">
        <v>213</v>
      </c>
      <c r="G392" s="68">
        <v>0.0</v>
      </c>
      <c r="H392" s="69">
        <f t="shared" si="19"/>
        <v>0</v>
      </c>
      <c r="I392" s="97"/>
      <c r="J392" s="87" t="s">
        <v>391</v>
      </c>
      <c r="K392" s="95"/>
      <c r="L392" s="95"/>
      <c r="M392" s="95"/>
      <c r="N392" s="72"/>
      <c r="O392" s="96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</row>
    <row r="393" ht="22.5" customHeight="1">
      <c r="A393" s="86">
        <v>45544.0</v>
      </c>
      <c r="B393" s="63" t="s">
        <v>27</v>
      </c>
      <c r="C393" s="79"/>
      <c r="D393" s="80">
        <v>15000.0</v>
      </c>
      <c r="E393" s="66" t="s">
        <v>33</v>
      </c>
      <c r="F393" s="77"/>
      <c r="G393" s="68">
        <v>0.0</v>
      </c>
      <c r="H393" s="69">
        <f t="shared" si="19"/>
        <v>0</v>
      </c>
      <c r="I393" s="97"/>
      <c r="J393" s="87" t="s">
        <v>392</v>
      </c>
      <c r="K393" s="95"/>
      <c r="L393" s="95"/>
      <c r="M393" s="95"/>
      <c r="N393" s="72"/>
      <c r="O393" s="96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</row>
    <row r="394" ht="22.5" customHeight="1">
      <c r="A394" s="86">
        <v>45544.0</v>
      </c>
      <c r="B394" s="63" t="s">
        <v>27</v>
      </c>
      <c r="C394" s="79"/>
      <c r="D394" s="80">
        <v>10000.0</v>
      </c>
      <c r="E394" s="66" t="s">
        <v>33</v>
      </c>
      <c r="F394" s="77"/>
      <c r="G394" s="68">
        <v>0.0</v>
      </c>
      <c r="H394" s="69">
        <f t="shared" si="19"/>
        <v>0</v>
      </c>
      <c r="I394" s="123"/>
      <c r="J394" s="124" t="s">
        <v>393</v>
      </c>
      <c r="K394" s="95"/>
      <c r="L394" s="82"/>
      <c r="M394" s="82"/>
      <c r="N394" s="72"/>
      <c r="O394" s="83" t="s">
        <v>394</v>
      </c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</row>
    <row r="395" ht="22.5" customHeight="1">
      <c r="A395" s="86">
        <v>45545.0</v>
      </c>
      <c r="B395" s="63" t="s">
        <v>27</v>
      </c>
      <c r="C395" s="80">
        <v>35280.0</v>
      </c>
      <c r="D395" s="79"/>
      <c r="E395" s="66" t="s">
        <v>28</v>
      </c>
      <c r="F395" s="84" t="s">
        <v>284</v>
      </c>
      <c r="G395" s="68">
        <v>20.0</v>
      </c>
      <c r="H395" s="69">
        <f t="shared" si="19"/>
        <v>5880</v>
      </c>
      <c r="I395" s="76" t="s">
        <v>37</v>
      </c>
      <c r="J395" s="87" t="s">
        <v>157</v>
      </c>
      <c r="K395" s="95"/>
      <c r="L395" s="95"/>
      <c r="M395" s="95"/>
      <c r="N395" s="72">
        <f t="shared" ref="N395:N398" si="27">A395-IF(M395&gt;0,M395,A395)</f>
        <v>0</v>
      </c>
      <c r="O395" s="96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</row>
    <row r="396" ht="22.5" customHeight="1">
      <c r="A396" s="86">
        <v>45545.0</v>
      </c>
      <c r="B396" s="63" t="s">
        <v>27</v>
      </c>
      <c r="C396" s="80">
        <v>6644.87</v>
      </c>
      <c r="D396" s="79"/>
      <c r="E396" s="66" t="s">
        <v>28</v>
      </c>
      <c r="F396" s="84" t="s">
        <v>284</v>
      </c>
      <c r="G396" s="68">
        <v>20.0</v>
      </c>
      <c r="H396" s="69">
        <f t="shared" si="19"/>
        <v>1107.478333</v>
      </c>
      <c r="I396" s="76" t="s">
        <v>37</v>
      </c>
      <c r="J396" s="87" t="s">
        <v>157</v>
      </c>
      <c r="K396" s="95"/>
      <c r="L396" s="82"/>
      <c r="M396" s="82"/>
      <c r="N396" s="72">
        <f t="shared" si="27"/>
        <v>0</v>
      </c>
      <c r="O396" s="83" t="s">
        <v>395</v>
      </c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</row>
    <row r="397" ht="22.5" customHeight="1">
      <c r="A397" s="86">
        <v>45545.0</v>
      </c>
      <c r="B397" s="63" t="s">
        <v>27</v>
      </c>
      <c r="C397" s="80">
        <v>88087.86</v>
      </c>
      <c r="D397" s="79"/>
      <c r="E397" s="66" t="s">
        <v>28</v>
      </c>
      <c r="F397" s="84" t="s">
        <v>284</v>
      </c>
      <c r="G397" s="68">
        <v>20.0</v>
      </c>
      <c r="H397" s="69">
        <f t="shared" si="19"/>
        <v>14681.31</v>
      </c>
      <c r="I397" s="76" t="s">
        <v>37</v>
      </c>
      <c r="J397" s="87" t="s">
        <v>157</v>
      </c>
      <c r="K397" s="95"/>
      <c r="L397" s="82"/>
      <c r="M397" s="82"/>
      <c r="N397" s="72">
        <f t="shared" si="27"/>
        <v>0</v>
      </c>
      <c r="O397" s="83" t="s">
        <v>396</v>
      </c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</row>
    <row r="398" ht="22.5" customHeight="1">
      <c r="A398" s="86">
        <v>45545.0</v>
      </c>
      <c r="B398" s="63" t="s">
        <v>27</v>
      </c>
      <c r="C398" s="80">
        <v>78160.68</v>
      </c>
      <c r="D398" s="79"/>
      <c r="E398" s="66" t="s">
        <v>28</v>
      </c>
      <c r="F398" s="84" t="s">
        <v>284</v>
      </c>
      <c r="G398" s="68">
        <v>20.0</v>
      </c>
      <c r="H398" s="69">
        <f t="shared" si="19"/>
        <v>13026.78</v>
      </c>
      <c r="I398" s="76" t="s">
        <v>37</v>
      </c>
      <c r="J398" s="87" t="s">
        <v>157</v>
      </c>
      <c r="K398" s="95"/>
      <c r="L398" s="82"/>
      <c r="M398" s="82"/>
      <c r="N398" s="72">
        <f t="shared" si="27"/>
        <v>0</v>
      </c>
      <c r="O398" s="83" t="s">
        <v>397</v>
      </c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</row>
    <row r="399" ht="22.5" customHeight="1">
      <c r="A399" s="86">
        <v>45547.0</v>
      </c>
      <c r="B399" s="63" t="s">
        <v>27</v>
      </c>
      <c r="C399" s="79"/>
      <c r="D399" s="80">
        <v>40000.0</v>
      </c>
      <c r="E399" s="66" t="s">
        <v>33</v>
      </c>
      <c r="F399" s="84" t="s">
        <v>213</v>
      </c>
      <c r="G399" s="68">
        <v>0.0</v>
      </c>
      <c r="H399" s="69">
        <f t="shared" si="19"/>
        <v>0</v>
      </c>
      <c r="I399" s="97"/>
      <c r="J399" s="87" t="s">
        <v>264</v>
      </c>
      <c r="K399" s="95"/>
      <c r="L399" s="95"/>
      <c r="M399" s="95"/>
      <c r="N399" s="72"/>
      <c r="O399" s="96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</row>
    <row r="400" ht="22.5" customHeight="1">
      <c r="A400" s="86">
        <v>45547.0</v>
      </c>
      <c r="B400" s="63" t="s">
        <v>27</v>
      </c>
      <c r="C400" s="79"/>
      <c r="D400" s="80">
        <v>1500.0</v>
      </c>
      <c r="E400" s="66" t="s">
        <v>33</v>
      </c>
      <c r="F400" s="77"/>
      <c r="G400" s="68">
        <v>0.0</v>
      </c>
      <c r="H400" s="69">
        <f t="shared" si="19"/>
        <v>0</v>
      </c>
      <c r="I400" s="97"/>
      <c r="J400" s="87" t="s">
        <v>398</v>
      </c>
      <c r="K400" s="95"/>
      <c r="L400" s="95"/>
      <c r="M400" s="95"/>
      <c r="N400" s="72"/>
      <c r="O400" s="96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</row>
    <row r="401" ht="22.5" customHeight="1">
      <c r="A401" s="86">
        <v>45547.0</v>
      </c>
      <c r="B401" s="63" t="s">
        <v>27</v>
      </c>
      <c r="C401" s="79"/>
      <c r="D401" s="80">
        <v>9000.0</v>
      </c>
      <c r="E401" s="66" t="s">
        <v>33</v>
      </c>
      <c r="F401" s="84" t="s">
        <v>213</v>
      </c>
      <c r="G401" s="68">
        <v>0.0</v>
      </c>
      <c r="H401" s="69">
        <f t="shared" si="19"/>
        <v>0</v>
      </c>
      <c r="I401" s="97"/>
      <c r="J401" s="87" t="s">
        <v>399</v>
      </c>
      <c r="K401" s="95"/>
      <c r="L401" s="95"/>
      <c r="M401" s="95"/>
      <c r="N401" s="72"/>
      <c r="O401" s="96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</row>
    <row r="402" ht="22.5" customHeight="1">
      <c r="A402" s="86">
        <v>45547.0</v>
      </c>
      <c r="B402" s="63" t="s">
        <v>27</v>
      </c>
      <c r="C402" s="79"/>
      <c r="D402" s="80">
        <v>6000.0</v>
      </c>
      <c r="E402" s="66" t="s">
        <v>33</v>
      </c>
      <c r="F402" s="84" t="s">
        <v>213</v>
      </c>
      <c r="G402" s="68">
        <v>0.0</v>
      </c>
      <c r="H402" s="69">
        <f t="shared" si="19"/>
        <v>0</v>
      </c>
      <c r="I402" s="97"/>
      <c r="J402" s="87" t="s">
        <v>400</v>
      </c>
      <c r="K402" s="95"/>
      <c r="L402" s="95"/>
      <c r="M402" s="95"/>
      <c r="N402" s="72"/>
      <c r="O402" s="96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</row>
    <row r="403" ht="22.5" customHeight="1">
      <c r="A403" s="86">
        <v>45550.0</v>
      </c>
      <c r="B403" s="63" t="s">
        <v>27</v>
      </c>
      <c r="C403" s="79"/>
      <c r="D403" s="79">
        <v>1300000.0</v>
      </c>
      <c r="E403" s="66" t="s">
        <v>28</v>
      </c>
      <c r="F403" s="84" t="s">
        <v>48</v>
      </c>
      <c r="G403" s="68">
        <v>20.0</v>
      </c>
      <c r="H403" s="69">
        <f t="shared" si="19"/>
        <v>216666.6667</v>
      </c>
      <c r="I403" s="76" t="s">
        <v>47</v>
      </c>
      <c r="J403" s="87"/>
      <c r="K403" s="95"/>
      <c r="L403" s="95"/>
      <c r="M403" s="95"/>
      <c r="N403" s="72"/>
      <c r="O403" s="96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</row>
    <row r="404" ht="22.5" customHeight="1">
      <c r="A404" s="86">
        <v>45550.0</v>
      </c>
      <c r="B404" s="63" t="s">
        <v>27</v>
      </c>
      <c r="C404" s="80">
        <v>975000.0</v>
      </c>
      <c r="D404" s="79"/>
      <c r="E404" s="66" t="s">
        <v>33</v>
      </c>
      <c r="F404" s="84" t="s">
        <v>48</v>
      </c>
      <c r="G404" s="68">
        <v>0.0</v>
      </c>
      <c r="H404" s="69">
        <f t="shared" si="19"/>
        <v>0</v>
      </c>
      <c r="I404" s="76" t="s">
        <v>47</v>
      </c>
      <c r="J404" s="98"/>
      <c r="K404" s="102"/>
      <c r="L404" s="102"/>
      <c r="M404" s="102"/>
      <c r="N404" s="72"/>
      <c r="O404" s="96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</row>
    <row r="405" ht="22.5" customHeight="1">
      <c r="A405" s="86">
        <v>45553.0</v>
      </c>
      <c r="B405" s="63" t="s">
        <v>27</v>
      </c>
      <c r="C405" s="80">
        <v>44424.0</v>
      </c>
      <c r="D405" s="80"/>
      <c r="E405" s="66" t="s">
        <v>28</v>
      </c>
      <c r="F405" s="84" t="s">
        <v>348</v>
      </c>
      <c r="G405" s="68">
        <v>20.0</v>
      </c>
      <c r="H405" s="69">
        <f t="shared" si="19"/>
        <v>7404</v>
      </c>
      <c r="I405" s="76" t="s">
        <v>37</v>
      </c>
      <c r="J405" s="87" t="s">
        <v>120</v>
      </c>
      <c r="K405" s="91">
        <v>16.0</v>
      </c>
      <c r="L405" s="91"/>
      <c r="M405" s="91"/>
      <c r="N405" s="72">
        <f t="shared" ref="N405:N407" si="28">A405-IF(M405&gt;0,M405,A405)</f>
        <v>0</v>
      </c>
      <c r="O405" s="83" t="s">
        <v>401</v>
      </c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</row>
    <row r="406" ht="22.5" customHeight="1">
      <c r="A406" s="86">
        <v>45553.0</v>
      </c>
      <c r="B406" s="63" t="s">
        <v>27</v>
      </c>
      <c r="C406" s="80">
        <v>753860.84</v>
      </c>
      <c r="D406" s="80"/>
      <c r="E406" s="66" t="s">
        <v>28</v>
      </c>
      <c r="F406" s="84" t="s">
        <v>348</v>
      </c>
      <c r="G406" s="68">
        <v>20.0</v>
      </c>
      <c r="H406" s="69">
        <f t="shared" si="19"/>
        <v>125643.4733</v>
      </c>
      <c r="I406" s="76" t="s">
        <v>37</v>
      </c>
      <c r="J406" s="87" t="s">
        <v>120</v>
      </c>
      <c r="K406" s="91">
        <v>14.0</v>
      </c>
      <c r="L406" s="91"/>
      <c r="M406" s="91"/>
      <c r="N406" s="72">
        <f t="shared" si="28"/>
        <v>0</v>
      </c>
      <c r="O406" s="83" t="s">
        <v>402</v>
      </c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</row>
    <row r="407" ht="22.5" customHeight="1">
      <c r="A407" s="86">
        <v>45553.0</v>
      </c>
      <c r="B407" s="63" t="s">
        <v>27</v>
      </c>
      <c r="C407" s="80">
        <v>98958.96</v>
      </c>
      <c r="D407" s="79"/>
      <c r="E407" s="66" t="s">
        <v>28</v>
      </c>
      <c r="F407" s="84" t="s">
        <v>348</v>
      </c>
      <c r="G407" s="68">
        <v>20.0</v>
      </c>
      <c r="H407" s="69">
        <f t="shared" si="19"/>
        <v>16493.16</v>
      </c>
      <c r="I407" s="76" t="s">
        <v>37</v>
      </c>
      <c r="J407" s="87" t="s">
        <v>120</v>
      </c>
      <c r="K407" s="82">
        <v>15.0</v>
      </c>
      <c r="L407" s="82"/>
      <c r="M407" s="82"/>
      <c r="N407" s="72">
        <f t="shared" si="28"/>
        <v>0</v>
      </c>
      <c r="O407" s="83" t="s">
        <v>403</v>
      </c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</row>
    <row r="408" ht="22.5" customHeight="1">
      <c r="A408" s="86">
        <v>45553.0</v>
      </c>
      <c r="B408" s="63" t="s">
        <v>27</v>
      </c>
      <c r="C408" s="79"/>
      <c r="D408" s="80">
        <v>88500.0</v>
      </c>
      <c r="E408" s="66" t="s">
        <v>376</v>
      </c>
      <c r="F408" s="84" t="s">
        <v>348</v>
      </c>
      <c r="G408" s="68">
        <v>0.0</v>
      </c>
      <c r="H408" s="69">
        <f t="shared" si="19"/>
        <v>0</v>
      </c>
      <c r="I408" s="76" t="s">
        <v>286</v>
      </c>
      <c r="J408" s="87" t="s">
        <v>404</v>
      </c>
      <c r="K408" s="95"/>
      <c r="L408" s="82"/>
      <c r="M408" s="82"/>
      <c r="N408" s="72"/>
      <c r="O408" s="83" t="s">
        <v>405</v>
      </c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</row>
    <row r="409" ht="22.5" customHeight="1">
      <c r="A409" s="86">
        <v>45553.0</v>
      </c>
      <c r="B409" s="63" t="s">
        <v>27</v>
      </c>
      <c r="C409" s="79"/>
      <c r="D409" s="80">
        <v>15000.0</v>
      </c>
      <c r="E409" s="66" t="s">
        <v>33</v>
      </c>
      <c r="F409" s="84" t="s">
        <v>203</v>
      </c>
      <c r="G409" s="68">
        <v>0.0</v>
      </c>
      <c r="H409" s="69">
        <f t="shared" si="19"/>
        <v>0</v>
      </c>
      <c r="I409" s="97"/>
      <c r="J409" s="87" t="s">
        <v>240</v>
      </c>
      <c r="K409" s="95"/>
      <c r="L409" s="82"/>
      <c r="M409" s="82"/>
      <c r="N409" s="72"/>
      <c r="O409" s="83" t="s">
        <v>406</v>
      </c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</row>
    <row r="410" ht="22.5" customHeight="1">
      <c r="A410" s="86">
        <v>45554.0</v>
      </c>
      <c r="B410" s="63" t="s">
        <v>27</v>
      </c>
      <c r="C410" s="80">
        <v>463712.06</v>
      </c>
      <c r="D410" s="79"/>
      <c r="E410" s="66" t="s">
        <v>28</v>
      </c>
      <c r="F410" s="84" t="s">
        <v>244</v>
      </c>
      <c r="G410" s="68">
        <v>20.0</v>
      </c>
      <c r="H410" s="69">
        <f t="shared" si="19"/>
        <v>77285.34333</v>
      </c>
      <c r="I410" s="76" t="s">
        <v>37</v>
      </c>
      <c r="J410" s="87" t="s">
        <v>157</v>
      </c>
      <c r="K410" s="95"/>
      <c r="L410" s="82"/>
      <c r="M410" s="82"/>
      <c r="N410" s="72">
        <f t="shared" ref="N410:N413" si="29">A410-IF(M410&gt;0,M410,A410)</f>
        <v>0</v>
      </c>
      <c r="O410" s="83" t="s">
        <v>407</v>
      </c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</row>
    <row r="411" ht="22.5" customHeight="1">
      <c r="A411" s="86">
        <v>45554.0</v>
      </c>
      <c r="B411" s="63" t="s">
        <v>27</v>
      </c>
      <c r="C411" s="80">
        <v>182570.11</v>
      </c>
      <c r="D411" s="79"/>
      <c r="E411" s="66" t="s">
        <v>28</v>
      </c>
      <c r="F411" s="84" t="s">
        <v>284</v>
      </c>
      <c r="G411" s="68">
        <v>20.0</v>
      </c>
      <c r="H411" s="69">
        <f t="shared" si="19"/>
        <v>30428.35167</v>
      </c>
      <c r="I411" s="76" t="s">
        <v>37</v>
      </c>
      <c r="J411" s="87" t="s">
        <v>157</v>
      </c>
      <c r="K411" s="95"/>
      <c r="L411" s="82"/>
      <c r="M411" s="82"/>
      <c r="N411" s="72">
        <f t="shared" si="29"/>
        <v>0</v>
      </c>
      <c r="O411" s="83" t="s">
        <v>408</v>
      </c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</row>
    <row r="412" ht="22.5" customHeight="1">
      <c r="A412" s="86">
        <v>45554.0</v>
      </c>
      <c r="B412" s="63" t="s">
        <v>27</v>
      </c>
      <c r="C412" s="80">
        <v>445051.32</v>
      </c>
      <c r="D412" s="79"/>
      <c r="E412" s="66" t="s">
        <v>28</v>
      </c>
      <c r="F412" s="84" t="s">
        <v>348</v>
      </c>
      <c r="G412" s="68">
        <v>20.0</v>
      </c>
      <c r="H412" s="69">
        <f t="shared" si="19"/>
        <v>74175.22</v>
      </c>
      <c r="I412" s="76" t="s">
        <v>37</v>
      </c>
      <c r="J412" s="87" t="s">
        <v>120</v>
      </c>
      <c r="K412" s="82">
        <v>17.0</v>
      </c>
      <c r="L412" s="82"/>
      <c r="M412" s="82"/>
      <c r="N412" s="72">
        <f t="shared" si="29"/>
        <v>0</v>
      </c>
      <c r="O412" s="83" t="s">
        <v>409</v>
      </c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</row>
    <row r="413" ht="22.5" customHeight="1">
      <c r="A413" s="86">
        <v>45554.0</v>
      </c>
      <c r="B413" s="63" t="s">
        <v>27</v>
      </c>
      <c r="C413" s="80">
        <v>35667.0</v>
      </c>
      <c r="D413" s="79"/>
      <c r="E413" s="66" t="s">
        <v>28</v>
      </c>
      <c r="F413" s="84" t="s">
        <v>348</v>
      </c>
      <c r="G413" s="68">
        <v>20.0</v>
      </c>
      <c r="H413" s="69">
        <f t="shared" si="19"/>
        <v>5944.5</v>
      </c>
      <c r="I413" s="76" t="s">
        <v>37</v>
      </c>
      <c r="J413" s="87" t="s">
        <v>120</v>
      </c>
      <c r="K413" s="82">
        <v>18.0</v>
      </c>
      <c r="L413" s="82"/>
      <c r="M413" s="82"/>
      <c r="N413" s="72">
        <f t="shared" si="29"/>
        <v>0</v>
      </c>
      <c r="O413" s="83" t="s">
        <v>410</v>
      </c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</row>
    <row r="414" ht="22.5" customHeight="1">
      <c r="A414" s="86">
        <v>45554.0</v>
      </c>
      <c r="B414" s="63" t="s">
        <v>27</v>
      </c>
      <c r="C414" s="79"/>
      <c r="D414" s="80">
        <v>8239.0</v>
      </c>
      <c r="E414" s="66" t="s">
        <v>28</v>
      </c>
      <c r="F414" s="84" t="s">
        <v>382</v>
      </c>
      <c r="G414" s="68">
        <v>0.0</v>
      </c>
      <c r="H414" s="69">
        <f t="shared" si="19"/>
        <v>0</v>
      </c>
      <c r="I414" s="97"/>
      <c r="J414" s="87" t="s">
        <v>411</v>
      </c>
      <c r="K414" s="95"/>
      <c r="L414" s="82"/>
      <c r="M414" s="82"/>
      <c r="N414" s="72"/>
      <c r="O414" s="83" t="s">
        <v>412</v>
      </c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</row>
    <row r="415" ht="22.5" customHeight="1">
      <c r="A415" s="86">
        <v>45555.0</v>
      </c>
      <c r="B415" s="63" t="s">
        <v>27</v>
      </c>
      <c r="C415" s="79"/>
      <c r="D415" s="79">
        <f>1126210/0.94*1.2</f>
        <v>1437714.894</v>
      </c>
      <c r="E415" s="66" t="s">
        <v>28</v>
      </c>
      <c r="F415" s="84" t="s">
        <v>48</v>
      </c>
      <c r="G415" s="68">
        <v>20.0</v>
      </c>
      <c r="H415" s="69">
        <f t="shared" si="19"/>
        <v>239619.1489</v>
      </c>
      <c r="I415" s="76" t="s">
        <v>47</v>
      </c>
      <c r="J415" s="87" t="s">
        <v>413</v>
      </c>
      <c r="K415" s="95"/>
      <c r="L415" s="95"/>
      <c r="M415" s="95"/>
      <c r="N415" s="72"/>
      <c r="O415" s="83" t="s">
        <v>414</v>
      </c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</row>
    <row r="416" ht="22.5" customHeight="1">
      <c r="A416" s="86">
        <v>45555.0</v>
      </c>
      <c r="B416" s="63" t="s">
        <v>27</v>
      </c>
      <c r="C416" s="80">
        <v>1126210.0</v>
      </c>
      <c r="D416" s="80"/>
      <c r="E416" s="66" t="s">
        <v>33</v>
      </c>
      <c r="F416" s="84" t="s">
        <v>48</v>
      </c>
      <c r="G416" s="68">
        <v>0.0</v>
      </c>
      <c r="H416" s="69">
        <f t="shared" si="19"/>
        <v>0</v>
      </c>
      <c r="I416" s="76" t="s">
        <v>47</v>
      </c>
      <c r="J416" s="98"/>
      <c r="K416" s="95"/>
      <c r="L416" s="82"/>
      <c r="M416" s="82"/>
      <c r="N416" s="72"/>
      <c r="O416" s="83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</row>
    <row r="417" ht="22.5" customHeight="1">
      <c r="A417" s="86">
        <v>45555.0</v>
      </c>
      <c r="B417" s="63" t="s">
        <v>27</v>
      </c>
      <c r="C417" s="79"/>
      <c r="D417" s="80">
        <v>1126210.0</v>
      </c>
      <c r="E417" s="66" t="s">
        <v>33</v>
      </c>
      <c r="F417" s="67"/>
      <c r="G417" s="68">
        <v>0.0</v>
      </c>
      <c r="H417" s="69">
        <f t="shared" si="19"/>
        <v>0</v>
      </c>
      <c r="I417" s="76" t="s">
        <v>93</v>
      </c>
      <c r="J417" s="125" t="s">
        <v>415</v>
      </c>
      <c r="K417" s="95"/>
      <c r="L417" s="82"/>
      <c r="M417" s="82"/>
      <c r="N417" s="72"/>
      <c r="O417" s="83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</row>
    <row r="418" ht="22.5" customHeight="1">
      <c r="A418" s="86">
        <v>45555.0</v>
      </c>
      <c r="B418" s="63" t="s">
        <v>27</v>
      </c>
      <c r="C418" s="79"/>
      <c r="D418" s="80">
        <v>30000.0</v>
      </c>
      <c r="E418" s="66" t="s">
        <v>33</v>
      </c>
      <c r="F418" s="84" t="s">
        <v>203</v>
      </c>
      <c r="G418" s="68">
        <v>0.0</v>
      </c>
      <c r="H418" s="69">
        <f t="shared" si="19"/>
        <v>0</v>
      </c>
      <c r="I418" s="76" t="s">
        <v>53</v>
      </c>
      <c r="J418" s="87" t="s">
        <v>240</v>
      </c>
      <c r="K418" s="95"/>
      <c r="L418" s="82"/>
      <c r="M418" s="82"/>
      <c r="N418" s="72"/>
      <c r="O418" s="83" t="s">
        <v>406</v>
      </c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</row>
    <row r="419" ht="22.5" customHeight="1">
      <c r="A419" s="86">
        <v>45555.0</v>
      </c>
      <c r="B419" s="63" t="s">
        <v>27</v>
      </c>
      <c r="C419" s="79"/>
      <c r="D419" s="80">
        <v>48409.6</v>
      </c>
      <c r="E419" s="66" t="s">
        <v>28</v>
      </c>
      <c r="F419" s="84" t="s">
        <v>382</v>
      </c>
      <c r="G419" s="68">
        <v>0.0</v>
      </c>
      <c r="H419" s="69">
        <f t="shared" si="19"/>
        <v>0</v>
      </c>
      <c r="I419" s="97"/>
      <c r="J419" s="87" t="s">
        <v>416</v>
      </c>
      <c r="K419" s="95"/>
      <c r="L419" s="82"/>
      <c r="M419" s="82"/>
      <c r="N419" s="72"/>
      <c r="O419" s="83" t="s">
        <v>417</v>
      </c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</row>
    <row r="420" ht="22.5" customHeight="1">
      <c r="A420" s="86">
        <v>45555.0</v>
      </c>
      <c r="B420" s="63" t="s">
        <v>27</v>
      </c>
      <c r="C420" s="79"/>
      <c r="D420" s="80">
        <v>20000.0</v>
      </c>
      <c r="E420" s="66" t="s">
        <v>33</v>
      </c>
      <c r="F420" s="84" t="s">
        <v>418</v>
      </c>
      <c r="G420" s="68">
        <v>0.0</v>
      </c>
      <c r="H420" s="69">
        <f t="shared" si="19"/>
        <v>0</v>
      </c>
      <c r="I420" s="97"/>
      <c r="J420" s="87" t="s">
        <v>418</v>
      </c>
      <c r="K420" s="95"/>
      <c r="L420" s="82"/>
      <c r="M420" s="82"/>
      <c r="N420" s="72"/>
      <c r="O420" s="83" t="s">
        <v>419</v>
      </c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</row>
    <row r="421" ht="22.5" customHeight="1">
      <c r="A421" s="86">
        <v>45555.0</v>
      </c>
      <c r="B421" s="63" t="s">
        <v>27</v>
      </c>
      <c r="C421" s="79"/>
      <c r="D421" s="126">
        <v>1407446.8085106385</v>
      </c>
      <c r="E421" s="66" t="s">
        <v>28</v>
      </c>
      <c r="F421" s="84" t="s">
        <v>48</v>
      </c>
      <c r="G421" s="68">
        <v>20.0</v>
      </c>
      <c r="H421" s="69">
        <f t="shared" si="19"/>
        <v>234574.4681</v>
      </c>
      <c r="I421" s="76" t="s">
        <v>47</v>
      </c>
      <c r="J421" s="81"/>
      <c r="K421" s="95"/>
      <c r="L421" s="95"/>
      <c r="M421" s="95"/>
      <c r="N421" s="72"/>
      <c r="O421" s="96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</row>
    <row r="422" ht="22.5" customHeight="1">
      <c r="A422" s="86">
        <v>45555.0</v>
      </c>
      <c r="B422" s="63" t="s">
        <v>27</v>
      </c>
      <c r="C422" s="80">
        <v>1102500.0</v>
      </c>
      <c r="D422" s="126"/>
      <c r="E422" s="66" t="s">
        <v>33</v>
      </c>
      <c r="F422" s="84" t="s">
        <v>48</v>
      </c>
      <c r="G422" s="68">
        <v>0.0</v>
      </c>
      <c r="H422" s="69">
        <f t="shared" si="19"/>
        <v>0</v>
      </c>
      <c r="I422" s="76" t="s">
        <v>47</v>
      </c>
      <c r="J422" s="81"/>
      <c r="K422" s="95"/>
      <c r="L422" s="95"/>
      <c r="M422" s="95"/>
      <c r="N422" s="72"/>
      <c r="O422" s="96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</row>
    <row r="423" ht="22.5" customHeight="1">
      <c r="A423" s="86">
        <v>45558.0</v>
      </c>
      <c r="B423" s="63" t="s">
        <v>27</v>
      </c>
      <c r="C423" s="79"/>
      <c r="D423" s="80">
        <v>29700.0</v>
      </c>
      <c r="E423" s="66" t="s">
        <v>28</v>
      </c>
      <c r="F423" s="84" t="s">
        <v>382</v>
      </c>
      <c r="G423" s="68">
        <v>0.0</v>
      </c>
      <c r="H423" s="69">
        <f t="shared" si="19"/>
        <v>0</v>
      </c>
      <c r="I423" s="97"/>
      <c r="J423" s="87" t="s">
        <v>420</v>
      </c>
      <c r="K423" s="95"/>
      <c r="L423" s="82"/>
      <c r="M423" s="82"/>
      <c r="N423" s="72"/>
      <c r="O423" s="83" t="s">
        <v>421</v>
      </c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</row>
    <row r="424" ht="22.5" customHeight="1">
      <c r="A424" s="86">
        <v>45558.0</v>
      </c>
      <c r="B424" s="63" t="s">
        <v>27</v>
      </c>
      <c r="C424" s="79"/>
      <c r="D424" s="80">
        <v>2400.0</v>
      </c>
      <c r="E424" s="66" t="s">
        <v>28</v>
      </c>
      <c r="F424" s="77"/>
      <c r="G424" s="68">
        <v>0.0</v>
      </c>
      <c r="H424" s="69">
        <f t="shared" si="19"/>
        <v>0</v>
      </c>
      <c r="I424" s="76" t="s">
        <v>294</v>
      </c>
      <c r="J424" s="87" t="s">
        <v>377</v>
      </c>
      <c r="K424" s="95"/>
      <c r="L424" s="95"/>
      <c r="M424" s="95"/>
      <c r="N424" s="72"/>
      <c r="O424" s="83" t="s">
        <v>378</v>
      </c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</row>
    <row r="425" ht="22.5" customHeight="1">
      <c r="A425" s="86">
        <v>45559.0</v>
      </c>
      <c r="B425" s="63" t="s">
        <v>27</v>
      </c>
      <c r="C425" s="80">
        <v>1547000.0</v>
      </c>
      <c r="D425" s="79"/>
      <c r="E425" s="66" t="s">
        <v>28</v>
      </c>
      <c r="F425" s="84" t="s">
        <v>348</v>
      </c>
      <c r="G425" s="68">
        <v>20.0</v>
      </c>
      <c r="H425" s="69">
        <f t="shared" si="19"/>
        <v>257833.3333</v>
      </c>
      <c r="I425" s="76" t="s">
        <v>37</v>
      </c>
      <c r="J425" s="87" t="s">
        <v>317</v>
      </c>
      <c r="K425" s="82">
        <v>5.0</v>
      </c>
      <c r="L425" s="82"/>
      <c r="M425" s="82"/>
      <c r="N425" s="72">
        <f>A425-IF(M425&gt;0,M425,A425)</f>
        <v>0</v>
      </c>
      <c r="O425" s="83" t="s">
        <v>422</v>
      </c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</row>
    <row r="426" ht="22.5" customHeight="1">
      <c r="A426" s="86">
        <v>45559.0</v>
      </c>
      <c r="B426" s="63" t="s">
        <v>27</v>
      </c>
      <c r="C426" s="79"/>
      <c r="D426" s="79">
        <f>10980+2700</f>
        <v>13680</v>
      </c>
      <c r="E426" s="66" t="s">
        <v>28</v>
      </c>
      <c r="F426" s="84" t="s">
        <v>382</v>
      </c>
      <c r="G426" s="68">
        <v>20.0</v>
      </c>
      <c r="H426" s="69">
        <f t="shared" si="19"/>
        <v>2280</v>
      </c>
      <c r="I426" s="97"/>
      <c r="J426" s="87" t="s">
        <v>423</v>
      </c>
      <c r="K426" s="95"/>
      <c r="L426" s="82"/>
      <c r="M426" s="82"/>
      <c r="N426" s="72"/>
      <c r="O426" s="83" t="s">
        <v>424</v>
      </c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</row>
    <row r="427" ht="22.5" customHeight="1">
      <c r="A427" s="86">
        <v>45559.0</v>
      </c>
      <c r="B427" s="63" t="s">
        <v>27</v>
      </c>
      <c r="C427" s="79"/>
      <c r="D427" s="80">
        <v>55000.0</v>
      </c>
      <c r="E427" s="66" t="s">
        <v>33</v>
      </c>
      <c r="F427" s="84" t="s">
        <v>382</v>
      </c>
      <c r="G427" s="68">
        <v>0.0</v>
      </c>
      <c r="H427" s="69">
        <f t="shared" si="19"/>
        <v>0</v>
      </c>
      <c r="I427" s="97"/>
      <c r="J427" s="87" t="s">
        <v>386</v>
      </c>
      <c r="K427" s="95"/>
      <c r="L427" s="82"/>
      <c r="M427" s="82"/>
      <c r="N427" s="72"/>
      <c r="O427" s="83" t="s">
        <v>425</v>
      </c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</row>
    <row r="428" ht="22.5" customHeight="1">
      <c r="A428" s="86">
        <v>45559.0</v>
      </c>
      <c r="B428" s="63" t="s">
        <v>27</v>
      </c>
      <c r="C428" s="79"/>
      <c r="D428" s="80">
        <v>16200.0</v>
      </c>
      <c r="E428" s="66" t="s">
        <v>33</v>
      </c>
      <c r="F428" s="84" t="s">
        <v>382</v>
      </c>
      <c r="G428" s="68">
        <v>0.0</v>
      </c>
      <c r="H428" s="69">
        <f t="shared" si="19"/>
        <v>0</v>
      </c>
      <c r="I428" s="97"/>
      <c r="J428" s="87" t="s">
        <v>254</v>
      </c>
      <c r="K428" s="95"/>
      <c r="L428" s="82"/>
      <c r="M428" s="82"/>
      <c r="N428" s="72"/>
      <c r="O428" s="83" t="s">
        <v>426</v>
      </c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</row>
    <row r="429" ht="22.5" customHeight="1">
      <c r="A429" s="86">
        <v>45560.0</v>
      </c>
      <c r="B429" s="63" t="s">
        <v>27</v>
      </c>
      <c r="C429" s="79"/>
      <c r="D429" s="80">
        <v>256162.0</v>
      </c>
      <c r="E429" s="66" t="s">
        <v>28</v>
      </c>
      <c r="F429" s="84" t="s">
        <v>203</v>
      </c>
      <c r="G429" s="68">
        <v>0.0</v>
      </c>
      <c r="H429" s="69">
        <f t="shared" si="19"/>
        <v>0</v>
      </c>
      <c r="I429" s="89" t="s">
        <v>68</v>
      </c>
      <c r="J429" s="87" t="s">
        <v>338</v>
      </c>
      <c r="K429" s="95"/>
      <c r="L429" s="82"/>
      <c r="M429" s="82"/>
      <c r="N429" s="72"/>
      <c r="O429" s="83" t="s">
        <v>427</v>
      </c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</row>
    <row r="430" ht="22.5" customHeight="1">
      <c r="A430" s="86">
        <v>45562.0</v>
      </c>
      <c r="B430" s="63" t="s">
        <v>27</v>
      </c>
      <c r="C430" s="120">
        <v>362971.56</v>
      </c>
      <c r="D430" s="79"/>
      <c r="E430" s="66" t="s">
        <v>28</v>
      </c>
      <c r="F430" s="84" t="s">
        <v>314</v>
      </c>
      <c r="G430" s="68">
        <v>20.0</v>
      </c>
      <c r="H430" s="69">
        <f t="shared" si="19"/>
        <v>60495.26</v>
      </c>
      <c r="I430" s="76" t="s">
        <v>37</v>
      </c>
      <c r="J430" s="87" t="s">
        <v>367</v>
      </c>
      <c r="K430" s="82">
        <v>2.0</v>
      </c>
      <c r="L430" s="82"/>
      <c r="M430" s="82"/>
      <c r="N430" s="72">
        <f t="shared" ref="N430:N431" si="30">A430-IF(M430&gt;0,M430,A430)</f>
        <v>0</v>
      </c>
      <c r="O430" s="83" t="s">
        <v>428</v>
      </c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</row>
    <row r="431" ht="22.5" customHeight="1">
      <c r="A431" s="86">
        <v>45562.0</v>
      </c>
      <c r="B431" s="63" t="s">
        <v>27</v>
      </c>
      <c r="C431" s="122">
        <v>1200000.06</v>
      </c>
      <c r="D431" s="79"/>
      <c r="E431" s="66" t="s">
        <v>376</v>
      </c>
      <c r="F431" s="84" t="s">
        <v>314</v>
      </c>
      <c r="G431" s="68">
        <v>20.0</v>
      </c>
      <c r="H431" s="69">
        <f t="shared" si="19"/>
        <v>200000.01</v>
      </c>
      <c r="I431" s="76" t="s">
        <v>37</v>
      </c>
      <c r="J431" s="87" t="s">
        <v>250</v>
      </c>
      <c r="K431" s="82">
        <v>8.0</v>
      </c>
      <c r="L431" s="127">
        <v>98.0</v>
      </c>
      <c r="M431" s="82"/>
      <c r="N431" s="72">
        <f t="shared" si="30"/>
        <v>0</v>
      </c>
      <c r="O431" s="83" t="s">
        <v>429</v>
      </c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</row>
    <row r="432" ht="22.5" customHeight="1">
      <c r="A432" s="86">
        <v>45565.0</v>
      </c>
      <c r="B432" s="63" t="s">
        <v>27</v>
      </c>
      <c r="C432" s="79"/>
      <c r="D432" s="80">
        <v>25000.0</v>
      </c>
      <c r="E432" s="66" t="s">
        <v>33</v>
      </c>
      <c r="F432" s="84" t="s">
        <v>203</v>
      </c>
      <c r="G432" s="68">
        <v>0.0</v>
      </c>
      <c r="H432" s="69">
        <f t="shared" si="19"/>
        <v>0</v>
      </c>
      <c r="I432" s="97"/>
      <c r="J432" s="87" t="s">
        <v>240</v>
      </c>
      <c r="K432" s="95"/>
      <c r="L432" s="82"/>
      <c r="M432" s="82"/>
      <c r="N432" s="72"/>
      <c r="O432" s="83" t="s">
        <v>406</v>
      </c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</row>
    <row r="433" ht="22.5" customHeight="1">
      <c r="A433" s="86">
        <v>45565.0</v>
      </c>
      <c r="B433" s="63" t="s">
        <v>27</v>
      </c>
      <c r="C433" s="79"/>
      <c r="D433" s="80">
        <v>474678.0</v>
      </c>
      <c r="E433" s="66" t="s">
        <v>28</v>
      </c>
      <c r="F433" s="84" t="s">
        <v>236</v>
      </c>
      <c r="G433" s="68">
        <v>0.0</v>
      </c>
      <c r="H433" s="69">
        <f t="shared" si="19"/>
        <v>0</v>
      </c>
      <c r="I433" s="94" t="s">
        <v>71</v>
      </c>
      <c r="J433" s="87" t="s">
        <v>72</v>
      </c>
      <c r="K433" s="95"/>
      <c r="L433" s="82"/>
      <c r="M433" s="82"/>
      <c r="N433" s="72"/>
      <c r="O433" s="83" t="s">
        <v>430</v>
      </c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</row>
    <row r="434" ht="22.5" customHeight="1">
      <c r="A434" s="86">
        <v>45565.0</v>
      </c>
      <c r="B434" s="63" t="s">
        <v>27</v>
      </c>
      <c r="C434" s="79"/>
      <c r="D434" s="80">
        <v>204342.51</v>
      </c>
      <c r="E434" s="66" t="s">
        <v>28</v>
      </c>
      <c r="F434" s="84" t="s">
        <v>283</v>
      </c>
      <c r="G434" s="68">
        <v>0.0</v>
      </c>
      <c r="H434" s="69">
        <f t="shared" si="19"/>
        <v>0</v>
      </c>
      <c r="I434" s="94" t="s">
        <v>71</v>
      </c>
      <c r="J434" s="87" t="s">
        <v>72</v>
      </c>
      <c r="K434" s="95"/>
      <c r="L434" s="82"/>
      <c r="M434" s="82"/>
      <c r="N434" s="72"/>
      <c r="O434" s="83" t="s">
        <v>208</v>
      </c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</row>
    <row r="435" ht="22.5" customHeight="1">
      <c r="A435" s="86">
        <v>45565.0</v>
      </c>
      <c r="B435" s="63" t="s">
        <v>27</v>
      </c>
      <c r="C435" s="79"/>
      <c r="D435" s="80">
        <v>38278.0</v>
      </c>
      <c r="E435" s="66" t="s">
        <v>28</v>
      </c>
      <c r="F435" s="84" t="s">
        <v>283</v>
      </c>
      <c r="G435" s="68">
        <v>0.0</v>
      </c>
      <c r="H435" s="69">
        <f t="shared" si="19"/>
        <v>0</v>
      </c>
      <c r="I435" s="94" t="s">
        <v>71</v>
      </c>
      <c r="J435" s="87" t="s">
        <v>72</v>
      </c>
      <c r="K435" s="95"/>
      <c r="L435" s="82"/>
      <c r="M435" s="82"/>
      <c r="N435" s="72"/>
      <c r="O435" s="83" t="s">
        <v>209</v>
      </c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</row>
    <row r="436" ht="22.5" customHeight="1">
      <c r="A436" s="86">
        <v>45566.0</v>
      </c>
      <c r="B436" s="63" t="s">
        <v>27</v>
      </c>
      <c r="C436" s="79"/>
      <c r="D436" s="80">
        <v>13990.0</v>
      </c>
      <c r="E436" s="66" t="s">
        <v>28</v>
      </c>
      <c r="F436" s="77"/>
      <c r="G436" s="68">
        <v>0.0</v>
      </c>
      <c r="H436" s="69">
        <f t="shared" si="19"/>
        <v>0</v>
      </c>
      <c r="I436" s="70" t="s">
        <v>30</v>
      </c>
      <c r="J436" s="71" t="s">
        <v>31</v>
      </c>
      <c r="K436" s="95"/>
      <c r="L436" s="95"/>
      <c r="M436" s="95"/>
      <c r="N436" s="72"/>
      <c r="O436" s="96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</row>
    <row r="437" ht="22.5" customHeight="1">
      <c r="A437" s="86">
        <v>45567.0</v>
      </c>
      <c r="B437" s="63" t="s">
        <v>27</v>
      </c>
      <c r="C437" s="80">
        <v>210000.0</v>
      </c>
      <c r="D437" s="80"/>
      <c r="E437" s="66" t="s">
        <v>28</v>
      </c>
      <c r="F437" s="84" t="s">
        <v>348</v>
      </c>
      <c r="G437" s="68">
        <v>20.0</v>
      </c>
      <c r="H437" s="69">
        <f t="shared" si="19"/>
        <v>35000</v>
      </c>
      <c r="I437" s="76" t="s">
        <v>37</v>
      </c>
      <c r="J437" s="87" t="s">
        <v>317</v>
      </c>
      <c r="K437" s="82">
        <v>6.0</v>
      </c>
      <c r="L437" s="82"/>
      <c r="M437" s="82"/>
      <c r="N437" s="72">
        <f>A437-IF(M437&gt;0,M437,A437)</f>
        <v>0</v>
      </c>
      <c r="O437" s="83" t="s">
        <v>431</v>
      </c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</row>
    <row r="438" ht="22.5" customHeight="1">
      <c r="A438" s="86">
        <v>45567.0</v>
      </c>
      <c r="B438" s="63" t="s">
        <v>27</v>
      </c>
      <c r="C438" s="79"/>
      <c r="D438" s="80">
        <v>2000000.0</v>
      </c>
      <c r="E438" s="66" t="s">
        <v>28</v>
      </c>
      <c r="F438" s="84" t="s">
        <v>244</v>
      </c>
      <c r="G438" s="68">
        <v>20.0</v>
      </c>
      <c r="H438" s="69">
        <f t="shared" si="19"/>
        <v>333333.3333</v>
      </c>
      <c r="I438" s="89" t="s">
        <v>61</v>
      </c>
      <c r="J438" s="103" t="s">
        <v>228</v>
      </c>
      <c r="K438" s="95"/>
      <c r="L438" s="82"/>
      <c r="M438" s="82"/>
      <c r="N438" s="72"/>
      <c r="O438" s="83" t="s">
        <v>432</v>
      </c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</row>
    <row r="439" ht="22.5" customHeight="1">
      <c r="A439" s="86">
        <v>45569.0</v>
      </c>
      <c r="B439" s="63" t="s">
        <v>27</v>
      </c>
      <c r="C439" s="79"/>
      <c r="D439" s="79">
        <v>700000.0</v>
      </c>
      <c r="E439" s="66" t="s">
        <v>33</v>
      </c>
      <c r="F439" s="84" t="s">
        <v>379</v>
      </c>
      <c r="G439" s="68">
        <v>0.0</v>
      </c>
      <c r="H439" s="69">
        <f t="shared" si="19"/>
        <v>0</v>
      </c>
      <c r="I439" s="89" t="s">
        <v>68</v>
      </c>
      <c r="J439" s="87" t="s">
        <v>203</v>
      </c>
      <c r="K439" s="95"/>
      <c r="L439" s="82"/>
      <c r="M439" s="82"/>
      <c r="N439" s="72"/>
      <c r="O439" s="83" t="s">
        <v>406</v>
      </c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</row>
    <row r="440" ht="22.5" customHeight="1">
      <c r="A440" s="86">
        <v>45569.0</v>
      </c>
      <c r="B440" s="63" t="s">
        <v>27</v>
      </c>
      <c r="C440" s="79"/>
      <c r="D440" s="80">
        <v>296035.0</v>
      </c>
      <c r="E440" s="66" t="s">
        <v>33</v>
      </c>
      <c r="F440" s="84" t="s">
        <v>379</v>
      </c>
      <c r="G440" s="68">
        <v>0.0</v>
      </c>
      <c r="H440" s="69">
        <f t="shared" si="19"/>
        <v>0</v>
      </c>
      <c r="I440" s="89" t="s">
        <v>68</v>
      </c>
      <c r="J440" s="87" t="s">
        <v>203</v>
      </c>
      <c r="K440" s="95"/>
      <c r="L440" s="82"/>
      <c r="M440" s="82"/>
      <c r="N440" s="72"/>
      <c r="O440" s="83" t="s">
        <v>433</v>
      </c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</row>
    <row r="441" ht="22.5" customHeight="1">
      <c r="A441" s="86">
        <v>45569.0</v>
      </c>
      <c r="B441" s="63" t="s">
        <v>27</v>
      </c>
      <c r="C441" s="79"/>
      <c r="D441" s="80">
        <v>315000.0</v>
      </c>
      <c r="E441" s="66" t="s">
        <v>33</v>
      </c>
      <c r="F441" s="84" t="s">
        <v>434</v>
      </c>
      <c r="G441" s="68">
        <v>0.0</v>
      </c>
      <c r="H441" s="69">
        <f t="shared" si="19"/>
        <v>0</v>
      </c>
      <c r="I441" s="97"/>
      <c r="J441" s="87" t="s">
        <v>413</v>
      </c>
      <c r="K441" s="95"/>
      <c r="L441" s="82"/>
      <c r="M441" s="82"/>
      <c r="N441" s="72"/>
      <c r="O441" s="83" t="s">
        <v>435</v>
      </c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</row>
    <row r="442" ht="22.5" customHeight="1">
      <c r="A442" s="86">
        <v>45569.0</v>
      </c>
      <c r="B442" s="63" t="s">
        <v>27</v>
      </c>
      <c r="C442" s="80">
        <v>360000.06</v>
      </c>
      <c r="D442" s="80"/>
      <c r="E442" s="66" t="s">
        <v>28</v>
      </c>
      <c r="F442" s="84" t="s">
        <v>348</v>
      </c>
      <c r="G442" s="68">
        <v>20.0</v>
      </c>
      <c r="H442" s="69">
        <f t="shared" si="19"/>
        <v>60000.01</v>
      </c>
      <c r="I442" s="76" t="s">
        <v>37</v>
      </c>
      <c r="J442" s="87" t="s">
        <v>317</v>
      </c>
      <c r="K442" s="82">
        <v>7.0</v>
      </c>
      <c r="L442" s="82"/>
      <c r="M442" s="82"/>
      <c r="N442" s="72">
        <f>A442-IF(M442&gt;0,M442,A442)</f>
        <v>0</v>
      </c>
      <c r="O442" s="83" t="s">
        <v>436</v>
      </c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</row>
    <row r="443" ht="22.5" customHeight="1">
      <c r="A443" s="86">
        <v>45569.0</v>
      </c>
      <c r="B443" s="63" t="s">
        <v>27</v>
      </c>
      <c r="C443" s="79"/>
      <c r="D443" s="80">
        <v>57415.0</v>
      </c>
      <c r="E443" s="66" t="s">
        <v>28</v>
      </c>
      <c r="F443" s="84" t="s">
        <v>236</v>
      </c>
      <c r="G443" s="68">
        <v>0.0</v>
      </c>
      <c r="H443" s="69">
        <f t="shared" si="19"/>
        <v>0</v>
      </c>
      <c r="I443" s="88"/>
      <c r="J443" s="81"/>
      <c r="K443" s="95"/>
      <c r="L443" s="95"/>
      <c r="M443" s="95"/>
      <c r="N443" s="72"/>
      <c r="O443" s="96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</row>
    <row r="444" ht="22.5" customHeight="1">
      <c r="A444" s="86">
        <v>45569.0</v>
      </c>
      <c r="B444" s="63" t="s">
        <v>27</v>
      </c>
      <c r="C444" s="79"/>
      <c r="D444" s="80">
        <v>15000.0</v>
      </c>
      <c r="E444" s="66" t="s">
        <v>28</v>
      </c>
      <c r="F444" s="67"/>
      <c r="G444" s="68">
        <v>20.0</v>
      </c>
      <c r="H444" s="69">
        <f t="shared" si="19"/>
        <v>2500</v>
      </c>
      <c r="I444" s="97"/>
      <c r="J444" s="87" t="s">
        <v>437</v>
      </c>
      <c r="K444" s="95"/>
      <c r="L444" s="82"/>
      <c r="M444" s="82"/>
      <c r="N444" s="72"/>
      <c r="O444" s="83" t="s">
        <v>438</v>
      </c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</row>
    <row r="445" ht="22.5" customHeight="1">
      <c r="A445" s="86">
        <v>45573.0</v>
      </c>
      <c r="B445" s="63" t="s">
        <v>27</v>
      </c>
      <c r="C445" s="80"/>
      <c r="D445" s="80">
        <f>3808177.21-2000000</f>
        <v>1808177.21</v>
      </c>
      <c r="E445" s="66" t="s">
        <v>28</v>
      </c>
      <c r="F445" s="84" t="s">
        <v>244</v>
      </c>
      <c r="G445" s="68">
        <v>20.0</v>
      </c>
      <c r="H445" s="69">
        <f t="shared" si="19"/>
        <v>301362.8683</v>
      </c>
      <c r="I445" s="89" t="s">
        <v>61</v>
      </c>
      <c r="J445" s="103" t="s">
        <v>228</v>
      </c>
      <c r="K445" s="95"/>
      <c r="L445" s="82"/>
      <c r="M445" s="82"/>
      <c r="N445" s="72"/>
      <c r="O445" s="83" t="s">
        <v>432</v>
      </c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</row>
    <row r="446" ht="22.5" customHeight="1">
      <c r="A446" s="86">
        <v>45575.0</v>
      </c>
      <c r="B446" s="63" t="s">
        <v>27</v>
      </c>
      <c r="C446" s="79"/>
      <c r="D446" s="80">
        <v>384245.0</v>
      </c>
      <c r="E446" s="66" t="s">
        <v>28</v>
      </c>
      <c r="F446" s="84" t="s">
        <v>379</v>
      </c>
      <c r="G446" s="68">
        <v>0.0</v>
      </c>
      <c r="H446" s="69">
        <f t="shared" si="19"/>
        <v>0</v>
      </c>
      <c r="I446" s="89" t="s">
        <v>68</v>
      </c>
      <c r="J446" s="87" t="s">
        <v>203</v>
      </c>
      <c r="K446" s="95"/>
      <c r="L446" s="82"/>
      <c r="M446" s="82"/>
      <c r="N446" s="72"/>
      <c r="O446" s="83" t="s">
        <v>439</v>
      </c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</row>
    <row r="447" ht="22.5" customHeight="1">
      <c r="A447" s="86">
        <v>45575.0</v>
      </c>
      <c r="B447" s="63" t="s">
        <v>27</v>
      </c>
      <c r="C447" s="79"/>
      <c r="D447" s="80">
        <v>1054839.0</v>
      </c>
      <c r="E447" s="66" t="s">
        <v>28</v>
      </c>
      <c r="F447" s="84" t="s">
        <v>48</v>
      </c>
      <c r="G447" s="68">
        <v>20.0</v>
      </c>
      <c r="H447" s="69">
        <f t="shared" si="19"/>
        <v>175806.5</v>
      </c>
      <c r="I447" s="76" t="s">
        <v>47</v>
      </c>
      <c r="J447" s="81"/>
      <c r="K447" s="95"/>
      <c r="L447" s="95"/>
      <c r="M447" s="95"/>
      <c r="N447" s="72"/>
      <c r="O447" s="96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</row>
    <row r="448" ht="22.5" customHeight="1">
      <c r="A448" s="86">
        <v>45575.0</v>
      </c>
      <c r="B448" s="63" t="s">
        <v>27</v>
      </c>
      <c r="C448" s="80">
        <v>801677.64</v>
      </c>
      <c r="D448" s="80"/>
      <c r="E448" s="66" t="s">
        <v>33</v>
      </c>
      <c r="F448" s="84" t="s">
        <v>48</v>
      </c>
      <c r="G448" s="68">
        <v>0.0</v>
      </c>
      <c r="H448" s="69">
        <f t="shared" si="19"/>
        <v>0</v>
      </c>
      <c r="I448" s="76" t="s">
        <v>47</v>
      </c>
      <c r="J448" s="81"/>
      <c r="K448" s="95"/>
      <c r="L448" s="95"/>
      <c r="M448" s="95"/>
      <c r="N448" s="72"/>
      <c r="O448" s="96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</row>
    <row r="449" ht="22.5" customHeight="1">
      <c r="A449" s="86">
        <v>45576.0</v>
      </c>
      <c r="B449" s="63" t="s">
        <v>27</v>
      </c>
      <c r="C449" s="122">
        <v>2394687.12</v>
      </c>
      <c r="D449" s="79"/>
      <c r="E449" s="66" t="s">
        <v>376</v>
      </c>
      <c r="F449" s="84" t="s">
        <v>314</v>
      </c>
      <c r="G449" s="68">
        <v>20.0</v>
      </c>
      <c r="H449" s="69">
        <f t="shared" si="19"/>
        <v>399114.52</v>
      </c>
      <c r="I449" s="76" t="s">
        <v>37</v>
      </c>
      <c r="J449" s="87" t="s">
        <v>250</v>
      </c>
      <c r="K449" s="82">
        <v>11.0</v>
      </c>
      <c r="L449" s="82">
        <v>122.0</v>
      </c>
      <c r="M449" s="95"/>
      <c r="N449" s="72">
        <f t="shared" ref="N449:N453" si="31">A449-IF(M449&gt;0,M449,A449)</f>
        <v>0</v>
      </c>
      <c r="O449" s="96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</row>
    <row r="450" ht="22.5" customHeight="1">
      <c r="A450" s="86">
        <v>45576.0</v>
      </c>
      <c r="B450" s="63" t="s">
        <v>27</v>
      </c>
      <c r="C450" s="80">
        <v>450030.0</v>
      </c>
      <c r="D450" s="79"/>
      <c r="E450" s="66" t="s">
        <v>28</v>
      </c>
      <c r="F450" s="84" t="s">
        <v>314</v>
      </c>
      <c r="G450" s="68">
        <v>20.0</v>
      </c>
      <c r="H450" s="69">
        <f t="shared" si="19"/>
        <v>75005</v>
      </c>
      <c r="I450" s="76" t="s">
        <v>37</v>
      </c>
      <c r="J450" s="87" t="s">
        <v>440</v>
      </c>
      <c r="K450" s="82">
        <v>1.0</v>
      </c>
      <c r="L450" s="82"/>
      <c r="M450" s="82"/>
      <c r="N450" s="72">
        <f t="shared" si="31"/>
        <v>0</v>
      </c>
      <c r="O450" s="83" t="s">
        <v>441</v>
      </c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</row>
    <row r="451" ht="22.5" customHeight="1">
      <c r="A451" s="86">
        <v>45576.0</v>
      </c>
      <c r="B451" s="63" t="s">
        <v>27</v>
      </c>
      <c r="C451" s="80">
        <v>600000.24</v>
      </c>
      <c r="D451" s="79"/>
      <c r="E451" s="66" t="s">
        <v>28</v>
      </c>
      <c r="F451" s="84" t="s">
        <v>314</v>
      </c>
      <c r="G451" s="68">
        <v>20.0</v>
      </c>
      <c r="H451" s="69">
        <f t="shared" si="19"/>
        <v>100000.04</v>
      </c>
      <c r="I451" s="76" t="s">
        <v>37</v>
      </c>
      <c r="J451" s="87" t="s">
        <v>440</v>
      </c>
      <c r="K451" s="82">
        <v>2.0</v>
      </c>
      <c r="L451" s="82"/>
      <c r="M451" s="82"/>
      <c r="N451" s="72">
        <f t="shared" si="31"/>
        <v>0</v>
      </c>
      <c r="O451" s="83" t="s">
        <v>441</v>
      </c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</row>
    <row r="452" ht="22.5" customHeight="1">
      <c r="A452" s="86">
        <v>45576.0</v>
      </c>
      <c r="B452" s="63" t="s">
        <v>27</v>
      </c>
      <c r="C452" s="80">
        <v>600000.24</v>
      </c>
      <c r="D452" s="79"/>
      <c r="E452" s="66" t="s">
        <v>28</v>
      </c>
      <c r="F452" s="84" t="s">
        <v>314</v>
      </c>
      <c r="G452" s="68">
        <v>20.0</v>
      </c>
      <c r="H452" s="69">
        <f t="shared" si="19"/>
        <v>100000.04</v>
      </c>
      <c r="I452" s="76" t="s">
        <v>37</v>
      </c>
      <c r="J452" s="87" t="s">
        <v>440</v>
      </c>
      <c r="K452" s="82">
        <v>3.0</v>
      </c>
      <c r="L452" s="82"/>
      <c r="M452" s="82"/>
      <c r="N452" s="72">
        <f t="shared" si="31"/>
        <v>0</v>
      </c>
      <c r="O452" s="83" t="s">
        <v>441</v>
      </c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</row>
    <row r="453" ht="22.5" customHeight="1">
      <c r="A453" s="86">
        <v>45576.0</v>
      </c>
      <c r="B453" s="63" t="s">
        <v>27</v>
      </c>
      <c r="C453" s="122">
        <v>1605312.88</v>
      </c>
      <c r="D453" s="79"/>
      <c r="E453" s="66" t="s">
        <v>376</v>
      </c>
      <c r="F453" s="84" t="s">
        <v>314</v>
      </c>
      <c r="G453" s="68">
        <v>20.0</v>
      </c>
      <c r="H453" s="69">
        <f t="shared" si="19"/>
        <v>267552.1467</v>
      </c>
      <c r="I453" s="76" t="s">
        <v>37</v>
      </c>
      <c r="J453" s="87" t="s">
        <v>250</v>
      </c>
      <c r="K453" s="82">
        <v>9.0</v>
      </c>
      <c r="L453" s="82">
        <v>91.0</v>
      </c>
      <c r="M453" s="95"/>
      <c r="N453" s="72">
        <f t="shared" si="31"/>
        <v>0</v>
      </c>
      <c r="O453" s="96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</row>
    <row r="454" ht="22.5" customHeight="1">
      <c r="A454" s="86">
        <v>45576.0</v>
      </c>
      <c r="B454" s="63" t="s">
        <v>27</v>
      </c>
      <c r="C454" s="79"/>
      <c r="D454" s="80">
        <v>170000.0</v>
      </c>
      <c r="E454" s="66" t="s">
        <v>33</v>
      </c>
      <c r="F454" s="77"/>
      <c r="G454" s="68">
        <v>0.0</v>
      </c>
      <c r="H454" s="69">
        <f t="shared" si="19"/>
        <v>0</v>
      </c>
      <c r="I454" s="97"/>
      <c r="J454" s="87" t="s">
        <v>108</v>
      </c>
      <c r="K454" s="95"/>
      <c r="L454" s="82"/>
      <c r="M454" s="82"/>
      <c r="N454" s="72"/>
      <c r="O454" s="83" t="s">
        <v>442</v>
      </c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</row>
    <row r="455" ht="22.5" customHeight="1">
      <c r="A455" s="86">
        <v>45579.0</v>
      </c>
      <c r="B455" s="63" t="s">
        <v>27</v>
      </c>
      <c r="C455" s="79"/>
      <c r="D455" s="80">
        <v>3578.78</v>
      </c>
      <c r="E455" s="66" t="s">
        <v>28</v>
      </c>
      <c r="F455" s="84" t="s">
        <v>443</v>
      </c>
      <c r="G455" s="68">
        <v>20.0</v>
      </c>
      <c r="H455" s="69">
        <f t="shared" si="19"/>
        <v>596.4633333</v>
      </c>
      <c r="I455" s="97"/>
      <c r="J455" s="87" t="s">
        <v>444</v>
      </c>
      <c r="K455" s="95"/>
      <c r="L455" s="82"/>
      <c r="M455" s="82"/>
      <c r="N455" s="72"/>
      <c r="O455" s="83" t="s">
        <v>445</v>
      </c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</row>
    <row r="456" ht="22.5" customHeight="1">
      <c r="A456" s="86">
        <v>45580.0</v>
      </c>
      <c r="B456" s="63" t="s">
        <v>27</v>
      </c>
      <c r="C456" s="79"/>
      <c r="D456" s="80">
        <v>1472.2</v>
      </c>
      <c r="E456" s="66" t="s">
        <v>28</v>
      </c>
      <c r="F456" s="77"/>
      <c r="G456" s="68">
        <v>0.0</v>
      </c>
      <c r="H456" s="69">
        <f t="shared" si="19"/>
        <v>0</v>
      </c>
      <c r="I456" s="88"/>
      <c r="J456" s="81"/>
      <c r="K456" s="95"/>
      <c r="L456" s="95"/>
      <c r="M456" s="95"/>
      <c r="N456" s="72"/>
      <c r="O456" s="96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</row>
    <row r="457" ht="22.5" customHeight="1">
      <c r="A457" s="86">
        <v>45580.0</v>
      </c>
      <c r="B457" s="63" t="s">
        <v>27</v>
      </c>
      <c r="C457" s="79"/>
      <c r="D457" s="80">
        <v>1500.0</v>
      </c>
      <c r="E457" s="66" t="s">
        <v>33</v>
      </c>
      <c r="F457" s="77"/>
      <c r="G457" s="68">
        <v>0.0</v>
      </c>
      <c r="H457" s="69">
        <f t="shared" si="19"/>
        <v>0</v>
      </c>
      <c r="I457" s="97"/>
      <c r="J457" s="87" t="s">
        <v>446</v>
      </c>
      <c r="K457" s="95"/>
      <c r="L457" s="82"/>
      <c r="M457" s="82"/>
      <c r="N457" s="72"/>
      <c r="O457" s="83" t="s">
        <v>447</v>
      </c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</row>
    <row r="458" ht="22.5" customHeight="1">
      <c r="A458" s="86">
        <v>45581.0</v>
      </c>
      <c r="B458" s="63" t="s">
        <v>27</v>
      </c>
      <c r="C458" s="79"/>
      <c r="D458" s="120">
        <v>701021.03</v>
      </c>
      <c r="E458" s="66" t="s">
        <v>28</v>
      </c>
      <c r="F458" s="84" t="s">
        <v>284</v>
      </c>
      <c r="G458" s="68">
        <v>20.0</v>
      </c>
      <c r="H458" s="69">
        <f t="shared" si="19"/>
        <v>116836.8383</v>
      </c>
      <c r="I458" s="89" t="s">
        <v>61</v>
      </c>
      <c r="J458" s="103" t="s">
        <v>228</v>
      </c>
      <c r="K458" s="95"/>
      <c r="L458" s="82"/>
      <c r="M458" s="82"/>
      <c r="N458" s="72"/>
      <c r="O458" s="83" t="s">
        <v>448</v>
      </c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</row>
    <row r="459" ht="22.5" customHeight="1">
      <c r="A459" s="86">
        <v>45581.0</v>
      </c>
      <c r="B459" s="63" t="s">
        <v>27</v>
      </c>
      <c r="C459" s="120">
        <v>459123.84</v>
      </c>
      <c r="D459" s="79"/>
      <c r="E459" s="66" t="s">
        <v>28</v>
      </c>
      <c r="F459" s="84" t="s">
        <v>244</v>
      </c>
      <c r="G459" s="68">
        <v>20.0</v>
      </c>
      <c r="H459" s="69">
        <f t="shared" si="19"/>
        <v>76520.64</v>
      </c>
      <c r="I459" s="76" t="s">
        <v>37</v>
      </c>
      <c r="J459" s="87" t="s">
        <v>157</v>
      </c>
      <c r="K459" s="95"/>
      <c r="L459" s="82"/>
      <c r="M459" s="82"/>
      <c r="N459" s="72">
        <f t="shared" ref="N459:N463" si="32">A459-IF(M459&gt;0,M459,A459)</f>
        <v>0</v>
      </c>
      <c r="O459" s="83" t="s">
        <v>449</v>
      </c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</row>
    <row r="460" ht="22.5" customHeight="1">
      <c r="A460" s="86">
        <v>45581.0</v>
      </c>
      <c r="B460" s="63" t="s">
        <v>27</v>
      </c>
      <c r="C460" s="120">
        <v>222783.51</v>
      </c>
      <c r="D460" s="79"/>
      <c r="E460" s="66" t="s">
        <v>28</v>
      </c>
      <c r="F460" s="84" t="s">
        <v>284</v>
      </c>
      <c r="G460" s="68">
        <v>20.0</v>
      </c>
      <c r="H460" s="69">
        <f t="shared" si="19"/>
        <v>37130.585</v>
      </c>
      <c r="I460" s="76" t="s">
        <v>37</v>
      </c>
      <c r="J460" s="87" t="s">
        <v>157</v>
      </c>
      <c r="K460" s="95"/>
      <c r="L460" s="95"/>
      <c r="M460" s="95"/>
      <c r="N460" s="72">
        <f t="shared" si="32"/>
        <v>0</v>
      </c>
      <c r="O460" s="96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</row>
    <row r="461" ht="22.5" customHeight="1">
      <c r="A461" s="86">
        <v>45581.0</v>
      </c>
      <c r="B461" s="63" t="s">
        <v>27</v>
      </c>
      <c r="C461" s="80">
        <v>500000.0</v>
      </c>
      <c r="D461" s="79"/>
      <c r="E461" s="66" t="s">
        <v>28</v>
      </c>
      <c r="F461" s="84" t="s">
        <v>379</v>
      </c>
      <c r="G461" s="68">
        <v>20.0</v>
      </c>
      <c r="H461" s="69">
        <f t="shared" si="19"/>
        <v>83333.33333</v>
      </c>
      <c r="I461" s="76" t="s">
        <v>37</v>
      </c>
      <c r="J461" s="87" t="s">
        <v>120</v>
      </c>
      <c r="K461" s="82">
        <v>21.0</v>
      </c>
      <c r="L461" s="82"/>
      <c r="M461" s="82"/>
      <c r="N461" s="72">
        <f t="shared" si="32"/>
        <v>0</v>
      </c>
      <c r="O461" s="83" t="s">
        <v>450</v>
      </c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</row>
    <row r="462" ht="22.5" customHeight="1">
      <c r="A462" s="86">
        <v>45581.0</v>
      </c>
      <c r="B462" s="63" t="s">
        <v>27</v>
      </c>
      <c r="C462" s="80">
        <v>44018.64</v>
      </c>
      <c r="D462" s="79"/>
      <c r="E462" s="66" t="s">
        <v>28</v>
      </c>
      <c r="F462" s="84" t="s">
        <v>379</v>
      </c>
      <c r="G462" s="68">
        <v>20.0</v>
      </c>
      <c r="H462" s="69">
        <f t="shared" si="19"/>
        <v>7336.44</v>
      </c>
      <c r="I462" s="76" t="s">
        <v>37</v>
      </c>
      <c r="J462" s="87" t="s">
        <v>120</v>
      </c>
      <c r="K462" s="82">
        <v>20.0</v>
      </c>
      <c r="L462" s="82"/>
      <c r="M462" s="82"/>
      <c r="N462" s="72">
        <f t="shared" si="32"/>
        <v>0</v>
      </c>
      <c r="O462" s="83" t="s">
        <v>451</v>
      </c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</row>
    <row r="463" ht="22.5" customHeight="1">
      <c r="A463" s="86">
        <v>45583.0</v>
      </c>
      <c r="B463" s="63" t="s">
        <v>27</v>
      </c>
      <c r="C463" s="80">
        <v>210000.0</v>
      </c>
      <c r="D463" s="79"/>
      <c r="E463" s="66" t="s">
        <v>28</v>
      </c>
      <c r="F463" s="84" t="s">
        <v>348</v>
      </c>
      <c r="G463" s="68">
        <v>20.0</v>
      </c>
      <c r="H463" s="69">
        <f t="shared" si="19"/>
        <v>35000</v>
      </c>
      <c r="I463" s="76" t="s">
        <v>37</v>
      </c>
      <c r="J463" s="87" t="s">
        <v>317</v>
      </c>
      <c r="K463" s="82">
        <v>8.0</v>
      </c>
      <c r="L463" s="82"/>
      <c r="M463" s="82"/>
      <c r="N463" s="72">
        <f t="shared" si="32"/>
        <v>0</v>
      </c>
      <c r="O463" s="83" t="s">
        <v>452</v>
      </c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</row>
    <row r="464" ht="22.5" customHeight="1">
      <c r="A464" s="86">
        <v>45583.0</v>
      </c>
      <c r="B464" s="63" t="s">
        <v>27</v>
      </c>
      <c r="C464" s="79"/>
      <c r="D464" s="120">
        <v>72000.0</v>
      </c>
      <c r="E464" s="66" t="s">
        <v>28</v>
      </c>
      <c r="F464" s="84" t="s">
        <v>453</v>
      </c>
      <c r="G464" s="68">
        <v>0.0</v>
      </c>
      <c r="H464" s="69">
        <f t="shared" si="19"/>
        <v>0</v>
      </c>
      <c r="I464" s="76" t="s">
        <v>286</v>
      </c>
      <c r="J464" s="87" t="s">
        <v>454</v>
      </c>
      <c r="K464" s="82">
        <v>2.0</v>
      </c>
      <c r="L464" s="82"/>
      <c r="M464" s="82"/>
      <c r="N464" s="72"/>
      <c r="O464" s="83" t="s">
        <v>455</v>
      </c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</row>
    <row r="465" ht="22.5" customHeight="1">
      <c r="A465" s="86">
        <v>45583.0</v>
      </c>
      <c r="B465" s="63" t="s">
        <v>27</v>
      </c>
      <c r="C465" s="79"/>
      <c r="D465" s="80">
        <v>50000.0</v>
      </c>
      <c r="E465" s="66" t="s">
        <v>33</v>
      </c>
      <c r="F465" s="84" t="s">
        <v>203</v>
      </c>
      <c r="G465" s="68">
        <v>0.0</v>
      </c>
      <c r="H465" s="69">
        <f t="shared" si="19"/>
        <v>0</v>
      </c>
      <c r="I465" s="89" t="s">
        <v>68</v>
      </c>
      <c r="J465" s="87" t="s">
        <v>203</v>
      </c>
      <c r="K465" s="95"/>
      <c r="L465" s="95"/>
      <c r="M465" s="95"/>
      <c r="N465" s="72"/>
      <c r="O465" s="83" t="s">
        <v>240</v>
      </c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</row>
    <row r="466" ht="22.5" customHeight="1">
      <c r="A466" s="86">
        <v>45586.0</v>
      </c>
      <c r="B466" s="63" t="s">
        <v>27</v>
      </c>
      <c r="C466" s="79"/>
      <c r="D466" s="120">
        <v>535239.5</v>
      </c>
      <c r="E466" s="66" t="s">
        <v>28</v>
      </c>
      <c r="F466" s="84" t="s">
        <v>456</v>
      </c>
      <c r="G466" s="68">
        <v>0.0</v>
      </c>
      <c r="H466" s="69">
        <f t="shared" si="19"/>
        <v>0</v>
      </c>
      <c r="I466" s="97"/>
      <c r="J466" s="87" t="s">
        <v>305</v>
      </c>
      <c r="K466" s="95"/>
      <c r="L466" s="95"/>
      <c r="M466" s="95"/>
      <c r="N466" s="72"/>
      <c r="O466" s="96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</row>
    <row r="467" ht="22.5" customHeight="1">
      <c r="A467" s="86">
        <v>45586.0</v>
      </c>
      <c r="B467" s="63" t="s">
        <v>27</v>
      </c>
      <c r="C467" s="79"/>
      <c r="D467" s="80">
        <v>35000.0</v>
      </c>
      <c r="E467" s="66" t="s">
        <v>28</v>
      </c>
      <c r="F467" s="84" t="s">
        <v>456</v>
      </c>
      <c r="G467" s="68">
        <v>0.0</v>
      </c>
      <c r="H467" s="69">
        <f t="shared" si="19"/>
        <v>0</v>
      </c>
      <c r="I467" s="97"/>
      <c r="J467" s="87" t="s">
        <v>317</v>
      </c>
      <c r="K467" s="95"/>
      <c r="L467" s="95"/>
      <c r="M467" s="128">
        <v>45504.0</v>
      </c>
      <c r="N467" s="72"/>
      <c r="O467" s="96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</row>
    <row r="468" ht="22.5" customHeight="1">
      <c r="A468" s="86">
        <v>45586.0</v>
      </c>
      <c r="B468" s="63" t="s">
        <v>27</v>
      </c>
      <c r="C468" s="79"/>
      <c r="D468" s="120">
        <v>155025.55</v>
      </c>
      <c r="E468" s="66" t="s">
        <v>28</v>
      </c>
      <c r="F468" s="84" t="s">
        <v>456</v>
      </c>
      <c r="G468" s="68">
        <v>0.0</v>
      </c>
      <c r="H468" s="69">
        <f t="shared" si="19"/>
        <v>0</v>
      </c>
      <c r="I468" s="97"/>
      <c r="J468" s="87" t="s">
        <v>120</v>
      </c>
      <c r="K468" s="95"/>
      <c r="L468" s="95"/>
      <c r="M468" s="95"/>
      <c r="N468" s="72"/>
      <c r="O468" s="96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</row>
    <row r="469" ht="22.5" customHeight="1">
      <c r="A469" s="86">
        <v>45586.0</v>
      </c>
      <c r="B469" s="63" t="s">
        <v>27</v>
      </c>
      <c r="C469" s="79"/>
      <c r="D469" s="80">
        <v>25000.0</v>
      </c>
      <c r="E469" s="66" t="s">
        <v>33</v>
      </c>
      <c r="F469" s="84" t="s">
        <v>108</v>
      </c>
      <c r="G469" s="68">
        <v>0.0</v>
      </c>
      <c r="H469" s="69">
        <f t="shared" si="19"/>
        <v>0</v>
      </c>
      <c r="I469" s="97"/>
      <c r="J469" s="87" t="s">
        <v>457</v>
      </c>
      <c r="K469" s="95"/>
      <c r="L469" s="95"/>
      <c r="M469" s="95"/>
      <c r="N469" s="72"/>
      <c r="O469" s="83" t="s">
        <v>458</v>
      </c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</row>
    <row r="470" ht="22.5" customHeight="1">
      <c r="A470" s="86">
        <v>45586.0</v>
      </c>
      <c r="B470" s="63" t="s">
        <v>27</v>
      </c>
      <c r="C470" s="120">
        <v>441000.0</v>
      </c>
      <c r="D470" s="129"/>
      <c r="E470" s="66" t="s">
        <v>28</v>
      </c>
      <c r="F470" s="84" t="s">
        <v>314</v>
      </c>
      <c r="G470" s="68">
        <v>20.0</v>
      </c>
      <c r="H470" s="69">
        <f t="shared" si="19"/>
        <v>73500</v>
      </c>
      <c r="I470" s="76" t="s">
        <v>37</v>
      </c>
      <c r="J470" s="87" t="s">
        <v>305</v>
      </c>
      <c r="K470" s="82">
        <v>4.0</v>
      </c>
      <c r="L470" s="82">
        <v>97.0</v>
      </c>
      <c r="M470" s="95"/>
      <c r="N470" s="72">
        <f>A470-IF(M470&gt;0,M470,A470)</f>
        <v>0</v>
      </c>
      <c r="O470" s="96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</row>
    <row r="471" ht="22.5" customHeight="1">
      <c r="A471" s="86">
        <v>45588.0</v>
      </c>
      <c r="B471" s="63" t="s">
        <v>27</v>
      </c>
      <c r="C471" s="129"/>
      <c r="D471" s="120">
        <v>648696.46</v>
      </c>
      <c r="E471" s="66" t="s">
        <v>28</v>
      </c>
      <c r="F471" s="84" t="s">
        <v>456</v>
      </c>
      <c r="G471" s="68">
        <v>0.0</v>
      </c>
      <c r="H471" s="69">
        <f t="shared" si="19"/>
        <v>0</v>
      </c>
      <c r="I471" s="97"/>
      <c r="J471" s="87" t="s">
        <v>157</v>
      </c>
      <c r="K471" s="95"/>
      <c r="L471" s="95"/>
      <c r="M471" s="95"/>
      <c r="N471" s="72"/>
      <c r="O471" s="96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</row>
    <row r="472" ht="22.5" customHeight="1">
      <c r="A472" s="86">
        <v>45588.0</v>
      </c>
      <c r="B472" s="63" t="s">
        <v>27</v>
      </c>
      <c r="C472" s="129"/>
      <c r="D472" s="120">
        <v>60679.57</v>
      </c>
      <c r="E472" s="66" t="s">
        <v>28</v>
      </c>
      <c r="F472" s="84" t="s">
        <v>456</v>
      </c>
      <c r="G472" s="68">
        <v>0.0</v>
      </c>
      <c r="H472" s="69">
        <f t="shared" si="19"/>
        <v>0</v>
      </c>
      <c r="I472" s="97"/>
      <c r="J472" s="87" t="s">
        <v>181</v>
      </c>
      <c r="K472" s="95"/>
      <c r="L472" s="95"/>
      <c r="M472" s="95"/>
      <c r="N472" s="72"/>
      <c r="O472" s="96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</row>
    <row r="473" ht="22.5" customHeight="1">
      <c r="A473" s="86">
        <v>45588.0</v>
      </c>
      <c r="B473" s="63" t="s">
        <v>27</v>
      </c>
      <c r="C473" s="79"/>
      <c r="D473" s="80">
        <v>2400.0</v>
      </c>
      <c r="E473" s="66" t="s">
        <v>28</v>
      </c>
      <c r="F473" s="77"/>
      <c r="G473" s="68">
        <v>0.0</v>
      </c>
      <c r="H473" s="69">
        <f t="shared" si="19"/>
        <v>0</v>
      </c>
      <c r="I473" s="76" t="s">
        <v>294</v>
      </c>
      <c r="J473" s="87" t="s">
        <v>377</v>
      </c>
      <c r="K473" s="95"/>
      <c r="L473" s="95"/>
      <c r="M473" s="95"/>
      <c r="N473" s="72"/>
      <c r="O473" s="83" t="s">
        <v>378</v>
      </c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</row>
    <row r="474" ht="22.5" customHeight="1">
      <c r="A474" s="86">
        <v>45590.0</v>
      </c>
      <c r="B474" s="63" t="s">
        <v>27</v>
      </c>
      <c r="C474" s="79"/>
      <c r="D474" s="80">
        <v>260167.64</v>
      </c>
      <c r="E474" s="66" t="s">
        <v>28</v>
      </c>
      <c r="F474" s="84" t="s">
        <v>203</v>
      </c>
      <c r="G474" s="68">
        <v>0.0</v>
      </c>
      <c r="H474" s="69">
        <f t="shared" si="19"/>
        <v>0</v>
      </c>
      <c r="I474" s="89" t="s">
        <v>68</v>
      </c>
      <c r="J474" s="87" t="s">
        <v>203</v>
      </c>
      <c r="K474" s="95"/>
      <c r="L474" s="95"/>
      <c r="M474" s="95"/>
      <c r="N474" s="72"/>
      <c r="O474" s="83" t="s">
        <v>459</v>
      </c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</row>
    <row r="475" ht="22.5" customHeight="1">
      <c r="A475" s="86">
        <v>45591.0</v>
      </c>
      <c r="B475" s="63" t="s">
        <v>27</v>
      </c>
      <c r="C475" s="79"/>
      <c r="D475" s="80">
        <v>3000.0</v>
      </c>
      <c r="E475" s="66" t="s">
        <v>33</v>
      </c>
      <c r="F475" s="77"/>
      <c r="G475" s="68">
        <v>0.0</v>
      </c>
      <c r="H475" s="69">
        <f t="shared" si="19"/>
        <v>0</v>
      </c>
      <c r="I475" s="97"/>
      <c r="J475" s="87" t="s">
        <v>460</v>
      </c>
      <c r="K475" s="95"/>
      <c r="L475" s="95"/>
      <c r="M475" s="95"/>
      <c r="N475" s="72"/>
      <c r="O475" s="96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</row>
    <row r="476" ht="22.5" customHeight="1">
      <c r="A476" s="86">
        <v>45591.0</v>
      </c>
      <c r="B476" s="63" t="s">
        <v>27</v>
      </c>
      <c r="C476" s="79"/>
      <c r="D476" s="80">
        <v>10000.0</v>
      </c>
      <c r="E476" s="66" t="s">
        <v>33</v>
      </c>
      <c r="F476" s="77"/>
      <c r="G476" s="68">
        <v>0.0</v>
      </c>
      <c r="H476" s="69">
        <f t="shared" si="19"/>
        <v>0</v>
      </c>
      <c r="I476" s="97"/>
      <c r="J476" s="87" t="s">
        <v>461</v>
      </c>
      <c r="K476" s="95"/>
      <c r="L476" s="95"/>
      <c r="M476" s="95"/>
      <c r="N476" s="72"/>
      <c r="O476" s="96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</row>
    <row r="477" ht="22.5" customHeight="1">
      <c r="A477" s="86">
        <v>45593.0</v>
      </c>
      <c r="B477" s="63" t="s">
        <v>27</v>
      </c>
      <c r="C477" s="79"/>
      <c r="D477" s="80">
        <v>925093.0</v>
      </c>
      <c r="E477" s="66" t="s">
        <v>28</v>
      </c>
      <c r="F477" s="84" t="s">
        <v>236</v>
      </c>
      <c r="G477" s="68">
        <v>0.0</v>
      </c>
      <c r="H477" s="69">
        <f t="shared" si="19"/>
        <v>0</v>
      </c>
      <c r="I477" s="94" t="s">
        <v>71</v>
      </c>
      <c r="J477" s="87" t="s">
        <v>72</v>
      </c>
      <c r="K477" s="95"/>
      <c r="L477" s="95"/>
      <c r="M477" s="95"/>
      <c r="N477" s="72"/>
      <c r="O477" s="83" t="s">
        <v>462</v>
      </c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</row>
    <row r="478" ht="22.5" customHeight="1">
      <c r="A478" s="86">
        <v>45593.0</v>
      </c>
      <c r="B478" s="63" t="s">
        <v>27</v>
      </c>
      <c r="C478" s="79"/>
      <c r="D478" s="80">
        <v>682714.0</v>
      </c>
      <c r="E478" s="66" t="s">
        <v>28</v>
      </c>
      <c r="F478" s="84" t="s">
        <v>236</v>
      </c>
      <c r="G478" s="68">
        <v>0.0</v>
      </c>
      <c r="H478" s="69">
        <f t="shared" si="19"/>
        <v>0</v>
      </c>
      <c r="I478" s="94" t="s">
        <v>71</v>
      </c>
      <c r="J478" s="87" t="s">
        <v>72</v>
      </c>
      <c r="K478" s="95"/>
      <c r="L478" s="95"/>
      <c r="M478" s="95"/>
      <c r="N478" s="72"/>
      <c r="O478" s="83" t="s">
        <v>463</v>
      </c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</row>
    <row r="479" ht="22.5" customHeight="1">
      <c r="A479" s="86">
        <v>45593.0</v>
      </c>
      <c r="B479" s="63" t="s">
        <v>27</v>
      </c>
      <c r="C479" s="79"/>
      <c r="D479" s="80">
        <v>130679.1</v>
      </c>
      <c r="E479" s="66" t="s">
        <v>28</v>
      </c>
      <c r="F479" s="84" t="s">
        <v>283</v>
      </c>
      <c r="G479" s="68">
        <v>0.0</v>
      </c>
      <c r="H479" s="69">
        <f t="shared" si="19"/>
        <v>0</v>
      </c>
      <c r="I479" s="94" t="s">
        <v>71</v>
      </c>
      <c r="J479" s="87" t="s">
        <v>72</v>
      </c>
      <c r="K479" s="95"/>
      <c r="L479" s="95"/>
      <c r="M479" s="95"/>
      <c r="N479" s="72"/>
      <c r="O479" s="83" t="s">
        <v>208</v>
      </c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</row>
    <row r="480" ht="22.5" customHeight="1">
      <c r="A480" s="86">
        <v>45593.0</v>
      </c>
      <c r="B480" s="63" t="s">
        <v>27</v>
      </c>
      <c r="C480" s="79"/>
      <c r="D480" s="80">
        <v>38876.0</v>
      </c>
      <c r="E480" s="66" t="s">
        <v>28</v>
      </c>
      <c r="F480" s="84" t="s">
        <v>283</v>
      </c>
      <c r="G480" s="68">
        <v>0.0</v>
      </c>
      <c r="H480" s="69">
        <f t="shared" si="19"/>
        <v>0</v>
      </c>
      <c r="I480" s="94" t="s">
        <v>71</v>
      </c>
      <c r="J480" s="87" t="s">
        <v>72</v>
      </c>
      <c r="K480" s="95"/>
      <c r="L480" s="95"/>
      <c r="M480" s="95"/>
      <c r="N480" s="72"/>
      <c r="O480" s="83" t="s">
        <v>209</v>
      </c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</row>
    <row r="481" ht="22.5" customHeight="1">
      <c r="A481" s="86">
        <v>45594.0</v>
      </c>
      <c r="B481" s="63" t="s">
        <v>27</v>
      </c>
      <c r="C481" s="80">
        <v>684652.5</v>
      </c>
      <c r="D481" s="79"/>
      <c r="E481" s="66" t="s">
        <v>28</v>
      </c>
      <c r="F481" s="84" t="s">
        <v>348</v>
      </c>
      <c r="G481" s="68">
        <v>20.0</v>
      </c>
      <c r="H481" s="69">
        <f t="shared" si="19"/>
        <v>114108.75</v>
      </c>
      <c r="I481" s="76" t="s">
        <v>37</v>
      </c>
      <c r="J481" s="87" t="s">
        <v>367</v>
      </c>
      <c r="K481" s="82">
        <v>3.0</v>
      </c>
      <c r="L481" s="95"/>
      <c r="M481" s="95"/>
      <c r="N481" s="72">
        <f>A481-IF(M481&gt;0,M481,A481)</f>
        <v>0</v>
      </c>
      <c r="O481" s="96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</row>
    <row r="482" ht="22.5" customHeight="1">
      <c r="A482" s="86">
        <v>45594.0</v>
      </c>
      <c r="B482" s="63" t="s">
        <v>27</v>
      </c>
      <c r="C482" s="79"/>
      <c r="D482" s="80">
        <v>19277.4</v>
      </c>
      <c r="E482" s="66" t="s">
        <v>376</v>
      </c>
      <c r="F482" s="84" t="s">
        <v>464</v>
      </c>
      <c r="G482" s="68">
        <v>20.0</v>
      </c>
      <c r="H482" s="69">
        <f t="shared" si="19"/>
        <v>3212.9</v>
      </c>
      <c r="I482" s="97"/>
      <c r="J482" s="87" t="s">
        <v>465</v>
      </c>
      <c r="K482" s="95"/>
      <c r="L482" s="95"/>
      <c r="M482" s="95"/>
      <c r="N482" s="72"/>
      <c r="O482" s="96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</row>
    <row r="483" ht="22.5" customHeight="1">
      <c r="A483" s="86">
        <v>45596.0</v>
      </c>
      <c r="B483" s="63" t="s">
        <v>27</v>
      </c>
      <c r="C483" s="79"/>
      <c r="D483" s="80">
        <v>29250.0</v>
      </c>
      <c r="E483" s="66" t="s">
        <v>28</v>
      </c>
      <c r="F483" s="84" t="s">
        <v>466</v>
      </c>
      <c r="G483" s="69"/>
      <c r="H483" s="69"/>
      <c r="I483" s="97"/>
      <c r="J483" s="87" t="s">
        <v>467</v>
      </c>
      <c r="K483" s="95"/>
      <c r="L483" s="95"/>
      <c r="M483" s="95"/>
      <c r="N483" s="72"/>
      <c r="O483" s="83" t="s">
        <v>468</v>
      </c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</row>
    <row r="484" ht="22.5" customHeight="1">
      <c r="A484" s="86">
        <v>45596.0</v>
      </c>
      <c r="B484" s="63" t="s">
        <v>27</v>
      </c>
      <c r="C484" s="130">
        <v>441000.0</v>
      </c>
      <c r="D484" s="79"/>
      <c r="E484" s="66" t="s">
        <v>28</v>
      </c>
      <c r="F484" s="84" t="s">
        <v>284</v>
      </c>
      <c r="G484" s="68">
        <v>20.0</v>
      </c>
      <c r="H484" s="69">
        <f t="shared" ref="H484:H566" si="33">SUM(C484:D484)*G484/(G484+100)</f>
        <v>73500</v>
      </c>
      <c r="I484" s="76" t="s">
        <v>37</v>
      </c>
      <c r="J484" s="87" t="s">
        <v>305</v>
      </c>
      <c r="K484" s="95"/>
      <c r="L484" s="82">
        <v>78.0</v>
      </c>
      <c r="M484" s="95"/>
      <c r="N484" s="72">
        <f t="shared" ref="N484:N492" si="34">A484-IF(M484&gt;0,M484,A484)</f>
        <v>0</v>
      </c>
      <c r="O484" s="83" t="s">
        <v>469</v>
      </c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</row>
    <row r="485" ht="22.5" customHeight="1">
      <c r="A485" s="86">
        <v>45596.0</v>
      </c>
      <c r="B485" s="63" t="s">
        <v>27</v>
      </c>
      <c r="C485" s="122">
        <v>3150000.0</v>
      </c>
      <c r="D485" s="79"/>
      <c r="E485" s="66" t="s">
        <v>376</v>
      </c>
      <c r="F485" s="84" t="s">
        <v>314</v>
      </c>
      <c r="G485" s="68">
        <v>20.0</v>
      </c>
      <c r="H485" s="69">
        <f t="shared" si="33"/>
        <v>525000</v>
      </c>
      <c r="I485" s="76" t="s">
        <v>37</v>
      </c>
      <c r="J485" s="87" t="s">
        <v>250</v>
      </c>
      <c r="K485" s="82">
        <v>10.0</v>
      </c>
      <c r="L485" s="82">
        <v>92.0</v>
      </c>
      <c r="M485" s="95"/>
      <c r="N485" s="72">
        <f t="shared" si="34"/>
        <v>0</v>
      </c>
      <c r="O485" s="83" t="s">
        <v>470</v>
      </c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</row>
    <row r="486" ht="22.5" customHeight="1">
      <c r="A486" s="86">
        <v>45596.0</v>
      </c>
      <c r="B486" s="63" t="s">
        <v>27</v>
      </c>
      <c r="C486" s="122">
        <v>1859687.12</v>
      </c>
      <c r="D486" s="79"/>
      <c r="E486" s="66" t="s">
        <v>376</v>
      </c>
      <c r="F486" s="84" t="s">
        <v>314</v>
      </c>
      <c r="G486" s="68">
        <v>20.0</v>
      </c>
      <c r="H486" s="69">
        <f t="shared" si="33"/>
        <v>309947.8533</v>
      </c>
      <c r="I486" s="76" t="s">
        <v>37</v>
      </c>
      <c r="J486" s="87" t="s">
        <v>250</v>
      </c>
      <c r="K486" s="82">
        <v>9.0</v>
      </c>
      <c r="L486" s="82">
        <v>91.0</v>
      </c>
      <c r="M486" s="95"/>
      <c r="N486" s="72">
        <f t="shared" si="34"/>
        <v>0</v>
      </c>
      <c r="O486" s="96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</row>
    <row r="487" ht="22.5" customHeight="1">
      <c r="A487" s="86">
        <v>45596.0</v>
      </c>
      <c r="B487" s="63" t="s">
        <v>27</v>
      </c>
      <c r="C487" s="130">
        <v>36000.0</v>
      </c>
      <c r="D487" s="79"/>
      <c r="E487" s="66" t="s">
        <v>28</v>
      </c>
      <c r="F487" s="84" t="s">
        <v>314</v>
      </c>
      <c r="G487" s="68">
        <v>20.0</v>
      </c>
      <c r="H487" s="69">
        <f t="shared" si="33"/>
        <v>6000</v>
      </c>
      <c r="I487" s="76" t="s">
        <v>37</v>
      </c>
      <c r="J487" s="87" t="s">
        <v>205</v>
      </c>
      <c r="K487" s="95"/>
      <c r="L487" s="95"/>
      <c r="M487" s="95"/>
      <c r="N487" s="72">
        <f t="shared" si="34"/>
        <v>0</v>
      </c>
      <c r="O487" s="83" t="s">
        <v>471</v>
      </c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</row>
    <row r="488" ht="22.5" customHeight="1">
      <c r="A488" s="86">
        <v>45596.0</v>
      </c>
      <c r="B488" s="63" t="s">
        <v>27</v>
      </c>
      <c r="C488" s="122">
        <v>336000.12</v>
      </c>
      <c r="D488" s="79"/>
      <c r="E488" s="66" t="s">
        <v>376</v>
      </c>
      <c r="F488" s="84" t="s">
        <v>348</v>
      </c>
      <c r="G488" s="68">
        <v>20.0</v>
      </c>
      <c r="H488" s="69">
        <f t="shared" si="33"/>
        <v>56000.02</v>
      </c>
      <c r="I488" s="76" t="s">
        <v>37</v>
      </c>
      <c r="J488" s="87" t="s">
        <v>250</v>
      </c>
      <c r="K488" s="82">
        <v>15.0</v>
      </c>
      <c r="L488" s="127">
        <v>111.0</v>
      </c>
      <c r="M488" s="95"/>
      <c r="N488" s="72">
        <f t="shared" si="34"/>
        <v>0</v>
      </c>
      <c r="O488" s="96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</row>
    <row r="489" ht="22.5" customHeight="1">
      <c r="A489" s="86">
        <v>45596.0</v>
      </c>
      <c r="B489" s="63" t="s">
        <v>27</v>
      </c>
      <c r="C489" s="120">
        <v>1049640.0</v>
      </c>
      <c r="D489" s="120"/>
      <c r="E489" s="66" t="s">
        <v>28</v>
      </c>
      <c r="F489" s="84" t="s">
        <v>379</v>
      </c>
      <c r="G489" s="68">
        <v>20.0</v>
      </c>
      <c r="H489" s="69">
        <f t="shared" si="33"/>
        <v>174940</v>
      </c>
      <c r="I489" s="76" t="s">
        <v>37</v>
      </c>
      <c r="J489" s="87" t="s">
        <v>205</v>
      </c>
      <c r="K489" s="82">
        <v>4.0</v>
      </c>
      <c r="L489" s="95"/>
      <c r="M489" s="95"/>
      <c r="N489" s="72">
        <f t="shared" si="34"/>
        <v>0</v>
      </c>
      <c r="O489" s="83" t="s">
        <v>472</v>
      </c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</row>
    <row r="490" ht="22.5" customHeight="1">
      <c r="A490" s="86">
        <v>45596.0</v>
      </c>
      <c r="B490" s="63" t="s">
        <v>27</v>
      </c>
      <c r="C490" s="120">
        <v>30000.0</v>
      </c>
      <c r="D490" s="129"/>
      <c r="E490" s="66" t="s">
        <v>28</v>
      </c>
      <c r="F490" s="84" t="s">
        <v>244</v>
      </c>
      <c r="G490" s="68">
        <v>20.0</v>
      </c>
      <c r="H490" s="69">
        <f t="shared" si="33"/>
        <v>5000</v>
      </c>
      <c r="I490" s="76" t="s">
        <v>37</v>
      </c>
      <c r="J490" s="87" t="s">
        <v>473</v>
      </c>
      <c r="K490" s="95"/>
      <c r="L490" s="95"/>
      <c r="M490" s="95"/>
      <c r="N490" s="72">
        <f t="shared" si="34"/>
        <v>0</v>
      </c>
      <c r="O490" s="96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</row>
    <row r="491" ht="22.5" customHeight="1">
      <c r="A491" s="86">
        <v>45596.0</v>
      </c>
      <c r="B491" s="63" t="s">
        <v>27</v>
      </c>
      <c r="C491" s="120">
        <v>252000.0</v>
      </c>
      <c r="D491" s="129"/>
      <c r="E491" s="66" t="s">
        <v>28</v>
      </c>
      <c r="F491" s="84" t="s">
        <v>284</v>
      </c>
      <c r="G491" s="68">
        <v>20.0</v>
      </c>
      <c r="H491" s="69">
        <f t="shared" si="33"/>
        <v>42000</v>
      </c>
      <c r="I491" s="76" t="s">
        <v>37</v>
      </c>
      <c r="J491" s="87" t="s">
        <v>473</v>
      </c>
      <c r="K491" s="95"/>
      <c r="L491" s="95"/>
      <c r="M491" s="95"/>
      <c r="N491" s="72">
        <f t="shared" si="34"/>
        <v>0</v>
      </c>
      <c r="O491" s="96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</row>
    <row r="492" ht="22.5" customHeight="1">
      <c r="A492" s="86">
        <v>45596.0</v>
      </c>
      <c r="B492" s="63" t="s">
        <v>27</v>
      </c>
      <c r="C492" s="120">
        <v>252000.0</v>
      </c>
      <c r="D492" s="129"/>
      <c r="E492" s="66" t="s">
        <v>28</v>
      </c>
      <c r="F492" s="84" t="s">
        <v>314</v>
      </c>
      <c r="G492" s="68">
        <v>20.0</v>
      </c>
      <c r="H492" s="69">
        <f t="shared" si="33"/>
        <v>42000</v>
      </c>
      <c r="I492" s="76" t="s">
        <v>37</v>
      </c>
      <c r="J492" s="87" t="s">
        <v>473</v>
      </c>
      <c r="K492" s="95"/>
      <c r="L492" s="95"/>
      <c r="M492" s="95"/>
      <c r="N492" s="72">
        <f t="shared" si="34"/>
        <v>0</v>
      </c>
      <c r="O492" s="96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</row>
    <row r="493" ht="22.5" customHeight="1">
      <c r="A493" s="86">
        <v>45596.0</v>
      </c>
      <c r="B493" s="63" t="s">
        <v>27</v>
      </c>
      <c r="C493" s="129"/>
      <c r="D493" s="120">
        <v>5452578.67</v>
      </c>
      <c r="E493" s="66" t="s">
        <v>376</v>
      </c>
      <c r="F493" s="84" t="s">
        <v>314</v>
      </c>
      <c r="G493" s="68">
        <v>20.0</v>
      </c>
      <c r="H493" s="69">
        <f t="shared" si="33"/>
        <v>908763.1117</v>
      </c>
      <c r="I493" s="76" t="s">
        <v>101</v>
      </c>
      <c r="J493" s="100" t="s">
        <v>102</v>
      </c>
      <c r="K493" s="95"/>
      <c r="L493" s="95"/>
      <c r="M493" s="95"/>
      <c r="N493" s="72"/>
      <c r="O493" s="96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</row>
    <row r="494" ht="22.5" customHeight="1">
      <c r="A494" s="86">
        <v>45597.0</v>
      </c>
      <c r="B494" s="63" t="s">
        <v>27</v>
      </c>
      <c r="C494" s="80">
        <v>462000.0</v>
      </c>
      <c r="D494" s="80"/>
      <c r="E494" s="66" t="s">
        <v>28</v>
      </c>
      <c r="F494" s="84" t="s">
        <v>348</v>
      </c>
      <c r="G494" s="68">
        <v>20.0</v>
      </c>
      <c r="H494" s="69">
        <f t="shared" si="33"/>
        <v>77000</v>
      </c>
      <c r="I494" s="76" t="s">
        <v>37</v>
      </c>
      <c r="J494" s="87" t="s">
        <v>474</v>
      </c>
      <c r="K494" s="82">
        <v>1.0</v>
      </c>
      <c r="L494" s="95"/>
      <c r="M494" s="95"/>
      <c r="N494" s="72">
        <f t="shared" ref="N494:N499" si="35">A494-IF(M494&gt;0,M494,A494)</f>
        <v>0</v>
      </c>
      <c r="O494" s="83" t="s">
        <v>475</v>
      </c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</row>
    <row r="495" ht="22.5" customHeight="1">
      <c r="A495" s="86">
        <v>45597.0</v>
      </c>
      <c r="B495" s="63" t="s">
        <v>27</v>
      </c>
      <c r="C495" s="80">
        <v>480000.0</v>
      </c>
      <c r="D495" s="79"/>
      <c r="E495" s="66" t="s">
        <v>28</v>
      </c>
      <c r="F495" s="84" t="s">
        <v>379</v>
      </c>
      <c r="G495" s="68">
        <v>20.0</v>
      </c>
      <c r="H495" s="69">
        <f t="shared" si="33"/>
        <v>80000</v>
      </c>
      <c r="I495" s="76" t="s">
        <v>37</v>
      </c>
      <c r="J495" s="87" t="s">
        <v>317</v>
      </c>
      <c r="K495" s="82">
        <v>12.0</v>
      </c>
      <c r="L495" s="95"/>
      <c r="M495" s="95"/>
      <c r="N495" s="72">
        <f t="shared" si="35"/>
        <v>0</v>
      </c>
      <c r="O495" s="83" t="s">
        <v>476</v>
      </c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</row>
    <row r="496" ht="22.5" customHeight="1">
      <c r="A496" s="86">
        <v>45597.0</v>
      </c>
      <c r="B496" s="63" t="s">
        <v>27</v>
      </c>
      <c r="C496" s="80">
        <v>273000.0</v>
      </c>
      <c r="D496" s="79"/>
      <c r="E496" s="66" t="s">
        <v>28</v>
      </c>
      <c r="F496" s="84" t="s">
        <v>379</v>
      </c>
      <c r="G496" s="68">
        <v>20.0</v>
      </c>
      <c r="H496" s="69">
        <f t="shared" si="33"/>
        <v>45500</v>
      </c>
      <c r="I496" s="76" t="s">
        <v>37</v>
      </c>
      <c r="J496" s="87" t="s">
        <v>317</v>
      </c>
      <c r="K496" s="82">
        <v>10.0</v>
      </c>
      <c r="L496" s="95"/>
      <c r="M496" s="95"/>
      <c r="N496" s="72">
        <f t="shared" si="35"/>
        <v>0</v>
      </c>
      <c r="O496" s="83" t="s">
        <v>477</v>
      </c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</row>
    <row r="497" ht="22.5" customHeight="1">
      <c r="A497" s="86">
        <v>45597.0</v>
      </c>
      <c r="B497" s="63" t="s">
        <v>27</v>
      </c>
      <c r="C497" s="80">
        <v>273000.0</v>
      </c>
      <c r="D497" s="79"/>
      <c r="E497" s="66" t="s">
        <v>28</v>
      </c>
      <c r="F497" s="84" t="s">
        <v>379</v>
      </c>
      <c r="G497" s="68">
        <v>20.0</v>
      </c>
      <c r="H497" s="69">
        <f t="shared" si="33"/>
        <v>45500</v>
      </c>
      <c r="I497" s="76" t="s">
        <v>37</v>
      </c>
      <c r="J497" s="87" t="s">
        <v>317</v>
      </c>
      <c r="K497" s="82">
        <v>11.0</v>
      </c>
      <c r="L497" s="95"/>
      <c r="M497" s="95"/>
      <c r="N497" s="72">
        <f t="shared" si="35"/>
        <v>0</v>
      </c>
      <c r="O497" s="83" t="s">
        <v>478</v>
      </c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</row>
    <row r="498" ht="22.5" customHeight="1">
      <c r="A498" s="86">
        <v>45597.0</v>
      </c>
      <c r="B498" s="63" t="s">
        <v>27</v>
      </c>
      <c r="C498" s="80">
        <v>1932000.0</v>
      </c>
      <c r="D498" s="79"/>
      <c r="E498" s="66" t="s">
        <v>28</v>
      </c>
      <c r="F498" s="84" t="s">
        <v>379</v>
      </c>
      <c r="G498" s="68">
        <v>20.0</v>
      </c>
      <c r="H498" s="69">
        <f t="shared" si="33"/>
        <v>322000</v>
      </c>
      <c r="I498" s="76" t="s">
        <v>37</v>
      </c>
      <c r="J498" s="87" t="s">
        <v>317</v>
      </c>
      <c r="K498" s="82">
        <v>9.0</v>
      </c>
      <c r="L498" s="95"/>
      <c r="M498" s="95"/>
      <c r="N498" s="72">
        <f t="shared" si="35"/>
        <v>0</v>
      </c>
      <c r="O498" s="83" t="s">
        <v>479</v>
      </c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</row>
    <row r="499" ht="22.5" customHeight="1">
      <c r="A499" s="86">
        <v>45597.0</v>
      </c>
      <c r="B499" s="63" t="s">
        <v>27</v>
      </c>
      <c r="C499" s="80">
        <v>295081.92</v>
      </c>
      <c r="D499" s="79"/>
      <c r="E499" s="66" t="s">
        <v>28</v>
      </c>
      <c r="F499" s="84" t="s">
        <v>379</v>
      </c>
      <c r="G499" s="68">
        <v>20.0</v>
      </c>
      <c r="H499" s="69">
        <f t="shared" si="33"/>
        <v>49180.32</v>
      </c>
      <c r="I499" s="76" t="s">
        <v>37</v>
      </c>
      <c r="J499" s="87" t="s">
        <v>317</v>
      </c>
      <c r="K499" s="82">
        <v>13.0</v>
      </c>
      <c r="L499" s="95"/>
      <c r="M499" s="95"/>
      <c r="N499" s="72">
        <f t="shared" si="35"/>
        <v>0</v>
      </c>
      <c r="O499" s="83" t="s">
        <v>480</v>
      </c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</row>
    <row r="500" ht="22.5" customHeight="1">
      <c r="A500" s="86">
        <v>45598.0</v>
      </c>
      <c r="B500" s="63" t="s">
        <v>27</v>
      </c>
      <c r="C500" s="79"/>
      <c r="D500" s="80">
        <v>1500.0</v>
      </c>
      <c r="E500" s="66" t="s">
        <v>33</v>
      </c>
      <c r="F500" s="77"/>
      <c r="G500" s="68">
        <v>0.0</v>
      </c>
      <c r="H500" s="69">
        <f t="shared" si="33"/>
        <v>0</v>
      </c>
      <c r="I500" s="89" t="s">
        <v>35</v>
      </c>
      <c r="J500" s="87" t="s">
        <v>446</v>
      </c>
      <c r="K500" s="95"/>
      <c r="L500" s="95"/>
      <c r="M500" s="95"/>
      <c r="N500" s="72"/>
      <c r="O500" s="96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</row>
    <row r="501" ht="22.5" customHeight="1">
      <c r="A501" s="86">
        <v>45601.0</v>
      </c>
      <c r="B501" s="63" t="s">
        <v>27</v>
      </c>
      <c r="C501" s="79"/>
      <c r="D501" s="80">
        <v>13990.0</v>
      </c>
      <c r="E501" s="66" t="s">
        <v>28</v>
      </c>
      <c r="F501" s="77"/>
      <c r="G501" s="68">
        <v>0.0</v>
      </c>
      <c r="H501" s="69">
        <f t="shared" si="33"/>
        <v>0</v>
      </c>
      <c r="I501" s="70" t="s">
        <v>30</v>
      </c>
      <c r="J501" s="71" t="s">
        <v>31</v>
      </c>
      <c r="K501" s="95"/>
      <c r="L501" s="95"/>
      <c r="M501" s="95"/>
      <c r="N501" s="72"/>
      <c r="O501" s="96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</row>
    <row r="502" ht="22.5" customHeight="1">
      <c r="A502" s="86">
        <v>45601.0</v>
      </c>
      <c r="B502" s="63" t="s">
        <v>27</v>
      </c>
      <c r="C502" s="80">
        <v>501622.15</v>
      </c>
      <c r="D502" s="79"/>
      <c r="E502" s="66" t="s">
        <v>28</v>
      </c>
      <c r="F502" s="84" t="s">
        <v>379</v>
      </c>
      <c r="G502" s="68">
        <v>20.0</v>
      </c>
      <c r="H502" s="69">
        <f t="shared" si="33"/>
        <v>83603.69167</v>
      </c>
      <c r="I502" s="76" t="s">
        <v>37</v>
      </c>
      <c r="J502" s="87" t="s">
        <v>120</v>
      </c>
      <c r="K502" s="82">
        <v>19.0</v>
      </c>
      <c r="L502" s="95"/>
      <c r="M502" s="95"/>
      <c r="N502" s="72">
        <f t="shared" ref="N502:N504" si="36">A502-IF(M502&gt;0,M502,A502)</f>
        <v>0</v>
      </c>
      <c r="O502" s="83" t="s">
        <v>481</v>
      </c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</row>
    <row r="503" ht="22.5" customHeight="1">
      <c r="A503" s="86">
        <v>45601.0</v>
      </c>
      <c r="B503" s="63" t="s">
        <v>27</v>
      </c>
      <c r="C503" s="80">
        <v>546000.0</v>
      </c>
      <c r="D503" s="80"/>
      <c r="E503" s="66" t="s">
        <v>28</v>
      </c>
      <c r="F503" s="84" t="s">
        <v>379</v>
      </c>
      <c r="G503" s="68">
        <v>20.0</v>
      </c>
      <c r="H503" s="69">
        <f t="shared" si="33"/>
        <v>91000</v>
      </c>
      <c r="I503" s="76" t="s">
        <v>37</v>
      </c>
      <c r="J503" s="87" t="s">
        <v>482</v>
      </c>
      <c r="K503" s="82">
        <v>2.0</v>
      </c>
      <c r="L503" s="95"/>
      <c r="M503" s="95"/>
      <c r="N503" s="72">
        <f t="shared" si="36"/>
        <v>0</v>
      </c>
      <c r="O503" s="83" t="s">
        <v>483</v>
      </c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</row>
    <row r="504" ht="22.5" customHeight="1">
      <c r="A504" s="86">
        <v>45601.0</v>
      </c>
      <c r="B504" s="63" t="s">
        <v>27</v>
      </c>
      <c r="C504" s="80">
        <v>560280.0</v>
      </c>
      <c r="D504" s="79"/>
      <c r="E504" s="66" t="s">
        <v>28</v>
      </c>
      <c r="F504" s="84" t="s">
        <v>379</v>
      </c>
      <c r="G504" s="68">
        <v>20.0</v>
      </c>
      <c r="H504" s="69">
        <f t="shared" si="33"/>
        <v>93380</v>
      </c>
      <c r="I504" s="76" t="s">
        <v>37</v>
      </c>
      <c r="J504" s="87" t="s">
        <v>482</v>
      </c>
      <c r="K504" s="82">
        <v>1.0</v>
      </c>
      <c r="L504" s="95"/>
      <c r="M504" s="95"/>
      <c r="N504" s="72">
        <f t="shared" si="36"/>
        <v>0</v>
      </c>
      <c r="O504" s="83" t="s">
        <v>484</v>
      </c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</row>
    <row r="505" ht="22.5" customHeight="1">
      <c r="A505" s="86">
        <v>45601.0</v>
      </c>
      <c r="B505" s="63" t="s">
        <v>27</v>
      </c>
      <c r="C505" s="79"/>
      <c r="D505" s="80">
        <v>6728.0</v>
      </c>
      <c r="E505" s="66" t="s">
        <v>28</v>
      </c>
      <c r="F505" s="84" t="s">
        <v>485</v>
      </c>
      <c r="G505" s="68">
        <v>0.0</v>
      </c>
      <c r="H505" s="69">
        <f t="shared" si="33"/>
        <v>0</v>
      </c>
      <c r="I505" s="94" t="s">
        <v>71</v>
      </c>
      <c r="J505" s="87" t="s">
        <v>72</v>
      </c>
      <c r="K505" s="95"/>
      <c r="L505" s="95"/>
      <c r="M505" s="95"/>
      <c r="N505" s="72"/>
      <c r="O505" s="83" t="s">
        <v>209</v>
      </c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</row>
    <row r="506" ht="22.5" customHeight="1">
      <c r="A506" s="86">
        <v>45601.0</v>
      </c>
      <c r="B506" s="63" t="s">
        <v>27</v>
      </c>
      <c r="C506" s="79"/>
      <c r="D506" s="80">
        <v>61826.0</v>
      </c>
      <c r="E506" s="66" t="s">
        <v>28</v>
      </c>
      <c r="F506" s="84" t="s">
        <v>485</v>
      </c>
      <c r="G506" s="68">
        <v>0.0</v>
      </c>
      <c r="H506" s="69">
        <f t="shared" si="33"/>
        <v>0</v>
      </c>
      <c r="I506" s="94" t="s">
        <v>71</v>
      </c>
      <c r="J506" s="87" t="s">
        <v>72</v>
      </c>
      <c r="K506" s="95"/>
      <c r="L506" s="95"/>
      <c r="M506" s="95"/>
      <c r="N506" s="72"/>
      <c r="O506" s="83" t="s">
        <v>209</v>
      </c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</row>
    <row r="507" ht="22.5" customHeight="1">
      <c r="A507" s="86">
        <v>45601.0</v>
      </c>
      <c r="B507" s="63" t="s">
        <v>27</v>
      </c>
      <c r="C507" s="79"/>
      <c r="D507" s="80">
        <v>46850.0</v>
      </c>
      <c r="E507" s="66" t="s">
        <v>28</v>
      </c>
      <c r="F507" s="84" t="s">
        <v>108</v>
      </c>
      <c r="G507" s="68">
        <v>0.0</v>
      </c>
      <c r="H507" s="69">
        <f t="shared" si="33"/>
        <v>0</v>
      </c>
      <c r="I507" s="89" t="s">
        <v>35</v>
      </c>
      <c r="J507" s="87" t="s">
        <v>486</v>
      </c>
      <c r="K507" s="95"/>
      <c r="L507" s="95"/>
      <c r="M507" s="95"/>
      <c r="N507" s="72"/>
      <c r="O507" s="131" t="s">
        <v>487</v>
      </c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</row>
    <row r="508" ht="22.5" customHeight="1">
      <c r="A508" s="86">
        <v>45601.0</v>
      </c>
      <c r="B508" s="63" t="s">
        <v>27</v>
      </c>
      <c r="C508" s="79"/>
      <c r="D508" s="80">
        <v>639900.0</v>
      </c>
      <c r="E508" s="66" t="s">
        <v>33</v>
      </c>
      <c r="F508" s="84" t="s">
        <v>203</v>
      </c>
      <c r="G508" s="68">
        <v>0.0</v>
      </c>
      <c r="H508" s="69">
        <f t="shared" si="33"/>
        <v>0</v>
      </c>
      <c r="I508" s="89" t="s">
        <v>68</v>
      </c>
      <c r="J508" s="87" t="s">
        <v>203</v>
      </c>
      <c r="K508" s="95"/>
      <c r="L508" s="95"/>
      <c r="M508" s="95"/>
      <c r="N508" s="72"/>
      <c r="O508" s="83" t="s">
        <v>488</v>
      </c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</row>
    <row r="509" ht="22.5" customHeight="1">
      <c r="A509" s="86">
        <v>45601.0</v>
      </c>
      <c r="B509" s="63" t="s">
        <v>27</v>
      </c>
      <c r="C509" s="79"/>
      <c r="D509" s="80">
        <v>58700.0</v>
      </c>
      <c r="E509" s="66" t="s">
        <v>33</v>
      </c>
      <c r="F509" s="84" t="s">
        <v>489</v>
      </c>
      <c r="G509" s="68">
        <v>0.0</v>
      </c>
      <c r="H509" s="69">
        <f t="shared" si="33"/>
        <v>0</v>
      </c>
      <c r="I509" s="89" t="s">
        <v>490</v>
      </c>
      <c r="J509" s="87" t="s">
        <v>489</v>
      </c>
      <c r="K509" s="95"/>
      <c r="L509" s="95"/>
      <c r="M509" s="95"/>
      <c r="N509" s="72"/>
      <c r="O509" s="83" t="s">
        <v>491</v>
      </c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</row>
    <row r="510" ht="22.5" customHeight="1">
      <c r="A510" s="86">
        <v>45601.0</v>
      </c>
      <c r="B510" s="63" t="s">
        <v>27</v>
      </c>
      <c r="C510" s="79"/>
      <c r="D510" s="80">
        <v>315000.0</v>
      </c>
      <c r="E510" s="66" t="s">
        <v>33</v>
      </c>
      <c r="F510" s="84" t="s">
        <v>492</v>
      </c>
      <c r="G510" s="68">
        <v>0.0</v>
      </c>
      <c r="H510" s="69">
        <f t="shared" si="33"/>
        <v>0</v>
      </c>
      <c r="I510" s="89" t="s">
        <v>93</v>
      </c>
      <c r="J510" s="87" t="s">
        <v>413</v>
      </c>
      <c r="K510" s="95"/>
      <c r="L510" s="95"/>
      <c r="M510" s="95"/>
      <c r="N510" s="72"/>
      <c r="O510" s="83" t="s">
        <v>435</v>
      </c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</row>
    <row r="511" ht="22.5" customHeight="1">
      <c r="A511" s="86">
        <v>45601.0</v>
      </c>
      <c r="B511" s="63" t="s">
        <v>27</v>
      </c>
      <c r="C511" s="79"/>
      <c r="D511" s="80">
        <v>2600.0</v>
      </c>
      <c r="E511" s="66" t="s">
        <v>33</v>
      </c>
      <c r="F511" s="77"/>
      <c r="G511" s="68">
        <v>0.0</v>
      </c>
      <c r="H511" s="69">
        <f t="shared" si="33"/>
        <v>0</v>
      </c>
      <c r="I511" s="89" t="s">
        <v>35</v>
      </c>
      <c r="J511" s="87" t="s">
        <v>493</v>
      </c>
      <c r="K511" s="95"/>
      <c r="L511" s="95"/>
      <c r="M511" s="95"/>
      <c r="N511" s="72"/>
      <c r="O511" s="96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</row>
    <row r="512" ht="22.5" customHeight="1">
      <c r="A512" s="86">
        <v>45602.0</v>
      </c>
      <c r="B512" s="63" t="s">
        <v>27</v>
      </c>
      <c r="C512" s="79"/>
      <c r="D512" s="80">
        <v>217200.0</v>
      </c>
      <c r="E512" s="66" t="s">
        <v>28</v>
      </c>
      <c r="F512" s="84" t="s">
        <v>494</v>
      </c>
      <c r="G512" s="68">
        <v>0.0</v>
      </c>
      <c r="H512" s="69">
        <f t="shared" si="33"/>
        <v>0</v>
      </c>
      <c r="I512" s="89" t="s">
        <v>495</v>
      </c>
      <c r="J512" s="87" t="s">
        <v>496</v>
      </c>
      <c r="K512" s="95"/>
      <c r="L512" s="95"/>
      <c r="M512" s="95"/>
      <c r="N512" s="72"/>
      <c r="O512" s="83" t="s">
        <v>497</v>
      </c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</row>
    <row r="513" ht="22.5" customHeight="1">
      <c r="A513" s="86">
        <v>45602.0</v>
      </c>
      <c r="B513" s="63" t="s">
        <v>27</v>
      </c>
      <c r="C513" s="79"/>
      <c r="D513" s="80">
        <v>233852.0</v>
      </c>
      <c r="E513" s="66" t="s">
        <v>28</v>
      </c>
      <c r="F513" s="84" t="s">
        <v>494</v>
      </c>
      <c r="G513" s="68">
        <v>0.0</v>
      </c>
      <c r="H513" s="69">
        <f t="shared" si="33"/>
        <v>0</v>
      </c>
      <c r="I513" s="89" t="s">
        <v>495</v>
      </c>
      <c r="J513" s="87" t="s">
        <v>496</v>
      </c>
      <c r="K513" s="95"/>
      <c r="L513" s="95"/>
      <c r="M513" s="95"/>
      <c r="N513" s="72"/>
      <c r="O513" s="83" t="s">
        <v>498</v>
      </c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</row>
    <row r="514" ht="22.5" customHeight="1">
      <c r="A514" s="86">
        <v>45602.0</v>
      </c>
      <c r="B514" s="63" t="s">
        <v>27</v>
      </c>
      <c r="C514" s="79"/>
      <c r="D514" s="80">
        <v>12588.55</v>
      </c>
      <c r="E514" s="66" t="s">
        <v>28</v>
      </c>
      <c r="F514" s="84" t="s">
        <v>203</v>
      </c>
      <c r="G514" s="68">
        <v>0.0</v>
      </c>
      <c r="H514" s="69">
        <f t="shared" si="33"/>
        <v>0</v>
      </c>
      <c r="I514" s="89" t="s">
        <v>280</v>
      </c>
      <c r="J514" s="87" t="s">
        <v>499</v>
      </c>
      <c r="K514" s="95"/>
      <c r="L514" s="95"/>
      <c r="M514" s="95"/>
      <c r="N514" s="72"/>
      <c r="O514" s="96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</row>
    <row r="515" ht="22.5" customHeight="1">
      <c r="A515" s="86">
        <v>45603.0</v>
      </c>
      <c r="B515" s="63" t="s">
        <v>27</v>
      </c>
      <c r="C515" s="120">
        <v>1339154.04</v>
      </c>
      <c r="D515" s="80"/>
      <c r="E515" s="66" t="s">
        <v>376</v>
      </c>
      <c r="F515" s="84" t="s">
        <v>348</v>
      </c>
      <c r="G515" s="68">
        <v>20.0</v>
      </c>
      <c r="H515" s="69">
        <f t="shared" si="33"/>
        <v>223192.34</v>
      </c>
      <c r="I515" s="76" t="s">
        <v>37</v>
      </c>
      <c r="J515" s="87" t="s">
        <v>250</v>
      </c>
      <c r="K515" s="82">
        <v>16.0</v>
      </c>
      <c r="L515" s="127">
        <v>119.0</v>
      </c>
      <c r="M515" s="95"/>
      <c r="N515" s="72">
        <f t="shared" ref="N515:N516" si="37">A515-IF(M515&gt;0,M515,A515)</f>
        <v>0</v>
      </c>
      <c r="O515" s="96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</row>
    <row r="516" ht="22.5" customHeight="1">
      <c r="A516" s="86">
        <v>45603.0</v>
      </c>
      <c r="B516" s="63" t="s">
        <v>27</v>
      </c>
      <c r="C516" s="120">
        <v>5864880.0</v>
      </c>
      <c r="D516" s="80"/>
      <c r="E516" s="66" t="s">
        <v>376</v>
      </c>
      <c r="F516" s="84" t="s">
        <v>348</v>
      </c>
      <c r="G516" s="68">
        <v>20.0</v>
      </c>
      <c r="H516" s="69">
        <f t="shared" si="33"/>
        <v>977480</v>
      </c>
      <c r="I516" s="76" t="s">
        <v>37</v>
      </c>
      <c r="J516" s="87" t="s">
        <v>250</v>
      </c>
      <c r="K516" s="82">
        <v>12.0</v>
      </c>
      <c r="L516" s="127">
        <v>120.0</v>
      </c>
      <c r="M516" s="95"/>
      <c r="N516" s="72">
        <f t="shared" si="37"/>
        <v>0</v>
      </c>
      <c r="O516" s="96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</row>
    <row r="517" ht="22.5" customHeight="1">
      <c r="A517" s="86">
        <v>45603.0</v>
      </c>
      <c r="B517" s="63" t="s">
        <v>27</v>
      </c>
      <c r="C517" s="79"/>
      <c r="D517" s="80">
        <v>38160.0</v>
      </c>
      <c r="E517" s="66" t="s">
        <v>28</v>
      </c>
      <c r="F517" s="77"/>
      <c r="G517" s="68">
        <v>0.0</v>
      </c>
      <c r="H517" s="69">
        <f t="shared" si="33"/>
        <v>0</v>
      </c>
      <c r="I517" s="89" t="s">
        <v>30</v>
      </c>
      <c r="J517" s="87" t="s">
        <v>500</v>
      </c>
      <c r="K517" s="95"/>
      <c r="L517" s="95"/>
      <c r="M517" s="95"/>
      <c r="N517" s="72"/>
      <c r="O517" s="83" t="s">
        <v>501</v>
      </c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</row>
    <row r="518" ht="22.5" customHeight="1">
      <c r="A518" s="86">
        <v>45604.0</v>
      </c>
      <c r="B518" s="63" t="s">
        <v>27</v>
      </c>
      <c r="C518" s="79"/>
      <c r="D518" s="80">
        <v>925740.99</v>
      </c>
      <c r="E518" s="66" t="s">
        <v>28</v>
      </c>
      <c r="F518" s="84" t="s">
        <v>314</v>
      </c>
      <c r="G518" s="68">
        <v>20.0</v>
      </c>
      <c r="H518" s="69">
        <f t="shared" si="33"/>
        <v>154290.165</v>
      </c>
      <c r="I518" s="89" t="s">
        <v>61</v>
      </c>
      <c r="J518" s="103" t="s">
        <v>228</v>
      </c>
      <c r="K518" s="95"/>
      <c r="L518" s="95"/>
      <c r="M518" s="95"/>
      <c r="N518" s="72"/>
      <c r="O518" s="96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</row>
    <row r="519" ht="22.5" customHeight="1">
      <c r="A519" s="86">
        <v>45604.0</v>
      </c>
      <c r="B519" s="63" t="s">
        <v>27</v>
      </c>
      <c r="C519" s="79"/>
      <c r="D519" s="80">
        <v>117120.0</v>
      </c>
      <c r="E519" s="66" t="s">
        <v>28</v>
      </c>
      <c r="F519" s="84" t="s">
        <v>443</v>
      </c>
      <c r="G519" s="68">
        <v>20.0</v>
      </c>
      <c r="H519" s="69">
        <f t="shared" si="33"/>
        <v>19520</v>
      </c>
      <c r="I519" s="89" t="s">
        <v>61</v>
      </c>
      <c r="J519" s="87" t="s">
        <v>502</v>
      </c>
      <c r="K519" s="95"/>
      <c r="L519" s="82">
        <v>123.0</v>
      </c>
      <c r="M519" s="132">
        <v>45575.0</v>
      </c>
      <c r="N519" s="72"/>
      <c r="O519" s="96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</row>
    <row r="520" ht="22.5" customHeight="1">
      <c r="A520" s="86">
        <v>45604.0</v>
      </c>
      <c r="B520" s="63" t="s">
        <v>27</v>
      </c>
      <c r="C520" s="79"/>
      <c r="D520" s="80">
        <v>41163.93</v>
      </c>
      <c r="E520" s="66" t="s">
        <v>28</v>
      </c>
      <c r="F520" s="84" t="s">
        <v>44</v>
      </c>
      <c r="G520" s="68">
        <v>20.0</v>
      </c>
      <c r="H520" s="69">
        <f t="shared" si="33"/>
        <v>6860.655</v>
      </c>
      <c r="I520" s="76" t="s">
        <v>44</v>
      </c>
      <c r="J520" s="98" t="s">
        <v>134</v>
      </c>
      <c r="K520" s="95"/>
      <c r="L520" s="95"/>
      <c r="M520" s="95"/>
      <c r="N520" s="72"/>
      <c r="O520" s="83" t="s">
        <v>503</v>
      </c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</row>
    <row r="521" ht="22.5" customHeight="1">
      <c r="A521" s="86">
        <v>45604.0</v>
      </c>
      <c r="B521" s="63" t="s">
        <v>27</v>
      </c>
      <c r="C521" s="79"/>
      <c r="D521" s="80">
        <v>1000.0</v>
      </c>
      <c r="E521" s="66" t="s">
        <v>28</v>
      </c>
      <c r="F521" s="84" t="s">
        <v>44</v>
      </c>
      <c r="G521" s="68">
        <v>20.0</v>
      </c>
      <c r="H521" s="69">
        <f t="shared" si="33"/>
        <v>166.6666667</v>
      </c>
      <c r="I521" s="76" t="s">
        <v>44</v>
      </c>
      <c r="J521" s="98" t="s">
        <v>134</v>
      </c>
      <c r="K521" s="95"/>
      <c r="L521" s="95"/>
      <c r="M521" s="95"/>
      <c r="N521" s="72"/>
      <c r="O521" s="96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</row>
    <row r="522" ht="22.5" customHeight="1">
      <c r="A522" s="86">
        <v>45604.0</v>
      </c>
      <c r="B522" s="63" t="s">
        <v>27</v>
      </c>
      <c r="C522" s="79"/>
      <c r="D522" s="130">
        <v>123000.0</v>
      </c>
      <c r="E522" s="66" t="s">
        <v>28</v>
      </c>
      <c r="F522" s="84" t="s">
        <v>168</v>
      </c>
      <c r="G522" s="68">
        <v>0.0</v>
      </c>
      <c r="H522" s="69">
        <f t="shared" si="33"/>
        <v>0</v>
      </c>
      <c r="I522" s="76" t="s">
        <v>504</v>
      </c>
      <c r="J522" s="87" t="s">
        <v>505</v>
      </c>
      <c r="K522" s="95"/>
      <c r="L522" s="95"/>
      <c r="M522" s="95"/>
      <c r="N522" s="72"/>
      <c r="O522" s="83" t="s">
        <v>506</v>
      </c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</row>
    <row r="523" ht="22.5" customHeight="1">
      <c r="A523" s="86">
        <v>45604.0</v>
      </c>
      <c r="B523" s="63" t="s">
        <v>27</v>
      </c>
      <c r="C523" s="79"/>
      <c r="D523" s="80">
        <f>1431502</f>
        <v>1431502</v>
      </c>
      <c r="E523" s="66" t="s">
        <v>376</v>
      </c>
      <c r="F523" s="84" t="s">
        <v>507</v>
      </c>
      <c r="G523" s="68">
        <v>20.0</v>
      </c>
      <c r="H523" s="69">
        <f t="shared" si="33"/>
        <v>238583.6667</v>
      </c>
      <c r="I523" s="89" t="s">
        <v>322</v>
      </c>
      <c r="J523" s="87" t="s">
        <v>250</v>
      </c>
      <c r="K523" s="95"/>
      <c r="L523" s="82" t="s">
        <v>508</v>
      </c>
      <c r="M523" s="128">
        <v>45554.0</v>
      </c>
      <c r="N523" s="72"/>
      <c r="O523" s="96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</row>
    <row r="524" ht="22.5" customHeight="1">
      <c r="A524" s="86">
        <v>45604.0</v>
      </c>
      <c r="B524" s="63" t="s">
        <v>27</v>
      </c>
      <c r="C524" s="79"/>
      <c r="D524" s="80">
        <v>3179.0</v>
      </c>
      <c r="E524" s="66" t="s">
        <v>28</v>
      </c>
      <c r="F524" s="84" t="s">
        <v>348</v>
      </c>
      <c r="G524" s="68">
        <v>0.0</v>
      </c>
      <c r="H524" s="69">
        <f t="shared" si="33"/>
        <v>0</v>
      </c>
      <c r="I524" s="76" t="s">
        <v>61</v>
      </c>
      <c r="J524" s="98" t="s">
        <v>509</v>
      </c>
      <c r="K524" s="95"/>
      <c r="L524" s="82" t="s">
        <v>510</v>
      </c>
      <c r="M524" s="95"/>
      <c r="N524" s="72"/>
      <c r="O524" s="83" t="s">
        <v>511</v>
      </c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</row>
    <row r="525" ht="22.5" customHeight="1">
      <c r="A525" s="86">
        <v>45604.0</v>
      </c>
      <c r="B525" s="63" t="s">
        <v>27</v>
      </c>
      <c r="C525" s="79"/>
      <c r="D525" s="80">
        <v>458727.79</v>
      </c>
      <c r="E525" s="66" t="s">
        <v>28</v>
      </c>
      <c r="F525" s="84" t="s">
        <v>203</v>
      </c>
      <c r="G525" s="68">
        <v>0.0</v>
      </c>
      <c r="H525" s="69">
        <f t="shared" si="33"/>
        <v>0</v>
      </c>
      <c r="I525" s="89" t="s">
        <v>68</v>
      </c>
      <c r="J525" s="81"/>
      <c r="K525" s="95"/>
      <c r="L525" s="95"/>
      <c r="M525" s="95"/>
      <c r="N525" s="72"/>
      <c r="O525" s="96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</row>
    <row r="526" ht="22.5" customHeight="1">
      <c r="A526" s="86">
        <v>45604.0</v>
      </c>
      <c r="B526" s="63" t="s">
        <v>27</v>
      </c>
      <c r="C526" s="79"/>
      <c r="D526" s="80">
        <v>1632900.0</v>
      </c>
      <c r="E526" s="66" t="s">
        <v>33</v>
      </c>
      <c r="F526" s="84" t="s">
        <v>512</v>
      </c>
      <c r="G526" s="68">
        <v>0.0</v>
      </c>
      <c r="H526" s="69">
        <f t="shared" si="33"/>
        <v>0</v>
      </c>
      <c r="I526" s="89" t="s">
        <v>93</v>
      </c>
      <c r="J526" s="87" t="s">
        <v>413</v>
      </c>
      <c r="K526" s="95"/>
      <c r="L526" s="95"/>
      <c r="M526" s="95"/>
      <c r="N526" s="72"/>
      <c r="O526" s="83" t="s">
        <v>414</v>
      </c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</row>
    <row r="527" ht="22.5" customHeight="1">
      <c r="A527" s="86">
        <v>45604.0</v>
      </c>
      <c r="B527" s="63" t="s">
        <v>27</v>
      </c>
      <c r="C527" s="79"/>
      <c r="D527" s="80">
        <v>3896103.0</v>
      </c>
      <c r="E527" s="66" t="s">
        <v>28</v>
      </c>
      <c r="F527" s="84" t="s">
        <v>48</v>
      </c>
      <c r="G527" s="68">
        <v>20.0</v>
      </c>
      <c r="H527" s="69">
        <f t="shared" si="33"/>
        <v>649350.5</v>
      </c>
      <c r="I527" s="76" t="s">
        <v>47</v>
      </c>
      <c r="J527" s="81"/>
      <c r="K527" s="95"/>
      <c r="L527" s="95"/>
      <c r="M527" s="95"/>
      <c r="N527" s="72"/>
      <c r="O527" s="96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</row>
    <row r="528" ht="22.5" customHeight="1">
      <c r="A528" s="86">
        <v>45604.0</v>
      </c>
      <c r="B528" s="63" t="s">
        <v>27</v>
      </c>
      <c r="C528" s="80">
        <v>3000000.0</v>
      </c>
      <c r="D528" s="80"/>
      <c r="E528" s="66" t="s">
        <v>33</v>
      </c>
      <c r="F528" s="84" t="s">
        <v>48</v>
      </c>
      <c r="G528" s="68">
        <v>0.0</v>
      </c>
      <c r="H528" s="69">
        <f t="shared" si="33"/>
        <v>0</v>
      </c>
      <c r="I528" s="76" t="s">
        <v>47</v>
      </c>
      <c r="J528" s="81"/>
      <c r="K528" s="95"/>
      <c r="L528" s="95"/>
      <c r="M528" s="95"/>
      <c r="N528" s="72"/>
      <c r="O528" s="96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</row>
    <row r="529" ht="22.5" customHeight="1">
      <c r="A529" s="86">
        <v>45607.0</v>
      </c>
      <c r="B529" s="63" t="s">
        <v>27</v>
      </c>
      <c r="C529" s="80"/>
      <c r="D529" s="80">
        <v>1731237.35</v>
      </c>
      <c r="E529" s="66" t="s">
        <v>28</v>
      </c>
      <c r="F529" s="84" t="s">
        <v>348</v>
      </c>
      <c r="G529" s="68">
        <v>20.0</v>
      </c>
      <c r="H529" s="69">
        <f t="shared" si="33"/>
        <v>288539.5583</v>
      </c>
      <c r="I529" s="89" t="s">
        <v>61</v>
      </c>
      <c r="J529" s="103" t="s">
        <v>228</v>
      </c>
      <c r="K529" s="95"/>
      <c r="L529" s="95"/>
      <c r="M529" s="95"/>
      <c r="N529" s="72"/>
      <c r="O529" s="96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</row>
    <row r="530" ht="22.5" customHeight="1">
      <c r="A530" s="86">
        <v>45607.0</v>
      </c>
      <c r="B530" s="63" t="s">
        <v>27</v>
      </c>
      <c r="C530" s="80">
        <v>378000.0</v>
      </c>
      <c r="D530" s="79"/>
      <c r="E530" s="66" t="s">
        <v>28</v>
      </c>
      <c r="F530" s="84" t="s">
        <v>348</v>
      </c>
      <c r="G530" s="68">
        <v>20.0</v>
      </c>
      <c r="H530" s="69">
        <f t="shared" si="33"/>
        <v>63000</v>
      </c>
      <c r="I530" s="76" t="s">
        <v>37</v>
      </c>
      <c r="J530" s="87" t="s">
        <v>473</v>
      </c>
      <c r="K530" s="82">
        <v>4.0</v>
      </c>
      <c r="L530" s="95"/>
      <c r="M530" s="95"/>
      <c r="N530" s="72">
        <f>A530-IF(M530&gt;0,M530,A530)</f>
        <v>0</v>
      </c>
      <c r="O530" s="96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</row>
    <row r="531" ht="22.5" customHeight="1">
      <c r="A531" s="86">
        <v>45607.0</v>
      </c>
      <c r="B531" s="63" t="s">
        <v>27</v>
      </c>
      <c r="C531" s="79"/>
      <c r="D531" s="120">
        <f>5160002</f>
        <v>5160002</v>
      </c>
      <c r="E531" s="66" t="s">
        <v>376</v>
      </c>
      <c r="F531" s="84" t="s">
        <v>348</v>
      </c>
      <c r="G531" s="68">
        <v>20.0</v>
      </c>
      <c r="H531" s="69">
        <f t="shared" si="33"/>
        <v>860000.3333</v>
      </c>
      <c r="I531" s="76" t="s">
        <v>101</v>
      </c>
      <c r="J531" s="100" t="s">
        <v>102</v>
      </c>
      <c r="K531" s="95"/>
      <c r="L531" s="95"/>
      <c r="M531" s="95"/>
      <c r="N531" s="72"/>
      <c r="O531" s="96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</row>
    <row r="532" ht="22.5" customHeight="1">
      <c r="A532" s="86">
        <v>45607.0</v>
      </c>
      <c r="B532" s="63" t="s">
        <v>27</v>
      </c>
      <c r="C532" s="79"/>
      <c r="D532" s="80">
        <v>16500.0</v>
      </c>
      <c r="E532" s="66" t="s">
        <v>33</v>
      </c>
      <c r="F532" s="84" t="s">
        <v>108</v>
      </c>
      <c r="G532" s="68">
        <v>0.0</v>
      </c>
      <c r="H532" s="69">
        <f t="shared" si="33"/>
        <v>0</v>
      </c>
      <c r="I532" s="89" t="s">
        <v>35</v>
      </c>
      <c r="J532" s="87" t="s">
        <v>513</v>
      </c>
      <c r="K532" s="95"/>
      <c r="L532" s="95"/>
      <c r="M532" s="95"/>
      <c r="N532" s="72"/>
      <c r="O532" s="96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</row>
    <row r="533" ht="22.5" customHeight="1">
      <c r="A533" s="86">
        <v>45607.0</v>
      </c>
      <c r="B533" s="63" t="s">
        <v>27</v>
      </c>
      <c r="C533" s="79"/>
      <c r="D533" s="80">
        <v>50000.0</v>
      </c>
      <c r="E533" s="66" t="s">
        <v>33</v>
      </c>
      <c r="F533" s="84" t="s">
        <v>203</v>
      </c>
      <c r="G533" s="68">
        <v>0.0</v>
      </c>
      <c r="H533" s="69">
        <f t="shared" si="33"/>
        <v>0</v>
      </c>
      <c r="I533" s="89" t="s">
        <v>53</v>
      </c>
      <c r="J533" s="87" t="s">
        <v>240</v>
      </c>
      <c r="K533" s="95"/>
      <c r="L533" s="95"/>
      <c r="M533" s="95"/>
      <c r="N533" s="72"/>
      <c r="O533" s="96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</row>
    <row r="534" ht="22.5" customHeight="1">
      <c r="A534" s="86">
        <v>45607.0</v>
      </c>
      <c r="B534" s="63" t="s">
        <v>27</v>
      </c>
      <c r="C534" s="79"/>
      <c r="D534" s="80">
        <v>15000.0</v>
      </c>
      <c r="E534" s="66" t="s">
        <v>33</v>
      </c>
      <c r="F534" s="84" t="s">
        <v>108</v>
      </c>
      <c r="G534" s="68">
        <v>0.0</v>
      </c>
      <c r="H534" s="69">
        <f t="shared" si="33"/>
        <v>0</v>
      </c>
      <c r="I534" s="89" t="s">
        <v>490</v>
      </c>
      <c r="J534" s="87" t="s">
        <v>514</v>
      </c>
      <c r="K534" s="95"/>
      <c r="L534" s="95"/>
      <c r="M534" s="95"/>
      <c r="N534" s="72"/>
      <c r="O534" s="96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</row>
    <row r="535" ht="22.5" customHeight="1">
      <c r="A535" s="86">
        <v>45610.0</v>
      </c>
      <c r="B535" s="63" t="s">
        <v>27</v>
      </c>
      <c r="C535" s="79"/>
      <c r="D535" s="80">
        <v>138285.0</v>
      </c>
      <c r="E535" s="66" t="s">
        <v>28</v>
      </c>
      <c r="F535" s="84" t="s">
        <v>515</v>
      </c>
      <c r="G535" s="68">
        <v>0.0</v>
      </c>
      <c r="H535" s="69">
        <f t="shared" si="33"/>
        <v>0</v>
      </c>
      <c r="I535" s="89" t="s">
        <v>93</v>
      </c>
      <c r="J535" s="133" t="s">
        <v>516</v>
      </c>
      <c r="K535" s="95"/>
      <c r="L535" s="82">
        <v>1.0</v>
      </c>
      <c r="M535" s="128">
        <v>45565.0</v>
      </c>
      <c r="N535" s="72"/>
      <c r="O535" s="83" t="s">
        <v>517</v>
      </c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</row>
    <row r="536" ht="22.5" customHeight="1">
      <c r="A536" s="86">
        <v>45610.0</v>
      </c>
      <c r="B536" s="63" t="s">
        <v>27</v>
      </c>
      <c r="C536" s="79"/>
      <c r="D536" s="80">
        <v>19282.0</v>
      </c>
      <c r="E536" s="66" t="s">
        <v>28</v>
      </c>
      <c r="F536" s="84" t="s">
        <v>518</v>
      </c>
      <c r="G536" s="68">
        <v>20.0</v>
      </c>
      <c r="H536" s="69">
        <f t="shared" si="33"/>
        <v>3213.666667</v>
      </c>
      <c r="I536" s="89" t="s">
        <v>259</v>
      </c>
      <c r="J536" s="87" t="s">
        <v>519</v>
      </c>
      <c r="K536" s="95"/>
      <c r="L536" s="95"/>
      <c r="M536" s="95"/>
      <c r="N536" s="72"/>
      <c r="O536" s="96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</row>
    <row r="537" ht="22.5" customHeight="1">
      <c r="A537" s="86">
        <v>45611.0</v>
      </c>
      <c r="B537" s="63" t="s">
        <v>27</v>
      </c>
      <c r="C537" s="79"/>
      <c r="D537" s="80">
        <v>5076.0</v>
      </c>
      <c r="E537" s="66" t="s">
        <v>28</v>
      </c>
      <c r="F537" s="84" t="s">
        <v>108</v>
      </c>
      <c r="G537" s="68">
        <v>0.0</v>
      </c>
      <c r="H537" s="69">
        <f t="shared" si="33"/>
        <v>0</v>
      </c>
      <c r="I537" s="89" t="s">
        <v>259</v>
      </c>
      <c r="J537" s="87" t="s">
        <v>266</v>
      </c>
      <c r="K537" s="95"/>
      <c r="L537" s="95"/>
      <c r="M537" s="95"/>
      <c r="N537" s="72"/>
      <c r="O537" s="83" t="s">
        <v>520</v>
      </c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</row>
    <row r="538" ht="22.5" customHeight="1">
      <c r="A538" s="86">
        <v>45611.0</v>
      </c>
      <c r="B538" s="63" t="s">
        <v>27</v>
      </c>
      <c r="C538" s="79"/>
      <c r="D538" s="80">
        <v>1652.76</v>
      </c>
      <c r="E538" s="66" t="s">
        <v>28</v>
      </c>
      <c r="F538" s="84" t="s">
        <v>283</v>
      </c>
      <c r="G538" s="68">
        <v>0.0</v>
      </c>
      <c r="H538" s="69">
        <f t="shared" si="33"/>
        <v>0</v>
      </c>
      <c r="I538" s="134" t="s">
        <v>71</v>
      </c>
      <c r="J538" s="87" t="s">
        <v>309</v>
      </c>
      <c r="K538" s="95"/>
      <c r="L538" s="95"/>
      <c r="M538" s="95"/>
      <c r="N538" s="72"/>
      <c r="O538" s="83" t="s">
        <v>521</v>
      </c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</row>
    <row r="539" ht="22.5" customHeight="1">
      <c r="A539" s="86">
        <v>45616.0</v>
      </c>
      <c r="B539" s="63" t="s">
        <v>27</v>
      </c>
      <c r="C539" s="80">
        <v>2100000.0</v>
      </c>
      <c r="D539" s="79"/>
      <c r="E539" s="66" t="s">
        <v>28</v>
      </c>
      <c r="F539" s="84" t="s">
        <v>379</v>
      </c>
      <c r="G539" s="68">
        <v>20.0</v>
      </c>
      <c r="H539" s="69">
        <f t="shared" si="33"/>
        <v>350000</v>
      </c>
      <c r="I539" s="76" t="s">
        <v>37</v>
      </c>
      <c r="J539" s="87" t="s">
        <v>205</v>
      </c>
      <c r="K539" s="82">
        <v>5.0</v>
      </c>
      <c r="L539" s="82">
        <v>144.0</v>
      </c>
      <c r="M539" s="128">
        <v>45572.0</v>
      </c>
      <c r="N539" s="72">
        <f>A539-IF(M539&gt;0,M539,A539)</f>
        <v>44</v>
      </c>
      <c r="O539" s="83" t="s">
        <v>522</v>
      </c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</row>
    <row r="540" ht="22.5" customHeight="1">
      <c r="A540" s="86">
        <v>45616.0</v>
      </c>
      <c r="B540" s="63" t="s">
        <v>27</v>
      </c>
      <c r="C540" s="79"/>
      <c r="D540" s="80">
        <v>140000.0</v>
      </c>
      <c r="E540" s="66" t="s">
        <v>28</v>
      </c>
      <c r="F540" s="84" t="s">
        <v>108</v>
      </c>
      <c r="G540" s="68">
        <v>0.0</v>
      </c>
      <c r="H540" s="69">
        <f t="shared" si="33"/>
        <v>0</v>
      </c>
      <c r="I540" s="97"/>
      <c r="J540" s="87" t="s">
        <v>523</v>
      </c>
      <c r="K540" s="95"/>
      <c r="L540" s="95"/>
      <c r="M540" s="95"/>
      <c r="N540" s="72"/>
      <c r="O540" s="83" t="s">
        <v>524</v>
      </c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</row>
    <row r="541" ht="22.5" customHeight="1">
      <c r="A541" s="86">
        <v>45616.0</v>
      </c>
      <c r="B541" s="63" t="s">
        <v>27</v>
      </c>
      <c r="C541" s="79"/>
      <c r="D541" s="80">
        <v>231000.0</v>
      </c>
      <c r="E541" s="66" t="s">
        <v>28</v>
      </c>
      <c r="F541" s="84" t="s">
        <v>525</v>
      </c>
      <c r="G541" s="68">
        <v>0.0</v>
      </c>
      <c r="H541" s="69">
        <f t="shared" si="33"/>
        <v>0</v>
      </c>
      <c r="I541" s="97"/>
      <c r="J541" s="87" t="s">
        <v>526</v>
      </c>
      <c r="K541" s="95"/>
      <c r="L541" s="95"/>
      <c r="M541" s="95"/>
      <c r="N541" s="72"/>
      <c r="O541" s="83" t="s">
        <v>527</v>
      </c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</row>
    <row r="542" ht="22.5" customHeight="1">
      <c r="A542" s="86">
        <v>45617.0</v>
      </c>
      <c r="B542" s="63" t="s">
        <v>27</v>
      </c>
      <c r="C542" s="80">
        <v>300000.0</v>
      </c>
      <c r="D542" s="79"/>
      <c r="E542" s="66" t="s">
        <v>28</v>
      </c>
      <c r="F542" s="84" t="s">
        <v>528</v>
      </c>
      <c r="G542" s="68">
        <v>20.0</v>
      </c>
      <c r="H542" s="69">
        <f t="shared" si="33"/>
        <v>50000</v>
      </c>
      <c r="I542" s="76" t="s">
        <v>37</v>
      </c>
      <c r="J542" s="87" t="s">
        <v>122</v>
      </c>
      <c r="K542" s="82">
        <v>23.0</v>
      </c>
      <c r="L542" s="82">
        <v>164.0</v>
      </c>
      <c r="M542" s="128">
        <v>45604.0</v>
      </c>
      <c r="N542" s="72">
        <f t="shared" ref="N542:N543" si="38">A542-IF(M542&gt;0,M542,A542)</f>
        <v>13</v>
      </c>
      <c r="O542" s="83" t="s">
        <v>529</v>
      </c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</row>
    <row r="543" ht="22.5" customHeight="1">
      <c r="A543" s="86">
        <v>45617.0</v>
      </c>
      <c r="B543" s="63" t="s">
        <v>27</v>
      </c>
      <c r="C543" s="80">
        <v>15024.48</v>
      </c>
      <c r="D543" s="79"/>
      <c r="E543" s="66" t="s">
        <v>28</v>
      </c>
      <c r="F543" s="84" t="s">
        <v>528</v>
      </c>
      <c r="G543" s="68">
        <v>20.0</v>
      </c>
      <c r="H543" s="69">
        <f t="shared" si="33"/>
        <v>2504.08</v>
      </c>
      <c r="I543" s="76" t="s">
        <v>37</v>
      </c>
      <c r="J543" s="87" t="s">
        <v>122</v>
      </c>
      <c r="K543" s="82">
        <v>22.0</v>
      </c>
      <c r="L543" s="82">
        <v>165.0</v>
      </c>
      <c r="M543" s="128">
        <v>45604.0</v>
      </c>
      <c r="N543" s="72">
        <f t="shared" si="38"/>
        <v>13</v>
      </c>
      <c r="O543" s="83" t="s">
        <v>530</v>
      </c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</row>
    <row r="544" ht="22.5" customHeight="1">
      <c r="A544" s="86">
        <v>45617.0</v>
      </c>
      <c r="B544" s="63" t="s">
        <v>27</v>
      </c>
      <c r="C544" s="79"/>
      <c r="D544" s="80">
        <v>500.0</v>
      </c>
      <c r="E544" s="66" t="s">
        <v>33</v>
      </c>
      <c r="F544" s="84" t="s">
        <v>108</v>
      </c>
      <c r="G544" s="68">
        <v>0.0</v>
      </c>
      <c r="H544" s="69">
        <f t="shared" si="33"/>
        <v>0</v>
      </c>
      <c r="I544" s="97"/>
      <c r="J544" s="87" t="s">
        <v>446</v>
      </c>
      <c r="K544" s="95"/>
      <c r="L544" s="95"/>
      <c r="M544" s="95"/>
      <c r="N544" s="72"/>
      <c r="O544" s="96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</row>
    <row r="545" ht="22.5" customHeight="1">
      <c r="A545" s="86">
        <v>45617.0</v>
      </c>
      <c r="B545" s="63" t="s">
        <v>27</v>
      </c>
      <c r="C545" s="79"/>
      <c r="D545" s="80">
        <v>21000.0</v>
      </c>
      <c r="E545" s="66" t="s">
        <v>33</v>
      </c>
      <c r="F545" s="84" t="s">
        <v>525</v>
      </c>
      <c r="G545" s="68">
        <v>0.0</v>
      </c>
      <c r="H545" s="69">
        <f t="shared" si="33"/>
        <v>0</v>
      </c>
      <c r="I545" s="97"/>
      <c r="J545" s="87" t="s">
        <v>531</v>
      </c>
      <c r="K545" s="95"/>
      <c r="L545" s="95"/>
      <c r="M545" s="95"/>
      <c r="N545" s="72"/>
      <c r="O545" s="96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</row>
    <row r="546" ht="22.5" customHeight="1">
      <c r="A546" s="86">
        <v>45617.0</v>
      </c>
      <c r="B546" s="63" t="s">
        <v>27</v>
      </c>
      <c r="C546" s="80">
        <v>600000.0</v>
      </c>
      <c r="D546" s="79"/>
      <c r="E546" s="66" t="s">
        <v>28</v>
      </c>
      <c r="F546" s="84" t="s">
        <v>348</v>
      </c>
      <c r="G546" s="68">
        <v>20.0</v>
      </c>
      <c r="H546" s="69">
        <f t="shared" si="33"/>
        <v>100000</v>
      </c>
      <c r="I546" s="76" t="s">
        <v>37</v>
      </c>
      <c r="J546" s="87" t="s">
        <v>532</v>
      </c>
      <c r="K546" s="82">
        <v>1.0</v>
      </c>
      <c r="L546" s="82">
        <v>126.0</v>
      </c>
      <c r="M546" s="95"/>
      <c r="N546" s="72">
        <f t="shared" ref="N546:N547" si="39">A546-IF(M546&gt;0,M546,A546)</f>
        <v>0</v>
      </c>
      <c r="O546" s="83" t="s">
        <v>533</v>
      </c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</row>
    <row r="547" ht="22.5" customHeight="1">
      <c r="A547" s="86">
        <v>45617.0</v>
      </c>
      <c r="B547" s="63" t="s">
        <v>27</v>
      </c>
      <c r="C547" s="80">
        <v>180000.0</v>
      </c>
      <c r="D547" s="79"/>
      <c r="E547" s="66" t="s">
        <v>28</v>
      </c>
      <c r="F547" s="84" t="s">
        <v>528</v>
      </c>
      <c r="G547" s="68">
        <v>20.0</v>
      </c>
      <c r="H547" s="69">
        <f t="shared" si="33"/>
        <v>30000</v>
      </c>
      <c r="I547" s="76" t="s">
        <v>37</v>
      </c>
      <c r="J547" s="87" t="s">
        <v>315</v>
      </c>
      <c r="K547" s="82">
        <v>3.0</v>
      </c>
      <c r="L547" s="82">
        <v>166.0</v>
      </c>
      <c r="M547" s="128">
        <v>45604.0</v>
      </c>
      <c r="N547" s="72">
        <f t="shared" si="39"/>
        <v>13</v>
      </c>
      <c r="O547" s="83" t="s">
        <v>534</v>
      </c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</row>
    <row r="548" ht="22.5" customHeight="1">
      <c r="A548" s="86">
        <v>45617.0</v>
      </c>
      <c r="B548" s="63" t="s">
        <v>27</v>
      </c>
      <c r="C548" s="79"/>
      <c r="D548" s="80">
        <v>12600.0</v>
      </c>
      <c r="E548" s="66" t="s">
        <v>33</v>
      </c>
      <c r="F548" s="84" t="s">
        <v>535</v>
      </c>
      <c r="G548" s="68">
        <v>0.0</v>
      </c>
      <c r="H548" s="69">
        <f t="shared" si="33"/>
        <v>0</v>
      </c>
      <c r="I548" s="97"/>
      <c r="J548" s="87" t="s">
        <v>536</v>
      </c>
      <c r="K548" s="95"/>
      <c r="L548" s="95"/>
      <c r="M548" s="95"/>
      <c r="N548" s="72"/>
      <c r="O548" s="83" t="s">
        <v>537</v>
      </c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</row>
    <row r="549" ht="22.5" customHeight="1">
      <c r="A549" s="86">
        <v>45618.0</v>
      </c>
      <c r="B549" s="63" t="s">
        <v>27</v>
      </c>
      <c r="C549" s="120">
        <v>600000.24</v>
      </c>
      <c r="D549" s="79"/>
      <c r="E549" s="66" t="s">
        <v>28</v>
      </c>
      <c r="F549" s="84" t="s">
        <v>348</v>
      </c>
      <c r="G549" s="68">
        <v>20.0</v>
      </c>
      <c r="H549" s="69">
        <f t="shared" si="33"/>
        <v>100000.04</v>
      </c>
      <c r="I549" s="76" t="s">
        <v>37</v>
      </c>
      <c r="J549" s="87" t="s">
        <v>440</v>
      </c>
      <c r="K549" s="82">
        <v>3.0</v>
      </c>
      <c r="L549" s="82">
        <v>110.0</v>
      </c>
      <c r="M549" s="95"/>
      <c r="N549" s="72">
        <f t="shared" ref="N549:N551" si="40">A549-IF(M549&gt;0,M549,A549)</f>
        <v>0</v>
      </c>
      <c r="O549" s="83" t="s">
        <v>538</v>
      </c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</row>
    <row r="550" ht="22.5" customHeight="1">
      <c r="A550" s="86">
        <v>45618.0</v>
      </c>
      <c r="B550" s="63" t="s">
        <v>27</v>
      </c>
      <c r="C550" s="120">
        <v>600000.24</v>
      </c>
      <c r="D550" s="79"/>
      <c r="E550" s="66" t="s">
        <v>28</v>
      </c>
      <c r="F550" s="84" t="s">
        <v>348</v>
      </c>
      <c r="G550" s="68">
        <v>20.0</v>
      </c>
      <c r="H550" s="69">
        <f t="shared" si="33"/>
        <v>100000.04</v>
      </c>
      <c r="I550" s="76" t="s">
        <v>37</v>
      </c>
      <c r="J550" s="87" t="s">
        <v>440</v>
      </c>
      <c r="K550" s="82">
        <v>2.0</v>
      </c>
      <c r="L550" s="82">
        <v>109.0</v>
      </c>
      <c r="M550" s="95"/>
      <c r="N550" s="72">
        <f t="shared" si="40"/>
        <v>0</v>
      </c>
      <c r="O550" s="83" t="s">
        <v>538</v>
      </c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</row>
    <row r="551" ht="22.5" customHeight="1">
      <c r="A551" s="86">
        <v>45618.0</v>
      </c>
      <c r="B551" s="63" t="s">
        <v>27</v>
      </c>
      <c r="C551" s="120">
        <v>450030.0</v>
      </c>
      <c r="D551" s="79"/>
      <c r="E551" s="66" t="s">
        <v>28</v>
      </c>
      <c r="F551" s="84" t="s">
        <v>348</v>
      </c>
      <c r="G551" s="68">
        <v>20.0</v>
      </c>
      <c r="H551" s="69">
        <f t="shared" si="33"/>
        <v>75005</v>
      </c>
      <c r="I551" s="76" t="s">
        <v>37</v>
      </c>
      <c r="J551" s="87" t="s">
        <v>440</v>
      </c>
      <c r="K551" s="82">
        <v>1.0</v>
      </c>
      <c r="L551" s="82">
        <v>108.0</v>
      </c>
      <c r="M551" s="95"/>
      <c r="N551" s="72">
        <f t="shared" si="40"/>
        <v>0</v>
      </c>
      <c r="O551" s="83" t="s">
        <v>538</v>
      </c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</row>
    <row r="552" ht="22.5" customHeight="1">
      <c r="A552" s="86">
        <v>45618.0</v>
      </c>
      <c r="B552" s="63" t="s">
        <v>27</v>
      </c>
      <c r="C552" s="79"/>
      <c r="D552" s="80">
        <v>2400.0</v>
      </c>
      <c r="E552" s="66" t="s">
        <v>28</v>
      </c>
      <c r="F552" s="84"/>
      <c r="G552" s="68">
        <v>0.0</v>
      </c>
      <c r="H552" s="69">
        <f t="shared" si="33"/>
        <v>0</v>
      </c>
      <c r="I552" s="76" t="s">
        <v>294</v>
      </c>
      <c r="J552" s="87" t="s">
        <v>377</v>
      </c>
      <c r="K552" s="95"/>
      <c r="L552" s="95"/>
      <c r="M552" s="95"/>
      <c r="N552" s="72"/>
      <c r="O552" s="83" t="s">
        <v>378</v>
      </c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</row>
    <row r="553" ht="22.5" customHeight="1">
      <c r="A553" s="86">
        <v>45618.0</v>
      </c>
      <c r="B553" s="63" t="s">
        <v>27</v>
      </c>
      <c r="C553" s="80">
        <v>304917.9</v>
      </c>
      <c r="D553" s="79"/>
      <c r="E553" s="66" t="s">
        <v>28</v>
      </c>
      <c r="F553" s="84" t="s">
        <v>528</v>
      </c>
      <c r="G553" s="68">
        <v>20.0</v>
      </c>
      <c r="H553" s="69">
        <f t="shared" si="33"/>
        <v>50819.65</v>
      </c>
      <c r="I553" s="76" t="s">
        <v>37</v>
      </c>
      <c r="J553" s="87" t="s">
        <v>539</v>
      </c>
      <c r="K553" s="82">
        <v>17.0</v>
      </c>
      <c r="L553" s="82">
        <v>168.0</v>
      </c>
      <c r="M553" s="128">
        <v>45608.0</v>
      </c>
      <c r="N553" s="72">
        <f t="shared" ref="N553:N555" si="41">A553-IF(M553&gt;0,M553,A553)</f>
        <v>10</v>
      </c>
      <c r="O553" s="83" t="s">
        <v>540</v>
      </c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</row>
    <row r="554" ht="22.5" customHeight="1">
      <c r="A554" s="86">
        <v>45621.0</v>
      </c>
      <c r="B554" s="63" t="s">
        <v>27</v>
      </c>
      <c r="C554" s="120">
        <v>2394687.12</v>
      </c>
      <c r="D554" s="80"/>
      <c r="E554" s="66" t="s">
        <v>376</v>
      </c>
      <c r="F554" s="84" t="s">
        <v>348</v>
      </c>
      <c r="G554" s="68">
        <v>20.0</v>
      </c>
      <c r="H554" s="69">
        <f t="shared" si="33"/>
        <v>399114.52</v>
      </c>
      <c r="I554" s="76" t="s">
        <v>37</v>
      </c>
      <c r="J554" s="87" t="s">
        <v>250</v>
      </c>
      <c r="K554" s="82">
        <v>13.0</v>
      </c>
      <c r="L554" s="127">
        <v>122.0</v>
      </c>
      <c r="M554" s="95"/>
      <c r="N554" s="72">
        <f t="shared" si="41"/>
        <v>0</v>
      </c>
      <c r="O554" s="83" t="s">
        <v>541</v>
      </c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</row>
    <row r="555" ht="22.5" customHeight="1">
      <c r="A555" s="86">
        <v>45621.0</v>
      </c>
      <c r="B555" s="63" t="s">
        <v>27</v>
      </c>
      <c r="C555" s="120">
        <v>3465000.0</v>
      </c>
      <c r="D555" s="80"/>
      <c r="E555" s="66" t="s">
        <v>376</v>
      </c>
      <c r="F555" s="84" t="s">
        <v>348</v>
      </c>
      <c r="G555" s="68">
        <v>20.0</v>
      </c>
      <c r="H555" s="69">
        <f t="shared" si="33"/>
        <v>577500</v>
      </c>
      <c r="I555" s="76" t="s">
        <v>37</v>
      </c>
      <c r="J555" s="87" t="s">
        <v>250</v>
      </c>
      <c r="K555" s="82">
        <v>14.0</v>
      </c>
      <c r="L555" s="127">
        <v>121.0</v>
      </c>
      <c r="M555" s="95"/>
      <c r="N555" s="72">
        <f t="shared" si="41"/>
        <v>0</v>
      </c>
      <c r="O555" s="83" t="s">
        <v>541</v>
      </c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</row>
    <row r="556" ht="22.5" customHeight="1">
      <c r="A556" s="86">
        <v>45622.0</v>
      </c>
      <c r="B556" s="63" t="s">
        <v>27</v>
      </c>
      <c r="C556" s="79"/>
      <c r="D556" s="80">
        <v>278008.91</v>
      </c>
      <c r="E556" s="66" t="s">
        <v>28</v>
      </c>
      <c r="F556" s="84" t="s">
        <v>203</v>
      </c>
      <c r="G556" s="68">
        <v>0.0</v>
      </c>
      <c r="H556" s="69">
        <f t="shared" si="33"/>
        <v>0</v>
      </c>
      <c r="I556" s="97"/>
      <c r="J556" s="87" t="s">
        <v>542</v>
      </c>
      <c r="K556" s="95"/>
      <c r="L556" s="95"/>
      <c r="M556" s="95"/>
      <c r="N556" s="72"/>
      <c r="O556" s="96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</row>
    <row r="557" ht="22.5" customHeight="1">
      <c r="A557" s="86">
        <v>45622.0</v>
      </c>
      <c r="B557" s="63" t="s">
        <v>27</v>
      </c>
      <c r="C557" s="79"/>
      <c r="D557" s="80">
        <v>175000.0</v>
      </c>
      <c r="E557" s="66" t="s">
        <v>28</v>
      </c>
      <c r="F557" s="84" t="s">
        <v>108</v>
      </c>
      <c r="G557" s="68">
        <v>0.0</v>
      </c>
      <c r="H557" s="69">
        <f t="shared" si="33"/>
        <v>0</v>
      </c>
      <c r="I557" s="97"/>
      <c r="J557" s="87" t="s">
        <v>523</v>
      </c>
      <c r="K557" s="95"/>
      <c r="L557" s="95"/>
      <c r="M557" s="95"/>
      <c r="N557" s="72"/>
      <c r="O557" s="96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</row>
    <row r="558" ht="22.5" customHeight="1">
      <c r="A558" s="86">
        <v>45623.0</v>
      </c>
      <c r="B558" s="63" t="s">
        <v>27</v>
      </c>
      <c r="C558" s="80">
        <v>420000.0</v>
      </c>
      <c r="D558" s="79"/>
      <c r="E558" s="66" t="s">
        <v>376</v>
      </c>
      <c r="F558" s="84" t="s">
        <v>379</v>
      </c>
      <c r="G558" s="68">
        <v>20.0</v>
      </c>
      <c r="H558" s="69">
        <f t="shared" si="33"/>
        <v>70000</v>
      </c>
      <c r="I558" s="76" t="s">
        <v>37</v>
      </c>
      <c r="J558" s="87" t="s">
        <v>250</v>
      </c>
      <c r="K558" s="82">
        <v>22.0</v>
      </c>
      <c r="L558" s="127">
        <v>145.0</v>
      </c>
      <c r="M558" s="95"/>
      <c r="N558" s="72">
        <f t="shared" ref="N558:N566" si="42">A558-IF(M558&gt;0,M558,A558)</f>
        <v>0</v>
      </c>
      <c r="O558" s="96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</row>
    <row r="559" ht="22.5" customHeight="1">
      <c r="A559" s="86">
        <v>45623.0</v>
      </c>
      <c r="B559" s="63" t="s">
        <v>27</v>
      </c>
      <c r="C559" s="80">
        <v>324578.52</v>
      </c>
      <c r="D559" s="79"/>
      <c r="E559" s="66" t="s">
        <v>376</v>
      </c>
      <c r="F559" s="84" t="s">
        <v>379</v>
      </c>
      <c r="G559" s="68">
        <v>20.0</v>
      </c>
      <c r="H559" s="69">
        <f t="shared" si="33"/>
        <v>54096.42</v>
      </c>
      <c r="I559" s="76" t="s">
        <v>37</v>
      </c>
      <c r="J559" s="87" t="s">
        <v>250</v>
      </c>
      <c r="K559" s="82">
        <v>17.0</v>
      </c>
      <c r="L559" s="127">
        <v>129.0</v>
      </c>
      <c r="M559" s="95"/>
      <c r="N559" s="72">
        <f t="shared" si="42"/>
        <v>0</v>
      </c>
      <c r="O559" s="121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</row>
    <row r="560" ht="22.5" customHeight="1">
      <c r="A560" s="86">
        <v>45623.0</v>
      </c>
      <c r="B560" s="63" t="s">
        <v>27</v>
      </c>
      <c r="C560" s="80">
        <v>1115958.18</v>
      </c>
      <c r="D560" s="79"/>
      <c r="E560" s="66" t="s">
        <v>376</v>
      </c>
      <c r="F560" s="84" t="s">
        <v>379</v>
      </c>
      <c r="G560" s="68">
        <v>20.0</v>
      </c>
      <c r="H560" s="69">
        <f t="shared" si="33"/>
        <v>185993.03</v>
      </c>
      <c r="I560" s="76" t="s">
        <v>37</v>
      </c>
      <c r="J560" s="87" t="s">
        <v>250</v>
      </c>
      <c r="K560" s="82">
        <v>18.0</v>
      </c>
      <c r="L560" s="127">
        <v>150.0</v>
      </c>
      <c r="M560" s="95"/>
      <c r="N560" s="72">
        <f t="shared" si="42"/>
        <v>0</v>
      </c>
      <c r="O560" s="96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</row>
    <row r="561" ht="22.5" customHeight="1">
      <c r="A561" s="86">
        <v>45623.0</v>
      </c>
      <c r="B561" s="63" t="s">
        <v>27</v>
      </c>
      <c r="C561" s="80">
        <v>600000.24</v>
      </c>
      <c r="D561" s="79"/>
      <c r="E561" s="66" t="s">
        <v>376</v>
      </c>
      <c r="F561" s="84" t="s">
        <v>379</v>
      </c>
      <c r="G561" s="68">
        <v>20.0</v>
      </c>
      <c r="H561" s="69">
        <f t="shared" si="33"/>
        <v>100000.04</v>
      </c>
      <c r="I561" s="76" t="s">
        <v>37</v>
      </c>
      <c r="J561" s="87" t="s">
        <v>250</v>
      </c>
      <c r="K561" s="82">
        <v>21.0</v>
      </c>
      <c r="L561" s="127">
        <v>149.0</v>
      </c>
      <c r="M561" s="95"/>
      <c r="N561" s="72">
        <f t="shared" si="42"/>
        <v>0</v>
      </c>
      <c r="O561" s="96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</row>
    <row r="562" ht="22.5" customHeight="1">
      <c r="A562" s="86">
        <v>45623.0</v>
      </c>
      <c r="B562" s="63" t="s">
        <v>27</v>
      </c>
      <c r="C562" s="80">
        <v>600000.24</v>
      </c>
      <c r="D562" s="79"/>
      <c r="E562" s="66" t="s">
        <v>376</v>
      </c>
      <c r="F562" s="84" t="s">
        <v>379</v>
      </c>
      <c r="G562" s="68">
        <v>20.0</v>
      </c>
      <c r="H562" s="69">
        <f t="shared" si="33"/>
        <v>100000.04</v>
      </c>
      <c r="I562" s="76" t="s">
        <v>37</v>
      </c>
      <c r="J562" s="87" t="s">
        <v>250</v>
      </c>
      <c r="K562" s="82">
        <v>20.0</v>
      </c>
      <c r="L562" s="127">
        <v>146.0</v>
      </c>
      <c r="M562" s="95"/>
      <c r="N562" s="72">
        <f t="shared" si="42"/>
        <v>0</v>
      </c>
      <c r="O562" s="96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</row>
    <row r="563" ht="22.5" customHeight="1">
      <c r="A563" s="86">
        <v>45624.0</v>
      </c>
      <c r="B563" s="63" t="s">
        <v>27</v>
      </c>
      <c r="C563" s="80">
        <v>627529.98</v>
      </c>
      <c r="D563" s="79"/>
      <c r="E563" s="66" t="s">
        <v>28</v>
      </c>
      <c r="F563" s="84" t="s">
        <v>528</v>
      </c>
      <c r="G563" s="68">
        <v>20.0</v>
      </c>
      <c r="H563" s="69">
        <f t="shared" si="33"/>
        <v>104588.33</v>
      </c>
      <c r="I563" s="76" t="s">
        <v>37</v>
      </c>
      <c r="J563" s="87" t="s">
        <v>539</v>
      </c>
      <c r="K563" s="82">
        <v>18.0</v>
      </c>
      <c r="L563" s="82">
        <v>169.0</v>
      </c>
      <c r="M563" s="128">
        <v>45608.0</v>
      </c>
      <c r="N563" s="72">
        <f t="shared" si="42"/>
        <v>16</v>
      </c>
      <c r="O563" s="83" t="s">
        <v>543</v>
      </c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</row>
    <row r="564" ht="22.5" customHeight="1">
      <c r="A564" s="86">
        <v>45624.0</v>
      </c>
      <c r="B564" s="63" t="s">
        <v>27</v>
      </c>
      <c r="C564" s="80">
        <v>203456.4</v>
      </c>
      <c r="D564" s="79"/>
      <c r="E564" s="66" t="s">
        <v>28</v>
      </c>
      <c r="F564" s="84" t="s">
        <v>528</v>
      </c>
      <c r="G564" s="68">
        <v>20.0</v>
      </c>
      <c r="H564" s="69">
        <f t="shared" si="33"/>
        <v>33909.4</v>
      </c>
      <c r="I564" s="76" t="s">
        <v>37</v>
      </c>
      <c r="J564" s="87" t="s">
        <v>539</v>
      </c>
      <c r="K564" s="82">
        <v>14.0</v>
      </c>
      <c r="L564" s="82">
        <v>170.0</v>
      </c>
      <c r="M564" s="128">
        <v>45608.0</v>
      </c>
      <c r="N564" s="72">
        <f t="shared" si="42"/>
        <v>16</v>
      </c>
      <c r="O564" s="83" t="s">
        <v>544</v>
      </c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</row>
    <row r="565" ht="22.5" customHeight="1">
      <c r="A565" s="86">
        <v>45624.0</v>
      </c>
      <c r="B565" s="63" t="s">
        <v>27</v>
      </c>
      <c r="C565" s="80">
        <v>133512.12</v>
      </c>
      <c r="D565" s="79"/>
      <c r="E565" s="66" t="s">
        <v>28</v>
      </c>
      <c r="F565" s="84" t="s">
        <v>528</v>
      </c>
      <c r="G565" s="68">
        <v>20.0</v>
      </c>
      <c r="H565" s="69">
        <f t="shared" si="33"/>
        <v>22252.02</v>
      </c>
      <c r="I565" s="76" t="s">
        <v>37</v>
      </c>
      <c r="J565" s="87" t="s">
        <v>539</v>
      </c>
      <c r="K565" s="95"/>
      <c r="L565" s="82">
        <v>171.0</v>
      </c>
      <c r="M565" s="95"/>
      <c r="N565" s="72">
        <f t="shared" si="42"/>
        <v>0</v>
      </c>
      <c r="O565" s="83" t="s">
        <v>545</v>
      </c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</row>
    <row r="566" ht="22.5" customHeight="1">
      <c r="A566" s="86">
        <v>45624.0</v>
      </c>
      <c r="B566" s="63" t="s">
        <v>27</v>
      </c>
      <c r="C566" s="80">
        <v>1932000.0</v>
      </c>
      <c r="D566" s="79"/>
      <c r="E566" s="66" t="s">
        <v>28</v>
      </c>
      <c r="F566" s="84" t="s">
        <v>528</v>
      </c>
      <c r="G566" s="68">
        <v>20.0</v>
      </c>
      <c r="H566" s="69">
        <f t="shared" si="33"/>
        <v>322000</v>
      </c>
      <c r="I566" s="76" t="s">
        <v>37</v>
      </c>
      <c r="J566" s="87" t="s">
        <v>539</v>
      </c>
      <c r="K566" s="82">
        <v>16.0</v>
      </c>
      <c r="L566" s="82">
        <v>187.0</v>
      </c>
      <c r="M566" s="95"/>
      <c r="N566" s="72">
        <f t="shared" si="42"/>
        <v>0</v>
      </c>
      <c r="O566" s="83" t="s">
        <v>546</v>
      </c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</row>
    <row r="567" ht="22.5" customHeight="1">
      <c r="A567" s="86">
        <v>45624.0</v>
      </c>
      <c r="B567" s="63" t="s">
        <v>27</v>
      </c>
      <c r="C567" s="79"/>
      <c r="D567" s="80">
        <v>348681.0</v>
      </c>
      <c r="E567" s="66" t="s">
        <v>28</v>
      </c>
      <c r="F567" s="84" t="s">
        <v>236</v>
      </c>
      <c r="G567" s="69"/>
      <c r="H567" s="69"/>
      <c r="I567" s="94" t="s">
        <v>71</v>
      </c>
      <c r="J567" s="87" t="s">
        <v>72</v>
      </c>
      <c r="K567" s="95"/>
      <c r="L567" s="95"/>
      <c r="M567" s="95"/>
      <c r="N567" s="72"/>
      <c r="O567" s="83" t="s">
        <v>547</v>
      </c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</row>
    <row r="568" ht="22.5" customHeight="1">
      <c r="A568" s="86">
        <v>45624.0</v>
      </c>
      <c r="B568" s="63" t="s">
        <v>27</v>
      </c>
      <c r="C568" s="79"/>
      <c r="D568" s="80">
        <v>147047.46</v>
      </c>
      <c r="E568" s="66" t="s">
        <v>28</v>
      </c>
      <c r="F568" s="84" t="s">
        <v>283</v>
      </c>
      <c r="G568" s="69"/>
      <c r="H568" s="69"/>
      <c r="I568" s="94" t="s">
        <v>71</v>
      </c>
      <c r="J568" s="87" t="s">
        <v>72</v>
      </c>
      <c r="K568" s="95"/>
      <c r="L568" s="95"/>
      <c r="M568" s="95"/>
      <c r="N568" s="72"/>
      <c r="O568" s="83" t="s">
        <v>208</v>
      </c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</row>
    <row r="569" ht="22.5" customHeight="1">
      <c r="A569" s="86">
        <v>45624.0</v>
      </c>
      <c r="B569" s="63" t="s">
        <v>27</v>
      </c>
      <c r="C569" s="79"/>
      <c r="D569" s="80">
        <v>43423.0</v>
      </c>
      <c r="E569" s="66" t="s">
        <v>28</v>
      </c>
      <c r="F569" s="84" t="s">
        <v>283</v>
      </c>
      <c r="G569" s="69"/>
      <c r="H569" s="69"/>
      <c r="I569" s="94" t="s">
        <v>71</v>
      </c>
      <c r="J569" s="87" t="s">
        <v>72</v>
      </c>
      <c r="K569" s="95"/>
      <c r="L569" s="95"/>
      <c r="M569" s="95"/>
      <c r="N569" s="72"/>
      <c r="O569" s="83" t="s">
        <v>209</v>
      </c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</row>
    <row r="570" ht="22.5" customHeight="1">
      <c r="A570" s="86">
        <v>45625.0</v>
      </c>
      <c r="B570" s="63" t="s">
        <v>27</v>
      </c>
      <c r="C570" s="79"/>
      <c r="D570" s="80">
        <v>22200.0</v>
      </c>
      <c r="E570" s="66" t="s">
        <v>33</v>
      </c>
      <c r="F570" s="84" t="s">
        <v>108</v>
      </c>
      <c r="G570" s="68">
        <v>0.0</v>
      </c>
      <c r="H570" s="69">
        <f t="shared" ref="H570:H639" si="43">SUM(C570:D570)*G570/(G570+100)</f>
        <v>0</v>
      </c>
      <c r="I570" s="97"/>
      <c r="J570" s="87" t="s">
        <v>489</v>
      </c>
      <c r="K570" s="95"/>
      <c r="L570" s="95"/>
      <c r="M570" s="95"/>
      <c r="N570" s="72"/>
      <c r="O570" s="83" t="s">
        <v>548</v>
      </c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</row>
    <row r="571" ht="22.5" customHeight="1">
      <c r="A571" s="86">
        <v>45625.0</v>
      </c>
      <c r="B571" s="63" t="s">
        <v>27</v>
      </c>
      <c r="C571" s="120">
        <v>738150.0</v>
      </c>
      <c r="D571" s="79"/>
      <c r="E571" s="66" t="s">
        <v>28</v>
      </c>
      <c r="F571" s="84" t="s">
        <v>379</v>
      </c>
      <c r="G571" s="68">
        <v>20.0</v>
      </c>
      <c r="H571" s="69">
        <f t="shared" si="43"/>
        <v>123025</v>
      </c>
      <c r="I571" s="76" t="s">
        <v>37</v>
      </c>
      <c r="J571" s="87" t="s">
        <v>549</v>
      </c>
      <c r="K571" s="82">
        <v>4.0</v>
      </c>
      <c r="L571" s="95"/>
      <c r="M571" s="95"/>
      <c r="N571" s="72">
        <f t="shared" ref="N571:N573" si="44">A571-IF(M571&gt;0,M571,A571)</f>
        <v>0</v>
      </c>
      <c r="O571" s="83" t="s">
        <v>550</v>
      </c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</row>
    <row r="572" ht="22.5" customHeight="1">
      <c r="A572" s="86">
        <v>45625.0</v>
      </c>
      <c r="B572" s="63" t="s">
        <v>27</v>
      </c>
      <c r="C572" s="80">
        <v>2100000.0</v>
      </c>
      <c r="D572" s="79"/>
      <c r="E572" s="66" t="s">
        <v>28</v>
      </c>
      <c r="F572" s="84" t="s">
        <v>528</v>
      </c>
      <c r="G572" s="68">
        <v>20.0</v>
      </c>
      <c r="H572" s="69">
        <f t="shared" si="43"/>
        <v>350000</v>
      </c>
      <c r="I572" s="76" t="s">
        <v>37</v>
      </c>
      <c r="J572" s="87" t="s">
        <v>205</v>
      </c>
      <c r="K572" s="82">
        <v>6.0</v>
      </c>
      <c r="L572" s="82">
        <v>163.0</v>
      </c>
      <c r="M572" s="128">
        <v>45604.0</v>
      </c>
      <c r="N572" s="72">
        <f t="shared" si="44"/>
        <v>21</v>
      </c>
      <c r="O572" s="83" t="s">
        <v>551</v>
      </c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</row>
    <row r="573" ht="22.5" customHeight="1">
      <c r="A573" s="86">
        <v>45625.0</v>
      </c>
      <c r="B573" s="63" t="s">
        <v>27</v>
      </c>
      <c r="C573" s="80">
        <v>1800120.0</v>
      </c>
      <c r="D573" s="79"/>
      <c r="E573" s="66" t="s">
        <v>28</v>
      </c>
      <c r="F573" s="84" t="s">
        <v>528</v>
      </c>
      <c r="G573" s="68">
        <v>20.0</v>
      </c>
      <c r="H573" s="69">
        <f t="shared" si="43"/>
        <v>300020</v>
      </c>
      <c r="I573" s="76" t="s">
        <v>37</v>
      </c>
      <c r="J573" s="87" t="s">
        <v>205</v>
      </c>
      <c r="K573" s="82">
        <v>7.0</v>
      </c>
      <c r="L573" s="82">
        <v>184.0</v>
      </c>
      <c r="M573" s="95"/>
      <c r="N573" s="72">
        <f t="shared" si="44"/>
        <v>0</v>
      </c>
      <c r="O573" s="83" t="s">
        <v>552</v>
      </c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</row>
    <row r="574" ht="22.5" customHeight="1">
      <c r="A574" s="86">
        <v>45626.0</v>
      </c>
      <c r="B574" s="63" t="s">
        <v>27</v>
      </c>
      <c r="C574" s="79"/>
      <c r="D574" s="80">
        <v>30000.0</v>
      </c>
      <c r="E574" s="66" t="s">
        <v>33</v>
      </c>
      <c r="F574" s="84" t="s">
        <v>203</v>
      </c>
      <c r="G574" s="68">
        <v>0.0</v>
      </c>
      <c r="H574" s="69">
        <f t="shared" si="43"/>
        <v>0</v>
      </c>
      <c r="I574" s="97"/>
      <c r="J574" s="87" t="s">
        <v>240</v>
      </c>
      <c r="K574" s="95"/>
      <c r="L574" s="95"/>
      <c r="M574" s="95"/>
      <c r="N574" s="72"/>
      <c r="O574" s="96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</row>
    <row r="575" ht="22.5" customHeight="1">
      <c r="A575" s="86">
        <v>45628.0</v>
      </c>
      <c r="B575" s="63" t="s">
        <v>27</v>
      </c>
      <c r="C575" s="79"/>
      <c r="D575" s="135">
        <v>350000.0</v>
      </c>
      <c r="E575" s="66" t="s">
        <v>28</v>
      </c>
      <c r="F575" s="84" t="s">
        <v>553</v>
      </c>
      <c r="G575" s="68">
        <v>0.0</v>
      </c>
      <c r="H575" s="69">
        <f t="shared" si="43"/>
        <v>0</v>
      </c>
      <c r="I575" s="89" t="s">
        <v>554</v>
      </c>
      <c r="J575" s="87" t="s">
        <v>555</v>
      </c>
      <c r="K575" s="95"/>
      <c r="L575" s="95"/>
      <c r="M575" s="95"/>
      <c r="N575" s="72"/>
      <c r="O575" s="96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</row>
    <row r="576" ht="22.5" customHeight="1">
      <c r="A576" s="86">
        <v>45628.0</v>
      </c>
      <c r="B576" s="63" t="s">
        <v>27</v>
      </c>
      <c r="C576" s="79"/>
      <c r="D576" s="80">
        <v>1935336.19</v>
      </c>
      <c r="E576" s="66" t="s">
        <v>28</v>
      </c>
      <c r="F576" s="84" t="s">
        <v>379</v>
      </c>
      <c r="G576" s="68">
        <v>20.0</v>
      </c>
      <c r="H576" s="69">
        <f t="shared" si="43"/>
        <v>322556.0317</v>
      </c>
      <c r="I576" s="89" t="s">
        <v>61</v>
      </c>
      <c r="J576" s="103" t="s">
        <v>228</v>
      </c>
      <c r="K576" s="95"/>
      <c r="L576" s="95"/>
      <c r="M576" s="95"/>
      <c r="N576" s="72"/>
      <c r="O576" s="96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</row>
    <row r="577" ht="22.5" customHeight="1">
      <c r="A577" s="86">
        <v>45628.0</v>
      </c>
      <c r="B577" s="63" t="s">
        <v>27</v>
      </c>
      <c r="C577" s="79"/>
      <c r="D577" s="80">
        <v>37067.39</v>
      </c>
      <c r="E577" s="66" t="s">
        <v>28</v>
      </c>
      <c r="F577" s="84" t="s">
        <v>528</v>
      </c>
      <c r="G577" s="68">
        <v>20.0</v>
      </c>
      <c r="H577" s="69">
        <f t="shared" si="43"/>
        <v>6177.898333</v>
      </c>
      <c r="I577" s="76" t="s">
        <v>44</v>
      </c>
      <c r="J577" s="98" t="s">
        <v>134</v>
      </c>
      <c r="K577" s="95"/>
      <c r="L577" s="82">
        <v>41992.0</v>
      </c>
      <c r="M577" s="132">
        <v>45596.0</v>
      </c>
      <c r="N577" s="72"/>
      <c r="O577" s="96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</row>
    <row r="578" ht="22.5" customHeight="1">
      <c r="A578" s="86">
        <v>45628.0</v>
      </c>
      <c r="B578" s="63" t="s">
        <v>27</v>
      </c>
      <c r="C578" s="79"/>
      <c r="D578" s="80">
        <v>50780.58</v>
      </c>
      <c r="E578" s="66" t="s">
        <v>28</v>
      </c>
      <c r="F578" s="84" t="s">
        <v>528</v>
      </c>
      <c r="G578" s="68">
        <v>20.0</v>
      </c>
      <c r="H578" s="69">
        <f t="shared" si="43"/>
        <v>8463.43</v>
      </c>
      <c r="I578" s="76" t="s">
        <v>61</v>
      </c>
      <c r="J578" s="98" t="s">
        <v>509</v>
      </c>
      <c r="K578" s="95"/>
      <c r="L578" s="82" t="s">
        <v>556</v>
      </c>
      <c r="M578" s="132">
        <v>45596.0</v>
      </c>
      <c r="N578" s="72"/>
      <c r="O578" s="96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</row>
    <row r="579" ht="22.5" customHeight="1">
      <c r="A579" s="86">
        <v>45628.0</v>
      </c>
      <c r="B579" s="63" t="s">
        <v>27</v>
      </c>
      <c r="C579" s="79"/>
      <c r="D579" s="80">
        <v>162000.0</v>
      </c>
      <c r="E579" s="66" t="s">
        <v>28</v>
      </c>
      <c r="F579" s="84" t="s">
        <v>528</v>
      </c>
      <c r="G579" s="68">
        <v>0.0</v>
      </c>
      <c r="H579" s="69">
        <f t="shared" si="43"/>
        <v>0</v>
      </c>
      <c r="I579" s="76" t="s">
        <v>286</v>
      </c>
      <c r="J579" s="87" t="s">
        <v>454</v>
      </c>
      <c r="K579" s="95"/>
      <c r="L579" s="95"/>
      <c r="M579" s="95"/>
      <c r="N579" s="72"/>
      <c r="O579" s="96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</row>
    <row r="580" ht="22.5" customHeight="1">
      <c r="A580" s="86">
        <v>45628.0</v>
      </c>
      <c r="B580" s="63" t="s">
        <v>27</v>
      </c>
      <c r="C580" s="79"/>
      <c r="D580" s="80">
        <v>13990.0</v>
      </c>
      <c r="E580" s="66" t="s">
        <v>28</v>
      </c>
      <c r="F580" s="84" t="s">
        <v>119</v>
      </c>
      <c r="G580" s="68">
        <v>0.0</v>
      </c>
      <c r="H580" s="69">
        <f t="shared" si="43"/>
        <v>0</v>
      </c>
      <c r="I580" s="70" t="s">
        <v>30</v>
      </c>
      <c r="J580" s="71" t="s">
        <v>31</v>
      </c>
      <c r="K580" s="95"/>
      <c r="L580" s="95"/>
      <c r="M580" s="95"/>
      <c r="N580" s="72"/>
      <c r="O580" s="96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</row>
    <row r="581" ht="22.5" customHeight="1">
      <c r="A581" s="86">
        <v>45629.0</v>
      </c>
      <c r="B581" s="63" t="s">
        <v>27</v>
      </c>
      <c r="C581" s="80">
        <v>432507.5</v>
      </c>
      <c r="D581" s="80"/>
      <c r="E581" s="66" t="s">
        <v>376</v>
      </c>
      <c r="F581" s="84" t="s">
        <v>379</v>
      </c>
      <c r="G581" s="68">
        <v>20.0</v>
      </c>
      <c r="H581" s="69">
        <f t="shared" si="43"/>
        <v>72084.58333</v>
      </c>
      <c r="I581" s="76" t="s">
        <v>37</v>
      </c>
      <c r="J581" s="87" t="s">
        <v>557</v>
      </c>
      <c r="K581" s="82">
        <v>1.0</v>
      </c>
      <c r="L581" s="95"/>
      <c r="M581" s="95"/>
      <c r="N581" s="72">
        <f>A581-IF(M581&gt;0,M581,A581)</f>
        <v>0</v>
      </c>
      <c r="O581" s="83" t="s">
        <v>558</v>
      </c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</row>
    <row r="582" ht="22.5" customHeight="1">
      <c r="A582" s="86">
        <v>45629.0</v>
      </c>
      <c r="B582" s="63" t="s">
        <v>27</v>
      </c>
      <c r="C582" s="79"/>
      <c r="D582" s="80">
        <v>41902.0</v>
      </c>
      <c r="E582" s="66" t="s">
        <v>28</v>
      </c>
      <c r="F582" s="84" t="s">
        <v>203</v>
      </c>
      <c r="G582" s="68">
        <v>0.0</v>
      </c>
      <c r="H582" s="69">
        <f t="shared" si="43"/>
        <v>0</v>
      </c>
      <c r="I582" s="97"/>
      <c r="J582" s="87" t="s">
        <v>559</v>
      </c>
      <c r="K582" s="95"/>
      <c r="L582" s="95"/>
      <c r="M582" s="95"/>
      <c r="N582" s="72"/>
      <c r="O582" s="83" t="s">
        <v>560</v>
      </c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</row>
    <row r="583" ht="22.5" customHeight="1">
      <c r="A583" s="86">
        <v>45629.0</v>
      </c>
      <c r="B583" s="63" t="s">
        <v>27</v>
      </c>
      <c r="C583" s="79"/>
      <c r="D583" s="80">
        <v>22000.0</v>
      </c>
      <c r="E583" s="66" t="s">
        <v>33</v>
      </c>
      <c r="F583" s="84" t="s">
        <v>494</v>
      </c>
      <c r="G583" s="68">
        <v>0.0</v>
      </c>
      <c r="H583" s="69">
        <f t="shared" si="43"/>
        <v>0</v>
      </c>
      <c r="I583" s="97"/>
      <c r="J583" s="87" t="s">
        <v>561</v>
      </c>
      <c r="K583" s="95"/>
      <c r="L583" s="95"/>
      <c r="M583" s="95"/>
      <c r="N583" s="72"/>
      <c r="O583" s="83" t="s">
        <v>536</v>
      </c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</row>
    <row r="584" ht="22.5" customHeight="1">
      <c r="A584" s="86">
        <v>45631.0</v>
      </c>
      <c r="B584" s="63" t="s">
        <v>27</v>
      </c>
      <c r="C584" s="79"/>
      <c r="D584" s="80">
        <v>97000.0</v>
      </c>
      <c r="E584" s="66" t="s">
        <v>33</v>
      </c>
      <c r="F584" s="84" t="s">
        <v>108</v>
      </c>
      <c r="G584" s="68">
        <v>0.0</v>
      </c>
      <c r="H584" s="69">
        <f t="shared" si="43"/>
        <v>0</v>
      </c>
      <c r="I584" s="88"/>
      <c r="J584" s="81"/>
      <c r="K584" s="95"/>
      <c r="L584" s="95"/>
      <c r="M584" s="95"/>
      <c r="N584" s="72"/>
      <c r="O584" s="83" t="s">
        <v>562</v>
      </c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</row>
    <row r="585" ht="22.5" customHeight="1">
      <c r="A585" s="86">
        <v>45631.0</v>
      </c>
      <c r="B585" s="63" t="s">
        <v>27</v>
      </c>
      <c r="C585" s="79"/>
      <c r="D585" s="80">
        <v>6500.0</v>
      </c>
      <c r="E585" s="66" t="s">
        <v>33</v>
      </c>
      <c r="F585" s="84" t="s">
        <v>563</v>
      </c>
      <c r="G585" s="68">
        <v>0.0</v>
      </c>
      <c r="H585" s="69">
        <f t="shared" si="43"/>
        <v>0</v>
      </c>
      <c r="I585" s="97"/>
      <c r="J585" s="87" t="s">
        <v>564</v>
      </c>
      <c r="K585" s="95"/>
      <c r="L585" s="95"/>
      <c r="M585" s="95"/>
      <c r="N585" s="72"/>
      <c r="O585" s="96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</row>
    <row r="586" ht="22.5" customHeight="1">
      <c r="A586" s="86">
        <v>45631.0</v>
      </c>
      <c r="B586" s="63" t="s">
        <v>27</v>
      </c>
      <c r="C586" s="79"/>
      <c r="D586" s="80">
        <v>750000.0</v>
      </c>
      <c r="E586" s="66" t="s">
        <v>33</v>
      </c>
      <c r="F586" s="84" t="s">
        <v>203</v>
      </c>
      <c r="G586" s="68">
        <v>0.0</v>
      </c>
      <c r="H586" s="69">
        <f t="shared" si="43"/>
        <v>0</v>
      </c>
      <c r="I586" s="97"/>
      <c r="J586" s="87" t="s">
        <v>565</v>
      </c>
      <c r="K586" s="95"/>
      <c r="L586" s="95"/>
      <c r="M586" s="95"/>
      <c r="N586" s="72"/>
      <c r="O586" s="96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</row>
    <row r="587" ht="22.5" customHeight="1">
      <c r="A587" s="86">
        <v>45631.0</v>
      </c>
      <c r="B587" s="63" t="s">
        <v>27</v>
      </c>
      <c r="C587" s="79"/>
      <c r="D587" s="80">
        <v>200000.0</v>
      </c>
      <c r="E587" s="66" t="s">
        <v>33</v>
      </c>
      <c r="F587" s="84" t="s">
        <v>108</v>
      </c>
      <c r="G587" s="68">
        <v>0.0</v>
      </c>
      <c r="H587" s="69">
        <f t="shared" si="43"/>
        <v>0</v>
      </c>
      <c r="I587" s="97"/>
      <c r="J587" s="87" t="s">
        <v>566</v>
      </c>
      <c r="K587" s="95"/>
      <c r="L587" s="95"/>
      <c r="M587" s="95"/>
      <c r="N587" s="72"/>
      <c r="O587" s="96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</row>
    <row r="588" ht="22.5" customHeight="1">
      <c r="A588" s="86">
        <v>45631.0</v>
      </c>
      <c r="B588" s="63" t="s">
        <v>27</v>
      </c>
      <c r="C588" s="79"/>
      <c r="D588" s="80">
        <v>5000.0</v>
      </c>
      <c r="E588" s="66" t="s">
        <v>33</v>
      </c>
      <c r="F588" s="84" t="s">
        <v>525</v>
      </c>
      <c r="G588" s="68">
        <v>0.0</v>
      </c>
      <c r="H588" s="69">
        <f t="shared" si="43"/>
        <v>0</v>
      </c>
      <c r="I588" s="97"/>
      <c r="J588" s="87" t="s">
        <v>567</v>
      </c>
      <c r="K588" s="95"/>
      <c r="L588" s="95"/>
      <c r="M588" s="95"/>
      <c r="N588" s="72"/>
      <c r="O588" s="96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</row>
    <row r="589" ht="22.5" customHeight="1">
      <c r="A589" s="86">
        <v>45632.0</v>
      </c>
      <c r="B589" s="63" t="s">
        <v>27</v>
      </c>
      <c r="C589" s="80">
        <v>138035.94</v>
      </c>
      <c r="D589" s="79"/>
      <c r="E589" s="66" t="s">
        <v>28</v>
      </c>
      <c r="F589" s="84" t="s">
        <v>379</v>
      </c>
      <c r="G589" s="68">
        <v>20.0</v>
      </c>
      <c r="H589" s="69">
        <f t="shared" si="43"/>
        <v>23005.99</v>
      </c>
      <c r="I589" s="76" t="s">
        <v>37</v>
      </c>
      <c r="J589" s="87" t="s">
        <v>474</v>
      </c>
      <c r="K589" s="82">
        <v>2.0</v>
      </c>
      <c r="L589" s="95"/>
      <c r="M589" s="95"/>
      <c r="N589" s="72">
        <f>A589-IF(M589&gt;0,M589,A589)</f>
        <v>0</v>
      </c>
      <c r="O589" s="83" t="s">
        <v>568</v>
      </c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</row>
    <row r="590" ht="22.5" customHeight="1">
      <c r="A590" s="86">
        <v>45632.0</v>
      </c>
      <c r="B590" s="63" t="s">
        <v>27</v>
      </c>
      <c r="C590" s="79"/>
      <c r="D590" s="80">
        <v>66872.0</v>
      </c>
      <c r="E590" s="66" t="s">
        <v>28</v>
      </c>
      <c r="F590" s="84" t="s">
        <v>283</v>
      </c>
      <c r="G590" s="68">
        <v>0.0</v>
      </c>
      <c r="H590" s="69">
        <f t="shared" si="43"/>
        <v>0</v>
      </c>
      <c r="I590" s="94" t="s">
        <v>71</v>
      </c>
      <c r="J590" s="87" t="s">
        <v>72</v>
      </c>
      <c r="K590" s="95"/>
      <c r="L590" s="95"/>
      <c r="M590" s="95"/>
      <c r="N590" s="72"/>
      <c r="O590" s="83" t="s">
        <v>209</v>
      </c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</row>
    <row r="591" ht="22.5" customHeight="1">
      <c r="A591" s="86">
        <v>45636.0</v>
      </c>
      <c r="B591" s="63" t="s">
        <v>27</v>
      </c>
      <c r="C591" s="80">
        <v>206055.9</v>
      </c>
      <c r="D591" s="79"/>
      <c r="E591" s="66" t="s">
        <v>28</v>
      </c>
      <c r="F591" s="84" t="s">
        <v>379</v>
      </c>
      <c r="G591" s="68">
        <v>20.0</v>
      </c>
      <c r="H591" s="69">
        <f t="shared" si="43"/>
        <v>34342.65</v>
      </c>
      <c r="I591" s="76" t="s">
        <v>37</v>
      </c>
      <c r="J591" s="87" t="s">
        <v>532</v>
      </c>
      <c r="K591" s="82">
        <v>2.0</v>
      </c>
      <c r="L591" s="95"/>
      <c r="M591" s="95"/>
      <c r="N591" s="72">
        <f t="shared" ref="N591:N595" si="45">A591-IF(M591&gt;0,M591,A591)</f>
        <v>0</v>
      </c>
      <c r="O591" s="96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</row>
    <row r="592" ht="22.5" customHeight="1">
      <c r="A592" s="86">
        <v>45636.0</v>
      </c>
      <c r="B592" s="63" t="s">
        <v>27</v>
      </c>
      <c r="C592" s="80">
        <v>378000.0</v>
      </c>
      <c r="D592" s="79"/>
      <c r="E592" s="66" t="s">
        <v>28</v>
      </c>
      <c r="F592" s="84" t="s">
        <v>379</v>
      </c>
      <c r="G592" s="68">
        <v>20.0</v>
      </c>
      <c r="H592" s="69">
        <f t="shared" si="43"/>
        <v>63000</v>
      </c>
      <c r="I592" s="76" t="s">
        <v>37</v>
      </c>
      <c r="J592" s="87" t="s">
        <v>532</v>
      </c>
      <c r="K592" s="82">
        <v>3.0</v>
      </c>
      <c r="L592" s="95"/>
      <c r="M592" s="95"/>
      <c r="N592" s="72">
        <f t="shared" si="45"/>
        <v>0</v>
      </c>
      <c r="O592" s="96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</row>
    <row r="593" ht="22.5" customHeight="1">
      <c r="A593" s="86">
        <v>45636.0</v>
      </c>
      <c r="B593" s="63" t="s">
        <v>27</v>
      </c>
      <c r="C593" s="80">
        <v>378000.0</v>
      </c>
      <c r="D593" s="79"/>
      <c r="E593" s="66" t="s">
        <v>28</v>
      </c>
      <c r="F593" s="84" t="s">
        <v>379</v>
      </c>
      <c r="G593" s="68">
        <v>20.0</v>
      </c>
      <c r="H593" s="69">
        <f t="shared" si="43"/>
        <v>63000</v>
      </c>
      <c r="I593" s="76" t="s">
        <v>37</v>
      </c>
      <c r="J593" s="87" t="s">
        <v>532</v>
      </c>
      <c r="K593" s="82">
        <v>4.0</v>
      </c>
      <c r="L593" s="95"/>
      <c r="M593" s="95"/>
      <c r="N593" s="72">
        <f t="shared" si="45"/>
        <v>0</v>
      </c>
      <c r="O593" s="96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</row>
    <row r="594" ht="22.5" customHeight="1">
      <c r="A594" s="86">
        <v>45636.0</v>
      </c>
      <c r="B594" s="63" t="s">
        <v>27</v>
      </c>
      <c r="C594" s="80">
        <v>240000.0</v>
      </c>
      <c r="D594" s="79"/>
      <c r="E594" s="66" t="s">
        <v>28</v>
      </c>
      <c r="F594" s="84" t="s">
        <v>379</v>
      </c>
      <c r="G594" s="68">
        <v>20.0</v>
      </c>
      <c r="H594" s="69">
        <f t="shared" si="43"/>
        <v>40000</v>
      </c>
      <c r="I594" s="76" t="s">
        <v>37</v>
      </c>
      <c r="J594" s="87" t="s">
        <v>157</v>
      </c>
      <c r="K594" s="82">
        <v>38.0</v>
      </c>
      <c r="L594" s="95"/>
      <c r="M594" s="95"/>
      <c r="N594" s="72">
        <f t="shared" si="45"/>
        <v>0</v>
      </c>
      <c r="O594" s="96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</row>
    <row r="595" ht="22.5" customHeight="1">
      <c r="A595" s="86">
        <v>45636.0</v>
      </c>
      <c r="B595" s="63" t="s">
        <v>27</v>
      </c>
      <c r="C595" s="80">
        <v>223420.81</v>
      </c>
      <c r="D595" s="79"/>
      <c r="E595" s="66" t="s">
        <v>28</v>
      </c>
      <c r="F595" s="84" t="s">
        <v>379</v>
      </c>
      <c r="G595" s="68">
        <v>20.0</v>
      </c>
      <c r="H595" s="69">
        <f t="shared" si="43"/>
        <v>37236.80167</v>
      </c>
      <c r="I595" s="76" t="s">
        <v>37</v>
      </c>
      <c r="J595" s="87" t="s">
        <v>157</v>
      </c>
      <c r="K595" s="82">
        <v>37.0</v>
      </c>
      <c r="L595" s="95"/>
      <c r="M595" s="95"/>
      <c r="N595" s="72">
        <f t="shared" si="45"/>
        <v>0</v>
      </c>
      <c r="O595" s="96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</row>
    <row r="596" ht="22.5" customHeight="1">
      <c r="A596" s="86">
        <v>45636.0</v>
      </c>
      <c r="B596" s="63" t="s">
        <v>27</v>
      </c>
      <c r="C596" s="79"/>
      <c r="D596" s="80">
        <v>42000.0</v>
      </c>
      <c r="E596" s="66" t="s">
        <v>33</v>
      </c>
      <c r="F596" s="84" t="s">
        <v>525</v>
      </c>
      <c r="G596" s="68">
        <v>0.0</v>
      </c>
      <c r="H596" s="69">
        <f t="shared" si="43"/>
        <v>0</v>
      </c>
      <c r="I596" s="97"/>
      <c r="J596" s="87" t="s">
        <v>569</v>
      </c>
      <c r="K596" s="95"/>
      <c r="L596" s="95"/>
      <c r="M596" s="95"/>
      <c r="N596" s="72"/>
      <c r="O596" s="96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</row>
    <row r="597" ht="22.5" customHeight="1">
      <c r="A597" s="86">
        <v>45636.0</v>
      </c>
      <c r="B597" s="63" t="s">
        <v>27</v>
      </c>
      <c r="C597" s="79"/>
      <c r="D597" s="80">
        <v>405627.14</v>
      </c>
      <c r="E597" s="66" t="s">
        <v>28</v>
      </c>
      <c r="F597" s="84" t="s">
        <v>203</v>
      </c>
      <c r="G597" s="68">
        <v>0.0</v>
      </c>
      <c r="H597" s="69">
        <f t="shared" si="43"/>
        <v>0</v>
      </c>
      <c r="I597" s="97"/>
      <c r="J597" s="87" t="s">
        <v>565</v>
      </c>
      <c r="K597" s="95"/>
      <c r="L597" s="95"/>
      <c r="M597" s="95"/>
      <c r="N597" s="72"/>
      <c r="O597" s="96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</row>
    <row r="598" ht="22.5" customHeight="1">
      <c r="A598" s="86">
        <v>45638.0</v>
      </c>
      <c r="B598" s="63" t="s">
        <v>27</v>
      </c>
      <c r="C598" s="80">
        <v>159419.82</v>
      </c>
      <c r="D598" s="79"/>
      <c r="E598" s="66" t="s">
        <v>28</v>
      </c>
      <c r="F598" s="84" t="s">
        <v>379</v>
      </c>
      <c r="G598" s="68">
        <v>20.0</v>
      </c>
      <c r="H598" s="69">
        <f t="shared" si="43"/>
        <v>26569.97</v>
      </c>
      <c r="I598" s="76" t="s">
        <v>37</v>
      </c>
      <c r="J598" s="87" t="s">
        <v>305</v>
      </c>
      <c r="K598" s="82">
        <v>5.0</v>
      </c>
      <c r="L598" s="95"/>
      <c r="M598" s="95"/>
      <c r="N598" s="72">
        <f t="shared" ref="N598:N603" si="46">A598-IF(M598&gt;0,M598,A598)</f>
        <v>0</v>
      </c>
      <c r="O598" s="96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</row>
    <row r="599" ht="22.5" customHeight="1">
      <c r="A599" s="86">
        <v>45638.0</v>
      </c>
      <c r="B599" s="63" t="s">
        <v>27</v>
      </c>
      <c r="C599" s="80">
        <v>159419.82</v>
      </c>
      <c r="D599" s="80"/>
      <c r="E599" s="66" t="s">
        <v>28</v>
      </c>
      <c r="F599" s="84" t="s">
        <v>528</v>
      </c>
      <c r="G599" s="68">
        <v>20.0</v>
      </c>
      <c r="H599" s="69">
        <f t="shared" si="43"/>
        <v>26569.97</v>
      </c>
      <c r="I599" s="76" t="s">
        <v>37</v>
      </c>
      <c r="J599" s="87" t="s">
        <v>305</v>
      </c>
      <c r="K599" s="82">
        <v>6.0</v>
      </c>
      <c r="L599" s="82">
        <v>161.0</v>
      </c>
      <c r="M599" s="128">
        <v>45604.0</v>
      </c>
      <c r="N599" s="72">
        <f t="shared" si="46"/>
        <v>34</v>
      </c>
      <c r="O599" s="96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</row>
    <row r="600" ht="22.5" customHeight="1">
      <c r="A600" s="86">
        <v>45638.0</v>
      </c>
      <c r="B600" s="63" t="s">
        <v>27</v>
      </c>
      <c r="C600" s="80">
        <v>630000.0</v>
      </c>
      <c r="D600" s="79"/>
      <c r="E600" s="66" t="s">
        <v>28</v>
      </c>
      <c r="F600" s="84" t="s">
        <v>528</v>
      </c>
      <c r="G600" s="68">
        <v>20.0</v>
      </c>
      <c r="H600" s="69">
        <f t="shared" si="43"/>
        <v>105000</v>
      </c>
      <c r="I600" s="76" t="s">
        <v>37</v>
      </c>
      <c r="J600" s="87" t="s">
        <v>482</v>
      </c>
      <c r="K600" s="82">
        <v>3.0</v>
      </c>
      <c r="L600" s="82">
        <v>167.0</v>
      </c>
      <c r="M600" s="128">
        <v>45608.0</v>
      </c>
      <c r="N600" s="72">
        <f t="shared" si="46"/>
        <v>30</v>
      </c>
      <c r="O600" s="96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</row>
    <row r="601" ht="22.5" customHeight="1">
      <c r="A601" s="86">
        <v>45644.0</v>
      </c>
      <c r="B601" s="63" t="s">
        <v>27</v>
      </c>
      <c r="C601" s="80">
        <v>3553845.54</v>
      </c>
      <c r="D601" s="80"/>
      <c r="E601" s="66" t="s">
        <v>376</v>
      </c>
      <c r="F601" s="84" t="s">
        <v>379</v>
      </c>
      <c r="G601" s="68">
        <v>20.0</v>
      </c>
      <c r="H601" s="69">
        <f t="shared" si="43"/>
        <v>592307.59</v>
      </c>
      <c r="I601" s="76" t="s">
        <v>37</v>
      </c>
      <c r="J601" s="87" t="s">
        <v>250</v>
      </c>
      <c r="K601" s="82">
        <v>19.0</v>
      </c>
      <c r="L601" s="127">
        <v>151.0</v>
      </c>
      <c r="M601" s="95"/>
      <c r="N601" s="72">
        <f t="shared" si="46"/>
        <v>0</v>
      </c>
      <c r="O601" s="96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</row>
    <row r="602" ht="22.5" customHeight="1">
      <c r="A602" s="86">
        <v>45644.0</v>
      </c>
      <c r="B602" s="63" t="s">
        <v>27</v>
      </c>
      <c r="C602" s="80">
        <v>1609612.62</v>
      </c>
      <c r="D602" s="79"/>
      <c r="E602" s="66" t="s">
        <v>28</v>
      </c>
      <c r="F602" s="84" t="s">
        <v>570</v>
      </c>
      <c r="G602" s="68">
        <v>20.0</v>
      </c>
      <c r="H602" s="69">
        <f t="shared" si="43"/>
        <v>268268.77</v>
      </c>
      <c r="I602" s="76" t="s">
        <v>37</v>
      </c>
      <c r="J602" s="87" t="s">
        <v>539</v>
      </c>
      <c r="K602" s="95"/>
      <c r="L602" s="82">
        <v>217.0</v>
      </c>
      <c r="M602" s="132">
        <v>45637.0</v>
      </c>
      <c r="N602" s="72">
        <f t="shared" si="46"/>
        <v>7</v>
      </c>
      <c r="O602" s="96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</row>
    <row r="603" ht="22.5" customHeight="1">
      <c r="A603" s="86">
        <v>45644.0</v>
      </c>
      <c r="B603" s="63" t="s">
        <v>27</v>
      </c>
      <c r="C603" s="80">
        <v>1035338.22</v>
      </c>
      <c r="D603" s="79"/>
      <c r="E603" s="66" t="s">
        <v>28</v>
      </c>
      <c r="F603" s="84" t="s">
        <v>570</v>
      </c>
      <c r="G603" s="68">
        <v>20.0</v>
      </c>
      <c r="H603" s="69">
        <f t="shared" si="43"/>
        <v>172556.37</v>
      </c>
      <c r="I603" s="76" t="s">
        <v>37</v>
      </c>
      <c r="J603" s="87" t="s">
        <v>539</v>
      </c>
      <c r="K603" s="95"/>
      <c r="L603" s="82">
        <v>218.0</v>
      </c>
      <c r="M603" s="132">
        <v>45637.0</v>
      </c>
      <c r="N603" s="72">
        <f t="shared" si="46"/>
        <v>7</v>
      </c>
      <c r="O603" s="96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</row>
    <row r="604" ht="22.5" customHeight="1">
      <c r="A604" s="86">
        <v>45644.0</v>
      </c>
      <c r="B604" s="63" t="s">
        <v>27</v>
      </c>
      <c r="C604" s="79"/>
      <c r="D604" s="80">
        <v>1696.85</v>
      </c>
      <c r="E604" s="66" t="s">
        <v>28</v>
      </c>
      <c r="F604" s="67" t="s">
        <v>236</v>
      </c>
      <c r="G604" s="68">
        <v>0.0</v>
      </c>
      <c r="H604" s="69">
        <f t="shared" si="43"/>
        <v>0</v>
      </c>
      <c r="I604" s="94" t="s">
        <v>71</v>
      </c>
      <c r="J604" s="87" t="s">
        <v>309</v>
      </c>
      <c r="K604" s="95"/>
      <c r="L604" s="95"/>
      <c r="M604" s="95"/>
      <c r="N604" s="72"/>
      <c r="O604" s="83" t="s">
        <v>571</v>
      </c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</row>
    <row r="605" ht="22.5" customHeight="1">
      <c r="A605" s="86">
        <v>45644.0</v>
      </c>
      <c r="B605" s="63" t="s">
        <v>27</v>
      </c>
      <c r="C605" s="79"/>
      <c r="D605" s="80">
        <v>472500.0</v>
      </c>
      <c r="E605" s="66" t="s">
        <v>33</v>
      </c>
      <c r="F605" s="84" t="s">
        <v>413</v>
      </c>
      <c r="G605" s="68">
        <v>0.0</v>
      </c>
      <c r="H605" s="69">
        <f t="shared" si="43"/>
        <v>0</v>
      </c>
      <c r="I605" s="97"/>
      <c r="J605" s="87" t="s">
        <v>572</v>
      </c>
      <c r="K605" s="95"/>
      <c r="L605" s="95"/>
      <c r="M605" s="95"/>
      <c r="N605" s="72"/>
      <c r="O605" s="96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</row>
    <row r="606" ht="22.5" customHeight="1">
      <c r="A606" s="86">
        <v>45644.0</v>
      </c>
      <c r="B606" s="63" t="s">
        <v>27</v>
      </c>
      <c r="C606" s="79"/>
      <c r="D606" s="80">
        <v>444230.69</v>
      </c>
      <c r="E606" s="66" t="s">
        <v>33</v>
      </c>
      <c r="F606" s="84" t="s">
        <v>413</v>
      </c>
      <c r="G606" s="68">
        <v>0.0</v>
      </c>
      <c r="H606" s="69">
        <f t="shared" si="43"/>
        <v>0</v>
      </c>
      <c r="I606" s="97"/>
      <c r="J606" s="87" t="s">
        <v>573</v>
      </c>
      <c r="K606" s="95"/>
      <c r="L606" s="95"/>
      <c r="M606" s="95"/>
      <c r="N606" s="72"/>
      <c r="O606" s="96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</row>
    <row r="607" ht="22.5" customHeight="1">
      <c r="A607" s="86">
        <v>45644.0</v>
      </c>
      <c r="B607" s="63" t="s">
        <v>27</v>
      </c>
      <c r="C607" s="79"/>
      <c r="D607" s="79">
        <v>2631578.947368421</v>
      </c>
      <c r="E607" s="66" t="s">
        <v>28</v>
      </c>
      <c r="F607" s="84" t="s">
        <v>48</v>
      </c>
      <c r="G607" s="68">
        <v>20.0</v>
      </c>
      <c r="H607" s="69">
        <f t="shared" si="43"/>
        <v>438596.4912</v>
      </c>
      <c r="I607" s="76" t="s">
        <v>47</v>
      </c>
      <c r="J607" s="81"/>
      <c r="K607" s="95"/>
      <c r="L607" s="95"/>
      <c r="M607" s="95"/>
      <c r="N607" s="72"/>
      <c r="O607" s="96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</row>
    <row r="608" ht="22.5" customHeight="1">
      <c r="A608" s="86">
        <v>45644.0</v>
      </c>
      <c r="B608" s="63" t="s">
        <v>27</v>
      </c>
      <c r="C608" s="80">
        <v>2000000.0</v>
      </c>
      <c r="D608" s="79"/>
      <c r="E608" s="66" t="s">
        <v>33</v>
      </c>
      <c r="F608" s="84" t="s">
        <v>48</v>
      </c>
      <c r="G608" s="68">
        <v>0.0</v>
      </c>
      <c r="H608" s="69">
        <f t="shared" si="43"/>
        <v>0</v>
      </c>
      <c r="I608" s="76" t="s">
        <v>47</v>
      </c>
      <c r="J608" s="81"/>
      <c r="K608" s="95"/>
      <c r="L608" s="95"/>
      <c r="M608" s="95"/>
      <c r="N608" s="72"/>
      <c r="O608" s="96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</row>
    <row r="609" ht="22.5" customHeight="1">
      <c r="A609" s="86">
        <v>45644.0</v>
      </c>
      <c r="B609" s="63" t="s">
        <v>27</v>
      </c>
      <c r="C609" s="80">
        <v>420000.0</v>
      </c>
      <c r="D609" s="79"/>
      <c r="E609" s="66" t="s">
        <v>376</v>
      </c>
      <c r="F609" s="84" t="s">
        <v>528</v>
      </c>
      <c r="G609" s="68">
        <v>20.0</v>
      </c>
      <c r="H609" s="69">
        <f t="shared" si="43"/>
        <v>70000</v>
      </c>
      <c r="I609" s="76" t="s">
        <v>37</v>
      </c>
      <c r="J609" s="87" t="s">
        <v>250</v>
      </c>
      <c r="K609" s="95"/>
      <c r="L609" s="127">
        <v>180.0</v>
      </c>
      <c r="M609" s="95"/>
      <c r="N609" s="72">
        <f t="shared" ref="N609:N610" si="47">A609-IF(M609&gt;0,M609,A609)</f>
        <v>0</v>
      </c>
      <c r="O609" s="96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</row>
    <row r="610" ht="22.5" customHeight="1">
      <c r="A610" s="86">
        <v>45644.0</v>
      </c>
      <c r="B610" s="63" t="s">
        <v>27</v>
      </c>
      <c r="C610" s="80">
        <v>180000.0</v>
      </c>
      <c r="D610" s="79"/>
      <c r="E610" s="66" t="s">
        <v>28</v>
      </c>
      <c r="F610" s="84" t="s">
        <v>570</v>
      </c>
      <c r="G610" s="68">
        <v>20.0</v>
      </c>
      <c r="H610" s="69">
        <f t="shared" si="43"/>
        <v>30000</v>
      </c>
      <c r="I610" s="76" t="s">
        <v>37</v>
      </c>
      <c r="J610" s="87" t="s">
        <v>315</v>
      </c>
      <c r="K610" s="95"/>
      <c r="L610" s="82">
        <v>192.0</v>
      </c>
      <c r="M610" s="128">
        <v>45635.0</v>
      </c>
      <c r="N610" s="72">
        <f t="shared" si="47"/>
        <v>9</v>
      </c>
      <c r="O610" s="96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</row>
    <row r="611" ht="22.5" customHeight="1">
      <c r="A611" s="86">
        <v>45645.0</v>
      </c>
      <c r="B611" s="63" t="s">
        <v>27</v>
      </c>
      <c r="C611" s="79"/>
      <c r="D611" s="80">
        <v>1783273.96</v>
      </c>
      <c r="E611" s="66" t="s">
        <v>28</v>
      </c>
      <c r="F611" s="84" t="s">
        <v>574</v>
      </c>
      <c r="G611" s="68">
        <v>0.0</v>
      </c>
      <c r="H611" s="69">
        <f t="shared" si="43"/>
        <v>0</v>
      </c>
      <c r="I611" s="76" t="s">
        <v>322</v>
      </c>
      <c r="J611" s="87" t="s">
        <v>539</v>
      </c>
      <c r="K611" s="95"/>
      <c r="L611" s="82" t="s">
        <v>575</v>
      </c>
      <c r="M611" s="128">
        <v>45565.0</v>
      </c>
      <c r="N611" s="72"/>
      <c r="O611" s="83" t="s">
        <v>576</v>
      </c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</row>
    <row r="612" ht="22.5" customHeight="1">
      <c r="A612" s="86">
        <v>45645.0</v>
      </c>
      <c r="B612" s="63" t="s">
        <v>27</v>
      </c>
      <c r="C612" s="79"/>
      <c r="D612" s="80">
        <v>486047.64</v>
      </c>
      <c r="E612" s="66" t="s">
        <v>28</v>
      </c>
      <c r="F612" s="84" t="s">
        <v>515</v>
      </c>
      <c r="G612" s="68">
        <v>0.0</v>
      </c>
      <c r="H612" s="69">
        <f t="shared" si="43"/>
        <v>0</v>
      </c>
      <c r="I612" s="97"/>
      <c r="J612" s="87" t="s">
        <v>122</v>
      </c>
      <c r="K612" s="95"/>
      <c r="L612" s="95"/>
      <c r="M612" s="95"/>
      <c r="N612" s="72"/>
      <c r="O612" s="96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</row>
    <row r="613" ht="22.5" customHeight="1">
      <c r="A613" s="86">
        <v>45645.0</v>
      </c>
      <c r="B613" s="63" t="s">
        <v>27</v>
      </c>
      <c r="C613" s="79"/>
      <c r="D613" s="80">
        <v>241508.99</v>
      </c>
      <c r="E613" s="66" t="s">
        <v>28</v>
      </c>
      <c r="F613" s="84" t="s">
        <v>574</v>
      </c>
      <c r="G613" s="68">
        <v>0.0</v>
      </c>
      <c r="H613" s="69">
        <f t="shared" si="43"/>
        <v>0</v>
      </c>
      <c r="I613" s="89" t="s">
        <v>322</v>
      </c>
      <c r="J613" s="87" t="s">
        <v>474</v>
      </c>
      <c r="K613" s="95"/>
      <c r="L613" s="82">
        <v>1764.0</v>
      </c>
      <c r="M613" s="128">
        <v>45565.0</v>
      </c>
      <c r="N613" s="72"/>
      <c r="O613" s="96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</row>
    <row r="614" ht="22.5" customHeight="1">
      <c r="A614" s="86">
        <v>45645.0</v>
      </c>
      <c r="B614" s="63" t="s">
        <v>27</v>
      </c>
      <c r="C614" s="79"/>
      <c r="D614" s="80">
        <v>961394.0</v>
      </c>
      <c r="E614" s="66" t="s">
        <v>28</v>
      </c>
      <c r="F614" s="84" t="s">
        <v>515</v>
      </c>
      <c r="G614" s="68">
        <v>0.0</v>
      </c>
      <c r="H614" s="69">
        <f t="shared" si="43"/>
        <v>0</v>
      </c>
      <c r="I614" s="97"/>
      <c r="J614" s="87" t="s">
        <v>205</v>
      </c>
      <c r="K614" s="95"/>
      <c r="L614" s="95"/>
      <c r="M614" s="95"/>
      <c r="N614" s="72"/>
      <c r="O614" s="96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</row>
    <row r="615" ht="22.5" customHeight="1">
      <c r="A615" s="86">
        <v>45645.0</v>
      </c>
      <c r="B615" s="63" t="s">
        <v>27</v>
      </c>
      <c r="C615" s="79"/>
      <c r="D615" s="80">
        <v>150104.96</v>
      </c>
      <c r="E615" s="66" t="s">
        <v>28</v>
      </c>
      <c r="F615" s="84" t="s">
        <v>515</v>
      </c>
      <c r="G615" s="68">
        <v>0.0</v>
      </c>
      <c r="H615" s="69">
        <f t="shared" si="43"/>
        <v>0</v>
      </c>
      <c r="I615" s="97"/>
      <c r="J615" s="87" t="s">
        <v>305</v>
      </c>
      <c r="K615" s="95"/>
      <c r="L615" s="82">
        <v>5398.0</v>
      </c>
      <c r="M615" s="132">
        <v>45589.0</v>
      </c>
      <c r="N615" s="72"/>
      <c r="O615" s="96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</row>
    <row r="616" ht="22.5" customHeight="1">
      <c r="A616" s="86">
        <v>45645.0</v>
      </c>
      <c r="B616" s="63" t="s">
        <v>27</v>
      </c>
      <c r="C616" s="79"/>
      <c r="D616" s="80">
        <v>38618.4</v>
      </c>
      <c r="E616" s="66" t="s">
        <v>28</v>
      </c>
      <c r="F616" s="84" t="s">
        <v>515</v>
      </c>
      <c r="G616" s="68">
        <v>0.0</v>
      </c>
      <c r="H616" s="69">
        <f t="shared" si="43"/>
        <v>0</v>
      </c>
      <c r="I616" s="97"/>
      <c r="J616" s="87" t="s">
        <v>157</v>
      </c>
      <c r="K616" s="95"/>
      <c r="L616" s="82" t="s">
        <v>577</v>
      </c>
      <c r="M616" s="128">
        <v>45565.0</v>
      </c>
      <c r="N616" s="72"/>
      <c r="O616" s="96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</row>
    <row r="617" ht="22.5" customHeight="1">
      <c r="A617" s="86">
        <v>45645.0</v>
      </c>
      <c r="B617" s="63" t="s">
        <v>27</v>
      </c>
      <c r="C617" s="79"/>
      <c r="D617" s="80">
        <v>184380.0</v>
      </c>
      <c r="E617" s="66" t="s">
        <v>28</v>
      </c>
      <c r="F617" s="84" t="s">
        <v>515</v>
      </c>
      <c r="G617" s="68">
        <v>0.0</v>
      </c>
      <c r="H617" s="69">
        <f t="shared" si="43"/>
        <v>0</v>
      </c>
      <c r="I617" s="97"/>
      <c r="J617" s="87" t="s">
        <v>482</v>
      </c>
      <c r="K617" s="95"/>
      <c r="L617" s="95"/>
      <c r="M617" s="95"/>
      <c r="N617" s="72"/>
      <c r="O617" s="96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</row>
    <row r="618" ht="22.5" customHeight="1">
      <c r="A618" s="86">
        <v>45645.0</v>
      </c>
      <c r="B618" s="63" t="s">
        <v>27</v>
      </c>
      <c r="C618" s="79"/>
      <c r="D618" s="80">
        <v>6430660.84</v>
      </c>
      <c r="E618" s="66" t="s">
        <v>376</v>
      </c>
      <c r="F618" s="84" t="s">
        <v>379</v>
      </c>
      <c r="G618" s="68">
        <v>20.0</v>
      </c>
      <c r="H618" s="69">
        <f t="shared" si="43"/>
        <v>1071776.807</v>
      </c>
      <c r="I618" s="76" t="s">
        <v>101</v>
      </c>
      <c r="J618" s="100" t="s">
        <v>102</v>
      </c>
      <c r="K618" s="95"/>
      <c r="L618" s="95"/>
      <c r="M618" s="95"/>
      <c r="N618" s="72"/>
      <c r="O618" s="96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</row>
    <row r="619" ht="22.5" customHeight="1">
      <c r="A619" s="86">
        <v>45646.0</v>
      </c>
      <c r="B619" s="63" t="s">
        <v>27</v>
      </c>
      <c r="C619" s="79"/>
      <c r="D619" s="80">
        <v>5508000.0</v>
      </c>
      <c r="E619" s="66" t="s">
        <v>28</v>
      </c>
      <c r="F619" s="84" t="s">
        <v>515</v>
      </c>
      <c r="G619" s="68">
        <v>20.0</v>
      </c>
      <c r="H619" s="69">
        <f t="shared" si="43"/>
        <v>918000</v>
      </c>
      <c r="I619" s="97"/>
      <c r="J619" s="87" t="s">
        <v>578</v>
      </c>
      <c r="K619" s="95"/>
      <c r="L619" s="95"/>
      <c r="M619" s="95"/>
      <c r="N619" s="72"/>
      <c r="O619" s="96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</row>
    <row r="620" ht="22.5" customHeight="1">
      <c r="A620" s="86">
        <v>45646.0</v>
      </c>
      <c r="B620" s="63" t="s">
        <v>27</v>
      </c>
      <c r="C620" s="79"/>
      <c r="D620" s="80">
        <v>810648.02</v>
      </c>
      <c r="E620" s="66" t="s">
        <v>28</v>
      </c>
      <c r="F620" s="84" t="s">
        <v>528</v>
      </c>
      <c r="G620" s="68">
        <v>20.0</v>
      </c>
      <c r="H620" s="69">
        <f t="shared" si="43"/>
        <v>135108.0033</v>
      </c>
      <c r="I620" s="89" t="s">
        <v>61</v>
      </c>
      <c r="J620" s="103" t="s">
        <v>228</v>
      </c>
      <c r="K620" s="95"/>
      <c r="L620" s="95"/>
      <c r="M620" s="95"/>
      <c r="N620" s="72"/>
      <c r="O620" s="96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</row>
    <row r="621" ht="22.5" customHeight="1">
      <c r="A621" s="86">
        <v>45646.0</v>
      </c>
      <c r="B621" s="63" t="s">
        <v>27</v>
      </c>
      <c r="C621" s="79"/>
      <c r="D621" s="80">
        <v>247510.0</v>
      </c>
      <c r="E621" s="66" t="s">
        <v>376</v>
      </c>
      <c r="F621" s="84" t="s">
        <v>507</v>
      </c>
      <c r="G621" s="68">
        <v>20.0</v>
      </c>
      <c r="H621" s="69">
        <f t="shared" si="43"/>
        <v>41251.66667</v>
      </c>
      <c r="I621" s="97"/>
      <c r="J621" s="87" t="s">
        <v>250</v>
      </c>
      <c r="K621" s="95"/>
      <c r="L621" s="82" t="s">
        <v>508</v>
      </c>
      <c r="M621" s="128">
        <v>45554.0</v>
      </c>
      <c r="N621" s="72"/>
      <c r="O621" s="96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</row>
    <row r="622" ht="22.5" customHeight="1">
      <c r="A622" s="86">
        <v>45646.0</v>
      </c>
      <c r="B622" s="63" t="s">
        <v>27</v>
      </c>
      <c r="C622" s="79"/>
      <c r="D622" s="80">
        <v>164160.0</v>
      </c>
      <c r="E622" s="66" t="s">
        <v>28</v>
      </c>
      <c r="F622" s="84" t="s">
        <v>528</v>
      </c>
      <c r="G622" s="68">
        <v>20.0</v>
      </c>
      <c r="H622" s="69">
        <f t="shared" si="43"/>
        <v>27360</v>
      </c>
      <c r="I622" s="97"/>
      <c r="J622" s="87" t="s">
        <v>502</v>
      </c>
      <c r="K622" s="95"/>
      <c r="L622" s="82">
        <v>156.0</v>
      </c>
      <c r="M622" s="95"/>
      <c r="N622" s="72"/>
      <c r="O622" s="96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</row>
    <row r="623" ht="22.5" customHeight="1">
      <c r="A623" s="86">
        <v>45646.0</v>
      </c>
      <c r="B623" s="63" t="s">
        <v>27</v>
      </c>
      <c r="C623" s="79"/>
      <c r="D623" s="80">
        <v>2350000.0</v>
      </c>
      <c r="E623" s="66" t="s">
        <v>33</v>
      </c>
      <c r="F623" s="84" t="s">
        <v>108</v>
      </c>
      <c r="G623" s="68">
        <v>0.0</v>
      </c>
      <c r="H623" s="69">
        <f t="shared" si="43"/>
        <v>0</v>
      </c>
      <c r="I623" s="97"/>
      <c r="J623" s="87" t="s">
        <v>579</v>
      </c>
      <c r="K623" s="95"/>
      <c r="L623" s="95"/>
      <c r="M623" s="95"/>
      <c r="N623" s="72"/>
      <c r="O623" s="96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</row>
    <row r="624" ht="22.5" customHeight="1">
      <c r="A624" s="86">
        <v>45646.0</v>
      </c>
      <c r="B624" s="63" t="s">
        <v>27</v>
      </c>
      <c r="C624" s="79"/>
      <c r="D624" s="80">
        <v>522771.0</v>
      </c>
      <c r="E624" s="66" t="s">
        <v>28</v>
      </c>
      <c r="F624" s="84" t="s">
        <v>515</v>
      </c>
      <c r="G624" s="68">
        <v>0.0</v>
      </c>
      <c r="H624" s="69">
        <f t="shared" si="43"/>
        <v>0</v>
      </c>
      <c r="I624" s="89" t="s">
        <v>322</v>
      </c>
      <c r="J624" s="87" t="s">
        <v>532</v>
      </c>
      <c r="K624" s="95"/>
      <c r="L624" s="95"/>
      <c r="M624" s="95"/>
      <c r="N624" s="72"/>
      <c r="O624" s="96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</row>
    <row r="625" ht="22.5" customHeight="1">
      <c r="A625" s="86">
        <v>45646.0</v>
      </c>
      <c r="B625" s="63" t="s">
        <v>27</v>
      </c>
      <c r="C625" s="79"/>
      <c r="D625" s="79">
        <f>79*4</f>
        <v>316</v>
      </c>
      <c r="E625" s="66" t="s">
        <v>28</v>
      </c>
      <c r="F625" s="84" t="s">
        <v>108</v>
      </c>
      <c r="G625" s="68">
        <v>0.0</v>
      </c>
      <c r="H625" s="69">
        <f t="shared" si="43"/>
        <v>0</v>
      </c>
      <c r="I625" s="89" t="s">
        <v>294</v>
      </c>
      <c r="J625" s="87" t="s">
        <v>295</v>
      </c>
      <c r="K625" s="95"/>
      <c r="L625" s="95"/>
      <c r="M625" s="95"/>
      <c r="N625" s="72"/>
      <c r="O625" s="83" t="s">
        <v>580</v>
      </c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</row>
    <row r="626" ht="22.5" customHeight="1">
      <c r="A626" s="86">
        <v>45646.0</v>
      </c>
      <c r="B626" s="63" t="s">
        <v>27</v>
      </c>
      <c r="C626" s="79"/>
      <c r="D626" s="80">
        <v>3827670.0</v>
      </c>
      <c r="E626" s="66" t="s">
        <v>28</v>
      </c>
      <c r="F626" s="84" t="s">
        <v>48</v>
      </c>
      <c r="G626" s="68">
        <v>20.0</v>
      </c>
      <c r="H626" s="69">
        <f t="shared" si="43"/>
        <v>637945</v>
      </c>
      <c r="I626" s="76" t="s">
        <v>47</v>
      </c>
      <c r="J626" s="81"/>
      <c r="K626" s="95"/>
      <c r="L626" s="95"/>
      <c r="M626" s="95"/>
      <c r="N626" s="72"/>
      <c r="O626" s="96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</row>
    <row r="627" ht="22.5" customHeight="1">
      <c r="A627" s="86">
        <v>45646.0</v>
      </c>
      <c r="B627" s="63" t="s">
        <v>27</v>
      </c>
      <c r="C627" s="80">
        <v>2947000.0</v>
      </c>
      <c r="D627" s="80"/>
      <c r="E627" s="66" t="s">
        <v>33</v>
      </c>
      <c r="F627" s="84" t="s">
        <v>48</v>
      </c>
      <c r="G627" s="68">
        <v>0.0</v>
      </c>
      <c r="H627" s="69">
        <f t="shared" si="43"/>
        <v>0</v>
      </c>
      <c r="I627" s="76" t="s">
        <v>47</v>
      </c>
      <c r="J627" s="81"/>
      <c r="K627" s="95"/>
      <c r="L627" s="95"/>
      <c r="M627" s="95"/>
      <c r="N627" s="72"/>
      <c r="O627" s="96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</row>
    <row r="628" ht="22.5" customHeight="1">
      <c r="A628" s="86">
        <v>45646.0</v>
      </c>
      <c r="B628" s="63" t="s">
        <v>27</v>
      </c>
      <c r="C628" s="80">
        <v>630000.0</v>
      </c>
      <c r="D628" s="79"/>
      <c r="E628" s="66" t="s">
        <v>28</v>
      </c>
      <c r="F628" s="84" t="s">
        <v>570</v>
      </c>
      <c r="G628" s="68">
        <v>20.0</v>
      </c>
      <c r="H628" s="69">
        <f t="shared" si="43"/>
        <v>105000</v>
      </c>
      <c r="I628" s="76" t="s">
        <v>37</v>
      </c>
      <c r="J628" s="87" t="s">
        <v>482</v>
      </c>
      <c r="K628" s="95"/>
      <c r="L628" s="82">
        <v>198.0</v>
      </c>
      <c r="M628" s="132">
        <v>45636.0</v>
      </c>
      <c r="N628" s="72">
        <f t="shared" ref="N628:N629" si="48">A628-IF(M628&gt;0,M628,A628)</f>
        <v>10</v>
      </c>
      <c r="O628" s="83" t="s">
        <v>581</v>
      </c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</row>
    <row r="629" ht="22.5" customHeight="1">
      <c r="A629" s="86">
        <v>45646.0</v>
      </c>
      <c r="B629" s="63" t="s">
        <v>27</v>
      </c>
      <c r="C629" s="80">
        <v>575820.0</v>
      </c>
      <c r="D629" s="79"/>
      <c r="E629" s="66" t="s">
        <v>28</v>
      </c>
      <c r="F629" s="84" t="s">
        <v>570</v>
      </c>
      <c r="G629" s="68">
        <v>20.0</v>
      </c>
      <c r="H629" s="69">
        <f t="shared" si="43"/>
        <v>95970</v>
      </c>
      <c r="I629" s="76" t="s">
        <v>37</v>
      </c>
      <c r="J629" s="87" t="s">
        <v>482</v>
      </c>
      <c r="K629" s="95"/>
      <c r="L629" s="82">
        <v>206.0</v>
      </c>
      <c r="M629" s="132">
        <v>45636.0</v>
      </c>
      <c r="N629" s="72">
        <f t="shared" si="48"/>
        <v>10</v>
      </c>
      <c r="O629" s="83" t="s">
        <v>582</v>
      </c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</row>
    <row r="630" ht="22.5" customHeight="1">
      <c r="A630" s="86">
        <v>45646.0</v>
      </c>
      <c r="B630" s="63" t="s">
        <v>27</v>
      </c>
      <c r="C630" s="79"/>
      <c r="D630" s="80">
        <v>60000.0</v>
      </c>
      <c r="E630" s="66" t="s">
        <v>33</v>
      </c>
      <c r="F630" s="84" t="s">
        <v>203</v>
      </c>
      <c r="G630" s="68">
        <v>0.0</v>
      </c>
      <c r="H630" s="69">
        <f t="shared" si="43"/>
        <v>0</v>
      </c>
      <c r="I630" s="89" t="s">
        <v>68</v>
      </c>
      <c r="J630" s="87" t="s">
        <v>583</v>
      </c>
      <c r="K630" s="95"/>
      <c r="L630" s="95"/>
      <c r="M630" s="95"/>
      <c r="N630" s="72"/>
      <c r="O630" s="83" t="s">
        <v>584</v>
      </c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</row>
    <row r="631" ht="22.5" customHeight="1">
      <c r="A631" s="86">
        <v>45650.0</v>
      </c>
      <c r="B631" s="63" t="s">
        <v>27</v>
      </c>
      <c r="C631" s="80">
        <v>360000.0</v>
      </c>
      <c r="D631" s="79"/>
      <c r="E631" s="66" t="s">
        <v>28</v>
      </c>
      <c r="F631" s="84" t="s">
        <v>570</v>
      </c>
      <c r="G631" s="68">
        <v>20.0</v>
      </c>
      <c r="H631" s="69">
        <f t="shared" si="43"/>
        <v>60000</v>
      </c>
      <c r="I631" s="76" t="s">
        <v>37</v>
      </c>
      <c r="J631" s="87" t="s">
        <v>122</v>
      </c>
      <c r="K631" s="95"/>
      <c r="L631" s="82">
        <v>199.0</v>
      </c>
      <c r="M631" s="132">
        <v>45636.0</v>
      </c>
      <c r="N631" s="72">
        <f>A631-IF(M631&gt;0,M631,A631)</f>
        <v>14</v>
      </c>
      <c r="O631" s="96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</row>
    <row r="632" ht="22.5" customHeight="1">
      <c r="A632" s="86">
        <v>45650.0</v>
      </c>
      <c r="B632" s="63" t="s">
        <v>27</v>
      </c>
      <c r="C632" s="79"/>
      <c r="D632" s="80">
        <v>30000.0</v>
      </c>
      <c r="E632" s="66" t="s">
        <v>33</v>
      </c>
      <c r="F632" s="84" t="s">
        <v>203</v>
      </c>
      <c r="G632" s="68">
        <v>0.0</v>
      </c>
      <c r="H632" s="69">
        <f t="shared" si="43"/>
        <v>0</v>
      </c>
      <c r="I632" s="89" t="s">
        <v>53</v>
      </c>
      <c r="J632" s="87" t="s">
        <v>128</v>
      </c>
      <c r="K632" s="95"/>
      <c r="L632" s="95"/>
      <c r="M632" s="95"/>
      <c r="N632" s="72"/>
      <c r="O632" s="96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</row>
    <row r="633" ht="22.5" customHeight="1">
      <c r="A633" s="86">
        <v>45650.0</v>
      </c>
      <c r="B633" s="63" t="s">
        <v>27</v>
      </c>
      <c r="C633" s="120">
        <v>366000.0</v>
      </c>
      <c r="D633" s="79"/>
      <c r="E633" s="66" t="s">
        <v>28</v>
      </c>
      <c r="F633" s="84" t="s">
        <v>379</v>
      </c>
      <c r="G633" s="68">
        <v>20.0</v>
      </c>
      <c r="H633" s="69">
        <f t="shared" si="43"/>
        <v>61000</v>
      </c>
      <c r="I633" s="76" t="s">
        <v>37</v>
      </c>
      <c r="J633" s="87" t="s">
        <v>474</v>
      </c>
      <c r="K633" s="82">
        <v>3.0</v>
      </c>
      <c r="L633" s="82">
        <v>157.0</v>
      </c>
      <c r="M633" s="95"/>
      <c r="N633" s="72">
        <f t="shared" ref="N633:N636" si="49">A633-IF(M633&gt;0,M633,A633)</f>
        <v>0</v>
      </c>
      <c r="O633" s="83" t="s">
        <v>585</v>
      </c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</row>
    <row r="634" ht="22.5" customHeight="1">
      <c r="A634" s="86">
        <v>45651.0</v>
      </c>
      <c r="B634" s="63" t="s">
        <v>27</v>
      </c>
      <c r="C634" s="80">
        <v>378000.0</v>
      </c>
      <c r="D634" s="79"/>
      <c r="E634" s="66" t="s">
        <v>28</v>
      </c>
      <c r="F634" s="84" t="s">
        <v>528</v>
      </c>
      <c r="G634" s="68">
        <v>20.0</v>
      </c>
      <c r="H634" s="69">
        <f t="shared" si="43"/>
        <v>63000</v>
      </c>
      <c r="I634" s="76" t="s">
        <v>37</v>
      </c>
      <c r="J634" s="87" t="s">
        <v>532</v>
      </c>
      <c r="K634" s="95"/>
      <c r="L634" s="82">
        <v>183.0</v>
      </c>
      <c r="M634" s="95"/>
      <c r="N634" s="72">
        <f t="shared" si="49"/>
        <v>0</v>
      </c>
      <c r="O634" s="96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</row>
    <row r="635" ht="22.5" customHeight="1">
      <c r="A635" s="86">
        <v>45651.0</v>
      </c>
      <c r="B635" s="63" t="s">
        <v>27</v>
      </c>
      <c r="C635" s="80">
        <v>600000.24</v>
      </c>
      <c r="D635" s="79"/>
      <c r="E635" s="66" t="s">
        <v>28</v>
      </c>
      <c r="F635" s="84" t="s">
        <v>528</v>
      </c>
      <c r="G635" s="68">
        <v>20.0</v>
      </c>
      <c r="H635" s="69">
        <f t="shared" si="43"/>
        <v>100000.04</v>
      </c>
      <c r="I635" s="76" t="s">
        <v>37</v>
      </c>
      <c r="J635" s="87" t="s">
        <v>532</v>
      </c>
      <c r="K635" s="95"/>
      <c r="L635" s="82">
        <v>182.0</v>
      </c>
      <c r="M635" s="95"/>
      <c r="N635" s="72">
        <f t="shared" si="49"/>
        <v>0</v>
      </c>
      <c r="O635" s="96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</row>
    <row r="636" ht="22.5" customHeight="1">
      <c r="A636" s="86">
        <v>45651.0</v>
      </c>
      <c r="B636" s="63" t="s">
        <v>27</v>
      </c>
      <c r="C636" s="80">
        <v>378000.0</v>
      </c>
      <c r="D636" s="79"/>
      <c r="E636" s="66" t="s">
        <v>28</v>
      </c>
      <c r="F636" s="84" t="s">
        <v>528</v>
      </c>
      <c r="G636" s="68">
        <v>20.0</v>
      </c>
      <c r="H636" s="69">
        <f t="shared" si="43"/>
        <v>63000</v>
      </c>
      <c r="I636" s="76" t="s">
        <v>37</v>
      </c>
      <c r="J636" s="87" t="s">
        <v>532</v>
      </c>
      <c r="K636" s="95"/>
      <c r="L636" s="82">
        <v>181.0</v>
      </c>
      <c r="M636" s="95"/>
      <c r="N636" s="72">
        <f t="shared" si="49"/>
        <v>0</v>
      </c>
      <c r="O636" s="96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</row>
    <row r="637" ht="22.5" customHeight="1">
      <c r="A637" s="86">
        <v>45651.0</v>
      </c>
      <c r="B637" s="63" t="s">
        <v>27</v>
      </c>
      <c r="C637" s="79"/>
      <c r="D637" s="80">
        <v>469664.91</v>
      </c>
      <c r="E637" s="66" t="s">
        <v>28</v>
      </c>
      <c r="F637" s="84" t="s">
        <v>413</v>
      </c>
      <c r="G637" s="68">
        <v>0.0</v>
      </c>
      <c r="H637" s="69">
        <f t="shared" si="43"/>
        <v>0</v>
      </c>
      <c r="I637" s="89" t="s">
        <v>93</v>
      </c>
      <c r="J637" s="133" t="s">
        <v>516</v>
      </c>
      <c r="K637" s="95"/>
      <c r="L637" s="95"/>
      <c r="M637" s="95"/>
      <c r="N637" s="72"/>
      <c r="O637" s="96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</row>
    <row r="638" ht="22.5" customHeight="1">
      <c r="A638" s="86">
        <v>45651.0</v>
      </c>
      <c r="B638" s="63" t="s">
        <v>27</v>
      </c>
      <c r="C638" s="79"/>
      <c r="D638" s="80">
        <v>675757.5</v>
      </c>
      <c r="E638" s="66" t="s">
        <v>28</v>
      </c>
      <c r="F638" s="84" t="s">
        <v>413</v>
      </c>
      <c r="G638" s="68">
        <v>0.0</v>
      </c>
      <c r="H638" s="69">
        <f t="shared" si="43"/>
        <v>0</v>
      </c>
      <c r="I638" s="89" t="s">
        <v>93</v>
      </c>
      <c r="J638" s="133" t="s">
        <v>516</v>
      </c>
      <c r="K638" s="95"/>
      <c r="L638" s="95"/>
      <c r="M638" s="95"/>
      <c r="N638" s="72"/>
      <c r="O638" s="96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</row>
    <row r="639" ht="22.5" customHeight="1">
      <c r="A639" s="86">
        <v>45651.0</v>
      </c>
      <c r="B639" s="63" t="s">
        <v>27</v>
      </c>
      <c r="C639" s="80">
        <v>1050000.0</v>
      </c>
      <c r="D639" s="79"/>
      <c r="E639" s="66" t="s">
        <v>28</v>
      </c>
      <c r="F639" s="84" t="s">
        <v>528</v>
      </c>
      <c r="G639" s="68">
        <v>20.0</v>
      </c>
      <c r="H639" s="69">
        <f t="shared" si="43"/>
        <v>175000</v>
      </c>
      <c r="I639" s="76" t="s">
        <v>37</v>
      </c>
      <c r="J639" s="87" t="s">
        <v>586</v>
      </c>
      <c r="K639" s="82">
        <v>1.0</v>
      </c>
      <c r="L639" s="82">
        <v>185.0</v>
      </c>
      <c r="M639" s="95"/>
      <c r="N639" s="72">
        <f>A639-IF(M639&gt;0,M639,A639)</f>
        <v>0</v>
      </c>
      <c r="O639" s="96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</row>
    <row r="640" ht="22.5" customHeight="1">
      <c r="A640" s="86">
        <v>45651.0</v>
      </c>
      <c r="B640" s="63" t="s">
        <v>27</v>
      </c>
      <c r="C640" s="79"/>
      <c r="D640" s="80">
        <v>314191.0</v>
      </c>
      <c r="E640" s="66" t="s">
        <v>28</v>
      </c>
      <c r="F640" s="84" t="s">
        <v>203</v>
      </c>
      <c r="G640" s="69"/>
      <c r="H640" s="69"/>
      <c r="I640" s="89" t="s">
        <v>68</v>
      </c>
      <c r="J640" s="87" t="s">
        <v>587</v>
      </c>
      <c r="K640" s="95"/>
      <c r="L640" s="95"/>
      <c r="M640" s="95"/>
      <c r="N640" s="72"/>
      <c r="O640" s="96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</row>
    <row r="641" ht="22.5" customHeight="1">
      <c r="A641" s="86">
        <v>45651.0</v>
      </c>
      <c r="B641" s="63" t="s">
        <v>27</v>
      </c>
      <c r="C641" s="79"/>
      <c r="D641" s="80">
        <v>15000.0</v>
      </c>
      <c r="E641" s="66" t="s">
        <v>33</v>
      </c>
      <c r="F641" s="84" t="s">
        <v>525</v>
      </c>
      <c r="G641" s="68">
        <v>0.0</v>
      </c>
      <c r="H641" s="69">
        <f t="shared" ref="H641:H722" si="50">SUM(C641:D641)*G641/(G641+100)</f>
        <v>0</v>
      </c>
      <c r="I641" s="89" t="s">
        <v>490</v>
      </c>
      <c r="J641" s="87" t="s">
        <v>588</v>
      </c>
      <c r="K641" s="95"/>
      <c r="L641" s="95"/>
      <c r="M641" s="95"/>
      <c r="N641" s="72"/>
      <c r="O641" s="96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</row>
    <row r="642" ht="22.5" customHeight="1">
      <c r="A642" s="86">
        <v>45651.0</v>
      </c>
      <c r="B642" s="63" t="s">
        <v>27</v>
      </c>
      <c r="C642" s="80">
        <v>573000.0</v>
      </c>
      <c r="D642" s="79"/>
      <c r="E642" s="66" t="s">
        <v>376</v>
      </c>
      <c r="F642" s="84" t="s">
        <v>528</v>
      </c>
      <c r="G642" s="68">
        <v>20.0</v>
      </c>
      <c r="H642" s="69">
        <f t="shared" si="50"/>
        <v>95500</v>
      </c>
      <c r="I642" s="76" t="s">
        <v>37</v>
      </c>
      <c r="J642" s="87" t="s">
        <v>557</v>
      </c>
      <c r="K642" s="95"/>
      <c r="L642" s="82">
        <v>158.0</v>
      </c>
      <c r="M642" s="82"/>
      <c r="N642" s="72">
        <f t="shared" ref="N642:N643" si="51">A642-IF(M642&gt;0,M642,A642)</f>
        <v>0</v>
      </c>
      <c r="O642" s="96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</row>
    <row r="643" ht="22.5" customHeight="1">
      <c r="A643" s="86">
        <v>45651.0</v>
      </c>
      <c r="B643" s="63" t="s">
        <v>27</v>
      </c>
      <c r="C643" s="80">
        <v>941560.5</v>
      </c>
      <c r="D643" s="79"/>
      <c r="E643" s="66" t="s">
        <v>376</v>
      </c>
      <c r="F643" s="84" t="s">
        <v>528</v>
      </c>
      <c r="G643" s="68">
        <v>20.0</v>
      </c>
      <c r="H643" s="69">
        <f t="shared" si="50"/>
        <v>156926.75</v>
      </c>
      <c r="I643" s="76" t="s">
        <v>37</v>
      </c>
      <c r="J643" s="87" t="s">
        <v>557</v>
      </c>
      <c r="K643" s="95"/>
      <c r="L643" s="82">
        <v>159.0</v>
      </c>
      <c r="M643" s="82"/>
      <c r="N643" s="72">
        <f t="shared" si="51"/>
        <v>0</v>
      </c>
      <c r="O643" s="96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</row>
    <row r="644" ht="22.5" customHeight="1">
      <c r="A644" s="86">
        <v>45651.0</v>
      </c>
      <c r="B644" s="63" t="s">
        <v>27</v>
      </c>
      <c r="C644" s="79"/>
      <c r="D644" s="80">
        <v>2400.0</v>
      </c>
      <c r="E644" s="66" t="s">
        <v>28</v>
      </c>
      <c r="F644" s="84" t="s">
        <v>528</v>
      </c>
      <c r="G644" s="68">
        <v>0.0</v>
      </c>
      <c r="H644" s="69">
        <f t="shared" si="50"/>
        <v>0</v>
      </c>
      <c r="I644" s="76" t="s">
        <v>294</v>
      </c>
      <c r="J644" s="87" t="s">
        <v>377</v>
      </c>
      <c r="K644" s="95"/>
      <c r="L644" s="95"/>
      <c r="M644" s="95"/>
      <c r="N644" s="72"/>
      <c r="O644" s="83" t="s">
        <v>378</v>
      </c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</row>
    <row r="645" ht="22.5" customHeight="1">
      <c r="A645" s="86">
        <v>45653.0</v>
      </c>
      <c r="B645" s="63" t="s">
        <v>27</v>
      </c>
      <c r="C645" s="80">
        <v>720000.12</v>
      </c>
      <c r="D645" s="79"/>
      <c r="E645" s="66" t="s">
        <v>376</v>
      </c>
      <c r="F645" s="84" t="s">
        <v>528</v>
      </c>
      <c r="G645" s="68">
        <v>20.0</v>
      </c>
      <c r="H645" s="69">
        <f t="shared" si="50"/>
        <v>120000.02</v>
      </c>
      <c r="I645" s="76" t="s">
        <v>37</v>
      </c>
      <c r="J645" s="87" t="s">
        <v>250</v>
      </c>
      <c r="K645" s="95"/>
      <c r="L645" s="82">
        <v>175.0</v>
      </c>
      <c r="M645" s="95"/>
      <c r="N645" s="72">
        <f t="shared" ref="N645:N652" si="52">A645-IF(M645&gt;0,M645,A645)</f>
        <v>0</v>
      </c>
      <c r="O645" s="96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</row>
    <row r="646" ht="22.5" customHeight="1">
      <c r="A646" s="86">
        <v>45653.0</v>
      </c>
      <c r="B646" s="63" t="s">
        <v>27</v>
      </c>
      <c r="C646" s="80">
        <v>1079985.18</v>
      </c>
      <c r="D646" s="79"/>
      <c r="E646" s="66" t="s">
        <v>376</v>
      </c>
      <c r="F646" s="84" t="s">
        <v>528</v>
      </c>
      <c r="G646" s="68">
        <v>20.0</v>
      </c>
      <c r="H646" s="69">
        <f t="shared" si="50"/>
        <v>179997.53</v>
      </c>
      <c r="I646" s="76" t="s">
        <v>37</v>
      </c>
      <c r="J646" s="87" t="s">
        <v>250</v>
      </c>
      <c r="K646" s="95"/>
      <c r="L646" s="82">
        <v>174.0</v>
      </c>
      <c r="M646" s="95"/>
      <c r="N646" s="72">
        <f t="shared" si="52"/>
        <v>0</v>
      </c>
      <c r="O646" s="96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</row>
    <row r="647" ht="22.5" customHeight="1">
      <c r="A647" s="86">
        <v>45653.0</v>
      </c>
      <c r="B647" s="63" t="s">
        <v>27</v>
      </c>
      <c r="C647" s="80">
        <v>600000.24</v>
      </c>
      <c r="D647" s="79"/>
      <c r="E647" s="66" t="s">
        <v>376</v>
      </c>
      <c r="F647" s="84" t="s">
        <v>528</v>
      </c>
      <c r="G647" s="68">
        <v>20.0</v>
      </c>
      <c r="H647" s="69">
        <f t="shared" si="50"/>
        <v>100000.04</v>
      </c>
      <c r="I647" s="76" t="s">
        <v>37</v>
      </c>
      <c r="J647" s="87" t="s">
        <v>250</v>
      </c>
      <c r="K647" s="95"/>
      <c r="L647" s="82">
        <v>172.0</v>
      </c>
      <c r="M647" s="95"/>
      <c r="N647" s="72">
        <f t="shared" si="52"/>
        <v>0</v>
      </c>
      <c r="O647" s="96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</row>
    <row r="648" ht="22.5" customHeight="1">
      <c r="A648" s="86">
        <v>45653.0</v>
      </c>
      <c r="B648" s="63" t="s">
        <v>27</v>
      </c>
      <c r="C648" s="80">
        <v>360000.06</v>
      </c>
      <c r="D648" s="79"/>
      <c r="E648" s="66" t="s">
        <v>376</v>
      </c>
      <c r="F648" s="84" t="s">
        <v>528</v>
      </c>
      <c r="G648" s="68">
        <v>20.0</v>
      </c>
      <c r="H648" s="69">
        <f t="shared" si="50"/>
        <v>60000.01</v>
      </c>
      <c r="I648" s="76" t="s">
        <v>37</v>
      </c>
      <c r="J648" s="87" t="s">
        <v>250</v>
      </c>
      <c r="K648" s="95"/>
      <c r="L648" s="82">
        <v>173.0</v>
      </c>
      <c r="M648" s="95"/>
      <c r="N648" s="72">
        <f t="shared" si="52"/>
        <v>0</v>
      </c>
      <c r="O648" s="96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</row>
    <row r="649" ht="22.5" customHeight="1">
      <c r="A649" s="86">
        <v>45653.0</v>
      </c>
      <c r="B649" s="63" t="s">
        <v>27</v>
      </c>
      <c r="C649" s="80">
        <v>18000.0</v>
      </c>
      <c r="D649" s="79"/>
      <c r="E649" s="66" t="s">
        <v>376</v>
      </c>
      <c r="F649" s="84" t="s">
        <v>528</v>
      </c>
      <c r="G649" s="68">
        <v>20.0</v>
      </c>
      <c r="H649" s="69">
        <f t="shared" si="50"/>
        <v>3000</v>
      </c>
      <c r="I649" s="76" t="s">
        <v>37</v>
      </c>
      <c r="J649" s="87" t="s">
        <v>250</v>
      </c>
      <c r="K649" s="82">
        <v>27.0</v>
      </c>
      <c r="L649" s="82">
        <v>186.0</v>
      </c>
      <c r="M649" s="95"/>
      <c r="N649" s="72">
        <f t="shared" si="52"/>
        <v>0</v>
      </c>
      <c r="O649" s="96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</row>
    <row r="650" ht="22.5" customHeight="1">
      <c r="A650" s="86">
        <v>45653.0</v>
      </c>
      <c r="B650" s="63" t="s">
        <v>27</v>
      </c>
      <c r="C650" s="80">
        <v>1050000.0</v>
      </c>
      <c r="D650" s="79"/>
      <c r="E650" s="66" t="s">
        <v>28</v>
      </c>
      <c r="F650" s="84" t="s">
        <v>570</v>
      </c>
      <c r="G650" s="68">
        <v>20.0</v>
      </c>
      <c r="H650" s="69">
        <f t="shared" si="50"/>
        <v>175000</v>
      </c>
      <c r="I650" s="76" t="s">
        <v>37</v>
      </c>
      <c r="J650" s="87" t="s">
        <v>586</v>
      </c>
      <c r="K650" s="95"/>
      <c r="L650" s="82">
        <v>215.0</v>
      </c>
      <c r="M650" s="132">
        <v>45637.0</v>
      </c>
      <c r="N650" s="72">
        <f t="shared" si="52"/>
        <v>16</v>
      </c>
      <c r="O650" s="96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</row>
    <row r="651" ht="22.5" customHeight="1">
      <c r="A651" s="86">
        <v>45653.0</v>
      </c>
      <c r="B651" s="63" t="s">
        <v>27</v>
      </c>
      <c r="C651" s="80">
        <v>526046.98</v>
      </c>
      <c r="D651" s="79"/>
      <c r="E651" s="66" t="s">
        <v>28</v>
      </c>
      <c r="F651" s="84" t="s">
        <v>379</v>
      </c>
      <c r="G651" s="68">
        <v>20.0</v>
      </c>
      <c r="H651" s="69">
        <f t="shared" si="50"/>
        <v>87674.49667</v>
      </c>
      <c r="I651" s="76" t="s">
        <v>37</v>
      </c>
      <c r="J651" s="87" t="s">
        <v>549</v>
      </c>
      <c r="K651" s="82">
        <v>5.0</v>
      </c>
      <c r="L651" s="95"/>
      <c r="M651" s="95"/>
      <c r="N651" s="72">
        <f t="shared" si="52"/>
        <v>0</v>
      </c>
      <c r="O651" s="96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</row>
    <row r="652" ht="22.5" customHeight="1">
      <c r="A652" s="86">
        <v>45654.0</v>
      </c>
      <c r="B652" s="63" t="s">
        <v>27</v>
      </c>
      <c r="C652" s="80">
        <v>180000.0</v>
      </c>
      <c r="D652" s="79"/>
      <c r="E652" s="66" t="s">
        <v>28</v>
      </c>
      <c r="F652" s="84" t="s">
        <v>570</v>
      </c>
      <c r="G652" s="68">
        <v>20.0</v>
      </c>
      <c r="H652" s="69">
        <f t="shared" si="50"/>
        <v>30000</v>
      </c>
      <c r="I652" s="76" t="s">
        <v>37</v>
      </c>
      <c r="J652" s="87" t="s">
        <v>589</v>
      </c>
      <c r="K652" s="95"/>
      <c r="L652" s="82">
        <v>222.0</v>
      </c>
      <c r="M652" s="132">
        <v>45639.0</v>
      </c>
      <c r="N652" s="72">
        <f t="shared" si="52"/>
        <v>15</v>
      </c>
      <c r="O652" s="96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</row>
    <row r="653" ht="22.5" customHeight="1">
      <c r="A653" s="86">
        <v>45654.0</v>
      </c>
      <c r="B653" s="63" t="s">
        <v>27</v>
      </c>
      <c r="C653" s="79"/>
      <c r="D653" s="80">
        <v>471288.0</v>
      </c>
      <c r="E653" s="66" t="s">
        <v>28</v>
      </c>
      <c r="F653" s="84" t="s">
        <v>119</v>
      </c>
      <c r="G653" s="68">
        <v>0.0</v>
      </c>
      <c r="H653" s="69">
        <f t="shared" si="50"/>
        <v>0</v>
      </c>
      <c r="I653" s="89" t="s">
        <v>68</v>
      </c>
      <c r="J653" s="87" t="s">
        <v>590</v>
      </c>
      <c r="K653" s="95"/>
      <c r="L653" s="95"/>
      <c r="M653" s="95"/>
      <c r="N653" s="72"/>
      <c r="O653" s="96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</row>
    <row r="654" ht="22.5" customHeight="1">
      <c r="A654" s="86">
        <v>45654.0</v>
      </c>
      <c r="B654" s="63" t="s">
        <v>27</v>
      </c>
      <c r="C654" s="79"/>
      <c r="D654" s="80">
        <v>882571.0</v>
      </c>
      <c r="E654" s="66" t="s">
        <v>33</v>
      </c>
      <c r="F654" s="84" t="s">
        <v>119</v>
      </c>
      <c r="G654" s="68">
        <v>0.0</v>
      </c>
      <c r="H654" s="69">
        <f t="shared" si="50"/>
        <v>0</v>
      </c>
      <c r="I654" s="89" t="s">
        <v>53</v>
      </c>
      <c r="J654" s="87" t="s">
        <v>591</v>
      </c>
      <c r="K654" s="95"/>
      <c r="L654" s="95"/>
      <c r="M654" s="95"/>
      <c r="N654" s="72"/>
      <c r="O654" s="96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</row>
    <row r="655" ht="22.5" customHeight="1">
      <c r="A655" s="86">
        <v>45654.0</v>
      </c>
      <c r="B655" s="63" t="s">
        <v>27</v>
      </c>
      <c r="C655" s="79"/>
      <c r="D655" s="80">
        <v>32571.0</v>
      </c>
      <c r="E655" s="66" t="s">
        <v>33</v>
      </c>
      <c r="F655" s="84" t="s">
        <v>119</v>
      </c>
      <c r="G655" s="68">
        <v>0.0</v>
      </c>
      <c r="H655" s="69">
        <f t="shared" si="50"/>
        <v>0</v>
      </c>
      <c r="I655" s="89" t="s">
        <v>490</v>
      </c>
      <c r="J655" s="87" t="s">
        <v>489</v>
      </c>
      <c r="K655" s="95"/>
      <c r="L655" s="95"/>
      <c r="M655" s="95"/>
      <c r="N655" s="72"/>
      <c r="O655" s="96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</row>
    <row r="656" ht="22.5" customHeight="1">
      <c r="A656" s="86">
        <v>45654.0</v>
      </c>
      <c r="B656" s="63" t="s">
        <v>27</v>
      </c>
      <c r="C656" s="79"/>
      <c r="D656" s="80">
        <v>350000.0</v>
      </c>
      <c r="E656" s="66" t="s">
        <v>33</v>
      </c>
      <c r="F656" s="84" t="s">
        <v>119</v>
      </c>
      <c r="G656" s="68">
        <v>0.0</v>
      </c>
      <c r="H656" s="69">
        <f t="shared" si="50"/>
        <v>0</v>
      </c>
      <c r="I656" s="89" t="s">
        <v>65</v>
      </c>
      <c r="J656" s="87" t="s">
        <v>592</v>
      </c>
      <c r="K656" s="95"/>
      <c r="L656" s="95"/>
      <c r="M656" s="95"/>
      <c r="N656" s="72"/>
      <c r="O656" s="96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</row>
    <row r="657" ht="22.5" customHeight="1">
      <c r="A657" s="86">
        <v>45656.0</v>
      </c>
      <c r="B657" s="63" t="s">
        <v>27</v>
      </c>
      <c r="C657" s="79"/>
      <c r="D657" s="80">
        <v>1010134.0</v>
      </c>
      <c r="E657" s="66" t="s">
        <v>33</v>
      </c>
      <c r="F657" s="84" t="s">
        <v>119</v>
      </c>
      <c r="G657" s="68">
        <v>0.0</v>
      </c>
      <c r="H657" s="69">
        <f t="shared" si="50"/>
        <v>0</v>
      </c>
      <c r="I657" s="89" t="s">
        <v>93</v>
      </c>
      <c r="J657" s="87" t="s">
        <v>593</v>
      </c>
      <c r="K657" s="95"/>
      <c r="L657" s="95"/>
      <c r="M657" s="95"/>
      <c r="N657" s="72"/>
      <c r="O657" s="96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</row>
    <row r="658" ht="22.5" customHeight="1">
      <c r="A658" s="86">
        <v>45656.0</v>
      </c>
      <c r="B658" s="63" t="s">
        <v>27</v>
      </c>
      <c r="C658" s="79"/>
      <c r="D658" s="80">
        <v>262500.0</v>
      </c>
      <c r="E658" s="66" t="s">
        <v>33</v>
      </c>
      <c r="F658" s="84" t="s">
        <v>119</v>
      </c>
      <c r="G658" s="68">
        <v>0.0</v>
      </c>
      <c r="H658" s="69">
        <f t="shared" si="50"/>
        <v>0</v>
      </c>
      <c r="I658" s="89" t="s">
        <v>93</v>
      </c>
      <c r="J658" s="87" t="s">
        <v>572</v>
      </c>
      <c r="K658" s="95"/>
      <c r="L658" s="95"/>
      <c r="M658" s="95"/>
      <c r="N658" s="72"/>
      <c r="O658" s="96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</row>
    <row r="659" ht="22.5" customHeight="1">
      <c r="A659" s="86">
        <v>45659.0</v>
      </c>
      <c r="B659" s="63" t="s">
        <v>27</v>
      </c>
      <c r="C659" s="79"/>
      <c r="D659" s="80">
        <v>13999.0</v>
      </c>
      <c r="E659" s="66" t="s">
        <v>28</v>
      </c>
      <c r="F659" s="84" t="s">
        <v>594</v>
      </c>
      <c r="G659" s="68">
        <v>0.0</v>
      </c>
      <c r="H659" s="69">
        <f t="shared" si="50"/>
        <v>0</v>
      </c>
      <c r="I659" s="70" t="s">
        <v>30</v>
      </c>
      <c r="J659" s="71" t="s">
        <v>31</v>
      </c>
      <c r="K659" s="95"/>
      <c r="L659" s="95"/>
      <c r="M659" s="95"/>
      <c r="N659" s="72"/>
      <c r="O659" s="96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</row>
    <row r="660" ht="22.5" customHeight="1">
      <c r="A660" s="86">
        <v>45659.0</v>
      </c>
      <c r="B660" s="63" t="s">
        <v>27</v>
      </c>
      <c r="C660" s="79"/>
      <c r="D660" s="80">
        <f>1706400-1431502-247510</f>
        <v>27388</v>
      </c>
      <c r="E660" s="66" t="s">
        <v>376</v>
      </c>
      <c r="F660" s="84" t="s">
        <v>574</v>
      </c>
      <c r="G660" s="68">
        <v>20.0</v>
      </c>
      <c r="H660" s="69">
        <f t="shared" si="50"/>
        <v>4564.666667</v>
      </c>
      <c r="I660" s="76" t="s">
        <v>322</v>
      </c>
      <c r="J660" s="87" t="s">
        <v>250</v>
      </c>
      <c r="K660" s="95"/>
      <c r="L660" s="82" t="s">
        <v>508</v>
      </c>
      <c r="M660" s="128">
        <v>45554.0</v>
      </c>
      <c r="N660" s="72"/>
      <c r="O660" s="96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</row>
    <row r="661" ht="22.5" customHeight="1">
      <c r="A661" s="86">
        <v>45660.0</v>
      </c>
      <c r="B661" s="63" t="s">
        <v>27</v>
      </c>
      <c r="C661" s="79"/>
      <c r="D661" s="80">
        <v>10000.0</v>
      </c>
      <c r="E661" s="66" t="s">
        <v>33</v>
      </c>
      <c r="F661" s="84" t="s">
        <v>594</v>
      </c>
      <c r="G661" s="68">
        <v>0.0</v>
      </c>
      <c r="H661" s="69">
        <f t="shared" si="50"/>
        <v>0</v>
      </c>
      <c r="I661" s="70" t="s">
        <v>35</v>
      </c>
      <c r="J661" s="87" t="s">
        <v>595</v>
      </c>
      <c r="K661" s="95"/>
      <c r="L661" s="95"/>
      <c r="M661" s="95"/>
      <c r="N661" s="72"/>
      <c r="O661" s="96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</row>
    <row r="662" ht="22.5" customHeight="1">
      <c r="A662" s="86">
        <v>45666.0</v>
      </c>
      <c r="B662" s="63" t="s">
        <v>27</v>
      </c>
      <c r="C662" s="80">
        <v>624000.24</v>
      </c>
      <c r="D662" s="79"/>
      <c r="E662" s="66" t="s">
        <v>28</v>
      </c>
      <c r="F662" s="84" t="s">
        <v>570</v>
      </c>
      <c r="G662" s="68">
        <v>20.0</v>
      </c>
      <c r="H662" s="69">
        <f t="shared" si="50"/>
        <v>104000.04</v>
      </c>
      <c r="I662" s="76" t="s">
        <v>37</v>
      </c>
      <c r="J662" s="87" t="s">
        <v>596</v>
      </c>
      <c r="K662" s="95"/>
      <c r="L662" s="82">
        <v>202.0</v>
      </c>
      <c r="M662" s="132">
        <v>45636.0</v>
      </c>
      <c r="N662" s="72">
        <f t="shared" ref="N662:N667" si="53">A662-IF(M662&gt;0,M662,A662)</f>
        <v>30</v>
      </c>
      <c r="O662" s="96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</row>
    <row r="663" ht="22.5" customHeight="1">
      <c r="A663" s="86">
        <v>45666.0</v>
      </c>
      <c r="B663" s="63" t="s">
        <v>27</v>
      </c>
      <c r="C663" s="80">
        <v>2999880.0</v>
      </c>
      <c r="D663" s="79"/>
      <c r="E663" s="66" t="s">
        <v>28</v>
      </c>
      <c r="F663" s="84" t="s">
        <v>570</v>
      </c>
      <c r="G663" s="68">
        <v>20.0</v>
      </c>
      <c r="H663" s="69">
        <f t="shared" si="50"/>
        <v>499980</v>
      </c>
      <c r="I663" s="76" t="s">
        <v>37</v>
      </c>
      <c r="J663" s="87" t="s">
        <v>596</v>
      </c>
      <c r="K663" s="95"/>
      <c r="L663" s="82">
        <v>207.0</v>
      </c>
      <c r="M663" s="132">
        <v>45636.0</v>
      </c>
      <c r="N663" s="72">
        <f t="shared" si="53"/>
        <v>30</v>
      </c>
      <c r="O663" s="96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</row>
    <row r="664" ht="22.5" customHeight="1">
      <c r="A664" s="86">
        <v>45666.0</v>
      </c>
      <c r="B664" s="63" t="s">
        <v>27</v>
      </c>
      <c r="C664" s="80">
        <v>600180.0</v>
      </c>
      <c r="D664" s="79"/>
      <c r="E664" s="66" t="s">
        <v>28</v>
      </c>
      <c r="F664" s="84" t="s">
        <v>570</v>
      </c>
      <c r="G664" s="68">
        <v>20.0</v>
      </c>
      <c r="H664" s="69">
        <f t="shared" si="50"/>
        <v>100030</v>
      </c>
      <c r="I664" s="76" t="s">
        <v>37</v>
      </c>
      <c r="J664" s="87" t="s">
        <v>596</v>
      </c>
      <c r="K664" s="95"/>
      <c r="L664" s="82">
        <v>208.0</v>
      </c>
      <c r="M664" s="132">
        <v>45636.0</v>
      </c>
      <c r="N664" s="72">
        <f t="shared" si="53"/>
        <v>30</v>
      </c>
      <c r="O664" s="96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</row>
    <row r="665" ht="22.5" customHeight="1">
      <c r="A665" s="86">
        <v>45666.0</v>
      </c>
      <c r="B665" s="63" t="s">
        <v>27</v>
      </c>
      <c r="C665" s="80">
        <v>600180.0</v>
      </c>
      <c r="D665" s="79"/>
      <c r="E665" s="66" t="s">
        <v>28</v>
      </c>
      <c r="F665" s="84" t="s">
        <v>570</v>
      </c>
      <c r="G665" s="68">
        <v>20.0</v>
      </c>
      <c r="H665" s="69">
        <f t="shared" si="50"/>
        <v>100030</v>
      </c>
      <c r="I665" s="76" t="s">
        <v>37</v>
      </c>
      <c r="J665" s="87" t="s">
        <v>596</v>
      </c>
      <c r="K665" s="95"/>
      <c r="L665" s="82">
        <v>209.0</v>
      </c>
      <c r="M665" s="132">
        <v>45636.0</v>
      </c>
      <c r="N665" s="72">
        <f t="shared" si="53"/>
        <v>30</v>
      </c>
      <c r="O665" s="96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</row>
    <row r="666" ht="22.5" customHeight="1">
      <c r="A666" s="86">
        <v>45666.0</v>
      </c>
      <c r="B666" s="63" t="s">
        <v>27</v>
      </c>
      <c r="C666" s="80">
        <v>342720.0</v>
      </c>
      <c r="D666" s="79"/>
      <c r="E666" s="66" t="s">
        <v>28</v>
      </c>
      <c r="F666" s="84" t="s">
        <v>570</v>
      </c>
      <c r="G666" s="68">
        <v>20.0</v>
      </c>
      <c r="H666" s="69">
        <f t="shared" si="50"/>
        <v>57120</v>
      </c>
      <c r="I666" s="76" t="s">
        <v>37</v>
      </c>
      <c r="J666" s="87" t="s">
        <v>596</v>
      </c>
      <c r="K666" s="95"/>
      <c r="L666" s="82">
        <v>210.0</v>
      </c>
      <c r="M666" s="132">
        <v>45636.0</v>
      </c>
      <c r="N666" s="72">
        <f t="shared" si="53"/>
        <v>30</v>
      </c>
      <c r="O666" s="96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</row>
    <row r="667" ht="22.5" customHeight="1">
      <c r="A667" s="86">
        <v>45667.0</v>
      </c>
      <c r="B667" s="63" t="s">
        <v>27</v>
      </c>
      <c r="C667" s="80">
        <v>2111550.0</v>
      </c>
      <c r="D667" s="79"/>
      <c r="E667" s="66" t="s">
        <v>28</v>
      </c>
      <c r="F667" s="84" t="s">
        <v>570</v>
      </c>
      <c r="G667" s="68">
        <v>20.0</v>
      </c>
      <c r="H667" s="69">
        <f t="shared" si="50"/>
        <v>351925</v>
      </c>
      <c r="I667" s="76" t="s">
        <v>37</v>
      </c>
      <c r="J667" s="87" t="s">
        <v>539</v>
      </c>
      <c r="K667" s="95"/>
      <c r="L667" s="82">
        <v>214.0</v>
      </c>
      <c r="M667" s="132">
        <v>45637.0</v>
      </c>
      <c r="N667" s="72">
        <f t="shared" si="53"/>
        <v>30</v>
      </c>
      <c r="O667" s="96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</row>
    <row r="668" ht="22.5" customHeight="1">
      <c r="A668" s="86">
        <v>45670.0</v>
      </c>
      <c r="B668" s="63" t="s">
        <v>27</v>
      </c>
      <c r="C668" s="79"/>
      <c r="D668" s="80">
        <v>954457.05</v>
      </c>
      <c r="E668" s="66" t="s">
        <v>28</v>
      </c>
      <c r="F668" s="84" t="s">
        <v>528</v>
      </c>
      <c r="G668" s="68">
        <v>20.0</v>
      </c>
      <c r="H668" s="69">
        <f t="shared" si="50"/>
        <v>159076.175</v>
      </c>
      <c r="I668" s="76" t="s">
        <v>101</v>
      </c>
      <c r="J668" s="136" t="s">
        <v>597</v>
      </c>
      <c r="K668" s="95"/>
      <c r="L668" s="82">
        <v>1.0</v>
      </c>
      <c r="M668" s="128">
        <v>45604.0</v>
      </c>
      <c r="N668" s="72"/>
      <c r="O668" s="96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</row>
    <row r="669" ht="22.5" customHeight="1">
      <c r="A669" s="86">
        <v>45670.0</v>
      </c>
      <c r="B669" s="63" t="s">
        <v>27</v>
      </c>
      <c r="C669" s="79"/>
      <c r="D669" s="80">
        <v>6541.33</v>
      </c>
      <c r="E669" s="66" t="s">
        <v>28</v>
      </c>
      <c r="F669" s="84" t="s">
        <v>570</v>
      </c>
      <c r="G669" s="68">
        <v>20.0</v>
      </c>
      <c r="H669" s="69">
        <f t="shared" si="50"/>
        <v>1090.221667</v>
      </c>
      <c r="I669" s="76" t="s">
        <v>44</v>
      </c>
      <c r="J669" s="98" t="s">
        <v>134</v>
      </c>
      <c r="K669" s="95"/>
      <c r="L669" s="95"/>
      <c r="M669" s="95"/>
      <c r="N669" s="72"/>
      <c r="O669" s="96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</row>
    <row r="670" ht="22.5" customHeight="1">
      <c r="A670" s="86">
        <v>45670.0</v>
      </c>
      <c r="B670" s="63" t="s">
        <v>27</v>
      </c>
      <c r="C670" s="79"/>
      <c r="D670" s="80">
        <v>38366.72</v>
      </c>
      <c r="E670" s="66" t="s">
        <v>28</v>
      </c>
      <c r="F670" s="84" t="s">
        <v>570</v>
      </c>
      <c r="G670" s="68">
        <v>20.0</v>
      </c>
      <c r="H670" s="69">
        <f t="shared" si="50"/>
        <v>6394.453333</v>
      </c>
      <c r="I670" s="76" t="s">
        <v>61</v>
      </c>
      <c r="J670" s="98" t="s">
        <v>509</v>
      </c>
      <c r="K670" s="95"/>
      <c r="L670" s="95"/>
      <c r="M670" s="95"/>
      <c r="N670" s="72"/>
      <c r="O670" s="96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</row>
    <row r="671" ht="22.5" customHeight="1">
      <c r="A671" s="86">
        <v>45670.0</v>
      </c>
      <c r="B671" s="63" t="s">
        <v>27</v>
      </c>
      <c r="C671" s="80">
        <v>865015.0</v>
      </c>
      <c r="D671" s="80"/>
      <c r="E671" s="66" t="s">
        <v>376</v>
      </c>
      <c r="F671" s="84" t="s">
        <v>528</v>
      </c>
      <c r="G671" s="68">
        <v>20.0</v>
      </c>
      <c r="H671" s="69">
        <f t="shared" si="50"/>
        <v>144169.1667</v>
      </c>
      <c r="I671" s="76" t="s">
        <v>37</v>
      </c>
      <c r="J671" s="87" t="s">
        <v>557</v>
      </c>
      <c r="K671" s="82">
        <v>1.0</v>
      </c>
      <c r="L671" s="82">
        <v>160.0</v>
      </c>
      <c r="M671" s="128">
        <v>45604.0</v>
      </c>
      <c r="N671" s="72">
        <f t="shared" ref="N671:N672" si="54">A671-IF(M671&gt;0,M671,A671)</f>
        <v>66</v>
      </c>
      <c r="O671" s="96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</row>
    <row r="672" ht="22.5" customHeight="1">
      <c r="A672" s="86">
        <v>45670.0</v>
      </c>
      <c r="B672" s="63" t="s">
        <v>27</v>
      </c>
      <c r="C672" s="80">
        <v>865015.0</v>
      </c>
      <c r="D672" s="79"/>
      <c r="E672" s="66" t="s">
        <v>376</v>
      </c>
      <c r="F672" s="84" t="s">
        <v>570</v>
      </c>
      <c r="G672" s="68">
        <v>20.0</v>
      </c>
      <c r="H672" s="69">
        <f t="shared" si="50"/>
        <v>144169.1667</v>
      </c>
      <c r="I672" s="76" t="s">
        <v>37</v>
      </c>
      <c r="J672" s="87" t="s">
        <v>557</v>
      </c>
      <c r="K672" s="95"/>
      <c r="L672" s="82">
        <v>184.0</v>
      </c>
      <c r="M672" s="128">
        <v>45635.0</v>
      </c>
      <c r="N672" s="72">
        <f t="shared" si="54"/>
        <v>35</v>
      </c>
      <c r="O672" s="96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</row>
    <row r="673" ht="22.5" customHeight="1">
      <c r="A673" s="86">
        <v>45672.0</v>
      </c>
      <c r="B673" s="63" t="s">
        <v>27</v>
      </c>
      <c r="C673" s="79"/>
      <c r="D673" s="80">
        <v>1382287.93</v>
      </c>
      <c r="E673" s="66" t="s">
        <v>28</v>
      </c>
      <c r="F673" s="84" t="s">
        <v>570</v>
      </c>
      <c r="G673" s="68">
        <v>20.0</v>
      </c>
      <c r="H673" s="69">
        <f t="shared" si="50"/>
        <v>230381.3217</v>
      </c>
      <c r="I673" s="76" t="s">
        <v>61</v>
      </c>
      <c r="J673" s="103" t="s">
        <v>228</v>
      </c>
      <c r="K673" s="95"/>
      <c r="L673" s="95"/>
      <c r="M673" s="95"/>
      <c r="N673" s="72"/>
      <c r="O673" s="96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</row>
    <row r="674" ht="22.5" customHeight="1">
      <c r="A674" s="86">
        <v>45672.0</v>
      </c>
      <c r="B674" s="63" t="s">
        <v>27</v>
      </c>
      <c r="C674" s="79"/>
      <c r="D674" s="80">
        <v>337033.0</v>
      </c>
      <c r="E674" s="66" t="s">
        <v>28</v>
      </c>
      <c r="F674" s="84" t="s">
        <v>594</v>
      </c>
      <c r="G674" s="68">
        <v>0.0</v>
      </c>
      <c r="H674" s="69">
        <f t="shared" si="50"/>
        <v>0</v>
      </c>
      <c r="I674" s="94" t="s">
        <v>598</v>
      </c>
      <c r="J674" s="87" t="s">
        <v>72</v>
      </c>
      <c r="K674" s="95"/>
      <c r="L674" s="95"/>
      <c r="M674" s="95"/>
      <c r="N674" s="72"/>
      <c r="O674" s="96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</row>
    <row r="675" ht="22.5" customHeight="1">
      <c r="A675" s="86">
        <v>45672.0</v>
      </c>
      <c r="B675" s="63" t="s">
        <v>27</v>
      </c>
      <c r="C675" s="79"/>
      <c r="D675" s="80">
        <v>70422.0</v>
      </c>
      <c r="E675" s="66" t="s">
        <v>28</v>
      </c>
      <c r="F675" s="84" t="s">
        <v>594</v>
      </c>
      <c r="G675" s="68">
        <v>0.0</v>
      </c>
      <c r="H675" s="69">
        <f t="shared" si="50"/>
        <v>0</v>
      </c>
      <c r="I675" s="94" t="s">
        <v>599</v>
      </c>
      <c r="J675" s="87" t="s">
        <v>72</v>
      </c>
      <c r="K675" s="95"/>
      <c r="L675" s="95"/>
      <c r="M675" s="95"/>
      <c r="N675" s="72"/>
      <c r="O675" s="96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</row>
    <row r="676" ht="22.5" customHeight="1">
      <c r="A676" s="86">
        <v>45672.0</v>
      </c>
      <c r="B676" s="63" t="s">
        <v>27</v>
      </c>
      <c r="C676" s="79"/>
      <c r="D676" s="80">
        <v>1805.7</v>
      </c>
      <c r="E676" s="66" t="s">
        <v>28</v>
      </c>
      <c r="F676" s="84" t="s">
        <v>594</v>
      </c>
      <c r="G676" s="68">
        <v>0.0</v>
      </c>
      <c r="H676" s="69">
        <f t="shared" si="50"/>
        <v>0</v>
      </c>
      <c r="I676" s="94" t="s">
        <v>600</v>
      </c>
      <c r="J676" s="87" t="s">
        <v>72</v>
      </c>
      <c r="K676" s="95"/>
      <c r="L676" s="95"/>
      <c r="M676" s="95"/>
      <c r="N676" s="72"/>
      <c r="O676" s="96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</row>
    <row r="677" ht="22.5" customHeight="1">
      <c r="A677" s="86">
        <v>45672.0</v>
      </c>
      <c r="B677" s="63" t="s">
        <v>27</v>
      </c>
      <c r="C677" s="79"/>
      <c r="D677" s="80">
        <v>50000.0</v>
      </c>
      <c r="E677" s="66" t="s">
        <v>33</v>
      </c>
      <c r="F677" s="84" t="s">
        <v>119</v>
      </c>
      <c r="G677" s="68">
        <v>0.0</v>
      </c>
      <c r="H677" s="69">
        <f t="shared" si="50"/>
        <v>0</v>
      </c>
      <c r="I677" s="76" t="s">
        <v>53</v>
      </c>
      <c r="J677" s="87" t="s">
        <v>601</v>
      </c>
      <c r="K677" s="95"/>
      <c r="L677" s="95"/>
      <c r="M677" s="95"/>
      <c r="N677" s="72"/>
      <c r="O677" s="96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</row>
    <row r="678" ht="22.5" customHeight="1">
      <c r="A678" s="86">
        <v>45672.0</v>
      </c>
      <c r="B678" s="63" t="s">
        <v>27</v>
      </c>
      <c r="C678" s="79"/>
      <c r="D678" s="79">
        <v>20408.0</v>
      </c>
      <c r="E678" s="66" t="s">
        <v>33</v>
      </c>
      <c r="F678" s="84" t="s">
        <v>594</v>
      </c>
      <c r="G678" s="68">
        <v>0.0</v>
      </c>
      <c r="H678" s="69">
        <f t="shared" si="50"/>
        <v>0</v>
      </c>
      <c r="I678" s="76" t="s">
        <v>490</v>
      </c>
      <c r="J678" s="87" t="s">
        <v>602</v>
      </c>
      <c r="K678" s="95"/>
      <c r="L678" s="95"/>
      <c r="M678" s="95"/>
      <c r="N678" s="72"/>
      <c r="O678" s="96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</row>
    <row r="679" ht="22.5" customHeight="1">
      <c r="A679" s="86">
        <v>45672.0</v>
      </c>
      <c r="B679" s="137" t="s">
        <v>27</v>
      </c>
      <c r="C679" s="79"/>
      <c r="D679" s="80">
        <v>60000.0</v>
      </c>
      <c r="E679" s="66" t="s">
        <v>28</v>
      </c>
      <c r="F679" s="67" t="s">
        <v>603</v>
      </c>
      <c r="G679" s="68">
        <v>0.0</v>
      </c>
      <c r="H679" s="69">
        <f t="shared" si="50"/>
        <v>0</v>
      </c>
      <c r="I679" s="89" t="s">
        <v>47</v>
      </c>
      <c r="J679" s="81"/>
      <c r="K679" s="95"/>
      <c r="L679" s="95"/>
      <c r="M679" s="95"/>
      <c r="N679" s="72"/>
      <c r="O679" s="96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</row>
    <row r="680" ht="22.5" customHeight="1">
      <c r="A680" s="86">
        <v>45672.0</v>
      </c>
      <c r="B680" s="137" t="s">
        <v>27</v>
      </c>
      <c r="C680" s="79"/>
      <c r="D680" s="80">
        <v>1240000.0</v>
      </c>
      <c r="E680" s="66" t="s">
        <v>376</v>
      </c>
      <c r="F680" s="67" t="s">
        <v>603</v>
      </c>
      <c r="G680" s="68">
        <v>0.0</v>
      </c>
      <c r="H680" s="69">
        <f t="shared" si="50"/>
        <v>0</v>
      </c>
      <c r="I680" s="89" t="s">
        <v>47</v>
      </c>
      <c r="J680" s="81"/>
      <c r="K680" s="95"/>
      <c r="L680" s="95"/>
      <c r="M680" s="95"/>
      <c r="N680" s="72"/>
      <c r="O680" s="96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</row>
    <row r="681" ht="22.5" customHeight="1">
      <c r="A681" s="86">
        <v>45672.0</v>
      </c>
      <c r="B681" s="137" t="s">
        <v>27</v>
      </c>
      <c r="C681" s="80">
        <v>1240000.0</v>
      </c>
      <c r="D681" s="79"/>
      <c r="E681" s="66" t="s">
        <v>28</v>
      </c>
      <c r="F681" s="67" t="s">
        <v>603</v>
      </c>
      <c r="G681" s="68">
        <v>0.0</v>
      </c>
      <c r="H681" s="69">
        <f t="shared" si="50"/>
        <v>0</v>
      </c>
      <c r="I681" s="89" t="s">
        <v>47</v>
      </c>
      <c r="J681" s="81"/>
      <c r="K681" s="95"/>
      <c r="L681" s="95"/>
      <c r="M681" s="95"/>
      <c r="N681" s="72"/>
      <c r="O681" s="96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</row>
    <row r="682" ht="22.5" customHeight="1">
      <c r="A682" s="86">
        <v>45672.0</v>
      </c>
      <c r="B682" s="137" t="s">
        <v>27</v>
      </c>
      <c r="C682" s="80">
        <v>840000.0</v>
      </c>
      <c r="D682" s="79"/>
      <c r="E682" s="66" t="s">
        <v>28</v>
      </c>
      <c r="F682" s="67" t="s">
        <v>604</v>
      </c>
      <c r="G682" s="68">
        <v>20.0</v>
      </c>
      <c r="H682" s="69">
        <f t="shared" si="50"/>
        <v>140000</v>
      </c>
      <c r="I682" s="89" t="s">
        <v>37</v>
      </c>
      <c r="J682" s="98" t="s">
        <v>605</v>
      </c>
      <c r="K682" s="82" t="s">
        <v>606</v>
      </c>
      <c r="L682" s="82" t="s">
        <v>607</v>
      </c>
      <c r="M682" s="82">
        <v>457.0</v>
      </c>
      <c r="N682" s="138">
        <v>46020.0</v>
      </c>
      <c r="O682" s="96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</row>
    <row r="683" ht="22.5" customHeight="1">
      <c r="A683" s="86">
        <v>45676.0</v>
      </c>
      <c r="B683" s="139" t="s">
        <v>27</v>
      </c>
      <c r="C683" s="79"/>
      <c r="D683" s="80">
        <v>360000.0</v>
      </c>
      <c r="E683" s="66" t="s">
        <v>28</v>
      </c>
      <c r="F683" s="67" t="s">
        <v>608</v>
      </c>
      <c r="G683" s="68">
        <v>20.0</v>
      </c>
      <c r="H683" s="69">
        <f t="shared" si="50"/>
        <v>60000</v>
      </c>
      <c r="I683" s="76" t="s">
        <v>30</v>
      </c>
      <c r="J683" s="98" t="s">
        <v>609</v>
      </c>
      <c r="K683" s="95"/>
      <c r="L683" s="95"/>
      <c r="M683" s="95"/>
      <c r="N683" s="72"/>
      <c r="O683" s="140" t="s">
        <v>610</v>
      </c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</row>
    <row r="684" ht="22.5" customHeight="1">
      <c r="A684" s="86">
        <v>45678.0</v>
      </c>
      <c r="B684" s="63" t="s">
        <v>27</v>
      </c>
      <c r="C684" s="80">
        <v>3557999.76</v>
      </c>
      <c r="D684" s="79"/>
      <c r="E684" s="66" t="s">
        <v>376</v>
      </c>
      <c r="F684" s="84" t="s">
        <v>528</v>
      </c>
      <c r="G684" s="68">
        <v>20.0</v>
      </c>
      <c r="H684" s="69">
        <f t="shared" si="50"/>
        <v>592999.96</v>
      </c>
      <c r="I684" s="76" t="s">
        <v>37</v>
      </c>
      <c r="J684" s="87" t="s">
        <v>250</v>
      </c>
      <c r="K684" s="95"/>
      <c r="L684" s="82">
        <v>177.0</v>
      </c>
      <c r="M684" s="95"/>
      <c r="N684" s="72">
        <f t="shared" ref="N684:N687" si="55">A684-IF(M684&gt;0,M684,A684)</f>
        <v>0</v>
      </c>
      <c r="O684" s="96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</row>
    <row r="685" ht="22.5" customHeight="1">
      <c r="A685" s="86">
        <v>45678.0</v>
      </c>
      <c r="B685" s="63" t="s">
        <v>27</v>
      </c>
      <c r="C685" s="80">
        <v>4523077.02</v>
      </c>
      <c r="D685" s="79"/>
      <c r="E685" s="66" t="s">
        <v>376</v>
      </c>
      <c r="F685" s="84" t="s">
        <v>528</v>
      </c>
      <c r="G685" s="68">
        <v>20.0</v>
      </c>
      <c r="H685" s="69">
        <f t="shared" si="50"/>
        <v>753846.17</v>
      </c>
      <c r="I685" s="76" t="s">
        <v>37</v>
      </c>
      <c r="J685" s="87" t="s">
        <v>250</v>
      </c>
      <c r="K685" s="95"/>
      <c r="L685" s="82">
        <v>176.0</v>
      </c>
      <c r="M685" s="95"/>
      <c r="N685" s="72">
        <f t="shared" si="55"/>
        <v>0</v>
      </c>
      <c r="O685" s="96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</row>
    <row r="686" ht="22.5" customHeight="1">
      <c r="A686" s="86">
        <v>45678.0</v>
      </c>
      <c r="B686" s="63" t="s">
        <v>27</v>
      </c>
      <c r="C686" s="80">
        <v>360000.0</v>
      </c>
      <c r="D686" s="80"/>
      <c r="E686" s="66" t="s">
        <v>28</v>
      </c>
      <c r="F686" s="84" t="s">
        <v>119</v>
      </c>
      <c r="G686" s="68">
        <v>20.0</v>
      </c>
      <c r="H686" s="69">
        <f t="shared" si="50"/>
        <v>60000</v>
      </c>
      <c r="I686" s="76" t="s">
        <v>37</v>
      </c>
      <c r="J686" s="87" t="s">
        <v>315</v>
      </c>
      <c r="K686" s="95"/>
      <c r="L686" s="82">
        <v>20.0</v>
      </c>
      <c r="M686" s="128">
        <v>45672.0</v>
      </c>
      <c r="N686" s="72">
        <f t="shared" si="55"/>
        <v>6</v>
      </c>
      <c r="O686" s="96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</row>
    <row r="687" ht="22.5" customHeight="1">
      <c r="A687" s="86">
        <v>45679.0</v>
      </c>
      <c r="B687" s="63" t="s">
        <v>27</v>
      </c>
      <c r="C687" s="80">
        <v>210000.0</v>
      </c>
      <c r="D687" s="79"/>
      <c r="E687" s="66" t="s">
        <v>28</v>
      </c>
      <c r="F687" s="84" t="s">
        <v>528</v>
      </c>
      <c r="G687" s="68">
        <v>20.0</v>
      </c>
      <c r="H687" s="69">
        <f t="shared" si="50"/>
        <v>35000</v>
      </c>
      <c r="I687" s="76" t="s">
        <v>37</v>
      </c>
      <c r="J687" s="87" t="s">
        <v>473</v>
      </c>
      <c r="K687" s="95"/>
      <c r="L687" s="82">
        <v>179.0</v>
      </c>
      <c r="M687" s="95"/>
      <c r="N687" s="72">
        <f t="shared" si="55"/>
        <v>0</v>
      </c>
      <c r="O687" s="96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</row>
    <row r="688" ht="22.5" customHeight="1">
      <c r="A688" s="86">
        <v>45679.0</v>
      </c>
      <c r="B688" s="63" t="s">
        <v>27</v>
      </c>
      <c r="C688" s="79"/>
      <c r="D688" s="80">
        <v>7664369.77</v>
      </c>
      <c r="E688" s="66" t="s">
        <v>376</v>
      </c>
      <c r="F688" s="84" t="s">
        <v>528</v>
      </c>
      <c r="G688" s="68">
        <v>20.0</v>
      </c>
      <c r="H688" s="69">
        <f t="shared" si="50"/>
        <v>1277394.962</v>
      </c>
      <c r="I688" s="76" t="s">
        <v>101</v>
      </c>
      <c r="J688" s="100" t="s">
        <v>102</v>
      </c>
      <c r="K688" s="95"/>
      <c r="L688" s="95"/>
      <c r="M688" s="95"/>
      <c r="N688" s="72"/>
      <c r="O688" s="96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</row>
    <row r="689" ht="22.5" customHeight="1">
      <c r="A689" s="86">
        <v>45679.0</v>
      </c>
      <c r="B689" s="63" t="s">
        <v>27</v>
      </c>
      <c r="C689" s="130">
        <v>4800.0</v>
      </c>
      <c r="D689" s="79"/>
      <c r="E689" s="66" t="s">
        <v>28</v>
      </c>
      <c r="F689" s="84" t="s">
        <v>244</v>
      </c>
      <c r="G689" s="68">
        <v>20.0</v>
      </c>
      <c r="H689" s="69">
        <f t="shared" si="50"/>
        <v>800</v>
      </c>
      <c r="I689" s="76" t="s">
        <v>37</v>
      </c>
      <c r="J689" s="87" t="s">
        <v>611</v>
      </c>
      <c r="K689" s="95"/>
      <c r="L689" s="95"/>
      <c r="M689" s="95"/>
      <c r="N689" s="72">
        <f t="shared" ref="N689:N691" si="56">A689-IF(M689&gt;0,M689,A689)</f>
        <v>0</v>
      </c>
      <c r="O689" s="96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</row>
    <row r="690" ht="22.5" customHeight="1">
      <c r="A690" s="86">
        <v>45679.0</v>
      </c>
      <c r="B690" s="63" t="s">
        <v>27</v>
      </c>
      <c r="C690" s="80">
        <v>257341.8</v>
      </c>
      <c r="D690" s="79"/>
      <c r="E690" s="66" t="s">
        <v>28</v>
      </c>
      <c r="F690" s="84" t="s">
        <v>570</v>
      </c>
      <c r="G690" s="68">
        <v>20.0</v>
      </c>
      <c r="H690" s="69">
        <f t="shared" si="50"/>
        <v>42890.3</v>
      </c>
      <c r="I690" s="76" t="s">
        <v>37</v>
      </c>
      <c r="J690" s="87" t="s">
        <v>122</v>
      </c>
      <c r="K690" s="95"/>
      <c r="L690" s="82">
        <v>200.0</v>
      </c>
      <c r="M690" s="132">
        <v>45636.0</v>
      </c>
      <c r="N690" s="72">
        <f t="shared" si="56"/>
        <v>43</v>
      </c>
      <c r="O690" s="96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</row>
    <row r="691" ht="22.5" customHeight="1">
      <c r="A691" s="86">
        <v>45679.0</v>
      </c>
      <c r="B691" s="63" t="s">
        <v>27</v>
      </c>
      <c r="C691" s="80">
        <v>240000.0</v>
      </c>
      <c r="D691" s="79"/>
      <c r="E691" s="66" t="s">
        <v>28</v>
      </c>
      <c r="F691" s="84" t="s">
        <v>570</v>
      </c>
      <c r="G691" s="68">
        <v>20.0</v>
      </c>
      <c r="H691" s="69">
        <f t="shared" si="50"/>
        <v>40000</v>
      </c>
      <c r="I691" s="76" t="s">
        <v>37</v>
      </c>
      <c r="J691" s="87" t="s">
        <v>122</v>
      </c>
      <c r="K691" s="95"/>
      <c r="L691" s="82">
        <v>201.0</v>
      </c>
      <c r="M691" s="132">
        <v>45636.0</v>
      </c>
      <c r="N691" s="72">
        <f t="shared" si="56"/>
        <v>43</v>
      </c>
      <c r="O691" s="96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</row>
    <row r="692" ht="22.5" customHeight="1">
      <c r="A692" s="86">
        <v>45679.0</v>
      </c>
      <c r="B692" s="63" t="s">
        <v>27</v>
      </c>
      <c r="C692" s="79"/>
      <c r="D692" s="80">
        <v>962525.0</v>
      </c>
      <c r="E692" s="66" t="s">
        <v>33</v>
      </c>
      <c r="F692" s="84" t="s">
        <v>594</v>
      </c>
      <c r="G692" s="68">
        <v>0.0</v>
      </c>
      <c r="H692" s="69">
        <f t="shared" si="50"/>
        <v>0</v>
      </c>
      <c r="I692" s="76" t="s">
        <v>93</v>
      </c>
      <c r="J692" s="87" t="s">
        <v>612</v>
      </c>
      <c r="K692" s="95"/>
      <c r="L692" s="95"/>
      <c r="M692" s="95"/>
      <c r="N692" s="72"/>
      <c r="O692" s="96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</row>
    <row r="693" ht="22.5" customHeight="1">
      <c r="A693" s="86">
        <v>45680.0</v>
      </c>
      <c r="B693" s="63" t="s">
        <v>27</v>
      </c>
      <c r="C693" s="79"/>
      <c r="D693" s="80">
        <v>100000.0</v>
      </c>
      <c r="E693" s="66" t="s">
        <v>33</v>
      </c>
      <c r="F693" s="84" t="s">
        <v>594</v>
      </c>
      <c r="G693" s="68">
        <v>0.0</v>
      </c>
      <c r="H693" s="69">
        <f t="shared" si="50"/>
        <v>0</v>
      </c>
      <c r="I693" s="76" t="s">
        <v>495</v>
      </c>
      <c r="J693" s="87" t="s">
        <v>613</v>
      </c>
      <c r="K693" s="95"/>
      <c r="L693" s="95"/>
      <c r="M693" s="95"/>
      <c r="N693" s="72"/>
      <c r="O693" s="96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</row>
    <row r="694" ht="22.5" customHeight="1">
      <c r="A694" s="86">
        <v>45680.0</v>
      </c>
      <c r="B694" s="63" t="s">
        <v>27</v>
      </c>
      <c r="C694" s="79"/>
      <c r="D694" s="80">
        <v>4650.0</v>
      </c>
      <c r="E694" s="66" t="s">
        <v>33</v>
      </c>
      <c r="F694" s="84" t="s">
        <v>594</v>
      </c>
      <c r="G694" s="68">
        <v>0.0</v>
      </c>
      <c r="H694" s="69">
        <f t="shared" si="50"/>
        <v>0</v>
      </c>
      <c r="I694" s="76" t="s">
        <v>495</v>
      </c>
      <c r="J694" s="87" t="s">
        <v>614</v>
      </c>
      <c r="K694" s="95"/>
      <c r="L694" s="95"/>
      <c r="M694" s="95"/>
      <c r="N694" s="72"/>
      <c r="O694" s="96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</row>
    <row r="695" ht="22.5" customHeight="1">
      <c r="A695" s="86">
        <v>45680.0</v>
      </c>
      <c r="B695" s="63" t="s">
        <v>27</v>
      </c>
      <c r="C695" s="79"/>
      <c r="D695" s="80">
        <v>2400.0</v>
      </c>
      <c r="E695" s="66" t="s">
        <v>376</v>
      </c>
      <c r="F695" s="84" t="s">
        <v>594</v>
      </c>
      <c r="G695" s="68">
        <v>0.0</v>
      </c>
      <c r="H695" s="69">
        <f t="shared" si="50"/>
        <v>0</v>
      </c>
      <c r="I695" s="76" t="s">
        <v>294</v>
      </c>
      <c r="J695" s="87" t="s">
        <v>377</v>
      </c>
      <c r="K695" s="95"/>
      <c r="L695" s="95"/>
      <c r="M695" s="95"/>
      <c r="N695" s="72"/>
      <c r="O695" s="96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</row>
    <row r="696" ht="22.5" customHeight="1">
      <c r="A696" s="86">
        <v>45681.0</v>
      </c>
      <c r="B696" s="63" t="s">
        <v>27</v>
      </c>
      <c r="C696" s="79"/>
      <c r="D696" s="80">
        <v>396349.0</v>
      </c>
      <c r="E696" s="66" t="s">
        <v>28</v>
      </c>
      <c r="F696" s="84" t="s">
        <v>594</v>
      </c>
      <c r="G696" s="68">
        <v>0.0</v>
      </c>
      <c r="H696" s="69">
        <f t="shared" si="50"/>
        <v>0</v>
      </c>
      <c r="I696" s="76" t="s">
        <v>280</v>
      </c>
      <c r="J696" s="87" t="s">
        <v>615</v>
      </c>
      <c r="K696" s="95"/>
      <c r="L696" s="95"/>
      <c r="M696" s="95"/>
      <c r="N696" s="72"/>
      <c r="O696" s="96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</row>
    <row r="697" ht="22.5" customHeight="1">
      <c r="A697" s="86">
        <v>45684.0</v>
      </c>
      <c r="B697" s="63" t="s">
        <v>27</v>
      </c>
      <c r="C697" s="79"/>
      <c r="D697" s="80">
        <v>1200000.0</v>
      </c>
      <c r="E697" s="66" t="s">
        <v>28</v>
      </c>
      <c r="F697" s="84" t="s">
        <v>594</v>
      </c>
      <c r="G697" s="68">
        <v>20.0</v>
      </c>
      <c r="H697" s="69">
        <f t="shared" si="50"/>
        <v>200000</v>
      </c>
      <c r="I697" s="76" t="s">
        <v>554</v>
      </c>
      <c r="J697" s="103" t="s">
        <v>228</v>
      </c>
      <c r="K697" s="95"/>
      <c r="L697" s="95"/>
      <c r="M697" s="95"/>
      <c r="N697" s="72"/>
      <c r="O697" s="96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</row>
    <row r="698" ht="22.5" customHeight="1">
      <c r="A698" s="86">
        <v>45684.0</v>
      </c>
      <c r="B698" s="63" t="s">
        <v>27</v>
      </c>
      <c r="C698" s="79"/>
      <c r="D698" s="80">
        <v>1243010.0</v>
      </c>
      <c r="E698" s="66" t="s">
        <v>33</v>
      </c>
      <c r="F698" s="84" t="s">
        <v>570</v>
      </c>
      <c r="G698" s="68">
        <v>0.0</v>
      </c>
      <c r="H698" s="69">
        <f t="shared" si="50"/>
        <v>0</v>
      </c>
      <c r="I698" s="76" t="s">
        <v>93</v>
      </c>
      <c r="J698" s="87" t="s">
        <v>593</v>
      </c>
      <c r="K698" s="95"/>
      <c r="L698" s="95"/>
      <c r="M698" s="95"/>
      <c r="N698" s="72"/>
      <c r="O698" s="96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</row>
    <row r="699" ht="22.5" customHeight="1">
      <c r="A699" s="86">
        <v>45684.0</v>
      </c>
      <c r="B699" s="63" t="s">
        <v>27</v>
      </c>
      <c r="C699" s="79"/>
      <c r="D699" s="80">
        <v>315000.0</v>
      </c>
      <c r="E699" s="66" t="s">
        <v>33</v>
      </c>
      <c r="F699" s="84" t="s">
        <v>570</v>
      </c>
      <c r="G699" s="68">
        <v>0.0</v>
      </c>
      <c r="H699" s="69">
        <f t="shared" si="50"/>
        <v>0</v>
      </c>
      <c r="I699" s="76" t="s">
        <v>93</v>
      </c>
      <c r="J699" s="87" t="s">
        <v>572</v>
      </c>
      <c r="K699" s="95"/>
      <c r="L699" s="95"/>
      <c r="M699" s="95"/>
      <c r="N699" s="72"/>
      <c r="O699" s="96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</row>
    <row r="700" ht="22.5" customHeight="1">
      <c r="A700" s="86">
        <v>45684.0</v>
      </c>
      <c r="B700" s="63" t="s">
        <v>27</v>
      </c>
      <c r="C700" s="79"/>
      <c r="D700" s="80">
        <v>95000.0</v>
      </c>
      <c r="E700" s="66" t="s">
        <v>28</v>
      </c>
      <c r="F700" s="84" t="s">
        <v>594</v>
      </c>
      <c r="G700" s="68">
        <v>0.0</v>
      </c>
      <c r="H700" s="69">
        <f t="shared" si="50"/>
        <v>0</v>
      </c>
      <c r="I700" s="76" t="s">
        <v>616</v>
      </c>
      <c r="J700" s="98" t="s">
        <v>617</v>
      </c>
      <c r="K700" s="95"/>
      <c r="L700" s="95"/>
      <c r="M700" s="95"/>
      <c r="N700" s="72"/>
      <c r="O700" s="96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</row>
    <row r="701" ht="22.5" customHeight="1">
      <c r="A701" s="86">
        <v>45684.0</v>
      </c>
      <c r="B701" s="63" t="s">
        <v>27</v>
      </c>
      <c r="C701" s="80">
        <v>425711.7</v>
      </c>
      <c r="D701" s="80"/>
      <c r="E701" s="66" t="s">
        <v>28</v>
      </c>
      <c r="F701" s="84" t="s">
        <v>119</v>
      </c>
      <c r="G701" s="68">
        <v>20.0</v>
      </c>
      <c r="H701" s="69">
        <f t="shared" si="50"/>
        <v>70951.95</v>
      </c>
      <c r="I701" s="76" t="s">
        <v>37</v>
      </c>
      <c r="J701" s="87" t="s">
        <v>122</v>
      </c>
      <c r="K701" s="95"/>
      <c r="L701" s="82">
        <v>8.0</v>
      </c>
      <c r="M701" s="128">
        <v>45667.0</v>
      </c>
      <c r="N701" s="72">
        <f t="shared" ref="N701:N702" si="57">A701-IF(M701&gt;0,M701,A701)</f>
        <v>17</v>
      </c>
      <c r="O701" s="96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</row>
    <row r="702" ht="22.5" customHeight="1">
      <c r="A702" s="86">
        <v>45684.0</v>
      </c>
      <c r="B702" s="63" t="s">
        <v>27</v>
      </c>
      <c r="C702" s="80">
        <v>432000.0</v>
      </c>
      <c r="D702" s="80"/>
      <c r="E702" s="66" t="s">
        <v>28</v>
      </c>
      <c r="F702" s="84" t="s">
        <v>119</v>
      </c>
      <c r="G702" s="68">
        <v>20.0</v>
      </c>
      <c r="H702" s="69">
        <f t="shared" si="50"/>
        <v>72000</v>
      </c>
      <c r="I702" s="76" t="s">
        <v>37</v>
      </c>
      <c r="J702" s="87" t="s">
        <v>122</v>
      </c>
      <c r="K702" s="95"/>
      <c r="L702" s="82">
        <v>9.0</v>
      </c>
      <c r="M702" s="128">
        <v>45667.0</v>
      </c>
      <c r="N702" s="72">
        <f t="shared" si="57"/>
        <v>17</v>
      </c>
      <c r="O702" s="96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</row>
    <row r="703" ht="22.5" customHeight="1">
      <c r="A703" s="86">
        <v>45684.0</v>
      </c>
      <c r="B703" s="63" t="s">
        <v>27</v>
      </c>
      <c r="C703" s="79"/>
      <c r="D703" s="80">
        <v>7647058.824</v>
      </c>
      <c r="E703" s="66" t="s">
        <v>28</v>
      </c>
      <c r="F703" s="84" t="s">
        <v>594</v>
      </c>
      <c r="G703" s="68">
        <v>20.0</v>
      </c>
      <c r="H703" s="69">
        <f t="shared" si="50"/>
        <v>1274509.804</v>
      </c>
      <c r="I703" s="76" t="s">
        <v>47</v>
      </c>
      <c r="J703" s="81"/>
      <c r="K703" s="95"/>
      <c r="L703" s="95"/>
      <c r="M703" s="95"/>
      <c r="N703" s="72"/>
      <c r="O703" s="96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</row>
    <row r="704" ht="22.5" customHeight="1">
      <c r="A704" s="86">
        <v>45684.0</v>
      </c>
      <c r="B704" s="63" t="s">
        <v>27</v>
      </c>
      <c r="C704" s="80">
        <v>5850000.0</v>
      </c>
      <c r="D704" s="79"/>
      <c r="E704" s="66" t="s">
        <v>33</v>
      </c>
      <c r="F704" s="84" t="s">
        <v>594</v>
      </c>
      <c r="G704" s="68">
        <v>0.0</v>
      </c>
      <c r="H704" s="69">
        <f t="shared" si="50"/>
        <v>0</v>
      </c>
      <c r="I704" s="76" t="s">
        <v>47</v>
      </c>
      <c r="J704" s="98"/>
      <c r="K704" s="95"/>
      <c r="L704" s="95"/>
      <c r="M704" s="95"/>
      <c r="N704" s="72"/>
      <c r="O704" s="96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</row>
    <row r="705" ht="22.5" customHeight="1">
      <c r="A705" s="86">
        <v>45684.0</v>
      </c>
      <c r="B705" s="63" t="s">
        <v>27</v>
      </c>
      <c r="C705" s="79"/>
      <c r="D705" s="80">
        <v>50000.0</v>
      </c>
      <c r="E705" s="66" t="s">
        <v>33</v>
      </c>
      <c r="F705" s="84" t="s">
        <v>594</v>
      </c>
      <c r="G705" s="68">
        <v>0.0</v>
      </c>
      <c r="H705" s="69">
        <f t="shared" si="50"/>
        <v>0</v>
      </c>
      <c r="I705" s="76" t="s">
        <v>53</v>
      </c>
      <c r="J705" s="87" t="s">
        <v>618</v>
      </c>
      <c r="K705" s="95"/>
      <c r="L705" s="95"/>
      <c r="M705" s="95"/>
      <c r="N705" s="72"/>
      <c r="O705" s="96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</row>
    <row r="706" ht="22.5" customHeight="1">
      <c r="A706" s="86">
        <v>45684.0</v>
      </c>
      <c r="B706" s="63" t="s">
        <v>27</v>
      </c>
      <c r="C706" s="80">
        <v>2111550.0</v>
      </c>
      <c r="D706" s="80"/>
      <c r="E706" s="66" t="s">
        <v>28</v>
      </c>
      <c r="F706" s="84" t="s">
        <v>619</v>
      </c>
      <c r="G706" s="68">
        <v>20.0</v>
      </c>
      <c r="H706" s="69">
        <f t="shared" si="50"/>
        <v>351925</v>
      </c>
      <c r="I706" s="76" t="s">
        <v>37</v>
      </c>
      <c r="J706" s="87" t="s">
        <v>539</v>
      </c>
      <c r="K706" s="95"/>
      <c r="L706" s="82">
        <v>3.0</v>
      </c>
      <c r="M706" s="128">
        <v>45666.0</v>
      </c>
      <c r="N706" s="72">
        <f>A706-IF(M706&gt;0,M706,A706)</f>
        <v>18</v>
      </c>
      <c r="O706" s="96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</row>
    <row r="707" ht="22.5" customHeight="1">
      <c r="A707" s="86">
        <v>45684.0</v>
      </c>
      <c r="B707" s="63" t="s">
        <v>27</v>
      </c>
      <c r="C707" s="79"/>
      <c r="D707" s="80">
        <v>200000.0</v>
      </c>
      <c r="E707" s="66" t="s">
        <v>33</v>
      </c>
      <c r="F707" s="84" t="s">
        <v>594</v>
      </c>
      <c r="G707" s="68">
        <v>0.0</v>
      </c>
      <c r="H707" s="69">
        <f t="shared" si="50"/>
        <v>0</v>
      </c>
      <c r="I707" s="76" t="s">
        <v>93</v>
      </c>
      <c r="J707" s="87" t="s">
        <v>620</v>
      </c>
      <c r="K707" s="95"/>
      <c r="L707" s="95"/>
      <c r="M707" s="95"/>
      <c r="N707" s="72"/>
      <c r="O707" s="96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</row>
    <row r="708" ht="22.5" customHeight="1">
      <c r="A708" s="86">
        <v>45684.0</v>
      </c>
      <c r="B708" s="63" t="s">
        <v>27</v>
      </c>
      <c r="C708" s="79"/>
      <c r="D708" s="80">
        <v>40000.0</v>
      </c>
      <c r="E708" s="66" t="s">
        <v>33</v>
      </c>
      <c r="F708" s="84" t="s">
        <v>594</v>
      </c>
      <c r="G708" s="68">
        <v>0.0</v>
      </c>
      <c r="H708" s="69">
        <f t="shared" si="50"/>
        <v>0</v>
      </c>
      <c r="I708" s="76" t="s">
        <v>53</v>
      </c>
      <c r="J708" s="87" t="s">
        <v>621</v>
      </c>
      <c r="K708" s="95"/>
      <c r="L708" s="95"/>
      <c r="M708" s="95"/>
      <c r="N708" s="72"/>
      <c r="O708" s="96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</row>
    <row r="709" ht="22.5" customHeight="1">
      <c r="A709" s="86">
        <v>45684.0</v>
      </c>
      <c r="B709" s="63" t="s">
        <v>27</v>
      </c>
      <c r="C709" s="79"/>
      <c r="D709" s="80">
        <v>158017.9</v>
      </c>
      <c r="E709" s="66" t="s">
        <v>28</v>
      </c>
      <c r="F709" s="84" t="s">
        <v>594</v>
      </c>
      <c r="G709" s="68">
        <v>0.0</v>
      </c>
      <c r="H709" s="69">
        <f t="shared" si="50"/>
        <v>0</v>
      </c>
      <c r="I709" s="94" t="s">
        <v>622</v>
      </c>
      <c r="J709" s="87" t="s">
        <v>72</v>
      </c>
      <c r="K709" s="95"/>
      <c r="L709" s="95"/>
      <c r="M709" s="95"/>
      <c r="N709" s="72"/>
      <c r="O709" s="96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</row>
    <row r="710" ht="22.5" customHeight="1">
      <c r="A710" s="86">
        <v>45684.0</v>
      </c>
      <c r="B710" s="63" t="s">
        <v>27</v>
      </c>
      <c r="C710" s="79"/>
      <c r="D710" s="80">
        <v>348681.0</v>
      </c>
      <c r="E710" s="66" t="s">
        <v>28</v>
      </c>
      <c r="F710" s="84" t="s">
        <v>594</v>
      </c>
      <c r="G710" s="68">
        <v>0.0</v>
      </c>
      <c r="H710" s="69">
        <f t="shared" si="50"/>
        <v>0</v>
      </c>
      <c r="I710" s="94" t="s">
        <v>598</v>
      </c>
      <c r="J710" s="87" t="s">
        <v>72</v>
      </c>
      <c r="K710" s="95"/>
      <c r="L710" s="95"/>
      <c r="M710" s="95"/>
      <c r="N710" s="72"/>
      <c r="O710" s="96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</row>
    <row r="711" ht="22.5" customHeight="1">
      <c r="A711" s="86">
        <v>45684.0</v>
      </c>
      <c r="B711" s="63" t="s">
        <v>27</v>
      </c>
      <c r="C711" s="79"/>
      <c r="D711" s="80">
        <v>1695166.0</v>
      </c>
      <c r="E711" s="66" t="s">
        <v>28</v>
      </c>
      <c r="F711" s="84" t="s">
        <v>594</v>
      </c>
      <c r="G711" s="68">
        <v>0.0</v>
      </c>
      <c r="H711" s="69">
        <f t="shared" si="50"/>
        <v>0</v>
      </c>
      <c r="I711" s="94" t="s">
        <v>623</v>
      </c>
      <c r="J711" s="87" t="s">
        <v>72</v>
      </c>
      <c r="K711" s="95"/>
      <c r="L711" s="95"/>
      <c r="M711" s="95"/>
      <c r="N711" s="72"/>
      <c r="O711" s="96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</row>
    <row r="712" ht="22.5" customHeight="1">
      <c r="A712" s="86">
        <v>45685.0</v>
      </c>
      <c r="B712" s="63" t="s">
        <v>27</v>
      </c>
      <c r="C712" s="80">
        <v>294666.5</v>
      </c>
      <c r="D712" s="79"/>
      <c r="E712" s="66" t="s">
        <v>28</v>
      </c>
      <c r="F712" s="84" t="s">
        <v>528</v>
      </c>
      <c r="G712" s="68">
        <v>20.0</v>
      </c>
      <c r="H712" s="69">
        <f t="shared" si="50"/>
        <v>49111.08333</v>
      </c>
      <c r="I712" s="76" t="s">
        <v>37</v>
      </c>
      <c r="J712" s="87" t="s">
        <v>549</v>
      </c>
      <c r="K712" s="95"/>
      <c r="L712" s="82">
        <v>178.0</v>
      </c>
      <c r="M712" s="95"/>
      <c r="N712" s="72">
        <f t="shared" ref="N712:N713" si="58">A712-IF(M712&gt;0,M712,A712)</f>
        <v>0</v>
      </c>
      <c r="O712" s="96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</row>
    <row r="713" ht="22.5" customHeight="1">
      <c r="A713" s="86">
        <v>45685.0</v>
      </c>
      <c r="B713" s="63" t="s">
        <v>27</v>
      </c>
      <c r="C713" s="80">
        <v>513000.0</v>
      </c>
      <c r="D713" s="79"/>
      <c r="E713" s="66" t="s">
        <v>28</v>
      </c>
      <c r="F713" s="84" t="s">
        <v>528</v>
      </c>
      <c r="G713" s="68">
        <v>20.0</v>
      </c>
      <c r="H713" s="69">
        <f t="shared" si="50"/>
        <v>85500</v>
      </c>
      <c r="I713" s="76" t="s">
        <v>37</v>
      </c>
      <c r="J713" s="87" t="s">
        <v>474</v>
      </c>
      <c r="K713" s="82">
        <v>4.0</v>
      </c>
      <c r="L713" s="82">
        <v>188.0</v>
      </c>
      <c r="M713" s="95"/>
      <c r="N713" s="72">
        <f t="shared" si="58"/>
        <v>0</v>
      </c>
      <c r="O713" s="96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</row>
    <row r="714" ht="22.5" customHeight="1">
      <c r="A714" s="86">
        <v>45685.0</v>
      </c>
      <c r="B714" s="63" t="s">
        <v>27</v>
      </c>
      <c r="C714" s="80"/>
      <c r="D714" s="80">
        <v>360000.0</v>
      </c>
      <c r="E714" s="66" t="s">
        <v>28</v>
      </c>
      <c r="F714" s="84" t="s">
        <v>570</v>
      </c>
      <c r="G714" s="68">
        <v>20.0</v>
      </c>
      <c r="H714" s="69">
        <f t="shared" si="50"/>
        <v>60000</v>
      </c>
      <c r="I714" s="76" t="s">
        <v>322</v>
      </c>
      <c r="J714" s="87" t="s">
        <v>624</v>
      </c>
      <c r="K714" s="95"/>
      <c r="L714" s="82"/>
      <c r="M714" s="95"/>
      <c r="N714" s="72"/>
      <c r="O714" s="96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</row>
    <row r="715" ht="22.5" customHeight="1">
      <c r="A715" s="86">
        <v>45686.0</v>
      </c>
      <c r="B715" s="63" t="s">
        <v>27</v>
      </c>
      <c r="C715" s="80">
        <v>360000.06</v>
      </c>
      <c r="D715" s="79"/>
      <c r="E715" s="66" t="s">
        <v>376</v>
      </c>
      <c r="F715" s="84" t="s">
        <v>570</v>
      </c>
      <c r="G715" s="68">
        <v>20.0</v>
      </c>
      <c r="H715" s="69">
        <f t="shared" si="50"/>
        <v>60000.01</v>
      </c>
      <c r="I715" s="76" t="s">
        <v>37</v>
      </c>
      <c r="J715" s="87" t="s">
        <v>110</v>
      </c>
      <c r="K715" s="95"/>
      <c r="L715" s="82">
        <v>194.0</v>
      </c>
      <c r="M715" s="128">
        <v>45635.0</v>
      </c>
      <c r="N715" s="72">
        <f t="shared" ref="N715:N722" si="59">A715-IF(M715&gt;0,M715,A715)</f>
        <v>51</v>
      </c>
      <c r="O715" s="96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</row>
    <row r="716" ht="22.5" customHeight="1">
      <c r="A716" s="86">
        <v>45686.0</v>
      </c>
      <c r="B716" s="63" t="s">
        <v>27</v>
      </c>
      <c r="C716" s="80">
        <v>720000.12</v>
      </c>
      <c r="D716" s="79"/>
      <c r="E716" s="66" t="s">
        <v>376</v>
      </c>
      <c r="F716" s="84" t="s">
        <v>570</v>
      </c>
      <c r="G716" s="68">
        <v>20.0</v>
      </c>
      <c r="H716" s="69">
        <f t="shared" si="50"/>
        <v>120000.02</v>
      </c>
      <c r="I716" s="76" t="s">
        <v>37</v>
      </c>
      <c r="J716" s="87" t="s">
        <v>110</v>
      </c>
      <c r="K716" s="95"/>
      <c r="L716" s="82">
        <v>203.0</v>
      </c>
      <c r="M716" s="132">
        <v>45636.0</v>
      </c>
      <c r="N716" s="72">
        <f t="shared" si="59"/>
        <v>50</v>
      </c>
      <c r="O716" s="96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</row>
    <row r="717" ht="22.5" customHeight="1">
      <c r="A717" s="86">
        <v>45686.0</v>
      </c>
      <c r="B717" s="63" t="s">
        <v>27</v>
      </c>
      <c r="C717" s="80">
        <v>720000.12</v>
      </c>
      <c r="D717" s="79"/>
      <c r="E717" s="66" t="s">
        <v>376</v>
      </c>
      <c r="F717" s="84" t="s">
        <v>570</v>
      </c>
      <c r="G717" s="68">
        <v>20.0</v>
      </c>
      <c r="H717" s="69">
        <f t="shared" si="50"/>
        <v>120000.02</v>
      </c>
      <c r="I717" s="76" t="s">
        <v>37</v>
      </c>
      <c r="J717" s="87" t="s">
        <v>110</v>
      </c>
      <c r="K717" s="95"/>
      <c r="L717" s="82">
        <v>204.0</v>
      </c>
      <c r="M717" s="132">
        <v>45636.0</v>
      </c>
      <c r="N717" s="72">
        <f t="shared" si="59"/>
        <v>50</v>
      </c>
      <c r="O717" s="96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</row>
    <row r="718" ht="22.5" customHeight="1">
      <c r="A718" s="86">
        <v>45686.0</v>
      </c>
      <c r="B718" s="63" t="s">
        <v>27</v>
      </c>
      <c r="C718" s="80">
        <v>1752000.18</v>
      </c>
      <c r="D718" s="79"/>
      <c r="E718" s="66" t="s">
        <v>376</v>
      </c>
      <c r="F718" s="84" t="s">
        <v>570</v>
      </c>
      <c r="G718" s="68">
        <v>20.0</v>
      </c>
      <c r="H718" s="69">
        <f t="shared" si="50"/>
        <v>292000.03</v>
      </c>
      <c r="I718" s="76" t="s">
        <v>37</v>
      </c>
      <c r="J718" s="87" t="s">
        <v>110</v>
      </c>
      <c r="K718" s="95"/>
      <c r="L718" s="82">
        <v>205.0</v>
      </c>
      <c r="M718" s="132">
        <v>45636.0</v>
      </c>
      <c r="N718" s="72">
        <f t="shared" si="59"/>
        <v>50</v>
      </c>
      <c r="O718" s="96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</row>
    <row r="719" ht="22.5" customHeight="1">
      <c r="A719" s="86">
        <v>45686.0</v>
      </c>
      <c r="B719" s="63" t="s">
        <v>27</v>
      </c>
      <c r="C719" s="80">
        <v>1082958.3</v>
      </c>
      <c r="D719" s="79"/>
      <c r="E719" s="66" t="s">
        <v>376</v>
      </c>
      <c r="F719" s="84" t="s">
        <v>570</v>
      </c>
      <c r="G719" s="68">
        <v>20.0</v>
      </c>
      <c r="H719" s="69">
        <f t="shared" si="50"/>
        <v>180493.05</v>
      </c>
      <c r="I719" s="76" t="s">
        <v>37</v>
      </c>
      <c r="J719" s="87" t="s">
        <v>110</v>
      </c>
      <c r="K719" s="95"/>
      <c r="L719" s="82">
        <v>216.0</v>
      </c>
      <c r="M719" s="132">
        <v>45637.0</v>
      </c>
      <c r="N719" s="72">
        <f t="shared" si="59"/>
        <v>49</v>
      </c>
      <c r="O719" s="96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</row>
    <row r="720" ht="22.5" customHeight="1">
      <c r="A720" s="86">
        <v>45687.0</v>
      </c>
      <c r="B720" s="63" t="s">
        <v>27</v>
      </c>
      <c r="C720" s="80">
        <v>600000.24</v>
      </c>
      <c r="D720" s="80"/>
      <c r="E720" s="66" t="s">
        <v>28</v>
      </c>
      <c r="F720" s="84" t="s">
        <v>619</v>
      </c>
      <c r="G720" s="68">
        <v>20.0</v>
      </c>
      <c r="H720" s="69">
        <f t="shared" si="50"/>
        <v>100000.04</v>
      </c>
      <c r="I720" s="76" t="s">
        <v>37</v>
      </c>
      <c r="J720" s="87" t="s">
        <v>625</v>
      </c>
      <c r="K720" s="95"/>
      <c r="L720" s="82">
        <v>30.0</v>
      </c>
      <c r="M720" s="128">
        <v>45672.0</v>
      </c>
      <c r="N720" s="72">
        <f t="shared" si="59"/>
        <v>15</v>
      </c>
      <c r="O720" s="96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</row>
    <row r="721" ht="22.5" customHeight="1">
      <c r="A721" s="86">
        <v>45687.0</v>
      </c>
      <c r="B721" s="63" t="s">
        <v>27</v>
      </c>
      <c r="C721" s="80">
        <v>510491.52</v>
      </c>
      <c r="D721" s="80"/>
      <c r="E721" s="66" t="s">
        <v>28</v>
      </c>
      <c r="F721" s="84" t="s">
        <v>619</v>
      </c>
      <c r="G721" s="68">
        <v>20.0</v>
      </c>
      <c r="H721" s="69">
        <f t="shared" si="50"/>
        <v>85081.92</v>
      </c>
      <c r="I721" s="76" t="s">
        <v>37</v>
      </c>
      <c r="J721" s="87" t="s">
        <v>122</v>
      </c>
      <c r="K721" s="95"/>
      <c r="L721" s="82">
        <v>10.0</v>
      </c>
      <c r="M721" s="128">
        <v>45667.0</v>
      </c>
      <c r="N721" s="72">
        <f t="shared" si="59"/>
        <v>20</v>
      </c>
      <c r="O721" s="96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</row>
    <row r="722" ht="22.5" customHeight="1">
      <c r="A722" s="86">
        <v>45688.0</v>
      </c>
      <c r="B722" s="63" t="s">
        <v>27</v>
      </c>
      <c r="C722" s="80">
        <v>300000.0</v>
      </c>
      <c r="D722" s="79"/>
      <c r="E722" s="66" t="s">
        <v>28</v>
      </c>
      <c r="F722" s="84" t="s">
        <v>528</v>
      </c>
      <c r="G722" s="68">
        <v>20.0</v>
      </c>
      <c r="H722" s="69">
        <f t="shared" si="50"/>
        <v>50000</v>
      </c>
      <c r="I722" s="76" t="s">
        <v>37</v>
      </c>
      <c r="J722" s="87" t="s">
        <v>440</v>
      </c>
      <c r="K722" s="82">
        <v>4.0</v>
      </c>
      <c r="L722" s="82">
        <v>189.0</v>
      </c>
      <c r="M722" s="95"/>
      <c r="N722" s="72">
        <f t="shared" si="59"/>
        <v>0</v>
      </c>
      <c r="O722" s="96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</row>
    <row r="723" ht="22.5" customHeight="1">
      <c r="A723" s="86">
        <v>45691.0</v>
      </c>
      <c r="B723" s="63" t="s">
        <v>27</v>
      </c>
      <c r="C723" s="79"/>
      <c r="D723" s="80">
        <v>13990.0</v>
      </c>
      <c r="E723" s="66" t="s">
        <v>28</v>
      </c>
      <c r="F723" s="84" t="s">
        <v>626</v>
      </c>
      <c r="G723" s="69"/>
      <c r="H723" s="69"/>
      <c r="I723" s="70" t="s">
        <v>30</v>
      </c>
      <c r="J723" s="71" t="s">
        <v>31</v>
      </c>
      <c r="K723" s="95"/>
      <c r="L723" s="95"/>
      <c r="M723" s="95"/>
      <c r="N723" s="72"/>
      <c r="O723" s="96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</row>
    <row r="724" ht="22.5" customHeight="1">
      <c r="A724" s="86">
        <v>45693.0</v>
      </c>
      <c r="B724" s="63" t="s">
        <v>27</v>
      </c>
      <c r="C724" s="80">
        <v>462000.0</v>
      </c>
      <c r="D724" s="79"/>
      <c r="E724" s="66" t="s">
        <v>28</v>
      </c>
      <c r="F724" s="84" t="s">
        <v>570</v>
      </c>
      <c r="G724" s="68">
        <v>20.0</v>
      </c>
      <c r="H724" s="69">
        <f t="shared" ref="H724:H945" si="60">SUM(C724:D724)*G724/(G724+100)</f>
        <v>77000</v>
      </c>
      <c r="I724" s="76" t="s">
        <v>37</v>
      </c>
      <c r="J724" s="98" t="s">
        <v>627</v>
      </c>
      <c r="K724" s="95"/>
      <c r="L724" s="82">
        <v>226.0</v>
      </c>
      <c r="M724" s="132">
        <v>45639.0</v>
      </c>
      <c r="N724" s="72">
        <f t="shared" ref="N724:N725" si="61">A724-IF(M724&gt;0,M724,A724)</f>
        <v>54</v>
      </c>
      <c r="O724" s="96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</row>
    <row r="725" ht="22.5" customHeight="1">
      <c r="A725" s="86">
        <v>45693.0</v>
      </c>
      <c r="B725" s="63" t="s">
        <v>27</v>
      </c>
      <c r="C725" s="80">
        <v>378000.0</v>
      </c>
      <c r="D725" s="79"/>
      <c r="E725" s="66" t="s">
        <v>28</v>
      </c>
      <c r="F725" s="84" t="s">
        <v>619</v>
      </c>
      <c r="G725" s="68">
        <v>20.0</v>
      </c>
      <c r="H725" s="69">
        <f t="shared" si="60"/>
        <v>63000</v>
      </c>
      <c r="I725" s="76" t="s">
        <v>37</v>
      </c>
      <c r="J725" s="98" t="s">
        <v>627</v>
      </c>
      <c r="K725" s="95"/>
      <c r="L725" s="82">
        <v>227.0</v>
      </c>
      <c r="M725" s="132">
        <v>45639.0</v>
      </c>
      <c r="N725" s="72">
        <f t="shared" si="61"/>
        <v>54</v>
      </c>
      <c r="O725" s="96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</row>
    <row r="726" ht="22.5" customHeight="1">
      <c r="A726" s="86">
        <v>45693.0</v>
      </c>
      <c r="B726" s="63" t="s">
        <v>27</v>
      </c>
      <c r="C726" s="79"/>
      <c r="D726" s="80">
        <v>1847765.51</v>
      </c>
      <c r="E726" s="66" t="s">
        <v>28</v>
      </c>
      <c r="F726" s="84" t="s">
        <v>619</v>
      </c>
      <c r="G726" s="68">
        <v>20.0</v>
      </c>
      <c r="H726" s="69">
        <f t="shared" si="60"/>
        <v>307960.9183</v>
      </c>
      <c r="I726" s="76" t="s">
        <v>61</v>
      </c>
      <c r="J726" s="103" t="s">
        <v>228</v>
      </c>
      <c r="K726" s="95"/>
      <c r="L726" s="95"/>
      <c r="M726" s="95"/>
      <c r="N726" s="72"/>
      <c r="O726" s="96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</row>
    <row r="727" ht="22.5" customHeight="1">
      <c r="A727" s="86">
        <v>45693.0</v>
      </c>
      <c r="B727" s="63" t="s">
        <v>27</v>
      </c>
      <c r="C727" s="79"/>
      <c r="D727" s="80">
        <v>59226.0</v>
      </c>
      <c r="E727" s="66" t="s">
        <v>28</v>
      </c>
      <c r="F727" s="84" t="s">
        <v>594</v>
      </c>
      <c r="G727" s="68">
        <v>0.0</v>
      </c>
      <c r="H727" s="69">
        <f t="shared" si="60"/>
        <v>0</v>
      </c>
      <c r="I727" s="94" t="s">
        <v>599</v>
      </c>
      <c r="J727" s="87" t="s">
        <v>72</v>
      </c>
      <c r="K727" s="95"/>
      <c r="L727" s="95"/>
      <c r="M727" s="95"/>
      <c r="N727" s="72"/>
      <c r="O727" s="131" t="s">
        <v>209</v>
      </c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</row>
    <row r="728" ht="22.5" customHeight="1">
      <c r="A728" s="86">
        <v>45693.0</v>
      </c>
      <c r="B728" s="63" t="s">
        <v>27</v>
      </c>
      <c r="C728" s="79"/>
      <c r="D728" s="80">
        <v>815000.0</v>
      </c>
      <c r="E728" s="66" t="s">
        <v>33</v>
      </c>
      <c r="F728" s="84" t="s">
        <v>594</v>
      </c>
      <c r="G728" s="68">
        <v>0.0</v>
      </c>
      <c r="H728" s="69">
        <f t="shared" si="60"/>
        <v>0</v>
      </c>
      <c r="I728" s="76" t="s">
        <v>53</v>
      </c>
      <c r="J728" s="87" t="s">
        <v>628</v>
      </c>
      <c r="K728" s="95"/>
      <c r="L728" s="95"/>
      <c r="M728" s="95"/>
      <c r="N728" s="72"/>
      <c r="O728" s="96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</row>
    <row r="729" ht="22.5" customHeight="1">
      <c r="A729" s="86">
        <v>45693.0</v>
      </c>
      <c r="B729" s="63" t="s">
        <v>27</v>
      </c>
      <c r="C729" s="79"/>
      <c r="D729" s="80">
        <v>7510.0</v>
      </c>
      <c r="E729" s="66" t="s">
        <v>33</v>
      </c>
      <c r="F729" s="84" t="s">
        <v>626</v>
      </c>
      <c r="G729" s="68">
        <v>0.0</v>
      </c>
      <c r="H729" s="69">
        <f t="shared" si="60"/>
        <v>0</v>
      </c>
      <c r="I729" s="76" t="s">
        <v>490</v>
      </c>
      <c r="J729" s="87" t="s">
        <v>489</v>
      </c>
      <c r="K729" s="95"/>
      <c r="L729" s="95"/>
      <c r="M729" s="95"/>
      <c r="N729" s="72"/>
      <c r="O729" s="96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</row>
    <row r="730" ht="22.5" customHeight="1">
      <c r="A730" s="86">
        <v>45694.0</v>
      </c>
      <c r="B730" s="63" t="s">
        <v>27</v>
      </c>
      <c r="C730" s="80">
        <v>568799.7</v>
      </c>
      <c r="D730" s="79"/>
      <c r="E730" s="66" t="s">
        <v>28</v>
      </c>
      <c r="F730" s="84" t="s">
        <v>528</v>
      </c>
      <c r="G730" s="68">
        <v>20.0</v>
      </c>
      <c r="H730" s="69">
        <f t="shared" si="60"/>
        <v>94799.95</v>
      </c>
      <c r="I730" s="76" t="s">
        <v>37</v>
      </c>
      <c r="J730" s="87" t="s">
        <v>629</v>
      </c>
      <c r="K730" s="82">
        <v>1.0</v>
      </c>
      <c r="L730" s="82">
        <v>162.0</v>
      </c>
      <c r="M730" s="128">
        <v>45604.0</v>
      </c>
      <c r="N730" s="72">
        <f>A730-IF(M730&gt;0,M730,A730)</f>
        <v>90</v>
      </c>
      <c r="O730" s="96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</row>
    <row r="731" ht="22.5" customHeight="1">
      <c r="A731" s="86">
        <v>45694.0</v>
      </c>
      <c r="B731" s="63" t="s">
        <v>27</v>
      </c>
      <c r="C731" s="79"/>
      <c r="D731" s="80">
        <v>18158.59</v>
      </c>
      <c r="E731" s="66" t="s">
        <v>28</v>
      </c>
      <c r="F731" s="84" t="s">
        <v>570</v>
      </c>
      <c r="G731" s="68">
        <v>0.0</v>
      </c>
      <c r="H731" s="69">
        <f t="shared" si="60"/>
        <v>0</v>
      </c>
      <c r="I731" s="76" t="s">
        <v>61</v>
      </c>
      <c r="J731" s="87" t="s">
        <v>630</v>
      </c>
      <c r="K731" s="95"/>
      <c r="L731" s="95"/>
      <c r="M731" s="95"/>
      <c r="N731" s="72"/>
      <c r="O731" s="96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</row>
    <row r="732" ht="22.5" customHeight="1">
      <c r="A732" s="86">
        <v>45694.0</v>
      </c>
      <c r="B732" s="63" t="s">
        <v>27</v>
      </c>
      <c r="C732" s="79"/>
      <c r="D732" s="80">
        <v>88521.8</v>
      </c>
      <c r="E732" s="66" t="s">
        <v>28</v>
      </c>
      <c r="F732" s="84" t="s">
        <v>570</v>
      </c>
      <c r="G732" s="68">
        <v>20.0</v>
      </c>
      <c r="H732" s="69">
        <f t="shared" si="60"/>
        <v>14753.63333</v>
      </c>
      <c r="I732" s="76" t="s">
        <v>101</v>
      </c>
      <c r="J732" s="141" t="s">
        <v>631</v>
      </c>
      <c r="K732" s="95"/>
      <c r="L732" s="95"/>
      <c r="M732" s="95"/>
      <c r="N732" s="72"/>
      <c r="O732" s="96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</row>
    <row r="733" ht="22.5" customHeight="1">
      <c r="A733" s="86">
        <v>45694.0</v>
      </c>
      <c r="B733" s="63" t="s">
        <v>27</v>
      </c>
      <c r="C733" s="79"/>
      <c r="D733" s="80">
        <v>127528.36</v>
      </c>
      <c r="E733" s="66" t="s">
        <v>28</v>
      </c>
      <c r="F733" s="84" t="s">
        <v>570</v>
      </c>
      <c r="G733" s="68">
        <v>20.0</v>
      </c>
      <c r="H733" s="69">
        <f t="shared" si="60"/>
        <v>21254.72667</v>
      </c>
      <c r="I733" s="76" t="s">
        <v>101</v>
      </c>
      <c r="J733" s="141" t="s">
        <v>632</v>
      </c>
      <c r="K733" s="95"/>
      <c r="L733" s="95"/>
      <c r="M733" s="95"/>
      <c r="N733" s="72"/>
      <c r="O733" s="96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</row>
    <row r="734" ht="22.5" customHeight="1">
      <c r="A734" s="86">
        <v>45694.0</v>
      </c>
      <c r="B734" s="63" t="s">
        <v>27</v>
      </c>
      <c r="C734" s="79"/>
      <c r="D734" s="80">
        <v>155790.34</v>
      </c>
      <c r="E734" s="66" t="s">
        <v>28</v>
      </c>
      <c r="F734" s="84" t="s">
        <v>619</v>
      </c>
      <c r="G734" s="68">
        <v>20.0</v>
      </c>
      <c r="H734" s="69">
        <f t="shared" si="60"/>
        <v>25965.05667</v>
      </c>
      <c r="I734" s="76" t="s">
        <v>61</v>
      </c>
      <c r="J734" s="98" t="s">
        <v>509</v>
      </c>
      <c r="K734" s="95"/>
      <c r="L734" s="95"/>
      <c r="M734" s="95"/>
      <c r="N734" s="72"/>
      <c r="O734" s="96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</row>
    <row r="735" ht="22.5" customHeight="1">
      <c r="A735" s="86">
        <v>45694.0</v>
      </c>
      <c r="B735" s="63" t="s">
        <v>27</v>
      </c>
      <c r="C735" s="79"/>
      <c r="D735" s="80">
        <v>90000.0</v>
      </c>
      <c r="E735" s="66" t="s">
        <v>28</v>
      </c>
      <c r="F735" s="84" t="s">
        <v>570</v>
      </c>
      <c r="G735" s="68">
        <v>0.0</v>
      </c>
      <c r="H735" s="69">
        <f t="shared" si="60"/>
        <v>0</v>
      </c>
      <c r="I735" s="76" t="s">
        <v>286</v>
      </c>
      <c r="J735" s="87" t="s">
        <v>454</v>
      </c>
      <c r="K735" s="95"/>
      <c r="L735" s="95"/>
      <c r="M735" s="95"/>
      <c r="N735" s="72"/>
      <c r="O735" s="96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</row>
    <row r="736" ht="22.5" customHeight="1">
      <c r="A736" s="86">
        <v>45695.0</v>
      </c>
      <c r="B736" s="63" t="s">
        <v>27</v>
      </c>
      <c r="C736" s="79"/>
      <c r="D736" s="80">
        <v>5000.0</v>
      </c>
      <c r="E736" s="66" t="s">
        <v>28</v>
      </c>
      <c r="F736" s="84" t="s">
        <v>626</v>
      </c>
      <c r="G736" s="68">
        <v>20.0</v>
      </c>
      <c r="H736" s="69">
        <f t="shared" si="60"/>
        <v>833.3333333</v>
      </c>
      <c r="I736" s="70" t="s">
        <v>35</v>
      </c>
      <c r="J736" s="98" t="s">
        <v>633</v>
      </c>
      <c r="K736" s="95"/>
      <c r="L736" s="95"/>
      <c r="M736" s="95"/>
      <c r="N736" s="72"/>
      <c r="O736" s="83" t="s">
        <v>634</v>
      </c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</row>
    <row r="737" ht="22.5" customHeight="1">
      <c r="A737" s="86">
        <v>45698.0</v>
      </c>
      <c r="B737" s="63" t="s">
        <v>27</v>
      </c>
      <c r="C737" s="79"/>
      <c r="D737" s="79">
        <f>629838.47+40063+760.07</f>
        <v>670661.54</v>
      </c>
      <c r="E737" s="66" t="s">
        <v>28</v>
      </c>
      <c r="F737" s="84" t="s">
        <v>594</v>
      </c>
      <c r="G737" s="68">
        <v>0.0</v>
      </c>
      <c r="H737" s="69">
        <f t="shared" si="60"/>
        <v>0</v>
      </c>
      <c r="I737" s="76" t="s">
        <v>68</v>
      </c>
      <c r="J737" s="87" t="s">
        <v>635</v>
      </c>
      <c r="K737" s="95"/>
      <c r="L737" s="95"/>
      <c r="M737" s="95"/>
      <c r="N737" s="72"/>
      <c r="O737" s="96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</row>
    <row r="738" ht="22.5" customHeight="1">
      <c r="A738" s="86">
        <v>45698.0</v>
      </c>
      <c r="B738" s="63" t="s">
        <v>27</v>
      </c>
      <c r="C738" s="79"/>
      <c r="D738" s="142">
        <v>5200000.0</v>
      </c>
      <c r="E738" s="66" t="s">
        <v>28</v>
      </c>
      <c r="F738" s="84" t="s">
        <v>626</v>
      </c>
      <c r="G738" s="68">
        <v>0.0</v>
      </c>
      <c r="H738" s="69">
        <f t="shared" si="60"/>
        <v>0</v>
      </c>
      <c r="I738" s="76" t="s">
        <v>636</v>
      </c>
      <c r="J738" s="81"/>
      <c r="K738" s="95"/>
      <c r="L738" s="95"/>
      <c r="M738" s="95"/>
      <c r="N738" s="72"/>
      <c r="O738" s="96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</row>
    <row r="739" ht="22.5" customHeight="1">
      <c r="A739" s="86">
        <v>45698.0</v>
      </c>
      <c r="B739" s="63" t="s">
        <v>27</v>
      </c>
      <c r="C739" s="79"/>
      <c r="D739" s="80">
        <v>934300.0</v>
      </c>
      <c r="E739" s="66" t="s">
        <v>33</v>
      </c>
      <c r="F739" s="84" t="s">
        <v>626</v>
      </c>
      <c r="G739" s="68">
        <v>0.0</v>
      </c>
      <c r="H739" s="69">
        <f t="shared" si="60"/>
        <v>0</v>
      </c>
      <c r="I739" s="76" t="s">
        <v>93</v>
      </c>
      <c r="J739" s="87" t="s">
        <v>637</v>
      </c>
      <c r="K739" s="95"/>
      <c r="L739" s="95"/>
      <c r="M739" s="95"/>
      <c r="N739" s="72"/>
      <c r="O739" s="96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</row>
    <row r="740" ht="22.5" customHeight="1">
      <c r="A740" s="86">
        <v>45698.0</v>
      </c>
      <c r="B740" s="63" t="s">
        <v>27</v>
      </c>
      <c r="C740" s="79"/>
      <c r="D740" s="80">
        <v>50000.0</v>
      </c>
      <c r="E740" s="66" t="s">
        <v>33</v>
      </c>
      <c r="F740" s="84" t="s">
        <v>626</v>
      </c>
      <c r="G740" s="68">
        <v>0.0</v>
      </c>
      <c r="H740" s="69">
        <f t="shared" si="60"/>
        <v>0</v>
      </c>
      <c r="I740" s="76" t="s">
        <v>53</v>
      </c>
      <c r="J740" s="87" t="s">
        <v>638</v>
      </c>
      <c r="K740" s="95"/>
      <c r="L740" s="95"/>
      <c r="M740" s="95"/>
      <c r="N740" s="72"/>
      <c r="O740" s="96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</row>
    <row r="741" ht="22.5" customHeight="1">
      <c r="A741" s="86">
        <v>45698.0</v>
      </c>
      <c r="B741" s="63" t="s">
        <v>27</v>
      </c>
      <c r="C741" s="79"/>
      <c r="D741" s="80">
        <v>15000.0</v>
      </c>
      <c r="E741" s="66" t="s">
        <v>33</v>
      </c>
      <c r="F741" s="84" t="s">
        <v>626</v>
      </c>
      <c r="G741" s="68">
        <v>0.0</v>
      </c>
      <c r="H741" s="69">
        <f t="shared" si="60"/>
        <v>0</v>
      </c>
      <c r="I741" s="76" t="s">
        <v>53</v>
      </c>
      <c r="J741" s="87" t="s">
        <v>639</v>
      </c>
      <c r="K741" s="95"/>
      <c r="L741" s="95"/>
      <c r="M741" s="95"/>
      <c r="N741" s="72"/>
      <c r="O741" s="96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</row>
    <row r="742" ht="22.5" customHeight="1">
      <c r="A742" s="86">
        <v>45699.0</v>
      </c>
      <c r="B742" s="63" t="s">
        <v>27</v>
      </c>
      <c r="C742" s="80">
        <v>1050000.0</v>
      </c>
      <c r="D742" s="80"/>
      <c r="E742" s="66" t="s">
        <v>28</v>
      </c>
      <c r="F742" s="84" t="s">
        <v>619</v>
      </c>
      <c r="G742" s="68">
        <v>20.0</v>
      </c>
      <c r="H742" s="69">
        <f t="shared" si="60"/>
        <v>175000</v>
      </c>
      <c r="I742" s="76" t="s">
        <v>37</v>
      </c>
      <c r="J742" s="87" t="s">
        <v>586</v>
      </c>
      <c r="K742" s="95"/>
      <c r="L742" s="82">
        <v>11.0</v>
      </c>
      <c r="M742" s="128">
        <v>45671.0</v>
      </c>
      <c r="N742" s="72">
        <f t="shared" ref="N742:N744" si="62">A742-IF(M742&gt;0,M742,A742)</f>
        <v>28</v>
      </c>
      <c r="O742" s="96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</row>
    <row r="743" ht="22.5" customHeight="1">
      <c r="A743" s="86">
        <v>45699.0</v>
      </c>
      <c r="B743" s="63" t="s">
        <v>27</v>
      </c>
      <c r="C743" s="80">
        <v>630000.0</v>
      </c>
      <c r="D743" s="80"/>
      <c r="E743" s="66" t="s">
        <v>28</v>
      </c>
      <c r="F743" s="84" t="s">
        <v>619</v>
      </c>
      <c r="G743" s="68">
        <v>20.0</v>
      </c>
      <c r="H743" s="69">
        <f t="shared" si="60"/>
        <v>105000</v>
      </c>
      <c r="I743" s="76" t="s">
        <v>37</v>
      </c>
      <c r="J743" s="87" t="s">
        <v>482</v>
      </c>
      <c r="K743" s="95"/>
      <c r="L743" s="82">
        <v>12.0</v>
      </c>
      <c r="M743" s="128">
        <v>45671.0</v>
      </c>
      <c r="N743" s="72">
        <f t="shared" si="62"/>
        <v>28</v>
      </c>
      <c r="O743" s="96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</row>
    <row r="744" ht="22.5" customHeight="1">
      <c r="A744" s="86">
        <v>45699.0</v>
      </c>
      <c r="B744" s="63" t="s">
        <v>27</v>
      </c>
      <c r="C744" s="80">
        <v>630000.0</v>
      </c>
      <c r="D744" s="80"/>
      <c r="E744" s="66" t="s">
        <v>28</v>
      </c>
      <c r="F744" s="84" t="s">
        <v>619</v>
      </c>
      <c r="G744" s="68">
        <v>20.0</v>
      </c>
      <c r="H744" s="69">
        <f t="shared" si="60"/>
        <v>105000</v>
      </c>
      <c r="I744" s="76" t="s">
        <v>37</v>
      </c>
      <c r="J744" s="87" t="s">
        <v>482</v>
      </c>
      <c r="K744" s="95"/>
      <c r="L744" s="82">
        <v>19.0</v>
      </c>
      <c r="M744" s="128">
        <v>45672.0</v>
      </c>
      <c r="N744" s="72">
        <f t="shared" si="62"/>
        <v>27</v>
      </c>
      <c r="O744" s="96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</row>
    <row r="745" ht="22.5" customHeight="1">
      <c r="A745" s="86">
        <v>45700.0</v>
      </c>
      <c r="B745" s="63" t="s">
        <v>27</v>
      </c>
      <c r="C745" s="79"/>
      <c r="D745" s="80">
        <v>57500.0</v>
      </c>
      <c r="E745" s="66" t="s">
        <v>28</v>
      </c>
      <c r="F745" s="84" t="s">
        <v>626</v>
      </c>
      <c r="G745" s="68">
        <v>0.0</v>
      </c>
      <c r="H745" s="69">
        <f t="shared" si="60"/>
        <v>0</v>
      </c>
      <c r="I745" s="76" t="s">
        <v>383</v>
      </c>
      <c r="J745" s="98" t="s">
        <v>640</v>
      </c>
      <c r="K745" s="95"/>
      <c r="L745" s="95"/>
      <c r="M745" s="95"/>
      <c r="N745" s="72"/>
      <c r="O745" s="96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</row>
    <row r="746" ht="22.5" customHeight="1">
      <c r="A746" s="86">
        <v>45701.0</v>
      </c>
      <c r="B746" s="63" t="s">
        <v>27</v>
      </c>
      <c r="C746" s="80">
        <v>277200.06</v>
      </c>
      <c r="D746" s="79"/>
      <c r="E746" s="66" t="s">
        <v>28</v>
      </c>
      <c r="F746" s="84" t="s">
        <v>570</v>
      </c>
      <c r="G746" s="68">
        <v>20.0</v>
      </c>
      <c r="H746" s="69">
        <f t="shared" si="60"/>
        <v>46200.01</v>
      </c>
      <c r="I746" s="76" t="s">
        <v>37</v>
      </c>
      <c r="J746" s="87" t="s">
        <v>474</v>
      </c>
      <c r="K746" s="95"/>
      <c r="L746" s="82">
        <v>221.0</v>
      </c>
      <c r="M746" s="132">
        <v>45638.0</v>
      </c>
      <c r="N746" s="72">
        <f t="shared" ref="N746:N753" si="63">A746-IF(M746&gt;0,M746,A746)</f>
        <v>63</v>
      </c>
      <c r="O746" s="96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</row>
    <row r="747" ht="22.5" customHeight="1">
      <c r="A747" s="86">
        <v>45701.0</v>
      </c>
      <c r="B747" s="63" t="s">
        <v>27</v>
      </c>
      <c r="C747" s="80">
        <v>432507.5</v>
      </c>
      <c r="D747" s="80"/>
      <c r="E747" s="66" t="s">
        <v>376</v>
      </c>
      <c r="F747" s="84" t="s">
        <v>619</v>
      </c>
      <c r="G747" s="68">
        <v>20.0</v>
      </c>
      <c r="H747" s="69">
        <f t="shared" si="60"/>
        <v>72084.58333</v>
      </c>
      <c r="I747" s="76" t="s">
        <v>37</v>
      </c>
      <c r="J747" s="87" t="s">
        <v>557</v>
      </c>
      <c r="K747" s="95"/>
      <c r="L747" s="82">
        <v>1.0</v>
      </c>
      <c r="M747" s="128">
        <v>45666.0</v>
      </c>
      <c r="N747" s="72">
        <f t="shared" si="63"/>
        <v>35</v>
      </c>
      <c r="O747" s="96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</row>
    <row r="748" ht="22.5" customHeight="1">
      <c r="A748" s="86">
        <v>45701.0</v>
      </c>
      <c r="B748" s="63" t="s">
        <v>27</v>
      </c>
      <c r="C748" s="80">
        <v>2400000.0</v>
      </c>
      <c r="D748" s="80"/>
      <c r="E748" s="66" t="s">
        <v>28</v>
      </c>
      <c r="F748" s="84" t="s">
        <v>619</v>
      </c>
      <c r="G748" s="68">
        <v>20.0</v>
      </c>
      <c r="H748" s="69">
        <f t="shared" si="60"/>
        <v>400000</v>
      </c>
      <c r="I748" s="76" t="s">
        <v>37</v>
      </c>
      <c r="J748" s="98" t="s">
        <v>641</v>
      </c>
      <c r="K748" s="95"/>
      <c r="L748" s="82">
        <v>21.0</v>
      </c>
      <c r="M748" s="128">
        <v>45672.0</v>
      </c>
      <c r="N748" s="72">
        <f t="shared" si="63"/>
        <v>29</v>
      </c>
      <c r="O748" s="96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</row>
    <row r="749" ht="22.5" customHeight="1">
      <c r="A749" s="86">
        <v>45701.0</v>
      </c>
      <c r="B749" s="63" t="s">
        <v>27</v>
      </c>
      <c r="C749" s="80">
        <v>600180.0</v>
      </c>
      <c r="D749" s="80"/>
      <c r="E749" s="66" t="s">
        <v>28</v>
      </c>
      <c r="F749" s="84" t="s">
        <v>619</v>
      </c>
      <c r="G749" s="68">
        <v>20.0</v>
      </c>
      <c r="H749" s="69">
        <f t="shared" si="60"/>
        <v>100030</v>
      </c>
      <c r="I749" s="76" t="s">
        <v>37</v>
      </c>
      <c r="J749" s="98" t="s">
        <v>641</v>
      </c>
      <c r="K749" s="95"/>
      <c r="L749" s="82">
        <v>22.0</v>
      </c>
      <c r="M749" s="128">
        <v>45672.0</v>
      </c>
      <c r="N749" s="72">
        <f t="shared" si="63"/>
        <v>29</v>
      </c>
      <c r="O749" s="96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</row>
    <row r="750" ht="22.5" customHeight="1">
      <c r="A750" s="86">
        <v>45701.0</v>
      </c>
      <c r="B750" s="63" t="s">
        <v>27</v>
      </c>
      <c r="C750" s="80">
        <v>600180.0</v>
      </c>
      <c r="D750" s="80"/>
      <c r="E750" s="66" t="s">
        <v>28</v>
      </c>
      <c r="F750" s="84" t="s">
        <v>619</v>
      </c>
      <c r="G750" s="68">
        <v>20.0</v>
      </c>
      <c r="H750" s="69">
        <f t="shared" si="60"/>
        <v>100030</v>
      </c>
      <c r="I750" s="76" t="s">
        <v>37</v>
      </c>
      <c r="J750" s="98" t="s">
        <v>641</v>
      </c>
      <c r="K750" s="95"/>
      <c r="L750" s="82">
        <v>23.0</v>
      </c>
      <c r="M750" s="128">
        <v>45672.0</v>
      </c>
      <c r="N750" s="72">
        <f t="shared" si="63"/>
        <v>29</v>
      </c>
      <c r="O750" s="96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</row>
    <row r="751" ht="22.5" customHeight="1">
      <c r="A751" s="86">
        <v>45701.0</v>
      </c>
      <c r="B751" s="63" t="s">
        <v>27</v>
      </c>
      <c r="C751" s="80">
        <v>600000.24</v>
      </c>
      <c r="D751" s="80"/>
      <c r="E751" s="66" t="s">
        <v>28</v>
      </c>
      <c r="F751" s="84" t="s">
        <v>619</v>
      </c>
      <c r="G751" s="68">
        <v>20.0</v>
      </c>
      <c r="H751" s="69">
        <f t="shared" si="60"/>
        <v>100000.04</v>
      </c>
      <c r="I751" s="76" t="s">
        <v>37</v>
      </c>
      <c r="J751" s="98" t="s">
        <v>641</v>
      </c>
      <c r="K751" s="95"/>
      <c r="L751" s="82">
        <v>24.0</v>
      </c>
      <c r="M751" s="128">
        <v>45672.0</v>
      </c>
      <c r="N751" s="72">
        <f t="shared" si="63"/>
        <v>29</v>
      </c>
      <c r="O751" s="96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</row>
    <row r="752" ht="22.5" customHeight="1">
      <c r="A752" s="86">
        <v>45701.0</v>
      </c>
      <c r="B752" s="63" t="s">
        <v>27</v>
      </c>
      <c r="C752" s="80">
        <v>257280.24</v>
      </c>
      <c r="D752" s="80"/>
      <c r="E752" s="66" t="s">
        <v>28</v>
      </c>
      <c r="F752" s="84" t="s">
        <v>619</v>
      </c>
      <c r="G752" s="68">
        <v>20.0</v>
      </c>
      <c r="H752" s="69">
        <f t="shared" si="60"/>
        <v>42880.04</v>
      </c>
      <c r="I752" s="76" t="s">
        <v>37</v>
      </c>
      <c r="J752" s="98" t="s">
        <v>641</v>
      </c>
      <c r="K752" s="95"/>
      <c r="L752" s="82">
        <v>25.0</v>
      </c>
      <c r="M752" s="128">
        <v>45672.0</v>
      </c>
      <c r="N752" s="72">
        <f t="shared" si="63"/>
        <v>29</v>
      </c>
      <c r="O752" s="96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</row>
    <row r="753" ht="22.5" customHeight="1">
      <c r="A753" s="86">
        <v>45701.0</v>
      </c>
      <c r="B753" s="63" t="s">
        <v>27</v>
      </c>
      <c r="C753" s="80">
        <v>36000.0</v>
      </c>
      <c r="D753" s="80"/>
      <c r="E753" s="66" t="s">
        <v>28</v>
      </c>
      <c r="F753" s="84" t="s">
        <v>619</v>
      </c>
      <c r="G753" s="68">
        <v>20.0</v>
      </c>
      <c r="H753" s="69">
        <f t="shared" si="60"/>
        <v>6000</v>
      </c>
      <c r="I753" s="76" t="s">
        <v>37</v>
      </c>
      <c r="J753" s="98" t="s">
        <v>641</v>
      </c>
      <c r="K753" s="95"/>
      <c r="L753" s="82">
        <v>27.0</v>
      </c>
      <c r="M753" s="128">
        <v>45672.0</v>
      </c>
      <c r="N753" s="72">
        <f t="shared" si="63"/>
        <v>29</v>
      </c>
      <c r="O753" s="96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</row>
    <row r="754" ht="22.5" customHeight="1">
      <c r="A754" s="86">
        <v>45703.0</v>
      </c>
      <c r="B754" s="63" t="s">
        <v>27</v>
      </c>
      <c r="C754" s="79"/>
      <c r="D754" s="80">
        <v>642500.0</v>
      </c>
      <c r="E754" s="66" t="s">
        <v>33</v>
      </c>
      <c r="F754" s="84" t="s">
        <v>626</v>
      </c>
      <c r="G754" s="68">
        <v>0.0</v>
      </c>
      <c r="H754" s="69">
        <f t="shared" si="60"/>
        <v>0</v>
      </c>
      <c r="I754" s="76" t="s">
        <v>495</v>
      </c>
      <c r="J754" s="98" t="s">
        <v>642</v>
      </c>
      <c r="K754" s="95"/>
      <c r="L754" s="95"/>
      <c r="M754" s="95"/>
      <c r="N754" s="72"/>
      <c r="O754" s="96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</row>
    <row r="755" ht="22.5" customHeight="1">
      <c r="A755" s="86">
        <v>45705.0</v>
      </c>
      <c r="B755" s="63" t="s">
        <v>27</v>
      </c>
      <c r="C755" s="79"/>
      <c r="D755" s="80">
        <v>1104389.59</v>
      </c>
      <c r="E755" s="66" t="s">
        <v>28</v>
      </c>
      <c r="F755" s="84" t="s">
        <v>570</v>
      </c>
      <c r="G755" s="68">
        <v>20.0</v>
      </c>
      <c r="H755" s="69">
        <f t="shared" si="60"/>
        <v>184064.9317</v>
      </c>
      <c r="I755" s="76" t="s">
        <v>101</v>
      </c>
      <c r="J755" s="136" t="s">
        <v>597</v>
      </c>
      <c r="K755" s="95"/>
      <c r="L755" s="95"/>
      <c r="M755" s="95"/>
      <c r="N755" s="72"/>
      <c r="O755" s="96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</row>
    <row r="756" ht="22.5" customHeight="1">
      <c r="A756" s="86">
        <v>45705.0</v>
      </c>
      <c r="B756" s="63" t="s">
        <v>27</v>
      </c>
      <c r="C756" s="79"/>
      <c r="D756" s="80">
        <v>126570.9</v>
      </c>
      <c r="E756" s="66" t="s">
        <v>28</v>
      </c>
      <c r="F756" s="84" t="s">
        <v>570</v>
      </c>
      <c r="G756" s="68">
        <v>20.0</v>
      </c>
      <c r="H756" s="69">
        <f t="shared" si="60"/>
        <v>21095.15</v>
      </c>
      <c r="I756" s="76" t="s">
        <v>101</v>
      </c>
      <c r="J756" s="141" t="s">
        <v>643</v>
      </c>
      <c r="K756" s="95"/>
      <c r="L756" s="95"/>
      <c r="M756" s="95"/>
      <c r="N756" s="72"/>
      <c r="O756" s="96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</row>
    <row r="757" ht="22.5" customHeight="1">
      <c r="A757" s="86">
        <v>45706.0</v>
      </c>
      <c r="B757" s="63" t="s">
        <v>27</v>
      </c>
      <c r="C757" s="79"/>
      <c r="D757" s="80">
        <v>50000.0</v>
      </c>
      <c r="E757" s="66" t="s">
        <v>33</v>
      </c>
      <c r="F757" s="84" t="s">
        <v>626</v>
      </c>
      <c r="G757" s="68">
        <v>0.0</v>
      </c>
      <c r="H757" s="69">
        <f t="shared" si="60"/>
        <v>0</v>
      </c>
      <c r="I757" s="76" t="s">
        <v>53</v>
      </c>
      <c r="J757" s="87" t="s">
        <v>639</v>
      </c>
      <c r="K757" s="95"/>
      <c r="L757" s="95"/>
      <c r="M757" s="95"/>
      <c r="N757" s="72"/>
      <c r="O757" s="96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</row>
    <row r="758" ht="22.5" customHeight="1">
      <c r="A758" s="86">
        <v>45706.0</v>
      </c>
      <c r="B758" s="63" t="s">
        <v>27</v>
      </c>
      <c r="C758" s="79"/>
      <c r="D758" s="80">
        <v>16700.0</v>
      </c>
      <c r="E758" s="66" t="s">
        <v>33</v>
      </c>
      <c r="F758" s="84" t="s">
        <v>626</v>
      </c>
      <c r="G758" s="68">
        <v>0.0</v>
      </c>
      <c r="H758" s="69">
        <f t="shared" si="60"/>
        <v>0</v>
      </c>
      <c r="I758" s="76" t="s">
        <v>495</v>
      </c>
      <c r="J758" s="87" t="s">
        <v>644</v>
      </c>
      <c r="K758" s="95"/>
      <c r="L758" s="95"/>
      <c r="M758" s="95"/>
      <c r="N758" s="72"/>
      <c r="O758" s="96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</row>
    <row r="759" ht="22.5" customHeight="1">
      <c r="A759" s="86">
        <v>45708.0</v>
      </c>
      <c r="B759" s="63" t="s">
        <v>27</v>
      </c>
      <c r="C759" s="79"/>
      <c r="D759" s="80">
        <v>18254.92</v>
      </c>
      <c r="E759" s="66" t="s">
        <v>28</v>
      </c>
      <c r="F759" s="84" t="s">
        <v>619</v>
      </c>
      <c r="G759" s="68">
        <v>20.0</v>
      </c>
      <c r="H759" s="69">
        <f t="shared" si="60"/>
        <v>3042.486667</v>
      </c>
      <c r="I759" s="76" t="s">
        <v>44</v>
      </c>
      <c r="J759" s="98" t="s">
        <v>134</v>
      </c>
      <c r="K759" s="95"/>
      <c r="L759" s="95"/>
      <c r="M759" s="95"/>
      <c r="N759" s="72"/>
      <c r="O759" s="96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</row>
    <row r="760" ht="22.5" customHeight="1">
      <c r="A760" s="86">
        <v>45708.0</v>
      </c>
      <c r="B760" s="63" t="s">
        <v>27</v>
      </c>
      <c r="C760" s="80">
        <v>1799999.98</v>
      </c>
      <c r="D760" s="80"/>
      <c r="E760" s="66" t="s">
        <v>28</v>
      </c>
      <c r="F760" s="84" t="s">
        <v>594</v>
      </c>
      <c r="G760" s="68">
        <v>20.0</v>
      </c>
      <c r="H760" s="69">
        <f t="shared" si="60"/>
        <v>299999.9967</v>
      </c>
      <c r="I760" s="76" t="s">
        <v>37</v>
      </c>
      <c r="J760" s="87" t="s">
        <v>645</v>
      </c>
      <c r="K760" s="95"/>
      <c r="L760" s="82">
        <v>31.0</v>
      </c>
      <c r="M760" s="128">
        <v>45672.0</v>
      </c>
      <c r="N760" s="72">
        <f>A760-IF(M760&gt;0,M760,A760)</f>
        <v>36</v>
      </c>
      <c r="O760" s="96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</row>
    <row r="761" ht="22.5" customHeight="1">
      <c r="A761" s="86">
        <v>45708.0</v>
      </c>
      <c r="B761" s="63" t="s">
        <v>27</v>
      </c>
      <c r="C761" s="79"/>
      <c r="D761" s="80">
        <v>528780.0</v>
      </c>
      <c r="E761" s="66" t="s">
        <v>28</v>
      </c>
      <c r="F761" s="84" t="s">
        <v>619</v>
      </c>
      <c r="G761" s="68">
        <v>0.0</v>
      </c>
      <c r="H761" s="69">
        <f t="shared" si="60"/>
        <v>0</v>
      </c>
      <c r="I761" s="89" t="s">
        <v>93</v>
      </c>
      <c r="J761" s="133" t="s">
        <v>516</v>
      </c>
      <c r="K761" s="95"/>
      <c r="L761" s="95"/>
      <c r="M761" s="95"/>
      <c r="N761" s="72"/>
      <c r="O761" s="96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</row>
    <row r="762" ht="22.5" customHeight="1">
      <c r="A762" s="86">
        <v>45708.0</v>
      </c>
      <c r="B762" s="63" t="s">
        <v>27</v>
      </c>
      <c r="C762" s="79"/>
      <c r="D762" s="80">
        <v>2100.0</v>
      </c>
      <c r="E762" s="66" t="s">
        <v>28</v>
      </c>
      <c r="F762" s="84" t="s">
        <v>626</v>
      </c>
      <c r="G762" s="68">
        <v>20.0</v>
      </c>
      <c r="H762" s="69">
        <f t="shared" si="60"/>
        <v>350</v>
      </c>
      <c r="I762" s="76" t="s">
        <v>383</v>
      </c>
      <c r="J762" s="87" t="s">
        <v>646</v>
      </c>
      <c r="K762" s="95"/>
      <c r="L762" s="95"/>
      <c r="M762" s="95"/>
      <c r="N762" s="72"/>
      <c r="O762" s="83" t="s">
        <v>647</v>
      </c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</row>
    <row r="763" ht="22.5" customHeight="1">
      <c r="A763" s="86">
        <v>45708.0</v>
      </c>
      <c r="B763" s="63" t="s">
        <v>27</v>
      </c>
      <c r="C763" s="79"/>
      <c r="D763" s="80">
        <v>83185.2</v>
      </c>
      <c r="E763" s="66" t="s">
        <v>28</v>
      </c>
      <c r="F763" s="84" t="s">
        <v>626</v>
      </c>
      <c r="G763" s="68">
        <v>20.0</v>
      </c>
      <c r="H763" s="69">
        <f t="shared" si="60"/>
        <v>13864.2</v>
      </c>
      <c r="I763" s="70" t="s">
        <v>35</v>
      </c>
      <c r="J763" s="87" t="s">
        <v>648</v>
      </c>
      <c r="K763" s="95"/>
      <c r="L763" s="95"/>
      <c r="M763" s="95"/>
      <c r="N763" s="72"/>
      <c r="O763" s="83" t="s">
        <v>649</v>
      </c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</row>
    <row r="764" ht="22.5" customHeight="1">
      <c r="A764" s="86">
        <v>45709.0</v>
      </c>
      <c r="B764" s="63" t="s">
        <v>27</v>
      </c>
      <c r="C764" s="79"/>
      <c r="D764" s="80">
        <v>400043.0</v>
      </c>
      <c r="E764" s="66" t="s">
        <v>28</v>
      </c>
      <c r="F764" s="84" t="s">
        <v>626</v>
      </c>
      <c r="G764" s="68">
        <v>5.0</v>
      </c>
      <c r="H764" s="69">
        <f t="shared" si="60"/>
        <v>19049.66667</v>
      </c>
      <c r="I764" s="76" t="s">
        <v>383</v>
      </c>
      <c r="J764" s="87" t="s">
        <v>650</v>
      </c>
      <c r="K764" s="95"/>
      <c r="L764" s="95"/>
      <c r="M764" s="95"/>
      <c r="N764" s="72"/>
      <c r="O764" s="96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</row>
    <row r="765" ht="22.5" customHeight="1">
      <c r="A765" s="86">
        <v>45709.0</v>
      </c>
      <c r="B765" s="63" t="s">
        <v>27</v>
      </c>
      <c r="C765" s="79"/>
      <c r="D765" s="80">
        <v>61040.0</v>
      </c>
      <c r="E765" s="66" t="s">
        <v>28</v>
      </c>
      <c r="F765" s="84" t="s">
        <v>626</v>
      </c>
      <c r="G765" s="68">
        <v>20.0</v>
      </c>
      <c r="H765" s="69">
        <f t="shared" si="60"/>
        <v>10173.33333</v>
      </c>
      <c r="I765" s="76" t="s">
        <v>383</v>
      </c>
      <c r="J765" s="87" t="s">
        <v>651</v>
      </c>
      <c r="K765" s="95"/>
      <c r="L765" s="95"/>
      <c r="M765" s="95"/>
      <c r="N765" s="72"/>
      <c r="O765" s="96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</row>
    <row r="766" ht="22.5" customHeight="1">
      <c r="A766" s="86">
        <v>45709.0</v>
      </c>
      <c r="B766" s="63" t="s">
        <v>27</v>
      </c>
      <c r="C766" s="79"/>
      <c r="D766" s="80">
        <v>495000.0</v>
      </c>
      <c r="E766" s="66" t="s">
        <v>33</v>
      </c>
      <c r="F766" s="84" t="s">
        <v>626</v>
      </c>
      <c r="G766" s="68">
        <v>0.0</v>
      </c>
      <c r="H766" s="69">
        <f t="shared" si="60"/>
        <v>0</v>
      </c>
      <c r="I766" s="70" t="s">
        <v>35</v>
      </c>
      <c r="J766" s="87" t="s">
        <v>652</v>
      </c>
      <c r="K766" s="95"/>
      <c r="L766" s="95"/>
      <c r="M766" s="95"/>
      <c r="N766" s="72"/>
      <c r="O766" s="96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</row>
    <row r="767" ht="22.5" customHeight="1">
      <c r="A767" s="86">
        <v>45711.0</v>
      </c>
      <c r="B767" s="63" t="s">
        <v>27</v>
      </c>
      <c r="C767" s="79"/>
      <c r="D767" s="80">
        <v>2400.0</v>
      </c>
      <c r="E767" s="66" t="s">
        <v>376</v>
      </c>
      <c r="F767" s="84" t="s">
        <v>626</v>
      </c>
      <c r="G767" s="68">
        <v>0.0</v>
      </c>
      <c r="H767" s="69">
        <f t="shared" si="60"/>
        <v>0</v>
      </c>
      <c r="I767" s="76" t="s">
        <v>294</v>
      </c>
      <c r="J767" s="87" t="s">
        <v>377</v>
      </c>
      <c r="K767" s="95"/>
      <c r="L767" s="95"/>
      <c r="M767" s="95"/>
      <c r="N767" s="72"/>
      <c r="O767" s="96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</row>
    <row r="768" ht="22.5" customHeight="1">
      <c r="A768" s="86">
        <v>45712.0</v>
      </c>
      <c r="B768" s="63" t="s">
        <v>27</v>
      </c>
      <c r="C768" s="80">
        <v>5421000.06</v>
      </c>
      <c r="D768" s="79"/>
      <c r="E768" s="66" t="s">
        <v>376</v>
      </c>
      <c r="F768" s="84" t="s">
        <v>570</v>
      </c>
      <c r="G768" s="68">
        <v>20.0</v>
      </c>
      <c r="H768" s="69">
        <f t="shared" si="60"/>
        <v>903500.01</v>
      </c>
      <c r="I768" s="76" t="s">
        <v>37</v>
      </c>
      <c r="J768" s="87" t="s">
        <v>110</v>
      </c>
      <c r="K768" s="95"/>
      <c r="L768" s="82">
        <v>195.0</v>
      </c>
      <c r="M768" s="128">
        <v>45635.0</v>
      </c>
      <c r="N768" s="72">
        <f t="shared" ref="N768:N773" si="64">A768-IF(M768&gt;0,M768,A768)</f>
        <v>77</v>
      </c>
      <c r="O768" s="96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</row>
    <row r="769" ht="22.5" customHeight="1">
      <c r="A769" s="86">
        <v>45712.0</v>
      </c>
      <c r="B769" s="63" t="s">
        <v>27</v>
      </c>
      <c r="C769" s="80">
        <v>4523077.02</v>
      </c>
      <c r="D769" s="79"/>
      <c r="E769" s="66" t="s">
        <v>376</v>
      </c>
      <c r="F769" s="84" t="s">
        <v>570</v>
      </c>
      <c r="G769" s="68">
        <v>20.0</v>
      </c>
      <c r="H769" s="69">
        <f t="shared" si="60"/>
        <v>753846.17</v>
      </c>
      <c r="I769" s="76" t="s">
        <v>37</v>
      </c>
      <c r="J769" s="87" t="s">
        <v>110</v>
      </c>
      <c r="K769" s="95"/>
      <c r="L769" s="82">
        <v>211.0</v>
      </c>
      <c r="M769" s="132">
        <v>45636.0</v>
      </c>
      <c r="N769" s="72">
        <f t="shared" si="64"/>
        <v>76</v>
      </c>
      <c r="O769" s="96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</row>
    <row r="770" ht="22.5" customHeight="1">
      <c r="A770" s="86">
        <v>45712.0</v>
      </c>
      <c r="B770" s="63" t="s">
        <v>27</v>
      </c>
      <c r="C770" s="80">
        <v>945000.0</v>
      </c>
      <c r="D770" s="79"/>
      <c r="E770" s="66" t="s">
        <v>376</v>
      </c>
      <c r="F770" s="84" t="s">
        <v>570</v>
      </c>
      <c r="G770" s="68">
        <v>20.0</v>
      </c>
      <c r="H770" s="69">
        <f t="shared" si="60"/>
        <v>157500</v>
      </c>
      <c r="I770" s="76" t="s">
        <v>37</v>
      </c>
      <c r="J770" s="87" t="s">
        <v>110</v>
      </c>
      <c r="K770" s="95"/>
      <c r="L770" s="82">
        <v>223.0</v>
      </c>
      <c r="M770" s="132">
        <v>45639.0</v>
      </c>
      <c r="N770" s="72">
        <f t="shared" si="64"/>
        <v>73</v>
      </c>
      <c r="O770" s="96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</row>
    <row r="771" ht="22.5" customHeight="1">
      <c r="A771" s="86">
        <v>45712.0</v>
      </c>
      <c r="B771" s="63" t="s">
        <v>27</v>
      </c>
      <c r="C771" s="80">
        <v>1134000.0</v>
      </c>
      <c r="D771" s="79"/>
      <c r="E771" s="66" t="s">
        <v>376</v>
      </c>
      <c r="F771" s="84" t="s">
        <v>570</v>
      </c>
      <c r="G771" s="68">
        <v>20.0</v>
      </c>
      <c r="H771" s="69">
        <f t="shared" si="60"/>
        <v>189000</v>
      </c>
      <c r="I771" s="76" t="s">
        <v>37</v>
      </c>
      <c r="J771" s="87" t="s">
        <v>110</v>
      </c>
      <c r="K771" s="95"/>
      <c r="L771" s="82">
        <v>224.0</v>
      </c>
      <c r="M771" s="132">
        <v>45639.0</v>
      </c>
      <c r="N771" s="72">
        <f t="shared" si="64"/>
        <v>73</v>
      </c>
      <c r="O771" s="96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</row>
    <row r="772" ht="22.5" customHeight="1">
      <c r="A772" s="86">
        <v>45712.0</v>
      </c>
      <c r="B772" s="63" t="s">
        <v>27</v>
      </c>
      <c r="C772" s="80">
        <v>1134000.0</v>
      </c>
      <c r="D772" s="79"/>
      <c r="E772" s="66" t="s">
        <v>376</v>
      </c>
      <c r="F772" s="84" t="s">
        <v>570</v>
      </c>
      <c r="G772" s="68">
        <v>20.0</v>
      </c>
      <c r="H772" s="69">
        <f t="shared" si="60"/>
        <v>189000</v>
      </c>
      <c r="I772" s="76" t="s">
        <v>37</v>
      </c>
      <c r="J772" s="87" t="s">
        <v>110</v>
      </c>
      <c r="K772" s="95"/>
      <c r="L772" s="82">
        <v>225.0</v>
      </c>
      <c r="M772" s="132">
        <v>45639.0</v>
      </c>
      <c r="N772" s="72">
        <f t="shared" si="64"/>
        <v>73</v>
      </c>
      <c r="O772" s="96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</row>
    <row r="773" ht="22.5" customHeight="1">
      <c r="A773" s="86">
        <v>45712.0</v>
      </c>
      <c r="B773" s="63" t="s">
        <v>27</v>
      </c>
      <c r="C773" s="80">
        <v>315000.0</v>
      </c>
      <c r="D773" s="79"/>
      <c r="E773" s="66" t="s">
        <v>376</v>
      </c>
      <c r="F773" s="84" t="s">
        <v>570</v>
      </c>
      <c r="G773" s="68">
        <v>20.0</v>
      </c>
      <c r="H773" s="69">
        <f t="shared" si="60"/>
        <v>52500</v>
      </c>
      <c r="I773" s="76" t="s">
        <v>37</v>
      </c>
      <c r="J773" s="87" t="s">
        <v>110</v>
      </c>
      <c r="K773" s="95"/>
      <c r="L773" s="82">
        <v>228.0</v>
      </c>
      <c r="M773" s="132">
        <v>45639.0</v>
      </c>
      <c r="N773" s="72">
        <f t="shared" si="64"/>
        <v>73</v>
      </c>
      <c r="O773" s="96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</row>
    <row r="774" ht="22.5" customHeight="1">
      <c r="A774" s="86">
        <v>45712.0</v>
      </c>
      <c r="B774" s="63" t="s">
        <v>27</v>
      </c>
      <c r="C774" s="79"/>
      <c r="D774" s="80">
        <v>1.138632982E7</v>
      </c>
      <c r="E774" s="66" t="s">
        <v>376</v>
      </c>
      <c r="F774" s="84" t="s">
        <v>570</v>
      </c>
      <c r="G774" s="68">
        <v>20.0</v>
      </c>
      <c r="H774" s="69">
        <f t="shared" si="60"/>
        <v>1897721.637</v>
      </c>
      <c r="I774" s="76" t="s">
        <v>101</v>
      </c>
      <c r="J774" s="100" t="s">
        <v>102</v>
      </c>
      <c r="K774" s="95"/>
      <c r="L774" s="95"/>
      <c r="M774" s="95"/>
      <c r="N774" s="72"/>
      <c r="O774" s="96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</row>
    <row r="775" ht="22.5" customHeight="1">
      <c r="A775" s="86">
        <v>45712.0</v>
      </c>
      <c r="B775" s="63" t="s">
        <v>27</v>
      </c>
      <c r="C775" s="79"/>
      <c r="D775" s="80">
        <v>13330.0</v>
      </c>
      <c r="E775" s="66" t="s">
        <v>33</v>
      </c>
      <c r="F775" s="84" t="s">
        <v>626</v>
      </c>
      <c r="G775" s="68">
        <v>0.0</v>
      </c>
      <c r="H775" s="69">
        <f t="shared" si="60"/>
        <v>0</v>
      </c>
      <c r="I775" s="76" t="s">
        <v>93</v>
      </c>
      <c r="J775" s="87" t="s">
        <v>653</v>
      </c>
      <c r="K775" s="95"/>
      <c r="L775" s="95"/>
      <c r="M775" s="95"/>
      <c r="N775" s="72"/>
      <c r="O775" s="96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</row>
    <row r="776" ht="22.5" customHeight="1">
      <c r="A776" s="86">
        <v>45712.0</v>
      </c>
      <c r="B776" s="63" t="s">
        <v>27</v>
      </c>
      <c r="C776" s="80">
        <v>252000.0</v>
      </c>
      <c r="D776" s="79"/>
      <c r="E776" s="66" t="s">
        <v>28</v>
      </c>
      <c r="F776" s="84" t="s">
        <v>570</v>
      </c>
      <c r="G776" s="68">
        <v>20.0</v>
      </c>
      <c r="H776" s="69">
        <f t="shared" si="60"/>
        <v>42000</v>
      </c>
      <c r="I776" s="76" t="s">
        <v>37</v>
      </c>
      <c r="J776" s="87" t="s">
        <v>654</v>
      </c>
      <c r="K776" s="95"/>
      <c r="L776" s="82">
        <v>196.0</v>
      </c>
      <c r="M776" s="128">
        <v>45635.0</v>
      </c>
      <c r="N776" s="72">
        <f t="shared" ref="N776:N777" si="65">A776-IF(M776&gt;0,M776,A776)</f>
        <v>77</v>
      </c>
      <c r="O776" s="96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</row>
    <row r="777" ht="22.5" customHeight="1">
      <c r="A777" s="86">
        <v>45712.0</v>
      </c>
      <c r="B777" s="63" t="s">
        <v>27</v>
      </c>
      <c r="C777" s="80">
        <v>1680000.0</v>
      </c>
      <c r="D777" s="79"/>
      <c r="E777" s="66" t="s">
        <v>28</v>
      </c>
      <c r="F777" s="84" t="s">
        <v>594</v>
      </c>
      <c r="G777" s="68">
        <v>20.0</v>
      </c>
      <c r="H777" s="69">
        <f t="shared" si="60"/>
        <v>280000</v>
      </c>
      <c r="I777" s="76" t="s">
        <v>37</v>
      </c>
      <c r="J777" s="87" t="s">
        <v>539</v>
      </c>
      <c r="K777" s="95"/>
      <c r="L777" s="82">
        <v>62.0</v>
      </c>
      <c r="M777" s="128">
        <v>45700.0</v>
      </c>
      <c r="N777" s="72">
        <f t="shared" si="65"/>
        <v>12</v>
      </c>
      <c r="O777" s="96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</row>
    <row r="778" ht="22.5" customHeight="1">
      <c r="A778" s="86">
        <v>45712.0</v>
      </c>
      <c r="B778" s="63" t="s">
        <v>27</v>
      </c>
      <c r="C778" s="79"/>
      <c r="D778" s="80">
        <v>10000.0</v>
      </c>
      <c r="E778" s="66" t="s">
        <v>33</v>
      </c>
      <c r="F778" s="84" t="s">
        <v>626</v>
      </c>
      <c r="G778" s="68">
        <v>0.0</v>
      </c>
      <c r="H778" s="69">
        <f t="shared" si="60"/>
        <v>0</v>
      </c>
      <c r="I778" s="76" t="s">
        <v>490</v>
      </c>
      <c r="J778" s="87" t="s">
        <v>655</v>
      </c>
      <c r="K778" s="95"/>
      <c r="L778" s="95"/>
      <c r="M778" s="95"/>
      <c r="N778" s="72"/>
      <c r="O778" s="96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</row>
    <row r="779" ht="22.5" customHeight="1">
      <c r="A779" s="86">
        <v>45713.0</v>
      </c>
      <c r="B779" s="63" t="s">
        <v>27</v>
      </c>
      <c r="C779" s="79"/>
      <c r="D779" s="80">
        <f>527318+16026</f>
        <v>543344</v>
      </c>
      <c r="E779" s="66" t="s">
        <v>28</v>
      </c>
      <c r="F779" s="84" t="s">
        <v>626</v>
      </c>
      <c r="G779" s="68">
        <v>0.0</v>
      </c>
      <c r="H779" s="69">
        <f t="shared" si="60"/>
        <v>0</v>
      </c>
      <c r="I779" s="76" t="s">
        <v>280</v>
      </c>
      <c r="J779" s="87" t="s">
        <v>656</v>
      </c>
      <c r="K779" s="95"/>
      <c r="L779" s="95"/>
      <c r="M779" s="95"/>
      <c r="N779" s="72"/>
      <c r="O779" s="96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</row>
    <row r="780" ht="22.5" customHeight="1">
      <c r="A780" s="86">
        <v>45714.0</v>
      </c>
      <c r="B780" s="63" t="s">
        <v>27</v>
      </c>
      <c r="C780" s="80">
        <v>515999.94</v>
      </c>
      <c r="D780" s="79"/>
      <c r="E780" s="66" t="s">
        <v>376</v>
      </c>
      <c r="F780" s="84" t="s">
        <v>570</v>
      </c>
      <c r="G780" s="68">
        <v>20.0</v>
      </c>
      <c r="H780" s="69">
        <f t="shared" si="60"/>
        <v>85999.99</v>
      </c>
      <c r="I780" s="76" t="s">
        <v>37</v>
      </c>
      <c r="J780" s="98" t="s">
        <v>657</v>
      </c>
      <c r="K780" s="95"/>
      <c r="L780" s="82">
        <v>212.0</v>
      </c>
      <c r="M780" s="132">
        <v>45636.0</v>
      </c>
      <c r="N780" s="72">
        <f t="shared" ref="N780:N788" si="66">A780-IF(M780&gt;0,M780,A780)</f>
        <v>78</v>
      </c>
      <c r="O780" s="96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</row>
    <row r="781" ht="22.5" customHeight="1">
      <c r="A781" s="86">
        <v>45714.0</v>
      </c>
      <c r="B781" s="63" t="s">
        <v>27</v>
      </c>
      <c r="C781" s="80">
        <v>960000.3</v>
      </c>
      <c r="D781" s="80"/>
      <c r="E781" s="66" t="s">
        <v>376</v>
      </c>
      <c r="F781" s="84" t="s">
        <v>619</v>
      </c>
      <c r="G781" s="68">
        <v>20.0</v>
      </c>
      <c r="H781" s="69">
        <f t="shared" si="60"/>
        <v>160000.05</v>
      </c>
      <c r="I781" s="76" t="s">
        <v>37</v>
      </c>
      <c r="J781" s="87" t="s">
        <v>110</v>
      </c>
      <c r="K781" s="95"/>
      <c r="L781" s="82">
        <v>16.0</v>
      </c>
      <c r="M781" s="128">
        <v>45671.0</v>
      </c>
      <c r="N781" s="72">
        <f t="shared" si="66"/>
        <v>43</v>
      </c>
      <c r="O781" s="96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</row>
    <row r="782" ht="22.5" customHeight="1">
      <c r="A782" s="86">
        <v>45714.0</v>
      </c>
      <c r="B782" s="63" t="s">
        <v>27</v>
      </c>
      <c r="C782" s="80">
        <v>720000.12</v>
      </c>
      <c r="D782" s="80"/>
      <c r="E782" s="66" t="s">
        <v>376</v>
      </c>
      <c r="F782" s="84" t="s">
        <v>619</v>
      </c>
      <c r="G782" s="68">
        <v>20.0</v>
      </c>
      <c r="H782" s="69">
        <f t="shared" si="60"/>
        <v>120000.02</v>
      </c>
      <c r="I782" s="76" t="s">
        <v>37</v>
      </c>
      <c r="J782" s="87" t="s">
        <v>110</v>
      </c>
      <c r="K782" s="95"/>
      <c r="L782" s="82">
        <v>15.0</v>
      </c>
      <c r="M782" s="128">
        <v>45671.0</v>
      </c>
      <c r="N782" s="72">
        <f t="shared" si="66"/>
        <v>43</v>
      </c>
      <c r="O782" s="96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</row>
    <row r="783" ht="22.5" customHeight="1">
      <c r="A783" s="86">
        <v>45714.0</v>
      </c>
      <c r="B783" s="63" t="s">
        <v>27</v>
      </c>
      <c r="C783" s="80">
        <v>720000.12</v>
      </c>
      <c r="D783" s="80"/>
      <c r="E783" s="66" t="s">
        <v>376</v>
      </c>
      <c r="F783" s="84" t="s">
        <v>619</v>
      </c>
      <c r="G783" s="68">
        <v>20.0</v>
      </c>
      <c r="H783" s="69">
        <f t="shared" si="60"/>
        <v>120000.02</v>
      </c>
      <c r="I783" s="76" t="s">
        <v>37</v>
      </c>
      <c r="J783" s="87" t="s">
        <v>110</v>
      </c>
      <c r="K783" s="95"/>
      <c r="L783" s="82">
        <v>14.0</v>
      </c>
      <c r="M783" s="128">
        <v>45671.0</v>
      </c>
      <c r="N783" s="72">
        <f t="shared" si="66"/>
        <v>43</v>
      </c>
      <c r="O783" s="96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</row>
    <row r="784" ht="22.5" customHeight="1">
      <c r="A784" s="86">
        <v>45714.0</v>
      </c>
      <c r="B784" s="63" t="s">
        <v>27</v>
      </c>
      <c r="C784" s="80">
        <v>276000.0</v>
      </c>
      <c r="D784" s="80"/>
      <c r="E784" s="66" t="s">
        <v>376</v>
      </c>
      <c r="F784" s="84" t="s">
        <v>619</v>
      </c>
      <c r="G784" s="68">
        <v>20.0</v>
      </c>
      <c r="H784" s="69">
        <f t="shared" si="60"/>
        <v>46000</v>
      </c>
      <c r="I784" s="76" t="s">
        <v>37</v>
      </c>
      <c r="J784" s="87" t="s">
        <v>110</v>
      </c>
      <c r="K784" s="95"/>
      <c r="L784" s="82">
        <v>34.0</v>
      </c>
      <c r="M784" s="128">
        <v>45674.0</v>
      </c>
      <c r="N784" s="72">
        <f t="shared" si="66"/>
        <v>40</v>
      </c>
      <c r="O784" s="96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</row>
    <row r="785" ht="22.5" customHeight="1">
      <c r="A785" s="86">
        <v>45714.0</v>
      </c>
      <c r="B785" s="63" t="s">
        <v>27</v>
      </c>
      <c r="C785" s="80">
        <v>276000.0</v>
      </c>
      <c r="D785" s="80"/>
      <c r="E785" s="66" t="s">
        <v>376</v>
      </c>
      <c r="F785" s="84" t="s">
        <v>619</v>
      </c>
      <c r="G785" s="68">
        <v>20.0</v>
      </c>
      <c r="H785" s="69">
        <f t="shared" si="60"/>
        <v>46000</v>
      </c>
      <c r="I785" s="76" t="s">
        <v>37</v>
      </c>
      <c r="J785" s="87" t="s">
        <v>110</v>
      </c>
      <c r="K785" s="95"/>
      <c r="L785" s="82">
        <v>35.0</v>
      </c>
      <c r="M785" s="128">
        <v>45674.0</v>
      </c>
      <c r="N785" s="72">
        <f t="shared" si="66"/>
        <v>40</v>
      </c>
      <c r="O785" s="96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</row>
    <row r="786" ht="22.5" customHeight="1">
      <c r="A786" s="86">
        <v>45716.0</v>
      </c>
      <c r="B786" s="63" t="s">
        <v>27</v>
      </c>
      <c r="C786" s="80">
        <v>1315200.18</v>
      </c>
      <c r="D786" s="79"/>
      <c r="E786" s="66" t="s">
        <v>28</v>
      </c>
      <c r="F786" s="84" t="s">
        <v>570</v>
      </c>
      <c r="G786" s="68">
        <v>20.0</v>
      </c>
      <c r="H786" s="69">
        <f t="shared" si="60"/>
        <v>219200.03</v>
      </c>
      <c r="I786" s="76" t="s">
        <v>37</v>
      </c>
      <c r="J786" s="87" t="s">
        <v>440</v>
      </c>
      <c r="K786" s="95"/>
      <c r="L786" s="82">
        <v>191.0</v>
      </c>
      <c r="M786" s="128">
        <v>45635.0</v>
      </c>
      <c r="N786" s="72">
        <f t="shared" si="66"/>
        <v>81</v>
      </c>
      <c r="O786" s="96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</row>
    <row r="787" ht="22.5" customHeight="1">
      <c r="A787" s="86">
        <v>45716.0</v>
      </c>
      <c r="B787" s="63" t="s">
        <v>27</v>
      </c>
      <c r="C787" s="80">
        <v>600000.0</v>
      </c>
      <c r="D787" s="79"/>
      <c r="E787" s="66" t="s">
        <v>28</v>
      </c>
      <c r="F787" s="84" t="s">
        <v>570</v>
      </c>
      <c r="G787" s="68">
        <v>20.0</v>
      </c>
      <c r="H787" s="69">
        <f t="shared" si="60"/>
        <v>100000</v>
      </c>
      <c r="I787" s="76" t="s">
        <v>37</v>
      </c>
      <c r="J787" s="87" t="s">
        <v>440</v>
      </c>
      <c r="K787" s="95"/>
      <c r="L787" s="82">
        <v>219.0</v>
      </c>
      <c r="M787" s="132">
        <v>45637.0</v>
      </c>
      <c r="N787" s="72">
        <f t="shared" si="66"/>
        <v>79</v>
      </c>
      <c r="O787" s="96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</row>
    <row r="788" ht="22.5" customHeight="1">
      <c r="A788" s="86">
        <v>45716.0</v>
      </c>
      <c r="B788" s="63" t="s">
        <v>27</v>
      </c>
      <c r="C788" s="80">
        <v>706800.0</v>
      </c>
      <c r="D788" s="79"/>
      <c r="E788" s="66" t="s">
        <v>28</v>
      </c>
      <c r="F788" s="84" t="s">
        <v>570</v>
      </c>
      <c r="G788" s="68">
        <v>20.0</v>
      </c>
      <c r="H788" s="69">
        <f t="shared" si="60"/>
        <v>117800</v>
      </c>
      <c r="I788" s="76" t="s">
        <v>37</v>
      </c>
      <c r="J788" s="87" t="s">
        <v>440</v>
      </c>
      <c r="K788" s="95"/>
      <c r="L788" s="82">
        <v>220.0</v>
      </c>
      <c r="M788" s="132">
        <v>45637.0</v>
      </c>
      <c r="N788" s="72">
        <f t="shared" si="66"/>
        <v>79</v>
      </c>
      <c r="O788" s="96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</row>
    <row r="789" ht="22.5" customHeight="1">
      <c r="A789" s="86">
        <v>45716.0</v>
      </c>
      <c r="B789" s="63" t="s">
        <v>27</v>
      </c>
      <c r="C789" s="79"/>
      <c r="D789" s="80">
        <v>3780.0</v>
      </c>
      <c r="E789" s="66" t="s">
        <v>28</v>
      </c>
      <c r="F789" s="84" t="s">
        <v>626</v>
      </c>
      <c r="G789" s="68">
        <v>5.0</v>
      </c>
      <c r="H789" s="69">
        <f t="shared" si="60"/>
        <v>180</v>
      </c>
      <c r="I789" s="76" t="s">
        <v>383</v>
      </c>
      <c r="J789" s="87" t="s">
        <v>650</v>
      </c>
      <c r="K789" s="95"/>
      <c r="L789" s="95"/>
      <c r="M789" s="95"/>
      <c r="N789" s="72"/>
      <c r="O789" s="96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</row>
    <row r="790" ht="22.5" customHeight="1">
      <c r="A790" s="86">
        <v>45716.0</v>
      </c>
      <c r="B790" s="63" t="s">
        <v>27</v>
      </c>
      <c r="C790" s="79"/>
      <c r="D790" s="80">
        <v>835125.0</v>
      </c>
      <c r="E790" s="66" t="s">
        <v>33</v>
      </c>
      <c r="F790" s="84" t="s">
        <v>619</v>
      </c>
      <c r="G790" s="68">
        <v>0.0</v>
      </c>
      <c r="H790" s="69">
        <f t="shared" si="60"/>
        <v>0</v>
      </c>
      <c r="I790" s="76" t="s">
        <v>93</v>
      </c>
      <c r="J790" s="87" t="s">
        <v>658</v>
      </c>
      <c r="K790" s="95"/>
      <c r="L790" s="95"/>
      <c r="M790" s="95"/>
      <c r="N790" s="72"/>
      <c r="O790" s="96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</row>
    <row r="791" ht="22.5" customHeight="1">
      <c r="A791" s="86">
        <v>45716.0</v>
      </c>
      <c r="B791" s="63" t="s">
        <v>27</v>
      </c>
      <c r="C791" s="80">
        <v>362653.2</v>
      </c>
      <c r="D791" s="80"/>
      <c r="E791" s="66" t="s">
        <v>28</v>
      </c>
      <c r="F791" s="84" t="s">
        <v>619</v>
      </c>
      <c r="G791" s="68">
        <v>20.0</v>
      </c>
      <c r="H791" s="69">
        <f t="shared" si="60"/>
        <v>60442.2</v>
      </c>
      <c r="I791" s="76" t="s">
        <v>37</v>
      </c>
      <c r="J791" s="87" t="s">
        <v>624</v>
      </c>
      <c r="K791" s="95"/>
      <c r="L791" s="82">
        <v>32.0</v>
      </c>
      <c r="M791" s="128">
        <v>45673.0</v>
      </c>
      <c r="N791" s="72">
        <f t="shared" ref="N791:N792" si="67">A791-IF(M791&gt;0,M791,A791)</f>
        <v>43</v>
      </c>
      <c r="O791" s="96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</row>
    <row r="792" ht="22.5" customHeight="1">
      <c r="A792" s="86">
        <v>45716.0</v>
      </c>
      <c r="B792" s="63" t="s">
        <v>27</v>
      </c>
      <c r="C792" s="80">
        <v>1080000.0</v>
      </c>
      <c r="D792" s="80"/>
      <c r="E792" s="66" t="s">
        <v>28</v>
      </c>
      <c r="F792" s="84" t="s">
        <v>619</v>
      </c>
      <c r="G792" s="68">
        <v>20.0</v>
      </c>
      <c r="H792" s="69">
        <f t="shared" si="60"/>
        <v>180000</v>
      </c>
      <c r="I792" s="76" t="s">
        <v>37</v>
      </c>
      <c r="J792" s="87" t="s">
        <v>624</v>
      </c>
      <c r="K792" s="95"/>
      <c r="L792" s="82">
        <v>33.0</v>
      </c>
      <c r="M792" s="128">
        <v>45673.0</v>
      </c>
      <c r="N792" s="72">
        <f t="shared" si="67"/>
        <v>43</v>
      </c>
      <c r="O792" s="96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</row>
    <row r="793" ht="22.5" customHeight="1">
      <c r="A793" s="86">
        <v>45716.0</v>
      </c>
      <c r="B793" s="63" t="s">
        <v>27</v>
      </c>
      <c r="C793" s="79"/>
      <c r="D793" s="80">
        <v>100100.0</v>
      </c>
      <c r="E793" s="66" t="s">
        <v>376</v>
      </c>
      <c r="F793" s="84" t="s">
        <v>626</v>
      </c>
      <c r="G793" s="68">
        <v>0.0</v>
      </c>
      <c r="H793" s="69">
        <f t="shared" si="60"/>
        <v>0</v>
      </c>
      <c r="I793" s="94" t="s">
        <v>599</v>
      </c>
      <c r="J793" s="87" t="s">
        <v>72</v>
      </c>
      <c r="K793" s="95"/>
      <c r="L793" s="95"/>
      <c r="M793" s="95"/>
      <c r="N793" s="72"/>
      <c r="O793" s="83" t="s">
        <v>209</v>
      </c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</row>
    <row r="794" ht="22.5" customHeight="1">
      <c r="A794" s="86">
        <v>45716.0</v>
      </c>
      <c r="B794" s="63" t="s">
        <v>27</v>
      </c>
      <c r="C794" s="79"/>
      <c r="D794" s="80">
        <v>3172.0</v>
      </c>
      <c r="E794" s="66" t="s">
        <v>376</v>
      </c>
      <c r="F794" s="84" t="s">
        <v>626</v>
      </c>
      <c r="G794" s="68">
        <v>0.0</v>
      </c>
      <c r="H794" s="69">
        <f t="shared" si="60"/>
        <v>0</v>
      </c>
      <c r="I794" s="94" t="s">
        <v>659</v>
      </c>
      <c r="J794" s="87" t="s">
        <v>72</v>
      </c>
      <c r="K794" s="95"/>
      <c r="L794" s="95"/>
      <c r="M794" s="95"/>
      <c r="N794" s="72"/>
      <c r="O794" s="83" t="s">
        <v>660</v>
      </c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</row>
    <row r="795" ht="22.5" customHeight="1">
      <c r="A795" s="86">
        <v>45716.0</v>
      </c>
      <c r="B795" s="63" t="s">
        <v>27</v>
      </c>
      <c r="C795" s="79"/>
      <c r="D795" s="80">
        <v>239375.47</v>
      </c>
      <c r="E795" s="66" t="s">
        <v>376</v>
      </c>
      <c r="F795" s="84" t="s">
        <v>626</v>
      </c>
      <c r="G795" s="68">
        <v>0.0</v>
      </c>
      <c r="H795" s="69">
        <f t="shared" si="60"/>
        <v>0</v>
      </c>
      <c r="I795" s="94" t="s">
        <v>622</v>
      </c>
      <c r="J795" s="87" t="s">
        <v>72</v>
      </c>
      <c r="K795" s="95"/>
      <c r="L795" s="95"/>
      <c r="M795" s="95"/>
      <c r="N795" s="72"/>
      <c r="O795" s="83" t="s">
        <v>209</v>
      </c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</row>
    <row r="796" ht="22.5" customHeight="1">
      <c r="A796" s="86">
        <v>45716.0</v>
      </c>
      <c r="B796" s="63" t="s">
        <v>27</v>
      </c>
      <c r="C796" s="79"/>
      <c r="D796" s="80">
        <v>348682.0</v>
      </c>
      <c r="E796" s="66" t="s">
        <v>376</v>
      </c>
      <c r="F796" s="84" t="s">
        <v>626</v>
      </c>
      <c r="G796" s="68">
        <v>0.0</v>
      </c>
      <c r="H796" s="69">
        <f t="shared" si="60"/>
        <v>0</v>
      </c>
      <c r="I796" s="94" t="s">
        <v>598</v>
      </c>
      <c r="J796" s="87" t="s">
        <v>72</v>
      </c>
      <c r="K796" s="95"/>
      <c r="L796" s="95"/>
      <c r="M796" s="95"/>
      <c r="N796" s="72"/>
      <c r="O796" s="83" t="s">
        <v>661</v>
      </c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</row>
    <row r="797" ht="22.5" customHeight="1">
      <c r="A797" s="86">
        <v>45716.0</v>
      </c>
      <c r="B797" s="63" t="s">
        <v>27</v>
      </c>
      <c r="C797" s="79"/>
      <c r="D797" s="80">
        <v>1695166.0</v>
      </c>
      <c r="E797" s="66" t="s">
        <v>376</v>
      </c>
      <c r="F797" s="84" t="s">
        <v>626</v>
      </c>
      <c r="G797" s="68">
        <v>0.0</v>
      </c>
      <c r="H797" s="69">
        <f t="shared" si="60"/>
        <v>0</v>
      </c>
      <c r="I797" s="94" t="s">
        <v>623</v>
      </c>
      <c r="J797" s="87" t="s">
        <v>72</v>
      </c>
      <c r="K797" s="95"/>
      <c r="L797" s="95"/>
      <c r="M797" s="95"/>
      <c r="N797" s="72"/>
      <c r="O797" s="83" t="s">
        <v>662</v>
      </c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</row>
    <row r="798" ht="22.5" customHeight="1">
      <c r="A798" s="86">
        <v>45716.0</v>
      </c>
      <c r="B798" s="63" t="s">
        <v>27</v>
      </c>
      <c r="C798" s="79"/>
      <c r="D798" s="80">
        <v>800000.0</v>
      </c>
      <c r="E798" s="66" t="s">
        <v>376</v>
      </c>
      <c r="F798" s="84" t="s">
        <v>626</v>
      </c>
      <c r="G798" s="68">
        <v>0.0</v>
      </c>
      <c r="H798" s="69">
        <f t="shared" si="60"/>
        <v>0</v>
      </c>
      <c r="I798" s="94" t="s">
        <v>599</v>
      </c>
      <c r="J798" s="87" t="s">
        <v>72</v>
      </c>
      <c r="K798" s="95"/>
      <c r="L798" s="95"/>
      <c r="M798" s="95"/>
      <c r="N798" s="72"/>
      <c r="O798" s="83" t="s">
        <v>663</v>
      </c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</row>
    <row r="799" ht="22.5" customHeight="1">
      <c r="A799" s="86">
        <v>45716.0</v>
      </c>
      <c r="B799" s="63" t="s">
        <v>27</v>
      </c>
      <c r="C799" s="79"/>
      <c r="D799" s="80">
        <v>4600000.0</v>
      </c>
      <c r="E799" s="66" t="s">
        <v>28</v>
      </c>
      <c r="F799" s="84" t="s">
        <v>626</v>
      </c>
      <c r="G799" s="68">
        <v>0.0</v>
      </c>
      <c r="H799" s="69">
        <f t="shared" si="60"/>
        <v>0</v>
      </c>
      <c r="I799" s="76" t="s">
        <v>47</v>
      </c>
      <c r="J799" s="81"/>
      <c r="K799" s="95"/>
      <c r="L799" s="95"/>
      <c r="M799" s="95"/>
      <c r="N799" s="72"/>
      <c r="O799" s="96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</row>
    <row r="800" ht="22.5" customHeight="1">
      <c r="A800" s="86">
        <v>45716.0</v>
      </c>
      <c r="B800" s="63" t="s">
        <v>27</v>
      </c>
      <c r="C800" s="80">
        <v>3400000.0</v>
      </c>
      <c r="D800" s="79"/>
      <c r="E800" s="66" t="s">
        <v>33</v>
      </c>
      <c r="F800" s="84" t="s">
        <v>626</v>
      </c>
      <c r="G800" s="68">
        <v>0.0</v>
      </c>
      <c r="H800" s="69">
        <f t="shared" si="60"/>
        <v>0</v>
      </c>
      <c r="I800" s="76" t="s">
        <v>47</v>
      </c>
      <c r="J800" s="98"/>
      <c r="K800" s="95"/>
      <c r="L800" s="95"/>
      <c r="M800" s="95"/>
      <c r="N800" s="72"/>
      <c r="O800" s="96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</row>
    <row r="801" ht="22.5" customHeight="1">
      <c r="A801" s="86">
        <v>45716.0</v>
      </c>
      <c r="B801" s="63" t="s">
        <v>27</v>
      </c>
      <c r="C801" s="79"/>
      <c r="D801" s="80">
        <v>275000.0</v>
      </c>
      <c r="E801" s="66" t="s">
        <v>33</v>
      </c>
      <c r="F801" s="84" t="s">
        <v>664</v>
      </c>
      <c r="G801" s="68">
        <v>0.0</v>
      </c>
      <c r="H801" s="69">
        <f t="shared" si="60"/>
        <v>0</v>
      </c>
      <c r="I801" s="76" t="s">
        <v>65</v>
      </c>
      <c r="J801" s="87" t="s">
        <v>665</v>
      </c>
      <c r="K801" s="95"/>
      <c r="L801" s="95"/>
      <c r="M801" s="95"/>
      <c r="N801" s="72"/>
      <c r="O801" s="96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</row>
    <row r="802" ht="22.5" customHeight="1">
      <c r="A802" s="86">
        <v>45716.0</v>
      </c>
      <c r="B802" s="63" t="s">
        <v>27</v>
      </c>
      <c r="C802" s="79"/>
      <c r="D802" s="80">
        <v>105000.0</v>
      </c>
      <c r="E802" s="66" t="s">
        <v>33</v>
      </c>
      <c r="F802" s="84" t="s">
        <v>664</v>
      </c>
      <c r="G802" s="68">
        <v>0.0</v>
      </c>
      <c r="H802" s="69">
        <f t="shared" si="60"/>
        <v>0</v>
      </c>
      <c r="I802" s="76" t="s">
        <v>65</v>
      </c>
      <c r="J802" s="87" t="s">
        <v>666</v>
      </c>
      <c r="K802" s="95"/>
      <c r="L802" s="95"/>
      <c r="M802" s="95"/>
      <c r="N802" s="72"/>
      <c r="O802" s="96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</row>
    <row r="803" ht="22.5" customHeight="1">
      <c r="A803" s="86">
        <v>45716.0</v>
      </c>
      <c r="B803" s="63" t="s">
        <v>27</v>
      </c>
      <c r="C803" s="79"/>
      <c r="D803" s="80">
        <v>200000.0</v>
      </c>
      <c r="E803" s="66" t="s">
        <v>33</v>
      </c>
      <c r="F803" s="84" t="s">
        <v>664</v>
      </c>
      <c r="G803" s="68">
        <v>0.0</v>
      </c>
      <c r="H803" s="69">
        <f t="shared" si="60"/>
        <v>0</v>
      </c>
      <c r="I803" s="76" t="s">
        <v>65</v>
      </c>
      <c r="J803" s="87" t="s">
        <v>667</v>
      </c>
      <c r="K803" s="95"/>
      <c r="L803" s="95"/>
      <c r="M803" s="95"/>
      <c r="N803" s="72"/>
      <c r="O803" s="96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</row>
    <row r="804" ht="22.5" customHeight="1">
      <c r="A804" s="86">
        <v>45716.0</v>
      </c>
      <c r="B804" s="63" t="s">
        <v>27</v>
      </c>
      <c r="C804" s="79"/>
      <c r="D804" s="80">
        <v>32000.0</v>
      </c>
      <c r="E804" s="66" t="s">
        <v>33</v>
      </c>
      <c r="F804" s="84" t="s">
        <v>626</v>
      </c>
      <c r="G804" s="68">
        <v>0.0</v>
      </c>
      <c r="H804" s="69">
        <f t="shared" si="60"/>
        <v>0</v>
      </c>
      <c r="I804" s="76" t="s">
        <v>383</v>
      </c>
      <c r="J804" s="87" t="s">
        <v>264</v>
      </c>
      <c r="K804" s="95"/>
      <c r="L804" s="95"/>
      <c r="M804" s="95"/>
      <c r="N804" s="72"/>
      <c r="O804" s="96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</row>
    <row r="805" ht="22.5" customHeight="1">
      <c r="A805" s="86">
        <v>45716.0</v>
      </c>
      <c r="B805" s="63" t="s">
        <v>27</v>
      </c>
      <c r="C805" s="79"/>
      <c r="D805" s="80">
        <v>23750.0</v>
      </c>
      <c r="E805" s="66" t="s">
        <v>33</v>
      </c>
      <c r="F805" s="84" t="s">
        <v>626</v>
      </c>
      <c r="G805" s="68">
        <v>0.0</v>
      </c>
      <c r="H805" s="69">
        <f t="shared" si="60"/>
        <v>0</v>
      </c>
      <c r="I805" s="76" t="s">
        <v>495</v>
      </c>
      <c r="J805" s="87" t="s">
        <v>668</v>
      </c>
      <c r="K805" s="95"/>
      <c r="L805" s="95"/>
      <c r="M805" s="95"/>
      <c r="N805" s="72"/>
      <c r="O805" s="96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</row>
    <row r="806" ht="22.5" customHeight="1">
      <c r="A806" s="86">
        <v>45719.0</v>
      </c>
      <c r="B806" s="63" t="s">
        <v>27</v>
      </c>
      <c r="C806" s="79"/>
      <c r="D806" s="80">
        <v>119916.75</v>
      </c>
      <c r="E806" s="66" t="s">
        <v>376</v>
      </c>
      <c r="F806" s="84" t="s">
        <v>619</v>
      </c>
      <c r="G806" s="68">
        <v>20.0</v>
      </c>
      <c r="H806" s="69">
        <f t="shared" si="60"/>
        <v>19986.125</v>
      </c>
      <c r="I806" s="76" t="s">
        <v>101</v>
      </c>
      <c r="J806" s="141" t="s">
        <v>632</v>
      </c>
      <c r="K806" s="95"/>
      <c r="L806" s="82">
        <v>44.0</v>
      </c>
      <c r="M806" s="132">
        <v>45657.0</v>
      </c>
      <c r="N806" s="72"/>
      <c r="O806" s="96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</row>
    <row r="807" ht="22.5" customHeight="1">
      <c r="A807" s="86">
        <v>45719.0</v>
      </c>
      <c r="B807" s="63" t="s">
        <v>27</v>
      </c>
      <c r="C807" s="79"/>
      <c r="D807" s="80">
        <v>188000.0</v>
      </c>
      <c r="E807" s="66" t="s">
        <v>376</v>
      </c>
      <c r="F807" s="84" t="s">
        <v>619</v>
      </c>
      <c r="G807" s="68">
        <v>0.0</v>
      </c>
      <c r="H807" s="69">
        <f t="shared" si="60"/>
        <v>0</v>
      </c>
      <c r="I807" s="76" t="s">
        <v>286</v>
      </c>
      <c r="J807" s="87" t="s">
        <v>454</v>
      </c>
      <c r="K807" s="95"/>
      <c r="L807" s="95"/>
      <c r="M807" s="95"/>
      <c r="N807" s="72"/>
      <c r="O807" s="96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</row>
    <row r="808" ht="22.5" customHeight="1">
      <c r="A808" s="86">
        <v>45719.0</v>
      </c>
      <c r="B808" s="63" t="s">
        <v>27</v>
      </c>
      <c r="C808" s="79"/>
      <c r="D808" s="80">
        <v>616440.83</v>
      </c>
      <c r="E808" s="66" t="s">
        <v>376</v>
      </c>
      <c r="F808" s="84" t="s">
        <v>619</v>
      </c>
      <c r="G808" s="68">
        <v>20.0</v>
      </c>
      <c r="H808" s="69">
        <f t="shared" si="60"/>
        <v>102740.1383</v>
      </c>
      <c r="I808" s="76" t="s">
        <v>101</v>
      </c>
      <c r="J808" s="100" t="s">
        <v>102</v>
      </c>
      <c r="K808" s="95"/>
      <c r="L808" s="95"/>
      <c r="M808" s="95"/>
      <c r="N808" s="72"/>
      <c r="O808" s="83" t="s">
        <v>669</v>
      </c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</row>
    <row r="809" ht="22.5" customHeight="1">
      <c r="A809" s="86">
        <v>45719.0</v>
      </c>
      <c r="B809" s="63" t="s">
        <v>27</v>
      </c>
      <c r="C809" s="79"/>
      <c r="D809" s="80">
        <v>331346.65</v>
      </c>
      <c r="E809" s="66" t="s">
        <v>376</v>
      </c>
      <c r="F809" s="84" t="s">
        <v>619</v>
      </c>
      <c r="G809" s="68">
        <v>20.0</v>
      </c>
      <c r="H809" s="69">
        <f t="shared" si="60"/>
        <v>55224.44167</v>
      </c>
      <c r="I809" s="76" t="s">
        <v>101</v>
      </c>
      <c r="J809" s="136" t="s">
        <v>670</v>
      </c>
      <c r="K809" s="95"/>
      <c r="L809" s="95"/>
      <c r="M809" s="95"/>
      <c r="N809" s="72"/>
      <c r="O809" s="96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</row>
    <row r="810" ht="22.5" customHeight="1">
      <c r="A810" s="86">
        <v>45719.0</v>
      </c>
      <c r="B810" s="63" t="s">
        <v>27</v>
      </c>
      <c r="C810" s="79"/>
      <c r="D810" s="80">
        <v>8203.0</v>
      </c>
      <c r="E810" s="66" t="s">
        <v>376</v>
      </c>
      <c r="F810" s="84" t="s">
        <v>619</v>
      </c>
      <c r="G810" s="68">
        <v>0.0</v>
      </c>
      <c r="H810" s="69">
        <f t="shared" si="60"/>
        <v>0</v>
      </c>
      <c r="I810" s="76" t="s">
        <v>101</v>
      </c>
      <c r="J810" s="141" t="s">
        <v>671</v>
      </c>
      <c r="K810" s="95"/>
      <c r="L810" s="95"/>
      <c r="M810" s="95"/>
      <c r="N810" s="72"/>
      <c r="O810" s="96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</row>
    <row r="811" ht="22.5" customHeight="1">
      <c r="A811" s="86">
        <v>45719.0</v>
      </c>
      <c r="B811" s="63" t="s">
        <v>27</v>
      </c>
      <c r="C811" s="79"/>
      <c r="D811" s="80">
        <v>702073.06</v>
      </c>
      <c r="E811" s="66" t="s">
        <v>376</v>
      </c>
      <c r="F811" s="84" t="s">
        <v>619</v>
      </c>
      <c r="G811" s="68">
        <v>20.0</v>
      </c>
      <c r="H811" s="69">
        <f t="shared" si="60"/>
        <v>117012.1767</v>
      </c>
      <c r="I811" s="76" t="s">
        <v>101</v>
      </c>
      <c r="J811" s="136" t="s">
        <v>597</v>
      </c>
      <c r="K811" s="95"/>
      <c r="L811" s="95"/>
      <c r="M811" s="95"/>
      <c r="N811" s="72"/>
      <c r="O811" s="96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</row>
    <row r="812" ht="22.5" customHeight="1">
      <c r="A812" s="86">
        <v>45719.0</v>
      </c>
      <c r="B812" s="63" t="s">
        <v>27</v>
      </c>
      <c r="C812" s="79"/>
      <c r="D812" s="80">
        <v>95899.8</v>
      </c>
      <c r="E812" s="66" t="s">
        <v>376</v>
      </c>
      <c r="F812" s="84" t="s">
        <v>619</v>
      </c>
      <c r="G812" s="68">
        <v>20.0</v>
      </c>
      <c r="H812" s="69">
        <f t="shared" si="60"/>
        <v>15983.3</v>
      </c>
      <c r="I812" s="76" t="s">
        <v>101</v>
      </c>
      <c r="J812" s="141" t="s">
        <v>643</v>
      </c>
      <c r="K812" s="95"/>
      <c r="L812" s="95"/>
      <c r="M812" s="95"/>
      <c r="N812" s="72"/>
      <c r="O812" s="96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</row>
    <row r="813" ht="22.5" customHeight="1">
      <c r="A813" s="86">
        <v>45719.0</v>
      </c>
      <c r="B813" s="63" t="s">
        <v>27</v>
      </c>
      <c r="C813" s="79"/>
      <c r="D813" s="80">
        <v>37767.46</v>
      </c>
      <c r="E813" s="66" t="s">
        <v>376</v>
      </c>
      <c r="F813" s="84" t="s">
        <v>619</v>
      </c>
      <c r="G813" s="68">
        <v>20.0</v>
      </c>
      <c r="H813" s="69">
        <f t="shared" si="60"/>
        <v>6294.576667</v>
      </c>
      <c r="I813" s="76" t="s">
        <v>101</v>
      </c>
      <c r="J813" s="141" t="s">
        <v>672</v>
      </c>
      <c r="K813" s="95"/>
      <c r="L813" s="95"/>
      <c r="M813" s="95"/>
      <c r="N813" s="72"/>
      <c r="O813" s="121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</row>
    <row r="814" ht="22.5" customHeight="1">
      <c r="A814" s="86">
        <v>45719.0</v>
      </c>
      <c r="B814" s="63" t="s">
        <v>27</v>
      </c>
      <c r="C814" s="79"/>
      <c r="D814" s="80">
        <v>47630.8</v>
      </c>
      <c r="E814" s="66" t="s">
        <v>376</v>
      </c>
      <c r="F814" s="84" t="s">
        <v>619</v>
      </c>
      <c r="G814" s="68">
        <v>20.0</v>
      </c>
      <c r="H814" s="69">
        <f t="shared" si="60"/>
        <v>7938.466667</v>
      </c>
      <c r="I814" s="76" t="s">
        <v>101</v>
      </c>
      <c r="J814" s="141" t="s">
        <v>631</v>
      </c>
      <c r="K814" s="95"/>
      <c r="L814" s="95"/>
      <c r="M814" s="95"/>
      <c r="N814" s="72"/>
      <c r="O814" s="96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</row>
    <row r="815" ht="22.5" customHeight="1">
      <c r="A815" s="86">
        <v>45719.0</v>
      </c>
      <c r="B815" s="63" t="s">
        <v>27</v>
      </c>
      <c r="C815" s="79"/>
      <c r="D815" s="80">
        <v>4585.21</v>
      </c>
      <c r="E815" s="66" t="s">
        <v>376</v>
      </c>
      <c r="F815" s="84" t="s">
        <v>619</v>
      </c>
      <c r="G815" s="68">
        <v>20.0</v>
      </c>
      <c r="H815" s="69">
        <f t="shared" si="60"/>
        <v>764.2016667</v>
      </c>
      <c r="I815" s="76" t="s">
        <v>101</v>
      </c>
      <c r="J815" s="141" t="s">
        <v>632</v>
      </c>
      <c r="K815" s="95"/>
      <c r="L815" s="95"/>
      <c r="M815" s="95"/>
      <c r="N815" s="72"/>
      <c r="O815" s="140" t="s">
        <v>673</v>
      </c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</row>
    <row r="816" ht="22.5" customHeight="1">
      <c r="A816" s="86">
        <v>45719.0</v>
      </c>
      <c r="B816" s="63" t="s">
        <v>27</v>
      </c>
      <c r="C816" s="79"/>
      <c r="D816" s="80">
        <v>13990.0</v>
      </c>
      <c r="E816" s="66" t="s">
        <v>28</v>
      </c>
      <c r="F816" s="84" t="s">
        <v>674</v>
      </c>
      <c r="G816" s="68">
        <v>0.0</v>
      </c>
      <c r="H816" s="69">
        <f t="shared" si="60"/>
        <v>0</v>
      </c>
      <c r="I816" s="70" t="s">
        <v>30</v>
      </c>
      <c r="J816" s="71" t="s">
        <v>31</v>
      </c>
      <c r="K816" s="95"/>
      <c r="L816" s="95"/>
      <c r="M816" s="95"/>
      <c r="N816" s="72"/>
      <c r="O816" s="96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</row>
    <row r="817" ht="22.5" customHeight="1">
      <c r="A817" s="86">
        <v>45719.0</v>
      </c>
      <c r="B817" s="63" t="s">
        <v>27</v>
      </c>
      <c r="C817" s="80">
        <v>79500.12</v>
      </c>
      <c r="D817" s="80"/>
      <c r="E817" s="66" t="s">
        <v>28</v>
      </c>
      <c r="F817" s="84" t="s">
        <v>619</v>
      </c>
      <c r="G817" s="68">
        <v>20.0</v>
      </c>
      <c r="H817" s="69">
        <f t="shared" si="60"/>
        <v>13250.02</v>
      </c>
      <c r="I817" s="76" t="s">
        <v>37</v>
      </c>
      <c r="J817" s="87" t="s">
        <v>675</v>
      </c>
      <c r="K817" s="95"/>
      <c r="L817" s="82">
        <v>17.0</v>
      </c>
      <c r="M817" s="128">
        <v>45671.0</v>
      </c>
      <c r="N817" s="72">
        <f>A817-IF(M817&gt;0,M817,A817)</f>
        <v>48</v>
      </c>
      <c r="O817" s="96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</row>
    <row r="818" ht="22.5" customHeight="1">
      <c r="A818" s="86">
        <v>45719.0</v>
      </c>
      <c r="B818" s="63" t="s">
        <v>27</v>
      </c>
      <c r="C818" s="79"/>
      <c r="D818" s="80">
        <v>135000.0</v>
      </c>
      <c r="E818" s="66" t="s">
        <v>33</v>
      </c>
      <c r="F818" s="84" t="s">
        <v>626</v>
      </c>
      <c r="G818" s="68">
        <v>0.0</v>
      </c>
      <c r="H818" s="69">
        <f t="shared" si="60"/>
        <v>0</v>
      </c>
      <c r="I818" s="70" t="s">
        <v>35</v>
      </c>
      <c r="J818" s="87" t="s">
        <v>676</v>
      </c>
      <c r="K818" s="95"/>
      <c r="L818" s="95"/>
      <c r="M818" s="95"/>
      <c r="N818" s="72"/>
      <c r="O818" s="96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</row>
    <row r="819" ht="22.5" customHeight="1">
      <c r="A819" s="86">
        <v>45721.0</v>
      </c>
      <c r="B819" s="63" t="s">
        <v>27</v>
      </c>
      <c r="C819" s="80">
        <v>252000.04</v>
      </c>
      <c r="D819" s="79"/>
      <c r="E819" s="66" t="s">
        <v>376</v>
      </c>
      <c r="F819" s="84" t="s">
        <v>570</v>
      </c>
      <c r="G819" s="68">
        <v>20.0</v>
      </c>
      <c r="H819" s="69">
        <f t="shared" si="60"/>
        <v>42000.00667</v>
      </c>
      <c r="I819" s="76" t="s">
        <v>37</v>
      </c>
      <c r="J819" s="87" t="s">
        <v>677</v>
      </c>
      <c r="K819" s="95"/>
      <c r="L819" s="82">
        <v>197.0</v>
      </c>
      <c r="M819" s="132">
        <v>45636.0</v>
      </c>
      <c r="N819" s="72">
        <f>A819-IF(M819&gt;0,M819,A819)</f>
        <v>85</v>
      </c>
      <c r="O819" s="96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</row>
    <row r="820" ht="22.5" customHeight="1">
      <c r="A820" s="86">
        <v>45721.0</v>
      </c>
      <c r="B820" s="63" t="s">
        <v>27</v>
      </c>
      <c r="C820" s="79"/>
      <c r="D820" s="80">
        <v>542284.47</v>
      </c>
      <c r="E820" s="66" t="s">
        <v>28</v>
      </c>
      <c r="F820" s="84" t="s">
        <v>664</v>
      </c>
      <c r="G820" s="68">
        <v>0.0</v>
      </c>
      <c r="H820" s="69">
        <f t="shared" si="60"/>
        <v>0</v>
      </c>
      <c r="I820" s="76" t="s">
        <v>322</v>
      </c>
      <c r="J820" s="87" t="s">
        <v>482</v>
      </c>
      <c r="K820" s="95"/>
      <c r="L820" s="95"/>
      <c r="M820" s="95"/>
      <c r="N820" s="72"/>
      <c r="O820" s="96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</row>
    <row r="821" ht="22.5" customHeight="1">
      <c r="A821" s="86">
        <v>45721.0</v>
      </c>
      <c r="B821" s="63" t="s">
        <v>27</v>
      </c>
      <c r="C821" s="79"/>
      <c r="D821" s="80">
        <v>81189.0</v>
      </c>
      <c r="E821" s="66" t="s">
        <v>376</v>
      </c>
      <c r="F821" s="84" t="s">
        <v>674</v>
      </c>
      <c r="G821" s="68">
        <v>0.0</v>
      </c>
      <c r="H821" s="69">
        <f t="shared" si="60"/>
        <v>0</v>
      </c>
      <c r="I821" s="94" t="s">
        <v>599</v>
      </c>
      <c r="J821" s="87" t="s">
        <v>72</v>
      </c>
      <c r="K821" s="95"/>
      <c r="L821" s="95"/>
      <c r="M821" s="95"/>
      <c r="N821" s="72"/>
      <c r="O821" s="83" t="s">
        <v>209</v>
      </c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</row>
    <row r="822" ht="22.5" customHeight="1">
      <c r="A822" s="86">
        <v>45721.0</v>
      </c>
      <c r="B822" s="63" t="s">
        <v>27</v>
      </c>
      <c r="C822" s="79"/>
      <c r="D822" s="80">
        <v>61177.0</v>
      </c>
      <c r="E822" s="66" t="s">
        <v>376</v>
      </c>
      <c r="F822" s="84" t="s">
        <v>674</v>
      </c>
      <c r="G822" s="68">
        <v>0.0</v>
      </c>
      <c r="H822" s="69">
        <f t="shared" si="60"/>
        <v>0</v>
      </c>
      <c r="I822" s="94" t="s">
        <v>599</v>
      </c>
      <c r="J822" s="87" t="s">
        <v>72</v>
      </c>
      <c r="K822" s="95"/>
      <c r="L822" s="95"/>
      <c r="M822" s="95"/>
      <c r="N822" s="72"/>
      <c r="O822" s="83" t="s">
        <v>663</v>
      </c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</row>
    <row r="823" ht="22.5" customHeight="1">
      <c r="A823" s="86">
        <v>45721.0</v>
      </c>
      <c r="B823" s="63" t="s">
        <v>27</v>
      </c>
      <c r="C823" s="79"/>
      <c r="D823" s="80">
        <v>540000.0</v>
      </c>
      <c r="E823" s="66" t="s">
        <v>33</v>
      </c>
      <c r="F823" s="84" t="s">
        <v>626</v>
      </c>
      <c r="G823" s="68">
        <v>0.0</v>
      </c>
      <c r="H823" s="69">
        <f t="shared" si="60"/>
        <v>0</v>
      </c>
      <c r="I823" s="76" t="s">
        <v>53</v>
      </c>
      <c r="J823" s="87" t="s">
        <v>678</v>
      </c>
      <c r="K823" s="95"/>
      <c r="L823" s="95"/>
      <c r="M823" s="95"/>
      <c r="N823" s="72"/>
      <c r="O823" s="96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</row>
    <row r="824" ht="22.5" customHeight="1">
      <c r="A824" s="86">
        <v>45721.0</v>
      </c>
      <c r="B824" s="63" t="s">
        <v>27</v>
      </c>
      <c r="C824" s="79"/>
      <c r="D824" s="80">
        <v>60040.0</v>
      </c>
      <c r="E824" s="66" t="s">
        <v>33</v>
      </c>
      <c r="F824" s="84" t="s">
        <v>626</v>
      </c>
      <c r="G824" s="68">
        <v>0.0</v>
      </c>
      <c r="H824" s="69">
        <f t="shared" si="60"/>
        <v>0</v>
      </c>
      <c r="I824" s="76" t="s">
        <v>490</v>
      </c>
      <c r="J824" s="87" t="s">
        <v>489</v>
      </c>
      <c r="K824" s="95"/>
      <c r="L824" s="95"/>
      <c r="M824" s="95"/>
      <c r="N824" s="72"/>
      <c r="O824" s="96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</row>
    <row r="825" ht="22.5" customHeight="1">
      <c r="A825" s="86">
        <v>45721.0</v>
      </c>
      <c r="B825" s="63" t="s">
        <v>27</v>
      </c>
      <c r="C825" s="79"/>
      <c r="D825" s="80">
        <v>7000.0</v>
      </c>
      <c r="E825" s="66" t="s">
        <v>33</v>
      </c>
      <c r="F825" s="84" t="s">
        <v>626</v>
      </c>
      <c r="G825" s="68">
        <v>0.0</v>
      </c>
      <c r="H825" s="69">
        <f t="shared" si="60"/>
        <v>0</v>
      </c>
      <c r="I825" s="76" t="s">
        <v>495</v>
      </c>
      <c r="J825" s="87" t="s">
        <v>679</v>
      </c>
      <c r="K825" s="95"/>
      <c r="L825" s="95"/>
      <c r="M825" s="95"/>
      <c r="N825" s="72"/>
      <c r="O825" s="96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</row>
    <row r="826" ht="22.5" customHeight="1">
      <c r="A826" s="86">
        <v>45723.0</v>
      </c>
      <c r="B826" s="63" t="s">
        <v>27</v>
      </c>
      <c r="C826" s="80">
        <v>600000.24</v>
      </c>
      <c r="D826" s="79"/>
      <c r="E826" s="66" t="s">
        <v>28</v>
      </c>
      <c r="F826" s="84" t="s">
        <v>570</v>
      </c>
      <c r="G826" s="68">
        <v>20.0</v>
      </c>
      <c r="H826" s="69">
        <f t="shared" si="60"/>
        <v>100000.04</v>
      </c>
      <c r="I826" s="76" t="s">
        <v>37</v>
      </c>
      <c r="J826" s="87" t="s">
        <v>474</v>
      </c>
      <c r="K826" s="95"/>
      <c r="L826" s="82">
        <v>213.0</v>
      </c>
      <c r="M826" s="132">
        <v>45636.0</v>
      </c>
      <c r="N826" s="72">
        <f>A826-IF(M826&gt;0,M826,A826)</f>
        <v>87</v>
      </c>
      <c r="O826" s="96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</row>
    <row r="827" ht="22.5" customHeight="1">
      <c r="A827" s="86">
        <v>45726.0</v>
      </c>
      <c r="B827" s="63" t="s">
        <v>27</v>
      </c>
      <c r="C827" s="79"/>
      <c r="D827" s="80">
        <v>3000.0</v>
      </c>
      <c r="E827" s="66" t="s">
        <v>33</v>
      </c>
      <c r="F827" s="84" t="s">
        <v>674</v>
      </c>
      <c r="G827" s="68">
        <v>0.0</v>
      </c>
      <c r="H827" s="69">
        <f t="shared" si="60"/>
        <v>0</v>
      </c>
      <c r="I827" s="76" t="s">
        <v>495</v>
      </c>
      <c r="J827" s="87" t="s">
        <v>680</v>
      </c>
      <c r="K827" s="95"/>
      <c r="L827" s="95"/>
      <c r="M827" s="95"/>
      <c r="N827" s="72"/>
      <c r="O827" s="96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</row>
    <row r="828" ht="22.5" customHeight="1">
      <c r="A828" s="143">
        <v>45726.0</v>
      </c>
      <c r="B828" s="63" t="s">
        <v>27</v>
      </c>
      <c r="C828" s="79"/>
      <c r="D828" s="80">
        <v>25000.0</v>
      </c>
      <c r="E828" s="66" t="s">
        <v>33</v>
      </c>
      <c r="F828" s="84" t="s">
        <v>674</v>
      </c>
      <c r="G828" s="68">
        <v>0.0</v>
      </c>
      <c r="H828" s="69">
        <f t="shared" si="60"/>
        <v>0</v>
      </c>
      <c r="I828" s="70" t="s">
        <v>35</v>
      </c>
      <c r="J828" s="87" t="s">
        <v>681</v>
      </c>
      <c r="K828" s="95"/>
      <c r="L828" s="95"/>
      <c r="M828" s="95"/>
      <c r="N828" s="72"/>
      <c r="O828" s="96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</row>
    <row r="829" ht="22.5" customHeight="1">
      <c r="A829" s="143">
        <v>45726.0</v>
      </c>
      <c r="B829" s="63" t="s">
        <v>27</v>
      </c>
      <c r="C829" s="79"/>
      <c r="D829" s="79">
        <f>519312+487.65+24038</f>
        <v>543837.65</v>
      </c>
      <c r="E829" s="66" t="s">
        <v>28</v>
      </c>
      <c r="F829" s="84" t="s">
        <v>626</v>
      </c>
      <c r="G829" s="68">
        <v>0.0</v>
      </c>
      <c r="H829" s="69">
        <f t="shared" si="60"/>
        <v>0</v>
      </c>
      <c r="I829" s="76" t="s">
        <v>68</v>
      </c>
      <c r="J829" s="87" t="s">
        <v>682</v>
      </c>
      <c r="K829" s="95"/>
      <c r="L829" s="95"/>
      <c r="M829" s="95"/>
      <c r="N829" s="72"/>
      <c r="O829" s="96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</row>
    <row r="830" ht="22.5" customHeight="1">
      <c r="A830" s="143">
        <v>45726.0</v>
      </c>
      <c r="B830" s="63" t="s">
        <v>27</v>
      </c>
      <c r="C830" s="79"/>
      <c r="D830" s="80">
        <v>106000.0</v>
      </c>
      <c r="E830" s="66" t="s">
        <v>28</v>
      </c>
      <c r="F830" s="84" t="s">
        <v>674</v>
      </c>
      <c r="G830" s="68">
        <v>0.0</v>
      </c>
      <c r="H830" s="69">
        <f t="shared" si="60"/>
        <v>0</v>
      </c>
      <c r="I830" s="76" t="s">
        <v>322</v>
      </c>
      <c r="J830" s="87" t="s">
        <v>683</v>
      </c>
      <c r="K830" s="95"/>
      <c r="L830" s="95"/>
      <c r="M830" s="95"/>
      <c r="N830" s="72"/>
      <c r="O830" s="83" t="s">
        <v>684</v>
      </c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</row>
    <row r="831" ht="22.5" customHeight="1">
      <c r="A831" s="143">
        <v>45726.0</v>
      </c>
      <c r="B831" s="63" t="s">
        <v>27</v>
      </c>
      <c r="C831" s="79"/>
      <c r="D831" s="80">
        <v>50000.0</v>
      </c>
      <c r="E831" s="66" t="s">
        <v>33</v>
      </c>
      <c r="F831" s="84" t="s">
        <v>626</v>
      </c>
      <c r="G831" s="68">
        <v>0.0</v>
      </c>
      <c r="H831" s="69">
        <f t="shared" si="60"/>
        <v>0</v>
      </c>
      <c r="I831" s="76" t="s">
        <v>53</v>
      </c>
      <c r="J831" s="87" t="s">
        <v>685</v>
      </c>
      <c r="K831" s="95"/>
      <c r="L831" s="95"/>
      <c r="M831" s="95"/>
      <c r="N831" s="72"/>
      <c r="O831" s="96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</row>
    <row r="832" ht="22.5" customHeight="1">
      <c r="A832" s="143">
        <v>45726.0</v>
      </c>
      <c r="B832" s="63" t="s">
        <v>27</v>
      </c>
      <c r="C832" s="79"/>
      <c r="D832" s="80">
        <v>35000.0</v>
      </c>
      <c r="E832" s="66" t="s">
        <v>33</v>
      </c>
      <c r="F832" s="84" t="s">
        <v>674</v>
      </c>
      <c r="G832" s="68">
        <v>0.0</v>
      </c>
      <c r="H832" s="69">
        <f t="shared" si="60"/>
        <v>0</v>
      </c>
      <c r="I832" s="76" t="s">
        <v>490</v>
      </c>
      <c r="J832" s="87" t="s">
        <v>686</v>
      </c>
      <c r="K832" s="95"/>
      <c r="L832" s="95"/>
      <c r="M832" s="95"/>
      <c r="N832" s="72"/>
      <c r="O832" s="96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</row>
    <row r="833" ht="22.5" customHeight="1">
      <c r="A833" s="143">
        <v>45726.0</v>
      </c>
      <c r="B833" s="63" t="s">
        <v>27</v>
      </c>
      <c r="C833" s="79"/>
      <c r="D833" s="80">
        <v>5000.0</v>
      </c>
      <c r="E833" s="66" t="s">
        <v>28</v>
      </c>
      <c r="F833" s="84" t="s">
        <v>674</v>
      </c>
      <c r="G833" s="68">
        <v>20.0</v>
      </c>
      <c r="H833" s="69">
        <f t="shared" si="60"/>
        <v>833.3333333</v>
      </c>
      <c r="I833" s="70" t="s">
        <v>35</v>
      </c>
      <c r="J833" s="87" t="s">
        <v>687</v>
      </c>
      <c r="K833" s="95"/>
      <c r="L833" s="95"/>
      <c r="M833" s="95"/>
      <c r="N833" s="72"/>
      <c r="O833" s="96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</row>
    <row r="834" ht="22.5" customHeight="1">
      <c r="A834" s="143">
        <v>45726.0</v>
      </c>
      <c r="B834" s="63" t="s">
        <v>27</v>
      </c>
      <c r="C834" s="79"/>
      <c r="D834" s="80">
        <v>88000.0</v>
      </c>
      <c r="E834" s="66" t="s">
        <v>33</v>
      </c>
      <c r="F834" s="84" t="s">
        <v>594</v>
      </c>
      <c r="G834" s="68">
        <v>0.0</v>
      </c>
      <c r="H834" s="69">
        <f t="shared" si="60"/>
        <v>0</v>
      </c>
      <c r="I834" s="76" t="s">
        <v>93</v>
      </c>
      <c r="J834" s="87" t="s">
        <v>688</v>
      </c>
      <c r="K834" s="95"/>
      <c r="L834" s="95"/>
      <c r="M834" s="95"/>
      <c r="N834" s="72"/>
      <c r="O834" s="96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</row>
    <row r="835" ht="22.5" customHeight="1">
      <c r="A835" s="86">
        <v>45729.0</v>
      </c>
      <c r="B835" s="63" t="s">
        <v>27</v>
      </c>
      <c r="C835" s="80">
        <v>599970.0</v>
      </c>
      <c r="D835" s="79"/>
      <c r="E835" s="66" t="s">
        <v>28</v>
      </c>
      <c r="F835" s="84" t="s">
        <v>594</v>
      </c>
      <c r="G835" s="68">
        <v>20.0</v>
      </c>
      <c r="H835" s="69">
        <f t="shared" si="60"/>
        <v>99995</v>
      </c>
      <c r="I835" s="76" t="s">
        <v>37</v>
      </c>
      <c r="J835" s="87" t="s">
        <v>689</v>
      </c>
      <c r="K835" s="95"/>
      <c r="L835" s="82">
        <v>52.0</v>
      </c>
      <c r="M835" s="128">
        <v>45697.0</v>
      </c>
      <c r="N835" s="72">
        <f t="shared" ref="N835:N837" si="68">A835-IF(M835&gt;0,M835,A835)</f>
        <v>32</v>
      </c>
      <c r="O835" s="96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</row>
    <row r="836" ht="22.5" customHeight="1">
      <c r="A836" s="86">
        <v>45729.0</v>
      </c>
      <c r="B836" s="63" t="s">
        <v>27</v>
      </c>
      <c r="C836" s="80">
        <v>661500.0</v>
      </c>
      <c r="D836" s="79"/>
      <c r="E836" s="66" t="s">
        <v>28</v>
      </c>
      <c r="F836" s="84" t="s">
        <v>594</v>
      </c>
      <c r="G836" s="68">
        <v>20.0</v>
      </c>
      <c r="H836" s="69">
        <f t="shared" si="60"/>
        <v>110250</v>
      </c>
      <c r="I836" s="76" t="s">
        <v>37</v>
      </c>
      <c r="J836" s="87" t="s">
        <v>689</v>
      </c>
      <c r="K836" s="95"/>
      <c r="L836" s="82">
        <v>53.0</v>
      </c>
      <c r="M836" s="128">
        <v>45697.0</v>
      </c>
      <c r="N836" s="72">
        <f t="shared" si="68"/>
        <v>32</v>
      </c>
      <c r="O836" s="96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</row>
    <row r="837" ht="22.5" customHeight="1">
      <c r="A837" s="86">
        <v>45729.0</v>
      </c>
      <c r="B837" s="63" t="s">
        <v>27</v>
      </c>
      <c r="C837" s="80">
        <v>600600.0</v>
      </c>
      <c r="D837" s="79"/>
      <c r="E837" s="66" t="s">
        <v>28</v>
      </c>
      <c r="F837" s="84" t="s">
        <v>594</v>
      </c>
      <c r="G837" s="68">
        <v>20.0</v>
      </c>
      <c r="H837" s="69">
        <f t="shared" si="60"/>
        <v>100100</v>
      </c>
      <c r="I837" s="76" t="s">
        <v>37</v>
      </c>
      <c r="J837" s="87" t="s">
        <v>689</v>
      </c>
      <c r="K837" s="95"/>
      <c r="L837" s="82">
        <v>54.0</v>
      </c>
      <c r="M837" s="128">
        <v>45697.0</v>
      </c>
      <c r="N837" s="72">
        <f t="shared" si="68"/>
        <v>32</v>
      </c>
      <c r="O837" s="96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</row>
    <row r="838" ht="22.5" customHeight="1">
      <c r="A838" s="86">
        <v>45729.0</v>
      </c>
      <c r="B838" s="63" t="s">
        <v>27</v>
      </c>
      <c r="C838" s="79"/>
      <c r="D838" s="80">
        <v>16800.0</v>
      </c>
      <c r="E838" s="66" t="s">
        <v>28</v>
      </c>
      <c r="F838" s="84" t="s">
        <v>674</v>
      </c>
      <c r="G838" s="68">
        <v>0.0</v>
      </c>
      <c r="H838" s="69">
        <f t="shared" si="60"/>
        <v>0</v>
      </c>
      <c r="I838" s="76" t="s">
        <v>30</v>
      </c>
      <c r="J838" s="87" t="s">
        <v>690</v>
      </c>
      <c r="K838" s="95"/>
      <c r="L838" s="95"/>
      <c r="M838" s="95"/>
      <c r="N838" s="72"/>
      <c r="O838" s="96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</row>
    <row r="839" ht="22.5" customHeight="1">
      <c r="A839" s="86">
        <v>45729.0</v>
      </c>
      <c r="B839" s="63" t="s">
        <v>27</v>
      </c>
      <c r="C839" s="79"/>
      <c r="D839" s="80">
        <v>217000.0</v>
      </c>
      <c r="E839" s="66" t="s">
        <v>28</v>
      </c>
      <c r="F839" s="84" t="s">
        <v>674</v>
      </c>
      <c r="G839" s="68">
        <v>0.0</v>
      </c>
      <c r="H839" s="69">
        <f t="shared" si="60"/>
        <v>0</v>
      </c>
      <c r="I839" s="76" t="s">
        <v>495</v>
      </c>
      <c r="J839" s="87" t="s">
        <v>691</v>
      </c>
      <c r="K839" s="95"/>
      <c r="L839" s="95"/>
      <c r="M839" s="95"/>
      <c r="N839" s="72"/>
      <c r="O839" s="96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</row>
    <row r="840" ht="22.5" customHeight="1">
      <c r="A840" s="86">
        <v>45729.0</v>
      </c>
      <c r="B840" s="63" t="s">
        <v>27</v>
      </c>
      <c r="C840" s="79"/>
      <c r="D840" s="79">
        <v>16940.0</v>
      </c>
      <c r="E840" s="66" t="s">
        <v>33</v>
      </c>
      <c r="F840" s="84" t="s">
        <v>674</v>
      </c>
      <c r="G840" s="68">
        <v>0.0</v>
      </c>
      <c r="H840" s="69">
        <f t="shared" si="60"/>
        <v>0</v>
      </c>
      <c r="I840" s="76" t="s">
        <v>495</v>
      </c>
      <c r="J840" s="87" t="s">
        <v>692</v>
      </c>
      <c r="K840" s="95"/>
      <c r="L840" s="95"/>
      <c r="M840" s="95"/>
      <c r="N840" s="72"/>
      <c r="O840" s="96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</row>
    <row r="841" ht="22.5" customHeight="1">
      <c r="A841" s="86">
        <v>45729.0</v>
      </c>
      <c r="B841" s="63" t="s">
        <v>27</v>
      </c>
      <c r="C841" s="79"/>
      <c r="D841" s="80">
        <v>10000.0</v>
      </c>
      <c r="E841" s="66" t="s">
        <v>33</v>
      </c>
      <c r="F841" s="84" t="s">
        <v>674</v>
      </c>
      <c r="G841" s="68">
        <v>0.0</v>
      </c>
      <c r="H841" s="69">
        <f t="shared" si="60"/>
        <v>0</v>
      </c>
      <c r="I841" s="76" t="s">
        <v>490</v>
      </c>
      <c r="J841" s="87" t="s">
        <v>693</v>
      </c>
      <c r="K841" s="95"/>
      <c r="L841" s="95"/>
      <c r="M841" s="95"/>
      <c r="N841" s="72"/>
      <c r="O841" s="96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</row>
    <row r="842" ht="22.5" customHeight="1">
      <c r="A842" s="86">
        <v>45729.0</v>
      </c>
      <c r="B842" s="63" t="s">
        <v>27</v>
      </c>
      <c r="C842" s="79"/>
      <c r="D842" s="80">
        <v>100000.0</v>
      </c>
      <c r="E842" s="66" t="s">
        <v>33</v>
      </c>
      <c r="F842" s="84" t="s">
        <v>674</v>
      </c>
      <c r="G842" s="68">
        <v>0.0</v>
      </c>
      <c r="H842" s="69">
        <f t="shared" si="60"/>
        <v>0</v>
      </c>
      <c r="I842" s="76" t="s">
        <v>490</v>
      </c>
      <c r="J842" s="87" t="s">
        <v>694</v>
      </c>
      <c r="K842" s="95"/>
      <c r="L842" s="95"/>
      <c r="M842" s="95"/>
      <c r="N842" s="72"/>
      <c r="O842" s="96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</row>
    <row r="843" ht="22.5" customHeight="1">
      <c r="A843" s="86">
        <v>45729.0</v>
      </c>
      <c r="B843" s="63" t="s">
        <v>27</v>
      </c>
      <c r="C843" s="79"/>
      <c r="D843" s="80">
        <v>135000.0</v>
      </c>
      <c r="E843" s="66" t="s">
        <v>33</v>
      </c>
      <c r="F843" s="84" t="s">
        <v>674</v>
      </c>
      <c r="G843" s="68">
        <v>0.0</v>
      </c>
      <c r="H843" s="69">
        <f t="shared" si="60"/>
        <v>0</v>
      </c>
      <c r="I843" s="70" t="s">
        <v>35</v>
      </c>
      <c r="J843" s="87" t="s">
        <v>676</v>
      </c>
      <c r="K843" s="95"/>
      <c r="L843" s="95"/>
      <c r="M843" s="95"/>
      <c r="N843" s="72"/>
      <c r="O843" s="96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</row>
    <row r="844" ht="22.5" customHeight="1">
      <c r="A844" s="86">
        <v>45730.0</v>
      </c>
      <c r="B844" s="63" t="s">
        <v>27</v>
      </c>
      <c r="C844" s="79"/>
      <c r="D844" s="80">
        <v>50000.0</v>
      </c>
      <c r="E844" s="66" t="s">
        <v>33</v>
      </c>
      <c r="F844" s="84" t="s">
        <v>674</v>
      </c>
      <c r="G844" s="68">
        <v>0.0</v>
      </c>
      <c r="H844" s="69">
        <f t="shared" si="60"/>
        <v>0</v>
      </c>
      <c r="I844" s="76" t="s">
        <v>53</v>
      </c>
      <c r="J844" s="87" t="s">
        <v>695</v>
      </c>
      <c r="K844" s="95"/>
      <c r="L844" s="95"/>
      <c r="M844" s="95"/>
      <c r="N844" s="72"/>
      <c r="O844" s="96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</row>
    <row r="845" ht="22.5" customHeight="1">
      <c r="A845" s="86">
        <v>45730.0</v>
      </c>
      <c r="B845" s="63" t="s">
        <v>27</v>
      </c>
      <c r="C845" s="79"/>
      <c r="D845" s="80">
        <v>3700.0</v>
      </c>
      <c r="E845" s="66" t="s">
        <v>33</v>
      </c>
      <c r="F845" s="84" t="s">
        <v>674</v>
      </c>
      <c r="G845" s="68">
        <v>0.0</v>
      </c>
      <c r="H845" s="69">
        <f t="shared" si="60"/>
        <v>0</v>
      </c>
      <c r="I845" s="76" t="s">
        <v>495</v>
      </c>
      <c r="J845" s="87" t="s">
        <v>696</v>
      </c>
      <c r="K845" s="95"/>
      <c r="L845" s="95"/>
      <c r="M845" s="95"/>
      <c r="N845" s="72"/>
      <c r="O845" s="96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</row>
    <row r="846" ht="22.5" customHeight="1">
      <c r="A846" s="86">
        <v>45734.0</v>
      </c>
      <c r="B846" s="63" t="s">
        <v>27</v>
      </c>
      <c r="C846" s="79"/>
      <c r="D846" s="80">
        <v>20000.0</v>
      </c>
      <c r="E846" s="66" t="s">
        <v>33</v>
      </c>
      <c r="F846" s="84" t="s">
        <v>674</v>
      </c>
      <c r="G846" s="68">
        <v>0.0</v>
      </c>
      <c r="H846" s="69">
        <f t="shared" si="60"/>
        <v>0</v>
      </c>
      <c r="I846" s="76" t="s">
        <v>490</v>
      </c>
      <c r="J846" s="87" t="s">
        <v>697</v>
      </c>
      <c r="K846" s="95"/>
      <c r="L846" s="95"/>
      <c r="M846" s="95"/>
      <c r="N846" s="72"/>
      <c r="O846" s="96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</row>
    <row r="847" ht="22.5" customHeight="1">
      <c r="A847" s="86">
        <v>45735.0</v>
      </c>
      <c r="B847" s="63" t="s">
        <v>27</v>
      </c>
      <c r="C847" s="79"/>
      <c r="D847" s="80">
        <v>7267277.67</v>
      </c>
      <c r="E847" s="66" t="s">
        <v>376</v>
      </c>
      <c r="F847" s="84" t="s">
        <v>619</v>
      </c>
      <c r="G847" s="68">
        <v>20.0</v>
      </c>
      <c r="H847" s="69">
        <f t="shared" si="60"/>
        <v>1211212.945</v>
      </c>
      <c r="I847" s="76" t="s">
        <v>101</v>
      </c>
      <c r="J847" s="100" t="s">
        <v>102</v>
      </c>
      <c r="K847" s="95"/>
      <c r="L847" s="95"/>
      <c r="M847" s="95"/>
      <c r="N847" s="72"/>
      <c r="O847" s="96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</row>
    <row r="848" ht="22.5" customHeight="1">
      <c r="A848" s="86">
        <v>45735.0</v>
      </c>
      <c r="B848" s="63" t="s">
        <v>27</v>
      </c>
      <c r="C848" s="80">
        <v>126000.0</v>
      </c>
      <c r="D848" s="80"/>
      <c r="E848" s="66" t="s">
        <v>28</v>
      </c>
      <c r="F848" s="84" t="s">
        <v>619</v>
      </c>
      <c r="G848" s="68">
        <v>20.0</v>
      </c>
      <c r="H848" s="69">
        <f t="shared" si="60"/>
        <v>21000</v>
      </c>
      <c r="I848" s="76" t="s">
        <v>37</v>
      </c>
      <c r="J848" s="87" t="s">
        <v>654</v>
      </c>
      <c r="K848" s="95"/>
      <c r="L848" s="82">
        <v>2.0</v>
      </c>
      <c r="M848" s="128">
        <v>45666.0</v>
      </c>
      <c r="N848" s="72">
        <f>A848-IF(M848&gt;0,M848,A848)</f>
        <v>69</v>
      </c>
      <c r="O848" s="96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</row>
    <row r="849" ht="22.5" customHeight="1">
      <c r="A849" s="86">
        <v>45735.0</v>
      </c>
      <c r="B849" s="63" t="s">
        <v>27</v>
      </c>
      <c r="C849" s="79"/>
      <c r="D849" s="80">
        <v>25560.0</v>
      </c>
      <c r="E849" s="66" t="s">
        <v>28</v>
      </c>
      <c r="F849" s="84" t="s">
        <v>674</v>
      </c>
      <c r="G849" s="68">
        <v>0.0</v>
      </c>
      <c r="H849" s="69">
        <f t="shared" si="60"/>
        <v>0</v>
      </c>
      <c r="I849" s="76" t="s">
        <v>495</v>
      </c>
      <c r="J849" s="87" t="s">
        <v>698</v>
      </c>
      <c r="K849" s="95"/>
      <c r="L849" s="95"/>
      <c r="M849" s="95"/>
      <c r="N849" s="72"/>
      <c r="O849" s="83" t="s">
        <v>642</v>
      </c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</row>
    <row r="850" ht="22.5" customHeight="1">
      <c r="A850" s="86">
        <v>45736.0</v>
      </c>
      <c r="B850" s="63" t="s">
        <v>27</v>
      </c>
      <c r="C850" s="79"/>
      <c r="D850" s="80">
        <v>18000.0</v>
      </c>
      <c r="E850" s="66" t="s">
        <v>33</v>
      </c>
      <c r="F850" s="84" t="s">
        <v>674</v>
      </c>
      <c r="G850" s="68">
        <v>0.0</v>
      </c>
      <c r="H850" s="69">
        <f t="shared" si="60"/>
        <v>0</v>
      </c>
      <c r="I850" s="76" t="s">
        <v>490</v>
      </c>
      <c r="J850" s="87" t="s">
        <v>699</v>
      </c>
      <c r="K850" s="95"/>
      <c r="L850" s="95"/>
      <c r="M850" s="95"/>
      <c r="N850" s="72"/>
      <c r="O850" s="96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</row>
    <row r="851" ht="22.5" customHeight="1">
      <c r="A851" s="86">
        <v>45736.0</v>
      </c>
      <c r="B851" s="63" t="s">
        <v>27</v>
      </c>
      <c r="C851" s="79"/>
      <c r="D851" s="80">
        <v>8500.0</v>
      </c>
      <c r="E851" s="66" t="s">
        <v>33</v>
      </c>
      <c r="F851" s="84" t="s">
        <v>674</v>
      </c>
      <c r="G851" s="68">
        <v>0.0</v>
      </c>
      <c r="H851" s="69">
        <f t="shared" si="60"/>
        <v>0</v>
      </c>
      <c r="I851" s="76" t="s">
        <v>495</v>
      </c>
      <c r="J851" s="87" t="s">
        <v>700</v>
      </c>
      <c r="K851" s="95"/>
      <c r="L851" s="95"/>
      <c r="M851" s="95"/>
      <c r="N851" s="72"/>
      <c r="O851" s="96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</row>
    <row r="852" ht="22.5" customHeight="1">
      <c r="A852" s="86">
        <v>45736.0</v>
      </c>
      <c r="B852" s="63" t="s">
        <v>27</v>
      </c>
      <c r="C852" s="79"/>
      <c r="D852" s="80">
        <v>250.0</v>
      </c>
      <c r="E852" s="66" t="s">
        <v>28</v>
      </c>
      <c r="F852" s="84" t="s">
        <v>674</v>
      </c>
      <c r="G852" s="68">
        <v>0.0</v>
      </c>
      <c r="H852" s="69">
        <f t="shared" si="60"/>
        <v>0</v>
      </c>
      <c r="I852" s="70" t="s">
        <v>35</v>
      </c>
      <c r="J852" s="87" t="s">
        <v>701</v>
      </c>
      <c r="K852" s="95"/>
      <c r="L852" s="95"/>
      <c r="M852" s="95"/>
      <c r="N852" s="72"/>
      <c r="O852" s="96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</row>
    <row r="853" ht="22.5" customHeight="1">
      <c r="A853" s="86">
        <v>45736.0</v>
      </c>
      <c r="B853" s="63" t="s">
        <v>27</v>
      </c>
      <c r="C853" s="79"/>
      <c r="D853" s="80">
        <v>8600.0</v>
      </c>
      <c r="E853" s="66" t="s">
        <v>33</v>
      </c>
      <c r="F853" s="84" t="s">
        <v>674</v>
      </c>
      <c r="G853" s="68">
        <v>0.0</v>
      </c>
      <c r="H853" s="69">
        <f t="shared" si="60"/>
        <v>0</v>
      </c>
      <c r="I853" s="76" t="s">
        <v>490</v>
      </c>
      <c r="J853" s="87" t="s">
        <v>702</v>
      </c>
      <c r="K853" s="95"/>
      <c r="L853" s="95"/>
      <c r="M853" s="95"/>
      <c r="N853" s="72"/>
      <c r="O853" s="96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</row>
    <row r="854" ht="22.5" customHeight="1">
      <c r="A854" s="86">
        <v>45736.0</v>
      </c>
      <c r="B854" s="63" t="s">
        <v>27</v>
      </c>
      <c r="C854" s="80">
        <v>1050000.0</v>
      </c>
      <c r="D854" s="80"/>
      <c r="E854" s="66" t="s">
        <v>28</v>
      </c>
      <c r="F854" s="84" t="s">
        <v>626</v>
      </c>
      <c r="G854" s="68">
        <v>20.0</v>
      </c>
      <c r="H854" s="69">
        <f t="shared" si="60"/>
        <v>175000</v>
      </c>
      <c r="I854" s="76" t="s">
        <v>37</v>
      </c>
      <c r="J854" s="87" t="s">
        <v>605</v>
      </c>
      <c r="K854" s="82" t="s">
        <v>703</v>
      </c>
      <c r="L854" s="82">
        <v>87.0</v>
      </c>
      <c r="M854" s="128">
        <v>45727.0</v>
      </c>
      <c r="N854" s="72">
        <f>A854-IF(M854&gt;0,M854,A854)</f>
        <v>9</v>
      </c>
      <c r="O854" s="96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</row>
    <row r="855" ht="22.5" customHeight="1">
      <c r="A855" s="86">
        <v>45736.0</v>
      </c>
      <c r="B855" s="63" t="s">
        <v>27</v>
      </c>
      <c r="C855" s="79"/>
      <c r="D855" s="80">
        <v>20410.29</v>
      </c>
      <c r="E855" s="66" t="s">
        <v>28</v>
      </c>
      <c r="F855" s="84" t="s">
        <v>674</v>
      </c>
      <c r="G855" s="68">
        <v>0.0</v>
      </c>
      <c r="H855" s="69">
        <f t="shared" si="60"/>
        <v>0</v>
      </c>
      <c r="I855" s="76" t="s">
        <v>68</v>
      </c>
      <c r="J855" s="87" t="s">
        <v>704</v>
      </c>
      <c r="K855" s="95"/>
      <c r="L855" s="95"/>
      <c r="M855" s="95"/>
      <c r="N855" s="72"/>
      <c r="O855" s="96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</row>
    <row r="856" ht="22.5" customHeight="1">
      <c r="A856" s="86">
        <v>45739.0</v>
      </c>
      <c r="B856" s="63" t="s">
        <v>27</v>
      </c>
      <c r="C856" s="79"/>
      <c r="D856" s="80">
        <v>2400.0</v>
      </c>
      <c r="E856" s="66" t="s">
        <v>376</v>
      </c>
      <c r="F856" s="84" t="s">
        <v>674</v>
      </c>
      <c r="G856" s="68">
        <v>0.0</v>
      </c>
      <c r="H856" s="69">
        <f t="shared" si="60"/>
        <v>0</v>
      </c>
      <c r="I856" s="76" t="s">
        <v>294</v>
      </c>
      <c r="J856" s="87" t="s">
        <v>377</v>
      </c>
      <c r="K856" s="95"/>
      <c r="L856" s="95"/>
      <c r="M856" s="95"/>
      <c r="N856" s="72"/>
      <c r="O856" s="96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</row>
    <row r="857" ht="22.5" customHeight="1">
      <c r="A857" s="86">
        <v>45741.0</v>
      </c>
      <c r="B857" s="63" t="s">
        <v>27</v>
      </c>
      <c r="C857" s="79"/>
      <c r="D857" s="79">
        <f>354211+351.43+16025</f>
        <v>370587.43</v>
      </c>
      <c r="E857" s="66" t="s">
        <v>28</v>
      </c>
      <c r="F857" s="84" t="s">
        <v>674</v>
      </c>
      <c r="G857" s="68">
        <v>0.0</v>
      </c>
      <c r="H857" s="69">
        <f t="shared" si="60"/>
        <v>0</v>
      </c>
      <c r="I857" s="76" t="s">
        <v>280</v>
      </c>
      <c r="J857" s="87" t="s">
        <v>705</v>
      </c>
      <c r="K857" s="95"/>
      <c r="L857" s="95"/>
      <c r="M857" s="95"/>
      <c r="N857" s="72"/>
      <c r="O857" s="96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</row>
    <row r="858" ht="22.5" customHeight="1">
      <c r="A858" s="86">
        <v>45742.0</v>
      </c>
      <c r="B858" s="63" t="s">
        <v>27</v>
      </c>
      <c r="C858" s="80">
        <v>1134000.0</v>
      </c>
      <c r="D858" s="80"/>
      <c r="E858" s="66" t="s">
        <v>376</v>
      </c>
      <c r="F858" s="84" t="s">
        <v>619</v>
      </c>
      <c r="G858" s="68">
        <v>20.0</v>
      </c>
      <c r="H858" s="69">
        <f t="shared" si="60"/>
        <v>189000</v>
      </c>
      <c r="I858" s="76" t="s">
        <v>37</v>
      </c>
      <c r="J858" s="87" t="s">
        <v>110</v>
      </c>
      <c r="K858" s="95"/>
      <c r="L858" s="82">
        <v>4.0</v>
      </c>
      <c r="M858" s="128">
        <v>45667.0</v>
      </c>
      <c r="N858" s="72">
        <f t="shared" ref="N858:N862" si="69">A858-IF(M858&gt;0,M858,A858)</f>
        <v>75</v>
      </c>
      <c r="O858" s="96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</row>
    <row r="859" ht="22.5" customHeight="1">
      <c r="A859" s="86">
        <v>45742.0</v>
      </c>
      <c r="B859" s="63" t="s">
        <v>27</v>
      </c>
      <c r="C859" s="80">
        <v>945000.0</v>
      </c>
      <c r="D859" s="80"/>
      <c r="E859" s="66" t="s">
        <v>376</v>
      </c>
      <c r="F859" s="84" t="s">
        <v>619</v>
      </c>
      <c r="G859" s="68">
        <v>20.0</v>
      </c>
      <c r="H859" s="69">
        <f t="shared" si="60"/>
        <v>157500</v>
      </c>
      <c r="I859" s="76" t="s">
        <v>37</v>
      </c>
      <c r="J859" s="87" t="s">
        <v>110</v>
      </c>
      <c r="K859" s="95"/>
      <c r="L859" s="82">
        <v>5.0</v>
      </c>
      <c r="M859" s="128">
        <v>45667.0</v>
      </c>
      <c r="N859" s="72">
        <f t="shared" si="69"/>
        <v>75</v>
      </c>
      <c r="O859" s="96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</row>
    <row r="860" ht="22.5" customHeight="1">
      <c r="A860" s="86">
        <v>45742.0</v>
      </c>
      <c r="B860" s="63" t="s">
        <v>27</v>
      </c>
      <c r="C860" s="80">
        <v>315000.0</v>
      </c>
      <c r="D860" s="80"/>
      <c r="E860" s="66" t="s">
        <v>376</v>
      </c>
      <c r="F860" s="84" t="s">
        <v>619</v>
      </c>
      <c r="G860" s="68">
        <v>20.0</v>
      </c>
      <c r="H860" s="69">
        <f t="shared" si="60"/>
        <v>52500</v>
      </c>
      <c r="I860" s="76" t="s">
        <v>37</v>
      </c>
      <c r="J860" s="87" t="s">
        <v>110</v>
      </c>
      <c r="K860" s="95"/>
      <c r="L860" s="82">
        <v>6.0</v>
      </c>
      <c r="M860" s="128">
        <v>45667.0</v>
      </c>
      <c r="N860" s="72">
        <f t="shared" si="69"/>
        <v>75</v>
      </c>
      <c r="O860" s="96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</row>
    <row r="861" ht="22.5" customHeight="1">
      <c r="A861" s="86">
        <v>45742.0</v>
      </c>
      <c r="B861" s="63" t="s">
        <v>27</v>
      </c>
      <c r="C861" s="80">
        <v>1134000.0</v>
      </c>
      <c r="D861" s="80"/>
      <c r="E861" s="66" t="s">
        <v>376</v>
      </c>
      <c r="F861" s="84" t="s">
        <v>619</v>
      </c>
      <c r="G861" s="68">
        <v>20.0</v>
      </c>
      <c r="H861" s="69">
        <f t="shared" si="60"/>
        <v>189000</v>
      </c>
      <c r="I861" s="76" t="s">
        <v>37</v>
      </c>
      <c r="J861" s="87" t="s">
        <v>110</v>
      </c>
      <c r="K861" s="95"/>
      <c r="L861" s="82">
        <v>7.0</v>
      </c>
      <c r="M861" s="128">
        <v>45667.0</v>
      </c>
      <c r="N861" s="72">
        <f t="shared" si="69"/>
        <v>75</v>
      </c>
      <c r="O861" s="96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</row>
    <row r="862" ht="22.5" customHeight="1">
      <c r="A862" s="86">
        <v>45742.0</v>
      </c>
      <c r="B862" s="63" t="s">
        <v>27</v>
      </c>
      <c r="C862" s="80">
        <v>5421000.06</v>
      </c>
      <c r="D862" s="80"/>
      <c r="E862" s="66" t="s">
        <v>376</v>
      </c>
      <c r="F862" s="84" t="s">
        <v>619</v>
      </c>
      <c r="G862" s="68">
        <v>20.0</v>
      </c>
      <c r="H862" s="69">
        <f t="shared" si="60"/>
        <v>903500.01</v>
      </c>
      <c r="I862" s="76" t="s">
        <v>37</v>
      </c>
      <c r="J862" s="87" t="s">
        <v>110</v>
      </c>
      <c r="K862" s="95"/>
      <c r="L862" s="82">
        <v>18.0</v>
      </c>
      <c r="M862" s="128">
        <v>45671.0</v>
      </c>
      <c r="N862" s="72">
        <f t="shared" si="69"/>
        <v>71</v>
      </c>
      <c r="O862" s="96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</row>
    <row r="863" ht="22.5" customHeight="1">
      <c r="A863" s="86">
        <v>45742.0</v>
      </c>
      <c r="B863" s="63" t="s">
        <v>27</v>
      </c>
      <c r="C863" s="79"/>
      <c r="D863" s="79">
        <v>6274509.803921568</v>
      </c>
      <c r="E863" s="66" t="s">
        <v>28</v>
      </c>
      <c r="F863" s="84" t="s">
        <v>674</v>
      </c>
      <c r="G863" s="68">
        <v>20.0</v>
      </c>
      <c r="H863" s="69">
        <f t="shared" si="60"/>
        <v>1045751.634</v>
      </c>
      <c r="I863" s="76" t="s">
        <v>47</v>
      </c>
      <c r="J863" s="81"/>
      <c r="K863" s="95"/>
      <c r="L863" s="95"/>
      <c r="M863" s="95"/>
      <c r="N863" s="72"/>
      <c r="O863" s="96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</row>
    <row r="864" ht="22.5" customHeight="1">
      <c r="A864" s="86">
        <v>45742.0</v>
      </c>
      <c r="B864" s="63" t="s">
        <v>27</v>
      </c>
      <c r="C864" s="80">
        <v>4800000.0</v>
      </c>
      <c r="D864" s="79"/>
      <c r="E864" s="66" t="s">
        <v>33</v>
      </c>
      <c r="F864" s="84" t="s">
        <v>674</v>
      </c>
      <c r="G864" s="68">
        <v>0.0</v>
      </c>
      <c r="H864" s="69">
        <f t="shared" si="60"/>
        <v>0</v>
      </c>
      <c r="I864" s="76" t="s">
        <v>47</v>
      </c>
      <c r="J864" s="98"/>
      <c r="K864" s="95"/>
      <c r="L864" s="95"/>
      <c r="M864" s="95"/>
      <c r="N864" s="72"/>
      <c r="O864" s="96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</row>
    <row r="865" ht="22.5" customHeight="1">
      <c r="A865" s="86">
        <v>45742.0</v>
      </c>
      <c r="B865" s="63" t="s">
        <v>27</v>
      </c>
      <c r="C865" s="79"/>
      <c r="D865" s="80">
        <v>1500.0</v>
      </c>
      <c r="E865" s="66" t="s">
        <v>33</v>
      </c>
      <c r="F865" s="84" t="s">
        <v>674</v>
      </c>
      <c r="G865" s="68">
        <v>0.0</v>
      </c>
      <c r="H865" s="69">
        <f t="shared" si="60"/>
        <v>0</v>
      </c>
      <c r="I865" s="76" t="s">
        <v>495</v>
      </c>
      <c r="J865" s="87" t="s">
        <v>706</v>
      </c>
      <c r="K865" s="95"/>
      <c r="L865" s="95"/>
      <c r="M865" s="95"/>
      <c r="N865" s="72"/>
      <c r="O865" s="96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</row>
    <row r="866" ht="22.5" customHeight="1">
      <c r="A866" s="86">
        <v>45742.0</v>
      </c>
      <c r="B866" s="63" t="s">
        <v>27</v>
      </c>
      <c r="C866" s="79"/>
      <c r="D866" s="80">
        <v>3000.0</v>
      </c>
      <c r="E866" s="66" t="s">
        <v>33</v>
      </c>
      <c r="F866" s="84" t="s">
        <v>674</v>
      </c>
      <c r="G866" s="68">
        <v>0.0</v>
      </c>
      <c r="H866" s="69">
        <f t="shared" si="60"/>
        <v>0</v>
      </c>
      <c r="I866" s="76" t="s">
        <v>495</v>
      </c>
      <c r="J866" s="87" t="s">
        <v>707</v>
      </c>
      <c r="K866" s="95"/>
      <c r="L866" s="95"/>
      <c r="M866" s="95"/>
      <c r="N866" s="72"/>
      <c r="O866" s="96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</row>
    <row r="867" ht="22.5" customHeight="1">
      <c r="A867" s="86">
        <v>45742.0</v>
      </c>
      <c r="B867" s="63" t="s">
        <v>27</v>
      </c>
      <c r="C867" s="79"/>
      <c r="D867" s="80">
        <v>628114.0</v>
      </c>
      <c r="E867" s="66" t="s">
        <v>33</v>
      </c>
      <c r="F867" s="84" t="s">
        <v>674</v>
      </c>
      <c r="G867" s="68">
        <v>0.0</v>
      </c>
      <c r="H867" s="69">
        <f t="shared" si="60"/>
        <v>0</v>
      </c>
      <c r="I867" s="76" t="s">
        <v>93</v>
      </c>
      <c r="J867" s="87" t="s">
        <v>708</v>
      </c>
      <c r="K867" s="95"/>
      <c r="L867" s="95"/>
      <c r="M867" s="95"/>
      <c r="N867" s="72"/>
      <c r="O867" s="96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</row>
    <row r="868" ht="22.5" customHeight="1">
      <c r="A868" s="86">
        <v>45742.0</v>
      </c>
      <c r="B868" s="63" t="s">
        <v>27</v>
      </c>
      <c r="C868" s="79"/>
      <c r="D868" s="80">
        <v>800.0</v>
      </c>
      <c r="E868" s="66" t="s">
        <v>33</v>
      </c>
      <c r="F868" s="84" t="s">
        <v>674</v>
      </c>
      <c r="G868" s="68">
        <v>0.0</v>
      </c>
      <c r="H868" s="69">
        <f t="shared" si="60"/>
        <v>0</v>
      </c>
      <c r="I868" s="76" t="s">
        <v>495</v>
      </c>
      <c r="J868" s="87" t="s">
        <v>709</v>
      </c>
      <c r="K868" s="95"/>
      <c r="L868" s="95"/>
      <c r="M868" s="95"/>
      <c r="N868" s="72"/>
      <c r="O868" s="96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</row>
    <row r="869" ht="22.5" customHeight="1">
      <c r="A869" s="86">
        <v>45743.0</v>
      </c>
      <c r="B869" s="63" t="s">
        <v>27</v>
      </c>
      <c r="C869" s="79"/>
      <c r="D869" s="80">
        <v>59730.0</v>
      </c>
      <c r="E869" s="66" t="s">
        <v>28</v>
      </c>
      <c r="F869" s="84" t="s">
        <v>664</v>
      </c>
      <c r="G869" s="68">
        <v>0.0</v>
      </c>
      <c r="H869" s="69">
        <f t="shared" si="60"/>
        <v>0</v>
      </c>
      <c r="I869" s="76" t="s">
        <v>322</v>
      </c>
      <c r="J869" s="87" t="s">
        <v>675</v>
      </c>
      <c r="K869" s="95"/>
      <c r="L869" s="95"/>
      <c r="M869" s="95"/>
      <c r="N869" s="72"/>
      <c r="O869" s="96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</row>
    <row r="870" ht="22.5" customHeight="1">
      <c r="A870" s="86">
        <v>45743.0</v>
      </c>
      <c r="B870" s="63" t="s">
        <v>27</v>
      </c>
      <c r="C870" s="79"/>
      <c r="D870" s="80">
        <v>119999.99</v>
      </c>
      <c r="E870" s="66" t="s">
        <v>28</v>
      </c>
      <c r="F870" s="84" t="s">
        <v>664</v>
      </c>
      <c r="G870" s="68">
        <v>0.0</v>
      </c>
      <c r="H870" s="69">
        <f t="shared" si="60"/>
        <v>0</v>
      </c>
      <c r="I870" s="76" t="s">
        <v>322</v>
      </c>
      <c r="J870" s="98" t="s">
        <v>657</v>
      </c>
      <c r="K870" s="95"/>
      <c r="L870" s="95"/>
      <c r="M870" s="95"/>
      <c r="N870" s="72"/>
      <c r="O870" s="96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</row>
    <row r="871" ht="22.5" customHeight="1">
      <c r="A871" s="86">
        <v>45743.0</v>
      </c>
      <c r="B871" s="63" t="s">
        <v>27</v>
      </c>
      <c r="C871" s="79"/>
      <c r="D871" s="80">
        <v>600884.4</v>
      </c>
      <c r="E871" s="66" t="s">
        <v>28</v>
      </c>
      <c r="F871" s="84" t="s">
        <v>664</v>
      </c>
      <c r="G871" s="68">
        <v>0.0</v>
      </c>
      <c r="H871" s="69">
        <f t="shared" si="60"/>
        <v>0</v>
      </c>
      <c r="I871" s="76" t="s">
        <v>322</v>
      </c>
      <c r="J871" s="87" t="s">
        <v>624</v>
      </c>
      <c r="K871" s="95"/>
      <c r="L871" s="95"/>
      <c r="M871" s="95"/>
      <c r="N871" s="72"/>
      <c r="O871" s="96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</row>
    <row r="872" ht="22.5" customHeight="1">
      <c r="A872" s="86">
        <v>45743.0</v>
      </c>
      <c r="B872" s="63" t="s">
        <v>27</v>
      </c>
      <c r="C872" s="79"/>
      <c r="D872" s="80">
        <v>2936927.95</v>
      </c>
      <c r="E872" s="66" t="s">
        <v>376</v>
      </c>
      <c r="F872" s="84" t="s">
        <v>664</v>
      </c>
      <c r="G872" s="68">
        <v>0.0</v>
      </c>
      <c r="H872" s="69">
        <f t="shared" si="60"/>
        <v>0</v>
      </c>
      <c r="I872" s="76" t="s">
        <v>322</v>
      </c>
      <c r="J872" s="87" t="s">
        <v>539</v>
      </c>
      <c r="K872" s="95"/>
      <c r="L872" s="95"/>
      <c r="M872" s="95"/>
      <c r="N872" s="72"/>
      <c r="O872" s="96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</row>
    <row r="873" ht="22.5" customHeight="1">
      <c r="A873" s="86">
        <v>45743.0</v>
      </c>
      <c r="B873" s="63" t="s">
        <v>27</v>
      </c>
      <c r="C873" s="79"/>
      <c r="D873" s="80">
        <v>317571.19</v>
      </c>
      <c r="E873" s="66" t="s">
        <v>28</v>
      </c>
      <c r="F873" s="84" t="s">
        <v>664</v>
      </c>
      <c r="G873" s="68">
        <v>0.0</v>
      </c>
      <c r="H873" s="69">
        <f t="shared" si="60"/>
        <v>0</v>
      </c>
      <c r="I873" s="76" t="s">
        <v>322</v>
      </c>
      <c r="J873" s="87" t="s">
        <v>122</v>
      </c>
      <c r="K873" s="95"/>
      <c r="L873" s="95"/>
      <c r="M873" s="95"/>
      <c r="N873" s="72"/>
      <c r="O873" s="140" t="s">
        <v>710</v>
      </c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</row>
    <row r="874" ht="22.5" customHeight="1">
      <c r="A874" s="86">
        <v>45743.0</v>
      </c>
      <c r="B874" s="63" t="s">
        <v>27</v>
      </c>
      <c r="C874" s="79"/>
      <c r="D874" s="80">
        <v>500000.0</v>
      </c>
      <c r="E874" s="66" t="s">
        <v>376</v>
      </c>
      <c r="F874" s="84" t="s">
        <v>594</v>
      </c>
      <c r="G874" s="68">
        <v>20.0</v>
      </c>
      <c r="H874" s="69">
        <f t="shared" si="60"/>
        <v>83333.33333</v>
      </c>
      <c r="I874" s="76" t="s">
        <v>101</v>
      </c>
      <c r="J874" s="136" t="s">
        <v>597</v>
      </c>
      <c r="K874" s="95"/>
      <c r="L874" s="95"/>
      <c r="M874" s="95"/>
      <c r="N874" s="72"/>
      <c r="O874" s="140" t="s">
        <v>711</v>
      </c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</row>
    <row r="875" ht="22.5" customHeight="1">
      <c r="A875" s="86">
        <v>45743.0</v>
      </c>
      <c r="B875" s="63" t="s">
        <v>27</v>
      </c>
      <c r="C875" s="79"/>
      <c r="D875" s="80">
        <v>168685.36</v>
      </c>
      <c r="E875" s="66" t="s">
        <v>376</v>
      </c>
      <c r="F875" s="84" t="s">
        <v>594</v>
      </c>
      <c r="G875" s="68">
        <v>20.0</v>
      </c>
      <c r="H875" s="69">
        <f t="shared" si="60"/>
        <v>28114.22667</v>
      </c>
      <c r="I875" s="76" t="s">
        <v>101</v>
      </c>
      <c r="J875" s="141" t="s">
        <v>643</v>
      </c>
      <c r="K875" s="95"/>
      <c r="L875" s="95"/>
      <c r="M875" s="95"/>
      <c r="N875" s="72"/>
      <c r="O875" s="140" t="s">
        <v>712</v>
      </c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</row>
    <row r="876" ht="22.5" customHeight="1">
      <c r="A876" s="86">
        <v>45743.0</v>
      </c>
      <c r="B876" s="63" t="s">
        <v>27</v>
      </c>
      <c r="C876" s="79"/>
      <c r="D876" s="80">
        <v>161710.5</v>
      </c>
      <c r="E876" s="66" t="s">
        <v>376</v>
      </c>
      <c r="F876" s="84" t="s">
        <v>594</v>
      </c>
      <c r="G876" s="68">
        <v>20.0</v>
      </c>
      <c r="H876" s="69">
        <f t="shared" si="60"/>
        <v>26951.75</v>
      </c>
      <c r="I876" s="76" t="s">
        <v>101</v>
      </c>
      <c r="J876" s="141" t="s">
        <v>672</v>
      </c>
      <c r="K876" s="95"/>
      <c r="L876" s="95"/>
      <c r="M876" s="95"/>
      <c r="N876" s="72"/>
      <c r="O876" s="140" t="s">
        <v>713</v>
      </c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</row>
    <row r="877" ht="22.5" customHeight="1">
      <c r="A877" s="86">
        <v>45743.0</v>
      </c>
      <c r="B877" s="63" t="s">
        <v>27</v>
      </c>
      <c r="C877" s="79"/>
      <c r="D877" s="80">
        <v>130465.1</v>
      </c>
      <c r="E877" s="66" t="s">
        <v>376</v>
      </c>
      <c r="F877" s="84" t="s">
        <v>594</v>
      </c>
      <c r="G877" s="68">
        <v>20.0</v>
      </c>
      <c r="H877" s="69">
        <f t="shared" si="60"/>
        <v>21744.18333</v>
      </c>
      <c r="I877" s="76" t="s">
        <v>101</v>
      </c>
      <c r="J877" s="141" t="s">
        <v>631</v>
      </c>
      <c r="K877" s="95"/>
      <c r="L877" s="95"/>
      <c r="M877" s="95"/>
      <c r="N877" s="72"/>
      <c r="O877" s="140" t="s">
        <v>714</v>
      </c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</row>
    <row r="878" ht="22.5" customHeight="1">
      <c r="A878" s="86">
        <v>45743.0</v>
      </c>
      <c r="B878" s="63" t="s">
        <v>27</v>
      </c>
      <c r="C878" s="79"/>
      <c r="D878" s="80">
        <v>31916.0</v>
      </c>
      <c r="E878" s="66" t="s">
        <v>376</v>
      </c>
      <c r="F878" s="84" t="s">
        <v>594</v>
      </c>
      <c r="G878" s="68">
        <v>5.0</v>
      </c>
      <c r="H878" s="69">
        <f t="shared" si="60"/>
        <v>1519.809524</v>
      </c>
      <c r="I878" s="76" t="s">
        <v>101</v>
      </c>
      <c r="J878" s="141" t="s">
        <v>671</v>
      </c>
      <c r="K878" s="95"/>
      <c r="L878" s="95"/>
      <c r="M878" s="95"/>
      <c r="N878" s="72"/>
      <c r="O878" s="140" t="s">
        <v>715</v>
      </c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</row>
    <row r="879" ht="22.5" customHeight="1">
      <c r="A879" s="86">
        <v>45743.0</v>
      </c>
      <c r="B879" s="63" t="s">
        <v>27</v>
      </c>
      <c r="C879" s="79"/>
      <c r="D879" s="80">
        <v>171591.6</v>
      </c>
      <c r="E879" s="66" t="s">
        <v>376</v>
      </c>
      <c r="F879" s="84" t="s">
        <v>594</v>
      </c>
      <c r="G879" s="68">
        <v>20.0</v>
      </c>
      <c r="H879" s="69">
        <f t="shared" si="60"/>
        <v>28598.6</v>
      </c>
      <c r="I879" s="76" t="s">
        <v>101</v>
      </c>
      <c r="J879" s="141" t="s">
        <v>632</v>
      </c>
      <c r="K879" s="95"/>
      <c r="L879" s="95"/>
      <c r="M879" s="95"/>
      <c r="N879" s="72"/>
      <c r="O879" s="140" t="s">
        <v>716</v>
      </c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</row>
    <row r="880" ht="22.5" customHeight="1">
      <c r="A880" s="86">
        <v>45743.0</v>
      </c>
      <c r="B880" s="63" t="s">
        <v>27</v>
      </c>
      <c r="C880" s="79"/>
      <c r="D880" s="80">
        <v>15000.0</v>
      </c>
      <c r="E880" s="66" t="s">
        <v>28</v>
      </c>
      <c r="F880" s="84" t="s">
        <v>674</v>
      </c>
      <c r="G880" s="68">
        <v>20.0</v>
      </c>
      <c r="H880" s="69">
        <f t="shared" si="60"/>
        <v>2500</v>
      </c>
      <c r="I880" s="76" t="s">
        <v>495</v>
      </c>
      <c r="J880" s="87" t="s">
        <v>717</v>
      </c>
      <c r="K880" s="95"/>
      <c r="L880" s="95"/>
      <c r="M880" s="95"/>
      <c r="N880" s="72"/>
      <c r="O880" s="96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</row>
    <row r="881" ht="22.5" customHeight="1">
      <c r="A881" s="86">
        <v>45743.0</v>
      </c>
      <c r="B881" s="63" t="s">
        <v>27</v>
      </c>
      <c r="C881" s="79"/>
      <c r="D881" s="80">
        <v>50000.0</v>
      </c>
      <c r="E881" s="66" t="s">
        <v>33</v>
      </c>
      <c r="F881" s="84" t="s">
        <v>674</v>
      </c>
      <c r="G881" s="68">
        <v>0.0</v>
      </c>
      <c r="H881" s="69">
        <f t="shared" si="60"/>
        <v>0</v>
      </c>
      <c r="I881" s="76" t="s">
        <v>53</v>
      </c>
      <c r="J881" s="87" t="s">
        <v>718</v>
      </c>
      <c r="K881" s="95"/>
      <c r="L881" s="95"/>
      <c r="M881" s="95"/>
      <c r="N881" s="72"/>
      <c r="O881" s="96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</row>
    <row r="882" ht="22.5" customHeight="1">
      <c r="A882" s="86">
        <v>45743.0</v>
      </c>
      <c r="B882" s="63" t="s">
        <v>27</v>
      </c>
      <c r="C882" s="79"/>
      <c r="D882" s="80">
        <f>79*5</f>
        <v>395</v>
      </c>
      <c r="E882" s="66" t="s">
        <v>28</v>
      </c>
      <c r="F882" s="84" t="s">
        <v>674</v>
      </c>
      <c r="G882" s="68">
        <v>0.0</v>
      </c>
      <c r="H882" s="69">
        <f t="shared" si="60"/>
        <v>0</v>
      </c>
      <c r="I882" s="76" t="s">
        <v>294</v>
      </c>
      <c r="J882" s="87" t="s">
        <v>719</v>
      </c>
      <c r="K882" s="95"/>
      <c r="L882" s="95"/>
      <c r="M882" s="95"/>
      <c r="N882" s="72"/>
      <c r="O882" s="96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</row>
    <row r="883" ht="22.5" customHeight="1">
      <c r="A883" s="86">
        <v>45744.0</v>
      </c>
      <c r="B883" s="63" t="s">
        <v>27</v>
      </c>
      <c r="C883" s="80">
        <f>165000.07</f>
        <v>165000.07</v>
      </c>
      <c r="D883" s="79"/>
      <c r="E883" s="66" t="s">
        <v>28</v>
      </c>
      <c r="F883" s="84" t="s">
        <v>570</v>
      </c>
      <c r="G883" s="68">
        <v>20.0</v>
      </c>
      <c r="H883" s="69">
        <f t="shared" si="60"/>
        <v>27500.01167</v>
      </c>
      <c r="I883" s="76" t="s">
        <v>37</v>
      </c>
      <c r="J883" s="98" t="s">
        <v>627</v>
      </c>
      <c r="K883" s="95"/>
      <c r="L883" s="82">
        <v>229.0</v>
      </c>
      <c r="M883" s="132">
        <v>45639.0</v>
      </c>
      <c r="N883" s="72">
        <f t="shared" ref="N883:N884" si="70">A883-IF(M883&gt;0,M883,A883)</f>
        <v>105</v>
      </c>
      <c r="O883" s="96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</row>
    <row r="884" ht="22.5" customHeight="1">
      <c r="A884" s="86">
        <v>45744.0</v>
      </c>
      <c r="B884" s="63" t="s">
        <v>27</v>
      </c>
      <c r="C884" s="80">
        <v>330099.0</v>
      </c>
      <c r="D884" s="79"/>
      <c r="E884" s="66" t="s">
        <v>28</v>
      </c>
      <c r="F884" s="84" t="s">
        <v>570</v>
      </c>
      <c r="G884" s="68">
        <v>20.0</v>
      </c>
      <c r="H884" s="69">
        <f t="shared" si="60"/>
        <v>55016.5</v>
      </c>
      <c r="I884" s="76" t="s">
        <v>37</v>
      </c>
      <c r="J884" s="98" t="s">
        <v>627</v>
      </c>
      <c r="K884" s="95"/>
      <c r="L884" s="82">
        <v>230.0</v>
      </c>
      <c r="M884" s="132">
        <v>45639.0</v>
      </c>
      <c r="N884" s="72">
        <f t="shared" si="70"/>
        <v>105</v>
      </c>
      <c r="O884" s="96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</row>
    <row r="885" ht="22.5" customHeight="1">
      <c r="A885" s="86">
        <v>45744.0</v>
      </c>
      <c r="B885" s="63" t="s">
        <v>27</v>
      </c>
      <c r="C885" s="79"/>
      <c r="D885" s="80">
        <v>84240.0</v>
      </c>
      <c r="E885" s="66" t="s">
        <v>376</v>
      </c>
      <c r="F885" s="84" t="s">
        <v>674</v>
      </c>
      <c r="G885" s="68">
        <v>0.0</v>
      </c>
      <c r="H885" s="69">
        <f t="shared" si="60"/>
        <v>0</v>
      </c>
      <c r="I885" s="94" t="s">
        <v>599</v>
      </c>
      <c r="J885" s="87" t="s">
        <v>72</v>
      </c>
      <c r="K885" s="95"/>
      <c r="L885" s="95"/>
      <c r="M885" s="95"/>
      <c r="N885" s="72"/>
      <c r="O885" s="96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</row>
    <row r="886" ht="22.5" customHeight="1">
      <c r="A886" s="86">
        <v>45744.0</v>
      </c>
      <c r="B886" s="63" t="s">
        <v>27</v>
      </c>
      <c r="C886" s="79"/>
      <c r="D886" s="80">
        <v>1039323.0</v>
      </c>
      <c r="E886" s="66" t="s">
        <v>376</v>
      </c>
      <c r="F886" s="84" t="s">
        <v>674</v>
      </c>
      <c r="G886" s="68">
        <v>0.0</v>
      </c>
      <c r="H886" s="69">
        <f t="shared" si="60"/>
        <v>0</v>
      </c>
      <c r="I886" s="94" t="s">
        <v>623</v>
      </c>
      <c r="J886" s="87" t="s">
        <v>72</v>
      </c>
      <c r="K886" s="95"/>
      <c r="L886" s="95"/>
      <c r="M886" s="95"/>
      <c r="N886" s="72"/>
      <c r="O886" s="96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</row>
    <row r="887" ht="22.5" customHeight="1">
      <c r="A887" s="86">
        <v>45744.0</v>
      </c>
      <c r="B887" s="63" t="s">
        <v>27</v>
      </c>
      <c r="C887" s="79"/>
      <c r="D887" s="80">
        <v>1695167.0</v>
      </c>
      <c r="E887" s="66" t="s">
        <v>376</v>
      </c>
      <c r="F887" s="84" t="s">
        <v>674</v>
      </c>
      <c r="G887" s="68">
        <v>0.0</v>
      </c>
      <c r="H887" s="69">
        <f t="shared" si="60"/>
        <v>0</v>
      </c>
      <c r="I887" s="94" t="s">
        <v>623</v>
      </c>
      <c r="J887" s="87" t="s">
        <v>72</v>
      </c>
      <c r="K887" s="95"/>
      <c r="L887" s="95"/>
      <c r="M887" s="95"/>
      <c r="N887" s="72"/>
      <c r="O887" s="96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</row>
    <row r="888" ht="22.5" customHeight="1">
      <c r="A888" s="86">
        <v>45744.0</v>
      </c>
      <c r="B888" s="63" t="s">
        <v>27</v>
      </c>
      <c r="C888" s="79"/>
      <c r="D888" s="80">
        <v>242899.97</v>
      </c>
      <c r="E888" s="66" t="s">
        <v>376</v>
      </c>
      <c r="F888" s="84" t="s">
        <v>674</v>
      </c>
      <c r="G888" s="68">
        <v>0.0</v>
      </c>
      <c r="H888" s="69">
        <f t="shared" si="60"/>
        <v>0</v>
      </c>
      <c r="I888" s="94" t="s">
        <v>622</v>
      </c>
      <c r="J888" s="87" t="s">
        <v>72</v>
      </c>
      <c r="K888" s="95"/>
      <c r="L888" s="95"/>
      <c r="M888" s="95"/>
      <c r="N888" s="72"/>
      <c r="O888" s="96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</row>
    <row r="889" ht="22.5" customHeight="1">
      <c r="A889" s="86">
        <v>45746.0</v>
      </c>
      <c r="B889" s="63" t="s">
        <v>27</v>
      </c>
      <c r="C889" s="79"/>
      <c r="D889" s="80">
        <v>8500.0</v>
      </c>
      <c r="E889" s="66" t="s">
        <v>33</v>
      </c>
      <c r="F889" s="84" t="s">
        <v>674</v>
      </c>
      <c r="G889" s="68">
        <v>0.0</v>
      </c>
      <c r="H889" s="69">
        <f t="shared" si="60"/>
        <v>0</v>
      </c>
      <c r="I889" s="76" t="s">
        <v>495</v>
      </c>
      <c r="J889" s="87" t="s">
        <v>720</v>
      </c>
      <c r="K889" s="95"/>
      <c r="L889" s="95"/>
      <c r="M889" s="95"/>
      <c r="N889" s="72"/>
      <c r="O889" s="96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</row>
    <row r="890" ht="22.5" customHeight="1">
      <c r="A890" s="86">
        <v>45747.0</v>
      </c>
      <c r="B890" s="63" t="s">
        <v>27</v>
      </c>
      <c r="C890" s="80">
        <v>900000.36</v>
      </c>
      <c r="D890" s="79"/>
      <c r="E890" s="66" t="s">
        <v>376</v>
      </c>
      <c r="F890" s="84" t="s">
        <v>594</v>
      </c>
      <c r="G890" s="68">
        <v>20.0</v>
      </c>
      <c r="H890" s="69">
        <f t="shared" si="60"/>
        <v>150000.06</v>
      </c>
      <c r="I890" s="76" t="s">
        <v>37</v>
      </c>
      <c r="J890" s="87" t="s">
        <v>110</v>
      </c>
      <c r="K890" s="95"/>
      <c r="L890" s="82">
        <v>56.0</v>
      </c>
      <c r="M890" s="128">
        <v>45699.0</v>
      </c>
      <c r="N890" s="72">
        <f t="shared" ref="N890:N892" si="71">A890-IF(M890&gt;0,M890,A890)</f>
        <v>48</v>
      </c>
      <c r="O890" s="96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</row>
    <row r="891" ht="22.5" customHeight="1">
      <c r="A891" s="86">
        <v>45747.0</v>
      </c>
      <c r="B891" s="63" t="s">
        <v>27</v>
      </c>
      <c r="C891" s="80">
        <v>600000.24</v>
      </c>
      <c r="D891" s="79"/>
      <c r="E891" s="66" t="s">
        <v>376</v>
      </c>
      <c r="F891" s="84" t="s">
        <v>594</v>
      </c>
      <c r="G891" s="68">
        <v>20.0</v>
      </c>
      <c r="H891" s="69">
        <f t="shared" si="60"/>
        <v>100000.04</v>
      </c>
      <c r="I891" s="76" t="s">
        <v>37</v>
      </c>
      <c r="J891" s="87" t="s">
        <v>110</v>
      </c>
      <c r="K891" s="95"/>
      <c r="L891" s="82">
        <v>57.0</v>
      </c>
      <c r="M891" s="128">
        <v>45699.0</v>
      </c>
      <c r="N891" s="72">
        <f t="shared" si="71"/>
        <v>48</v>
      </c>
      <c r="O891" s="96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</row>
    <row r="892" ht="22.5" customHeight="1">
      <c r="A892" s="86">
        <v>45747.0</v>
      </c>
      <c r="B892" s="63" t="s">
        <v>27</v>
      </c>
      <c r="C892" s="80">
        <v>720000.12</v>
      </c>
      <c r="D892" s="79"/>
      <c r="E892" s="66" t="s">
        <v>376</v>
      </c>
      <c r="F892" s="84" t="s">
        <v>594</v>
      </c>
      <c r="G892" s="68">
        <v>20.0</v>
      </c>
      <c r="H892" s="69">
        <f t="shared" si="60"/>
        <v>120000.02</v>
      </c>
      <c r="I892" s="76" t="s">
        <v>37</v>
      </c>
      <c r="J892" s="87" t="s">
        <v>110</v>
      </c>
      <c r="K892" s="95"/>
      <c r="L892" s="82">
        <v>58.0</v>
      </c>
      <c r="M892" s="128">
        <v>45699.0</v>
      </c>
      <c r="N892" s="72">
        <f t="shared" si="71"/>
        <v>48</v>
      </c>
      <c r="O892" s="96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</row>
    <row r="893" ht="22.5" customHeight="1">
      <c r="A893" s="86">
        <v>45748.0</v>
      </c>
      <c r="B893" s="63" t="s">
        <v>27</v>
      </c>
      <c r="C893" s="79"/>
      <c r="D893" s="80">
        <v>20000.0</v>
      </c>
      <c r="E893" s="66" t="s">
        <v>33</v>
      </c>
      <c r="F893" s="84" t="s">
        <v>674</v>
      </c>
      <c r="G893" s="68">
        <v>0.0</v>
      </c>
      <c r="H893" s="69">
        <f t="shared" si="60"/>
        <v>0</v>
      </c>
      <c r="I893" s="76" t="s">
        <v>53</v>
      </c>
      <c r="J893" s="87" t="s">
        <v>721</v>
      </c>
      <c r="K893" s="95"/>
      <c r="L893" s="95"/>
      <c r="M893" s="95"/>
      <c r="N893" s="72"/>
      <c r="O893" s="96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</row>
    <row r="894" ht="22.5" customHeight="1">
      <c r="A894" s="86">
        <v>45748.0</v>
      </c>
      <c r="B894" s="63" t="s">
        <v>27</v>
      </c>
      <c r="C894" s="79"/>
      <c r="D894" s="80">
        <v>20000.0</v>
      </c>
      <c r="E894" s="66" t="s">
        <v>33</v>
      </c>
      <c r="F894" s="84" t="s">
        <v>722</v>
      </c>
      <c r="G894" s="68">
        <v>0.0</v>
      </c>
      <c r="H894" s="69">
        <f t="shared" si="60"/>
        <v>0</v>
      </c>
      <c r="I894" s="76" t="s">
        <v>490</v>
      </c>
      <c r="J894" s="87" t="s">
        <v>723</v>
      </c>
      <c r="K894" s="95"/>
      <c r="L894" s="95"/>
      <c r="M894" s="95"/>
      <c r="N894" s="72"/>
      <c r="O894" s="96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</row>
    <row r="895" ht="22.5" customHeight="1">
      <c r="A895" s="86">
        <v>45748.0</v>
      </c>
      <c r="B895" s="63" t="s">
        <v>27</v>
      </c>
      <c r="C895" s="79"/>
      <c r="D895" s="80">
        <v>6900.0</v>
      </c>
      <c r="E895" s="66" t="s">
        <v>28</v>
      </c>
      <c r="F895" s="84" t="s">
        <v>722</v>
      </c>
      <c r="G895" s="68">
        <v>0.0</v>
      </c>
      <c r="H895" s="69">
        <f t="shared" si="60"/>
        <v>0</v>
      </c>
      <c r="I895" s="76" t="s">
        <v>294</v>
      </c>
      <c r="J895" s="87" t="s">
        <v>719</v>
      </c>
      <c r="K895" s="95"/>
      <c r="L895" s="95"/>
      <c r="M895" s="95"/>
      <c r="N895" s="72"/>
      <c r="O895" s="83" t="s">
        <v>724</v>
      </c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</row>
    <row r="896" ht="22.5" customHeight="1">
      <c r="A896" s="86">
        <v>45748.0</v>
      </c>
      <c r="B896" s="63" t="s">
        <v>27</v>
      </c>
      <c r="C896" s="79"/>
      <c r="D896" s="80">
        <v>6200000.0</v>
      </c>
      <c r="E896" s="66" t="s">
        <v>28</v>
      </c>
      <c r="F896" s="84" t="s">
        <v>619</v>
      </c>
      <c r="G896" s="68">
        <v>20.0</v>
      </c>
      <c r="H896" s="69">
        <f t="shared" si="60"/>
        <v>1033333.333</v>
      </c>
      <c r="I896" s="76" t="s">
        <v>101</v>
      </c>
      <c r="J896" s="87" t="s">
        <v>725</v>
      </c>
      <c r="K896" s="95"/>
      <c r="L896" s="95"/>
      <c r="M896" s="95"/>
      <c r="N896" s="72"/>
      <c r="O896" s="96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</row>
    <row r="897" ht="22.5" customHeight="1">
      <c r="A897" s="86">
        <v>45748.0</v>
      </c>
      <c r="B897" s="63" t="s">
        <v>27</v>
      </c>
      <c r="C897" s="79"/>
      <c r="D897" s="80">
        <v>19200.0</v>
      </c>
      <c r="E897" s="66" t="s">
        <v>33</v>
      </c>
      <c r="F897" s="84" t="s">
        <v>722</v>
      </c>
      <c r="G897" s="68">
        <v>0.0</v>
      </c>
      <c r="H897" s="69">
        <f t="shared" si="60"/>
        <v>0</v>
      </c>
      <c r="I897" s="76" t="s">
        <v>490</v>
      </c>
      <c r="J897" s="87" t="s">
        <v>726</v>
      </c>
      <c r="K897" s="95"/>
      <c r="L897" s="95"/>
      <c r="M897" s="95"/>
      <c r="N897" s="72"/>
      <c r="O897" s="96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</row>
    <row r="898" ht="22.5" customHeight="1">
      <c r="A898" s="86">
        <v>45748.0</v>
      </c>
      <c r="B898" s="63" t="s">
        <v>27</v>
      </c>
      <c r="C898" s="79"/>
      <c r="D898" s="80">
        <v>5000.0</v>
      </c>
      <c r="E898" s="66" t="s">
        <v>33</v>
      </c>
      <c r="F898" s="84" t="s">
        <v>722</v>
      </c>
      <c r="G898" s="68">
        <v>0.0</v>
      </c>
      <c r="H898" s="69">
        <f t="shared" si="60"/>
        <v>0</v>
      </c>
      <c r="I898" s="144" t="s">
        <v>30</v>
      </c>
      <c r="J898" s="124" t="s">
        <v>393</v>
      </c>
      <c r="K898" s="95"/>
      <c r="L898" s="95"/>
      <c r="M898" s="95"/>
      <c r="N898" s="72"/>
      <c r="O898" s="96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</row>
    <row r="899" ht="22.5" customHeight="1">
      <c r="A899" s="86">
        <v>45749.0</v>
      </c>
      <c r="B899" s="63" t="s">
        <v>27</v>
      </c>
      <c r="C899" s="80">
        <v>600000.0</v>
      </c>
      <c r="D899" s="80"/>
      <c r="E899" s="66" t="s">
        <v>28</v>
      </c>
      <c r="F899" s="84" t="s">
        <v>619</v>
      </c>
      <c r="G899" s="68">
        <v>20.0</v>
      </c>
      <c r="H899" s="69">
        <f t="shared" si="60"/>
        <v>100000</v>
      </c>
      <c r="I899" s="76" t="s">
        <v>37</v>
      </c>
      <c r="J899" s="87" t="s">
        <v>440</v>
      </c>
      <c r="K899" s="95"/>
      <c r="L899" s="82">
        <v>36.0</v>
      </c>
      <c r="M899" s="128">
        <v>45674.0</v>
      </c>
      <c r="N899" s="72">
        <f t="shared" ref="N899:N901" si="72">A899-IF(M899&gt;0,M899,A899)</f>
        <v>75</v>
      </c>
      <c r="O899" s="96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</row>
    <row r="900" ht="22.5" customHeight="1">
      <c r="A900" s="86">
        <v>45749.0</v>
      </c>
      <c r="B900" s="63" t="s">
        <v>27</v>
      </c>
      <c r="C900" s="80">
        <v>1272899.88</v>
      </c>
      <c r="D900" s="80"/>
      <c r="E900" s="66" t="s">
        <v>28</v>
      </c>
      <c r="F900" s="84" t="s">
        <v>619</v>
      </c>
      <c r="G900" s="68">
        <v>20.0</v>
      </c>
      <c r="H900" s="69">
        <f t="shared" si="60"/>
        <v>212149.98</v>
      </c>
      <c r="I900" s="76" t="s">
        <v>37</v>
      </c>
      <c r="J900" s="87" t="s">
        <v>440</v>
      </c>
      <c r="K900" s="95"/>
      <c r="L900" s="82">
        <v>37.0</v>
      </c>
      <c r="M900" s="128">
        <v>45674.0</v>
      </c>
      <c r="N900" s="72">
        <f t="shared" si="72"/>
        <v>75</v>
      </c>
      <c r="O900" s="96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</row>
    <row r="901" ht="22.5" customHeight="1">
      <c r="A901" s="86">
        <v>45749.0</v>
      </c>
      <c r="B901" s="63" t="s">
        <v>27</v>
      </c>
      <c r="C901" s="80">
        <v>1881299.7</v>
      </c>
      <c r="D901" s="80"/>
      <c r="E901" s="66" t="s">
        <v>28</v>
      </c>
      <c r="F901" s="84" t="s">
        <v>619</v>
      </c>
      <c r="G901" s="68">
        <v>20.0</v>
      </c>
      <c r="H901" s="69">
        <f t="shared" si="60"/>
        <v>313549.95</v>
      </c>
      <c r="I901" s="76" t="s">
        <v>37</v>
      </c>
      <c r="J901" s="87" t="s">
        <v>440</v>
      </c>
      <c r="K901" s="95"/>
      <c r="L901" s="82">
        <v>38.0</v>
      </c>
      <c r="M901" s="128">
        <v>45674.0</v>
      </c>
      <c r="N901" s="72">
        <f t="shared" si="72"/>
        <v>75</v>
      </c>
      <c r="O901" s="96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</row>
    <row r="902" ht="22.5" customHeight="1">
      <c r="A902" s="86">
        <v>45749.0</v>
      </c>
      <c r="B902" s="63" t="s">
        <v>27</v>
      </c>
      <c r="C902" s="79"/>
      <c r="D902" s="80">
        <v>837689.27</v>
      </c>
      <c r="E902" s="66" t="s">
        <v>28</v>
      </c>
      <c r="F902" s="84" t="s">
        <v>594</v>
      </c>
      <c r="G902" s="68">
        <v>20.0</v>
      </c>
      <c r="H902" s="69">
        <f t="shared" si="60"/>
        <v>139614.8783</v>
      </c>
      <c r="I902" s="76" t="s">
        <v>61</v>
      </c>
      <c r="J902" s="98" t="s">
        <v>509</v>
      </c>
      <c r="K902" s="95"/>
      <c r="L902" s="95"/>
      <c r="M902" s="95"/>
      <c r="N902" s="72"/>
      <c r="O902" s="96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</row>
    <row r="903" ht="22.5" customHeight="1">
      <c r="A903" s="86">
        <v>45750.0</v>
      </c>
      <c r="B903" s="63" t="s">
        <v>27</v>
      </c>
      <c r="C903" s="80">
        <v>360000.29</v>
      </c>
      <c r="D903" s="80"/>
      <c r="E903" s="66" t="s">
        <v>28</v>
      </c>
      <c r="F903" s="84" t="s">
        <v>619</v>
      </c>
      <c r="G903" s="68">
        <v>20.0</v>
      </c>
      <c r="H903" s="69">
        <f t="shared" si="60"/>
        <v>60000.04833</v>
      </c>
      <c r="I903" s="76" t="s">
        <v>37</v>
      </c>
      <c r="J903" s="87" t="s">
        <v>727</v>
      </c>
      <c r="K903" s="95"/>
      <c r="L903" s="82">
        <v>28.0</v>
      </c>
      <c r="M903" s="128">
        <v>45672.0</v>
      </c>
      <c r="N903" s="72">
        <f t="shared" ref="N903:N905" si="73">A903-IF(M903&gt;0,M903,A903)</f>
        <v>78</v>
      </c>
      <c r="O903" s="96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</row>
    <row r="904" ht="22.5" customHeight="1">
      <c r="A904" s="86">
        <v>45750.0</v>
      </c>
      <c r="B904" s="63" t="s">
        <v>27</v>
      </c>
      <c r="C904" s="80">
        <v>350000.4</v>
      </c>
      <c r="D904" s="80"/>
      <c r="E904" s="66" t="s">
        <v>28</v>
      </c>
      <c r="F904" s="84" t="s">
        <v>619</v>
      </c>
      <c r="G904" s="68">
        <v>20.0</v>
      </c>
      <c r="H904" s="69">
        <f t="shared" si="60"/>
        <v>58333.4</v>
      </c>
      <c r="I904" s="76" t="s">
        <v>37</v>
      </c>
      <c r="J904" s="87" t="s">
        <v>727</v>
      </c>
      <c r="K904" s="95"/>
      <c r="L904" s="82">
        <v>29.0</v>
      </c>
      <c r="M904" s="128">
        <v>45672.0</v>
      </c>
      <c r="N904" s="72">
        <f t="shared" si="73"/>
        <v>78</v>
      </c>
      <c r="O904" s="96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</row>
    <row r="905" ht="22.5" customHeight="1">
      <c r="A905" s="86">
        <v>45750.0</v>
      </c>
      <c r="B905" s="63" t="s">
        <v>27</v>
      </c>
      <c r="C905" s="80">
        <v>79500.12</v>
      </c>
      <c r="D905" s="79"/>
      <c r="E905" s="66" t="s">
        <v>28</v>
      </c>
      <c r="F905" s="84" t="s">
        <v>594</v>
      </c>
      <c r="G905" s="68">
        <v>20.0</v>
      </c>
      <c r="H905" s="69">
        <f t="shared" si="60"/>
        <v>13250.02</v>
      </c>
      <c r="I905" s="76" t="s">
        <v>37</v>
      </c>
      <c r="J905" s="87" t="s">
        <v>675</v>
      </c>
      <c r="K905" s="95"/>
      <c r="L905" s="82">
        <v>42.0</v>
      </c>
      <c r="M905" s="128">
        <v>45696.0</v>
      </c>
      <c r="N905" s="72">
        <f t="shared" si="73"/>
        <v>54</v>
      </c>
      <c r="O905" s="96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</row>
    <row r="906" ht="22.5" customHeight="1">
      <c r="A906" s="86">
        <v>45750.0</v>
      </c>
      <c r="B906" s="63" t="s">
        <v>27</v>
      </c>
      <c r="C906" s="79"/>
      <c r="D906" s="80">
        <v>100000.0</v>
      </c>
      <c r="E906" s="66" t="s">
        <v>33</v>
      </c>
      <c r="F906" s="84" t="s">
        <v>674</v>
      </c>
      <c r="G906" s="68">
        <v>0.0</v>
      </c>
      <c r="H906" s="69">
        <f t="shared" si="60"/>
        <v>0</v>
      </c>
      <c r="I906" s="76" t="s">
        <v>53</v>
      </c>
      <c r="J906" s="87" t="s">
        <v>728</v>
      </c>
      <c r="K906" s="95"/>
      <c r="L906" s="95"/>
      <c r="M906" s="95"/>
      <c r="N906" s="72"/>
      <c r="O906" s="96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</row>
    <row r="907" ht="22.5" customHeight="1">
      <c r="A907" s="86">
        <v>45751.0</v>
      </c>
      <c r="B907" s="63" t="s">
        <v>27</v>
      </c>
      <c r="C907" s="79"/>
      <c r="D907" s="80">
        <v>51050.0</v>
      </c>
      <c r="E907" s="66" t="s">
        <v>28</v>
      </c>
      <c r="F907" s="84" t="s">
        <v>674</v>
      </c>
      <c r="G907" s="68">
        <v>0.0</v>
      </c>
      <c r="H907" s="69">
        <f t="shared" si="60"/>
        <v>0</v>
      </c>
      <c r="I907" s="76" t="s">
        <v>68</v>
      </c>
      <c r="J907" s="87" t="s">
        <v>729</v>
      </c>
      <c r="K907" s="95"/>
      <c r="L907" s="95"/>
      <c r="M907" s="95"/>
      <c r="N907" s="72"/>
      <c r="O907" s="96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</row>
    <row r="908" ht="22.5" customHeight="1">
      <c r="A908" s="86">
        <v>45751.0</v>
      </c>
      <c r="B908" s="63" t="s">
        <v>27</v>
      </c>
      <c r="C908" s="79"/>
      <c r="D908" s="80">
        <v>214000.0</v>
      </c>
      <c r="E908" s="66" t="s">
        <v>28</v>
      </c>
      <c r="F908" s="84" t="s">
        <v>674</v>
      </c>
      <c r="G908" s="68">
        <v>0.0</v>
      </c>
      <c r="H908" s="69">
        <f t="shared" si="60"/>
        <v>0</v>
      </c>
      <c r="I908" s="76" t="s">
        <v>68</v>
      </c>
      <c r="J908" s="87" t="s">
        <v>730</v>
      </c>
      <c r="K908" s="95"/>
      <c r="L908" s="95"/>
      <c r="M908" s="95"/>
      <c r="N908" s="72"/>
      <c r="O908" s="96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</row>
    <row r="909" ht="22.5" customHeight="1">
      <c r="A909" s="86">
        <v>45751.0</v>
      </c>
      <c r="B909" s="63" t="s">
        <v>27</v>
      </c>
      <c r="C909" s="80">
        <v>138599.94</v>
      </c>
      <c r="D909" s="80"/>
      <c r="E909" s="66" t="s">
        <v>28</v>
      </c>
      <c r="F909" s="84" t="s">
        <v>619</v>
      </c>
      <c r="G909" s="68">
        <v>20.0</v>
      </c>
      <c r="H909" s="69">
        <f t="shared" si="60"/>
        <v>23099.99</v>
      </c>
      <c r="I909" s="76" t="s">
        <v>37</v>
      </c>
      <c r="J909" s="87" t="s">
        <v>474</v>
      </c>
      <c r="K909" s="95"/>
      <c r="L909" s="82">
        <v>26.0</v>
      </c>
      <c r="M909" s="128">
        <v>45672.0</v>
      </c>
      <c r="N909" s="72">
        <f t="shared" ref="N909:N910" si="74">A909-IF(M909&gt;0,M909,A909)</f>
        <v>79</v>
      </c>
      <c r="O909" s="96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</row>
    <row r="910" ht="22.5" customHeight="1">
      <c r="A910" s="86">
        <v>45751.0</v>
      </c>
      <c r="B910" s="63" t="s">
        <v>27</v>
      </c>
      <c r="C910" s="80">
        <v>300000.0</v>
      </c>
      <c r="D910" s="79"/>
      <c r="E910" s="66" t="s">
        <v>28</v>
      </c>
      <c r="F910" s="84" t="s">
        <v>594</v>
      </c>
      <c r="G910" s="68">
        <v>20.0</v>
      </c>
      <c r="H910" s="69">
        <f t="shared" si="60"/>
        <v>50000</v>
      </c>
      <c r="I910" s="76" t="s">
        <v>37</v>
      </c>
      <c r="J910" s="87" t="s">
        <v>675</v>
      </c>
      <c r="K910" s="95"/>
      <c r="L910" s="82">
        <v>43.0</v>
      </c>
      <c r="M910" s="128">
        <v>45696.0</v>
      </c>
      <c r="N910" s="72">
        <f t="shared" si="74"/>
        <v>55</v>
      </c>
      <c r="O910" s="96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</row>
    <row r="911" ht="22.5" customHeight="1">
      <c r="A911" s="86">
        <v>45751.0</v>
      </c>
      <c r="B911" s="63" t="s">
        <v>27</v>
      </c>
      <c r="C911" s="79"/>
      <c r="D911" s="80">
        <v>150000.0</v>
      </c>
      <c r="E911" s="66" t="s">
        <v>28</v>
      </c>
      <c r="F911" s="84" t="s">
        <v>664</v>
      </c>
      <c r="G911" s="68">
        <v>0.0</v>
      </c>
      <c r="H911" s="69">
        <f t="shared" si="60"/>
        <v>0</v>
      </c>
      <c r="I911" s="76" t="s">
        <v>322</v>
      </c>
      <c r="J911" s="87" t="s">
        <v>731</v>
      </c>
      <c r="K911" s="95"/>
      <c r="L911" s="95"/>
      <c r="M911" s="95"/>
      <c r="N911" s="72"/>
      <c r="O911" s="96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</row>
    <row r="912" ht="22.5" customHeight="1">
      <c r="A912" s="86">
        <v>45752.0</v>
      </c>
      <c r="B912" s="63" t="s">
        <v>27</v>
      </c>
      <c r="C912" s="79"/>
      <c r="D912" s="80">
        <v>10000.0</v>
      </c>
      <c r="E912" s="66" t="s">
        <v>33</v>
      </c>
      <c r="F912" s="84" t="s">
        <v>674</v>
      </c>
      <c r="G912" s="68">
        <v>0.0</v>
      </c>
      <c r="H912" s="69">
        <f t="shared" si="60"/>
        <v>0</v>
      </c>
      <c r="I912" s="144" t="s">
        <v>30</v>
      </c>
      <c r="J912" s="87" t="s">
        <v>732</v>
      </c>
      <c r="K912" s="95"/>
      <c r="L912" s="95"/>
      <c r="M912" s="95"/>
      <c r="N912" s="72"/>
      <c r="O912" s="96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</row>
    <row r="913" ht="22.5" customHeight="1">
      <c r="A913" s="86">
        <v>45752.0</v>
      </c>
      <c r="B913" s="63" t="s">
        <v>27</v>
      </c>
      <c r="C913" s="79"/>
      <c r="D913" s="79">
        <v>60000.0</v>
      </c>
      <c r="E913" s="66" t="s">
        <v>33</v>
      </c>
      <c r="F913" s="84" t="s">
        <v>674</v>
      </c>
      <c r="G913" s="68">
        <v>0.0</v>
      </c>
      <c r="H913" s="69">
        <f t="shared" si="60"/>
        <v>0</v>
      </c>
      <c r="I913" s="76" t="s">
        <v>490</v>
      </c>
      <c r="J913" s="87" t="s">
        <v>733</v>
      </c>
      <c r="K913" s="95"/>
      <c r="L913" s="95"/>
      <c r="M913" s="95"/>
      <c r="N913" s="72"/>
      <c r="O913" s="96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</row>
    <row r="914" ht="22.5" customHeight="1">
      <c r="A914" s="86">
        <v>45752.0</v>
      </c>
      <c r="B914" s="63" t="s">
        <v>27</v>
      </c>
      <c r="C914" s="79"/>
      <c r="D914" s="80">
        <v>70000.0</v>
      </c>
      <c r="E914" s="66" t="s">
        <v>33</v>
      </c>
      <c r="F914" s="84" t="s">
        <v>674</v>
      </c>
      <c r="G914" s="68">
        <v>0.0</v>
      </c>
      <c r="H914" s="69">
        <f t="shared" si="60"/>
        <v>0</v>
      </c>
      <c r="I914" s="76" t="s">
        <v>53</v>
      </c>
      <c r="J914" s="87" t="s">
        <v>734</v>
      </c>
      <c r="K914" s="95"/>
      <c r="L914" s="95"/>
      <c r="M914" s="95"/>
      <c r="N914" s="72"/>
      <c r="O914" s="96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</row>
    <row r="915" ht="22.5" customHeight="1">
      <c r="A915" s="86">
        <v>45752.0</v>
      </c>
      <c r="B915" s="63" t="s">
        <v>27</v>
      </c>
      <c r="C915" s="79"/>
      <c r="D915" s="80">
        <v>100000.0</v>
      </c>
      <c r="E915" s="66" t="s">
        <v>33</v>
      </c>
      <c r="F915" s="84" t="s">
        <v>674</v>
      </c>
      <c r="G915" s="68">
        <v>0.0</v>
      </c>
      <c r="H915" s="69">
        <f t="shared" si="60"/>
        <v>0</v>
      </c>
      <c r="I915" s="76" t="s">
        <v>53</v>
      </c>
      <c r="J915" s="87" t="s">
        <v>735</v>
      </c>
      <c r="K915" s="95"/>
      <c r="L915" s="95"/>
      <c r="M915" s="95"/>
      <c r="N915" s="72"/>
      <c r="O915" s="96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</row>
    <row r="916" ht="22.5" customHeight="1">
      <c r="A916" s="86">
        <v>45752.0</v>
      </c>
      <c r="B916" s="63" t="s">
        <v>27</v>
      </c>
      <c r="C916" s="79"/>
      <c r="D916" s="80">
        <v>49992.0</v>
      </c>
      <c r="E916" s="66" t="s">
        <v>28</v>
      </c>
      <c r="F916" s="84" t="s">
        <v>674</v>
      </c>
      <c r="G916" s="68">
        <v>0.0</v>
      </c>
      <c r="H916" s="69">
        <f t="shared" si="60"/>
        <v>0</v>
      </c>
      <c r="I916" s="76" t="s">
        <v>30</v>
      </c>
      <c r="J916" s="87" t="s">
        <v>736</v>
      </c>
      <c r="K916" s="95"/>
      <c r="L916" s="95"/>
      <c r="M916" s="95"/>
      <c r="N916" s="72"/>
      <c r="O916" s="83" t="s">
        <v>737</v>
      </c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</row>
    <row r="917" ht="22.5" customHeight="1">
      <c r="A917" s="86">
        <v>45753.0</v>
      </c>
      <c r="B917" s="63" t="s">
        <v>27</v>
      </c>
      <c r="C917" s="79"/>
      <c r="D917" s="80">
        <v>297280.0</v>
      </c>
      <c r="E917" s="66" t="s">
        <v>28</v>
      </c>
      <c r="F917" s="84" t="s">
        <v>594</v>
      </c>
      <c r="G917" s="68">
        <v>0.0</v>
      </c>
      <c r="H917" s="69">
        <f t="shared" si="60"/>
        <v>0</v>
      </c>
      <c r="I917" s="76" t="s">
        <v>93</v>
      </c>
      <c r="J917" s="133" t="s">
        <v>516</v>
      </c>
      <c r="K917" s="95"/>
      <c r="L917" s="95"/>
      <c r="M917" s="95"/>
      <c r="N917" s="72"/>
      <c r="O917" s="145" t="s">
        <v>738</v>
      </c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</row>
    <row r="918" ht="22.5" customHeight="1">
      <c r="A918" s="86">
        <v>45753.0</v>
      </c>
      <c r="B918" s="63" t="s">
        <v>27</v>
      </c>
      <c r="C918" s="79"/>
      <c r="D918" s="80">
        <v>18000.0</v>
      </c>
      <c r="E918" s="66" t="s">
        <v>33</v>
      </c>
      <c r="F918" s="84" t="s">
        <v>722</v>
      </c>
      <c r="G918" s="68">
        <v>0.0</v>
      </c>
      <c r="H918" s="69">
        <f t="shared" si="60"/>
        <v>0</v>
      </c>
      <c r="I918" s="76" t="s">
        <v>383</v>
      </c>
      <c r="J918" s="87" t="s">
        <v>739</v>
      </c>
      <c r="K918" s="95"/>
      <c r="L918" s="95"/>
      <c r="M918" s="95"/>
      <c r="N918" s="72"/>
      <c r="O918" s="96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</row>
    <row r="919" ht="22.5" customHeight="1">
      <c r="A919" s="86">
        <v>45753.0</v>
      </c>
      <c r="B919" s="63" t="s">
        <v>27</v>
      </c>
      <c r="C919" s="79"/>
      <c r="D919" s="80">
        <v>50000.0</v>
      </c>
      <c r="E919" s="66" t="s">
        <v>33</v>
      </c>
      <c r="F919" s="84" t="s">
        <v>722</v>
      </c>
      <c r="G919" s="68">
        <v>0.0</v>
      </c>
      <c r="H919" s="69">
        <f t="shared" si="60"/>
        <v>0</v>
      </c>
      <c r="I919" s="76" t="s">
        <v>383</v>
      </c>
      <c r="J919" s="87" t="s">
        <v>740</v>
      </c>
      <c r="K919" s="95"/>
      <c r="L919" s="95"/>
      <c r="M919" s="95"/>
      <c r="N919" s="72"/>
      <c r="O919" s="96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</row>
    <row r="920" ht="22.5" customHeight="1">
      <c r="A920" s="86">
        <v>45754.0</v>
      </c>
      <c r="B920" s="63" t="s">
        <v>27</v>
      </c>
      <c r="C920" s="80">
        <v>960000.3</v>
      </c>
      <c r="D920" s="79"/>
      <c r="E920" s="66" t="s">
        <v>376</v>
      </c>
      <c r="F920" s="84" t="s">
        <v>594</v>
      </c>
      <c r="G920" s="68">
        <v>20.0</v>
      </c>
      <c r="H920" s="69">
        <f t="shared" si="60"/>
        <v>160000.05</v>
      </c>
      <c r="I920" s="76" t="s">
        <v>37</v>
      </c>
      <c r="J920" s="87" t="s">
        <v>110</v>
      </c>
      <c r="K920" s="95"/>
      <c r="L920" s="82">
        <v>55.0</v>
      </c>
      <c r="M920" s="128">
        <v>45698.0</v>
      </c>
      <c r="N920" s="72">
        <f>A920-IF(M920&gt;0,M920,A920)</f>
        <v>56</v>
      </c>
      <c r="O920" s="96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</row>
    <row r="921" ht="22.5" customHeight="1">
      <c r="A921" s="86">
        <v>45754.0</v>
      </c>
      <c r="B921" s="63" t="s">
        <v>27</v>
      </c>
      <c r="C921" s="79"/>
      <c r="D921" s="80">
        <v>782150.0</v>
      </c>
      <c r="E921" s="66" t="s">
        <v>28</v>
      </c>
      <c r="F921" s="84" t="s">
        <v>722</v>
      </c>
      <c r="G921" s="68">
        <v>5.0</v>
      </c>
      <c r="H921" s="69">
        <f t="shared" si="60"/>
        <v>37245.2381</v>
      </c>
      <c r="I921" s="76" t="s">
        <v>383</v>
      </c>
      <c r="J921" s="87" t="s">
        <v>741</v>
      </c>
      <c r="K921" s="95"/>
      <c r="L921" s="95"/>
      <c r="M921" s="95"/>
      <c r="N921" s="72"/>
      <c r="O921" s="83" t="s">
        <v>742</v>
      </c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</row>
    <row r="922" ht="22.5" customHeight="1">
      <c r="A922" s="86">
        <v>45754.0</v>
      </c>
      <c r="B922" s="63" t="s">
        <v>27</v>
      </c>
      <c r="C922" s="80"/>
      <c r="D922" s="80">
        <v>68783.0</v>
      </c>
      <c r="E922" s="66" t="s">
        <v>33</v>
      </c>
      <c r="F922" s="84" t="s">
        <v>674</v>
      </c>
      <c r="G922" s="68">
        <v>0.0</v>
      </c>
      <c r="H922" s="69">
        <f t="shared" si="60"/>
        <v>0</v>
      </c>
      <c r="I922" s="76" t="s">
        <v>65</v>
      </c>
      <c r="J922" s="87" t="s">
        <v>743</v>
      </c>
      <c r="K922" s="95"/>
      <c r="L922" s="95"/>
      <c r="M922" s="95"/>
      <c r="N922" s="72"/>
      <c r="O922" s="96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</row>
    <row r="923" ht="22.5" customHeight="1">
      <c r="A923" s="86">
        <v>45754.0</v>
      </c>
      <c r="B923" s="63" t="s">
        <v>27</v>
      </c>
      <c r="C923" s="79"/>
      <c r="D923" s="80">
        <v>415640.0</v>
      </c>
      <c r="E923" s="66" t="s">
        <v>33</v>
      </c>
      <c r="F923" s="84" t="s">
        <v>674</v>
      </c>
      <c r="G923" s="68">
        <v>0.0</v>
      </c>
      <c r="H923" s="69">
        <f t="shared" si="60"/>
        <v>0</v>
      </c>
      <c r="I923" s="76" t="s">
        <v>53</v>
      </c>
      <c r="J923" s="87" t="s">
        <v>744</v>
      </c>
      <c r="K923" s="95"/>
      <c r="L923" s="95"/>
      <c r="M923" s="95"/>
      <c r="N923" s="72"/>
      <c r="O923" s="96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</row>
    <row r="924" ht="22.5" customHeight="1">
      <c r="A924" s="86">
        <v>45754.0</v>
      </c>
      <c r="B924" s="63" t="s">
        <v>27</v>
      </c>
      <c r="C924" s="79"/>
      <c r="D924" s="80">
        <v>23788.57</v>
      </c>
      <c r="E924" s="66" t="s">
        <v>28</v>
      </c>
      <c r="F924" s="84" t="s">
        <v>674</v>
      </c>
      <c r="G924" s="68">
        <v>0.0</v>
      </c>
      <c r="H924" s="69">
        <f t="shared" si="60"/>
        <v>0</v>
      </c>
      <c r="I924" s="76" t="s">
        <v>495</v>
      </c>
      <c r="J924" s="87" t="s">
        <v>745</v>
      </c>
      <c r="K924" s="95"/>
      <c r="L924" s="95"/>
      <c r="M924" s="95"/>
      <c r="N924" s="72"/>
      <c r="O924" s="96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</row>
    <row r="925" ht="22.5" customHeight="1">
      <c r="A925" s="86">
        <v>45754.0</v>
      </c>
      <c r="B925" s="63" t="s">
        <v>27</v>
      </c>
      <c r="C925" s="79"/>
      <c r="D925" s="80">
        <v>5594.34</v>
      </c>
      <c r="E925" s="66" t="s">
        <v>28</v>
      </c>
      <c r="F925" s="84" t="s">
        <v>674</v>
      </c>
      <c r="G925" s="68">
        <v>0.0</v>
      </c>
      <c r="H925" s="69">
        <f t="shared" si="60"/>
        <v>0</v>
      </c>
      <c r="I925" s="76" t="s">
        <v>495</v>
      </c>
      <c r="J925" s="87" t="s">
        <v>745</v>
      </c>
      <c r="K925" s="95"/>
      <c r="L925" s="95"/>
      <c r="M925" s="95"/>
      <c r="N925" s="72"/>
      <c r="O925" s="96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</row>
    <row r="926" ht="22.5" customHeight="1">
      <c r="A926" s="86">
        <v>45754.0</v>
      </c>
      <c r="B926" s="63" t="s">
        <v>27</v>
      </c>
      <c r="C926" s="79"/>
      <c r="D926" s="80">
        <v>10640.0</v>
      </c>
      <c r="E926" s="66" t="s">
        <v>33</v>
      </c>
      <c r="F926" s="84" t="s">
        <v>674</v>
      </c>
      <c r="G926" s="68">
        <v>0.0</v>
      </c>
      <c r="H926" s="69">
        <f t="shared" si="60"/>
        <v>0</v>
      </c>
      <c r="I926" s="76" t="s">
        <v>490</v>
      </c>
      <c r="J926" s="87" t="s">
        <v>746</v>
      </c>
      <c r="K926" s="95"/>
      <c r="L926" s="95"/>
      <c r="M926" s="95"/>
      <c r="N926" s="72"/>
      <c r="O926" s="96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</row>
    <row r="927" ht="22.5" customHeight="1">
      <c r="A927" s="86">
        <v>45754.0</v>
      </c>
      <c r="B927" s="63" t="s">
        <v>27</v>
      </c>
      <c r="C927" s="79"/>
      <c r="D927" s="80">
        <v>14700.0</v>
      </c>
      <c r="E927" s="66" t="s">
        <v>33</v>
      </c>
      <c r="F927" s="84" t="s">
        <v>674</v>
      </c>
      <c r="G927" s="68">
        <v>0.0</v>
      </c>
      <c r="H927" s="69">
        <f t="shared" si="60"/>
        <v>0</v>
      </c>
      <c r="I927" s="76" t="s">
        <v>495</v>
      </c>
      <c r="J927" s="87" t="s">
        <v>747</v>
      </c>
      <c r="K927" s="95"/>
      <c r="L927" s="95"/>
      <c r="M927" s="95"/>
      <c r="N927" s="72"/>
      <c r="O927" s="96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</row>
    <row r="928" ht="22.5" customHeight="1">
      <c r="A928" s="86">
        <v>45754.0</v>
      </c>
      <c r="B928" s="63" t="s">
        <v>27</v>
      </c>
      <c r="C928" s="79"/>
      <c r="D928" s="80">
        <v>8950.0</v>
      </c>
      <c r="E928" s="66" t="s">
        <v>33</v>
      </c>
      <c r="F928" s="84" t="s">
        <v>722</v>
      </c>
      <c r="G928" s="68">
        <v>0.0</v>
      </c>
      <c r="H928" s="69">
        <f t="shared" si="60"/>
        <v>0</v>
      </c>
      <c r="I928" s="76" t="s">
        <v>495</v>
      </c>
      <c r="J928" s="87" t="s">
        <v>668</v>
      </c>
      <c r="K928" s="95"/>
      <c r="L928" s="95"/>
      <c r="M928" s="95"/>
      <c r="N928" s="72"/>
      <c r="O928" s="96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</row>
    <row r="929" ht="22.5" customHeight="1">
      <c r="A929" s="86">
        <v>45754.0</v>
      </c>
      <c r="B929" s="63" t="s">
        <v>27</v>
      </c>
      <c r="C929" s="79"/>
      <c r="D929" s="80">
        <v>55324.0</v>
      </c>
      <c r="E929" s="66" t="s">
        <v>28</v>
      </c>
      <c r="F929" s="84" t="s">
        <v>674</v>
      </c>
      <c r="G929" s="68">
        <v>0.0</v>
      </c>
      <c r="H929" s="69">
        <f t="shared" si="60"/>
        <v>0</v>
      </c>
      <c r="I929" s="94" t="s">
        <v>599</v>
      </c>
      <c r="J929" s="87" t="s">
        <v>72</v>
      </c>
      <c r="K929" s="95"/>
      <c r="L929" s="95"/>
      <c r="M929" s="95"/>
      <c r="N929" s="72"/>
      <c r="O929" s="83" t="s">
        <v>748</v>
      </c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</row>
    <row r="930" ht="22.5" customHeight="1">
      <c r="A930" s="86">
        <v>45754.0</v>
      </c>
      <c r="B930" s="63" t="s">
        <v>27</v>
      </c>
      <c r="C930" s="79"/>
      <c r="D930" s="80">
        <v>15500.0</v>
      </c>
      <c r="E930" s="66" t="s">
        <v>33</v>
      </c>
      <c r="F930" s="84" t="s">
        <v>722</v>
      </c>
      <c r="G930" s="68">
        <v>0.0</v>
      </c>
      <c r="H930" s="69">
        <f t="shared" si="60"/>
        <v>0</v>
      </c>
      <c r="I930" s="76" t="s">
        <v>53</v>
      </c>
      <c r="J930" s="87" t="s">
        <v>749</v>
      </c>
      <c r="K930" s="95"/>
      <c r="L930" s="95"/>
      <c r="M930" s="95"/>
      <c r="N930" s="72"/>
      <c r="O930" s="96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</row>
    <row r="931" ht="22.5" customHeight="1">
      <c r="A931" s="86">
        <v>45755.0</v>
      </c>
      <c r="B931" s="63" t="s">
        <v>27</v>
      </c>
      <c r="C931" s="80">
        <v>469800.0</v>
      </c>
      <c r="D931" s="79"/>
      <c r="E931" s="66" t="s">
        <v>28</v>
      </c>
      <c r="F931" s="84" t="s">
        <v>594</v>
      </c>
      <c r="G931" s="68">
        <v>20.0</v>
      </c>
      <c r="H931" s="69">
        <f t="shared" si="60"/>
        <v>78300</v>
      </c>
      <c r="I931" s="76" t="s">
        <v>37</v>
      </c>
      <c r="J931" s="98" t="s">
        <v>750</v>
      </c>
      <c r="K931" s="95"/>
      <c r="L931" s="82">
        <v>44.0</v>
      </c>
      <c r="M931" s="128">
        <v>45696.0</v>
      </c>
      <c r="N931" s="72">
        <f t="shared" ref="N931:N932" si="75">A931-IF(M931&gt;0,M931,A931)</f>
        <v>59</v>
      </c>
      <c r="O931" s="96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</row>
    <row r="932" ht="22.5" customHeight="1">
      <c r="A932" s="86">
        <v>45755.0</v>
      </c>
      <c r="B932" s="63" t="s">
        <v>27</v>
      </c>
      <c r="C932" s="80">
        <v>638400.0</v>
      </c>
      <c r="D932" s="79"/>
      <c r="E932" s="66" t="s">
        <v>28</v>
      </c>
      <c r="F932" s="84" t="s">
        <v>594</v>
      </c>
      <c r="G932" s="68">
        <v>20.0</v>
      </c>
      <c r="H932" s="69">
        <f t="shared" si="60"/>
        <v>106400</v>
      </c>
      <c r="I932" s="76" t="s">
        <v>37</v>
      </c>
      <c r="J932" s="98" t="s">
        <v>750</v>
      </c>
      <c r="K932" s="95"/>
      <c r="L932" s="82">
        <v>51.0</v>
      </c>
      <c r="M932" s="128">
        <v>45697.0</v>
      </c>
      <c r="N932" s="72">
        <f t="shared" si="75"/>
        <v>58</v>
      </c>
      <c r="O932" s="96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</row>
    <row r="933" ht="22.5" customHeight="1">
      <c r="A933" s="86">
        <v>45755.0</v>
      </c>
      <c r="B933" s="63" t="s">
        <v>27</v>
      </c>
      <c r="C933" s="79"/>
      <c r="D933" s="80">
        <v>94000.0</v>
      </c>
      <c r="E933" s="66" t="s">
        <v>28</v>
      </c>
      <c r="F933" s="84" t="s">
        <v>594</v>
      </c>
      <c r="G933" s="68">
        <v>0.0</v>
      </c>
      <c r="H933" s="69">
        <f t="shared" si="60"/>
        <v>0</v>
      </c>
      <c r="I933" s="76" t="s">
        <v>286</v>
      </c>
      <c r="J933" s="87" t="s">
        <v>454</v>
      </c>
      <c r="K933" s="95"/>
      <c r="L933" s="95"/>
      <c r="M933" s="95"/>
      <c r="N933" s="72"/>
      <c r="O933" s="145" t="s">
        <v>751</v>
      </c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</row>
    <row r="934" ht="22.5" customHeight="1">
      <c r="A934" s="86">
        <v>45755.0</v>
      </c>
      <c r="B934" s="63" t="s">
        <v>27</v>
      </c>
      <c r="C934" s="80">
        <v>808500.0</v>
      </c>
      <c r="D934" s="80"/>
      <c r="E934" s="66" t="s">
        <v>28</v>
      </c>
      <c r="F934" s="84" t="s">
        <v>626</v>
      </c>
      <c r="G934" s="68">
        <v>20.0</v>
      </c>
      <c r="H934" s="69">
        <f t="shared" si="60"/>
        <v>134750</v>
      </c>
      <c r="I934" s="76" t="s">
        <v>37</v>
      </c>
      <c r="J934" s="87" t="s">
        <v>752</v>
      </c>
      <c r="K934" s="82" t="s">
        <v>753</v>
      </c>
      <c r="L934" s="82">
        <v>79.0</v>
      </c>
      <c r="M934" s="128">
        <v>45727.0</v>
      </c>
      <c r="N934" s="72">
        <f t="shared" ref="N934:N939" si="76">A934-IF(M934&gt;0,M934,A934)</f>
        <v>28</v>
      </c>
      <c r="O934" s="96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</row>
    <row r="935" ht="22.5" customHeight="1">
      <c r="A935" s="86">
        <v>45755.0</v>
      </c>
      <c r="B935" s="63" t="s">
        <v>27</v>
      </c>
      <c r="C935" s="80">
        <v>600600.0</v>
      </c>
      <c r="D935" s="80"/>
      <c r="E935" s="66" t="s">
        <v>28</v>
      </c>
      <c r="F935" s="84" t="s">
        <v>626</v>
      </c>
      <c r="G935" s="68">
        <v>20.0</v>
      </c>
      <c r="H935" s="69">
        <f t="shared" si="60"/>
        <v>100100</v>
      </c>
      <c r="I935" s="76" t="s">
        <v>37</v>
      </c>
      <c r="J935" s="87" t="s">
        <v>752</v>
      </c>
      <c r="K935" s="82" t="s">
        <v>754</v>
      </c>
      <c r="L935" s="82">
        <v>88.0</v>
      </c>
      <c r="M935" s="128">
        <v>45727.0</v>
      </c>
      <c r="N935" s="72">
        <f t="shared" si="76"/>
        <v>28</v>
      </c>
      <c r="O935" s="96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</row>
    <row r="936" ht="22.5" customHeight="1">
      <c r="A936" s="86">
        <v>45755.0</v>
      </c>
      <c r="B936" s="63" t="s">
        <v>27</v>
      </c>
      <c r="C936" s="80">
        <v>50486.1</v>
      </c>
      <c r="D936" s="80"/>
      <c r="E936" s="66" t="s">
        <v>28</v>
      </c>
      <c r="F936" s="84" t="s">
        <v>626</v>
      </c>
      <c r="G936" s="68">
        <v>20.0</v>
      </c>
      <c r="H936" s="69">
        <f t="shared" si="60"/>
        <v>8414.35</v>
      </c>
      <c r="I936" s="76" t="s">
        <v>37</v>
      </c>
      <c r="J936" s="98" t="s">
        <v>641</v>
      </c>
      <c r="K936" s="82" t="s">
        <v>755</v>
      </c>
      <c r="L936" s="82">
        <v>68.0</v>
      </c>
      <c r="M936" s="128">
        <v>45726.0</v>
      </c>
      <c r="N936" s="72">
        <f t="shared" si="76"/>
        <v>29</v>
      </c>
      <c r="O936" s="96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</row>
    <row r="937" ht="22.5" customHeight="1">
      <c r="A937" s="86">
        <v>45755.0</v>
      </c>
      <c r="B937" s="63" t="s">
        <v>27</v>
      </c>
      <c r="C937" s="80">
        <v>48284.04</v>
      </c>
      <c r="D937" s="80"/>
      <c r="E937" s="66" t="s">
        <v>28</v>
      </c>
      <c r="F937" s="84" t="s">
        <v>626</v>
      </c>
      <c r="G937" s="68">
        <v>20.0</v>
      </c>
      <c r="H937" s="69">
        <f t="shared" si="60"/>
        <v>8047.34</v>
      </c>
      <c r="I937" s="76" t="s">
        <v>37</v>
      </c>
      <c r="J937" s="98" t="s">
        <v>641</v>
      </c>
      <c r="K937" s="82" t="s">
        <v>756</v>
      </c>
      <c r="L937" s="82">
        <v>69.0</v>
      </c>
      <c r="M937" s="128">
        <v>45726.0</v>
      </c>
      <c r="N937" s="72">
        <f t="shared" si="76"/>
        <v>29</v>
      </c>
      <c r="O937" s="96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</row>
    <row r="938" ht="22.5" customHeight="1">
      <c r="A938" s="86">
        <v>45755.0</v>
      </c>
      <c r="B938" s="63" t="s">
        <v>27</v>
      </c>
      <c r="C938" s="80">
        <v>1559059.2</v>
      </c>
      <c r="D938" s="80"/>
      <c r="E938" s="66" t="s">
        <v>28</v>
      </c>
      <c r="F938" s="84" t="s">
        <v>626</v>
      </c>
      <c r="G938" s="68">
        <v>20.0</v>
      </c>
      <c r="H938" s="69">
        <f t="shared" si="60"/>
        <v>259843.2</v>
      </c>
      <c r="I938" s="76" t="s">
        <v>37</v>
      </c>
      <c r="J938" s="98" t="s">
        <v>641</v>
      </c>
      <c r="K938" s="82" t="s">
        <v>757</v>
      </c>
      <c r="L938" s="82">
        <v>94.0</v>
      </c>
      <c r="M938" s="128">
        <v>45729.0</v>
      </c>
      <c r="N938" s="72">
        <f t="shared" si="76"/>
        <v>26</v>
      </c>
      <c r="O938" s="96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</row>
    <row r="939" ht="22.5" customHeight="1">
      <c r="A939" s="86">
        <v>45755.0</v>
      </c>
      <c r="B939" s="63" t="s">
        <v>27</v>
      </c>
      <c r="C939" s="80">
        <v>1030260.0</v>
      </c>
      <c r="D939" s="80"/>
      <c r="E939" s="66" t="s">
        <v>28</v>
      </c>
      <c r="F939" s="84" t="s">
        <v>626</v>
      </c>
      <c r="G939" s="68">
        <v>20.0</v>
      </c>
      <c r="H939" s="69">
        <f t="shared" si="60"/>
        <v>171710</v>
      </c>
      <c r="I939" s="76" t="s">
        <v>37</v>
      </c>
      <c r="J939" s="98" t="s">
        <v>641</v>
      </c>
      <c r="K939" s="82" t="s">
        <v>758</v>
      </c>
      <c r="L939" s="82">
        <v>95.0</v>
      </c>
      <c r="M939" s="128">
        <v>45729.0</v>
      </c>
      <c r="N939" s="72">
        <f t="shared" si="76"/>
        <v>26</v>
      </c>
      <c r="O939" s="96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</row>
    <row r="940" ht="22.5" customHeight="1">
      <c r="A940" s="86">
        <v>45756.0</v>
      </c>
      <c r="B940" s="63" t="s">
        <v>27</v>
      </c>
      <c r="C940" s="79"/>
      <c r="D940" s="80">
        <v>2494066.21</v>
      </c>
      <c r="E940" s="66" t="s">
        <v>376</v>
      </c>
      <c r="F940" s="84" t="s">
        <v>664</v>
      </c>
      <c r="G940" s="68">
        <v>0.0</v>
      </c>
      <c r="H940" s="69">
        <f t="shared" si="60"/>
        <v>0</v>
      </c>
      <c r="I940" s="76" t="s">
        <v>93</v>
      </c>
      <c r="J940" s="87" t="s">
        <v>440</v>
      </c>
      <c r="K940" s="95"/>
      <c r="L940" s="95"/>
      <c r="M940" s="95"/>
      <c r="N940" s="72"/>
      <c r="O940" s="96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</row>
    <row r="941" ht="22.5" customHeight="1">
      <c r="A941" s="86">
        <v>45756.0</v>
      </c>
      <c r="B941" s="63" t="s">
        <v>27</v>
      </c>
      <c r="C941" s="79"/>
      <c r="D941" s="80">
        <v>2717929.58</v>
      </c>
      <c r="E941" s="66" t="s">
        <v>376</v>
      </c>
      <c r="F941" s="84" t="s">
        <v>594</v>
      </c>
      <c r="G941" s="68">
        <v>20.0</v>
      </c>
      <c r="H941" s="69">
        <f t="shared" si="60"/>
        <v>452988.2633</v>
      </c>
      <c r="I941" s="76" t="s">
        <v>101</v>
      </c>
      <c r="J941" s="100" t="s">
        <v>102</v>
      </c>
      <c r="K941" s="95"/>
      <c r="L941" s="95"/>
      <c r="M941" s="95"/>
      <c r="N941" s="72"/>
      <c r="O941" s="96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</row>
    <row r="942" ht="22.5" customHeight="1">
      <c r="A942" s="86">
        <v>45756.0</v>
      </c>
      <c r="B942" s="63" t="s">
        <v>27</v>
      </c>
      <c r="C942" s="80">
        <v>240000.0</v>
      </c>
      <c r="D942" s="79"/>
      <c r="E942" s="66" t="s">
        <v>28</v>
      </c>
      <c r="F942" s="84" t="s">
        <v>594</v>
      </c>
      <c r="G942" s="68">
        <v>20.0</v>
      </c>
      <c r="H942" s="69">
        <f t="shared" si="60"/>
        <v>40000</v>
      </c>
      <c r="I942" s="76" t="s">
        <v>37</v>
      </c>
      <c r="J942" s="87" t="s">
        <v>654</v>
      </c>
      <c r="K942" s="95"/>
      <c r="L942" s="82">
        <v>48.0</v>
      </c>
      <c r="M942" s="128">
        <v>45696.0</v>
      </c>
      <c r="N942" s="72">
        <f>A942-IF(M942&gt;0,M942,A942)</f>
        <v>60</v>
      </c>
      <c r="O942" s="96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</row>
    <row r="943" ht="22.5" customHeight="1">
      <c r="A943" s="86">
        <v>45756.0</v>
      </c>
      <c r="B943" s="63" t="s">
        <v>27</v>
      </c>
      <c r="C943" s="79"/>
      <c r="D943" s="80">
        <v>4000.0</v>
      </c>
      <c r="E943" s="66" t="s">
        <v>33</v>
      </c>
      <c r="F943" s="84" t="s">
        <v>722</v>
      </c>
      <c r="G943" s="68">
        <v>0.0</v>
      </c>
      <c r="H943" s="69">
        <f t="shared" si="60"/>
        <v>0</v>
      </c>
      <c r="I943" s="76" t="s">
        <v>30</v>
      </c>
      <c r="J943" s="87" t="s">
        <v>759</v>
      </c>
      <c r="K943" s="95"/>
      <c r="L943" s="95"/>
      <c r="M943" s="95"/>
      <c r="N943" s="72"/>
      <c r="O943" s="96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</row>
    <row r="944" ht="22.5" customHeight="1">
      <c r="A944" s="86">
        <v>45756.0</v>
      </c>
      <c r="B944" s="63" t="s">
        <v>27</v>
      </c>
      <c r="C944" s="79"/>
      <c r="D944" s="80">
        <v>50000.0</v>
      </c>
      <c r="E944" s="66" t="s">
        <v>33</v>
      </c>
      <c r="F944" s="84" t="s">
        <v>722</v>
      </c>
      <c r="G944" s="68">
        <v>0.0</v>
      </c>
      <c r="H944" s="69">
        <f t="shared" si="60"/>
        <v>0</v>
      </c>
      <c r="I944" s="76" t="s">
        <v>53</v>
      </c>
      <c r="J944" s="87" t="s">
        <v>760</v>
      </c>
      <c r="K944" s="95"/>
      <c r="L944" s="95"/>
      <c r="M944" s="95"/>
      <c r="N944" s="72"/>
      <c r="O944" s="96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</row>
    <row r="945" ht="22.5" customHeight="1">
      <c r="A945" s="86">
        <v>45756.0</v>
      </c>
      <c r="B945" s="63" t="s">
        <v>27</v>
      </c>
      <c r="C945" s="79"/>
      <c r="D945" s="80">
        <v>3000.0</v>
      </c>
      <c r="E945" s="66" t="s">
        <v>33</v>
      </c>
      <c r="F945" s="84" t="s">
        <v>722</v>
      </c>
      <c r="G945" s="68">
        <v>0.0</v>
      </c>
      <c r="H945" s="69">
        <f t="shared" si="60"/>
        <v>0</v>
      </c>
      <c r="I945" s="76" t="s">
        <v>495</v>
      </c>
      <c r="J945" s="87" t="s">
        <v>761</v>
      </c>
      <c r="K945" s="95"/>
      <c r="L945" s="95"/>
      <c r="M945" s="95"/>
      <c r="N945" s="72"/>
      <c r="O945" s="96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</row>
    <row r="946" ht="22.5" customHeight="1">
      <c r="A946" s="86">
        <v>45757.0</v>
      </c>
      <c r="B946" s="63" t="s">
        <v>27</v>
      </c>
      <c r="C946" s="79"/>
      <c r="D946" s="79">
        <f>24038+502732.86+511.68</f>
        <v>527282.54</v>
      </c>
      <c r="E946" s="66" t="s">
        <v>28</v>
      </c>
      <c r="F946" s="84" t="s">
        <v>674</v>
      </c>
      <c r="G946" s="69"/>
      <c r="H946" s="69"/>
      <c r="I946" s="76" t="s">
        <v>68</v>
      </c>
      <c r="J946" s="87" t="s">
        <v>762</v>
      </c>
      <c r="K946" s="95"/>
      <c r="L946" s="95"/>
      <c r="M946" s="95"/>
      <c r="N946" s="72"/>
      <c r="O946" s="96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</row>
    <row r="947" ht="22.5" customHeight="1">
      <c r="A947" s="86">
        <v>45758.0</v>
      </c>
      <c r="B947" s="63" t="s">
        <v>27</v>
      </c>
      <c r="C947" s="80">
        <v>713940.0</v>
      </c>
      <c r="D947" s="80"/>
      <c r="E947" s="66" t="s">
        <v>28</v>
      </c>
      <c r="F947" s="84" t="s">
        <v>619</v>
      </c>
      <c r="G947" s="68">
        <v>20.0</v>
      </c>
      <c r="H947" s="69">
        <f t="shared" ref="H947:H1028" si="77">SUM(C947:D947)*G947/(G947+100)</f>
        <v>118990</v>
      </c>
      <c r="I947" s="76" t="s">
        <v>37</v>
      </c>
      <c r="J947" s="87" t="s">
        <v>474</v>
      </c>
      <c r="K947" s="95"/>
      <c r="L947" s="82">
        <v>13.0</v>
      </c>
      <c r="M947" s="128">
        <v>45671.0</v>
      </c>
      <c r="N947" s="72">
        <f t="shared" ref="N947:N948" si="78">A947-IF(M947&gt;0,M947,A947)</f>
        <v>87</v>
      </c>
      <c r="O947" s="96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</row>
    <row r="948" ht="22.5" customHeight="1">
      <c r="A948" s="86">
        <v>45758.0</v>
      </c>
      <c r="B948" s="63" t="s">
        <v>27</v>
      </c>
      <c r="C948" s="80">
        <v>1680000.0</v>
      </c>
      <c r="D948" s="79"/>
      <c r="E948" s="66" t="s">
        <v>28</v>
      </c>
      <c r="F948" s="84" t="s">
        <v>594</v>
      </c>
      <c r="G948" s="68">
        <v>20.0</v>
      </c>
      <c r="H948" s="69">
        <f t="shared" si="77"/>
        <v>280000</v>
      </c>
      <c r="I948" s="76" t="s">
        <v>37</v>
      </c>
      <c r="J948" s="87" t="s">
        <v>763</v>
      </c>
      <c r="K948" s="95"/>
      <c r="L948" s="82">
        <v>61.0</v>
      </c>
      <c r="M948" s="128">
        <v>45699.0</v>
      </c>
      <c r="N948" s="72">
        <f t="shared" si="78"/>
        <v>59</v>
      </c>
      <c r="O948" s="96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</row>
    <row r="949" ht="22.5" customHeight="1">
      <c r="A949" s="86">
        <v>45760.0</v>
      </c>
      <c r="B949" s="63" t="s">
        <v>27</v>
      </c>
      <c r="C949" s="79"/>
      <c r="D949" s="80">
        <v>19500.0</v>
      </c>
      <c r="E949" s="66" t="s">
        <v>33</v>
      </c>
      <c r="F949" s="84" t="s">
        <v>722</v>
      </c>
      <c r="G949" s="68">
        <v>0.0</v>
      </c>
      <c r="H949" s="69">
        <f t="shared" si="77"/>
        <v>0</v>
      </c>
      <c r="I949" s="76" t="s">
        <v>495</v>
      </c>
      <c r="J949" s="87" t="s">
        <v>764</v>
      </c>
      <c r="K949" s="95"/>
      <c r="L949" s="95"/>
      <c r="M949" s="95"/>
      <c r="N949" s="72"/>
      <c r="O949" s="96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</row>
    <row r="950" ht="22.5" customHeight="1">
      <c r="A950" s="86">
        <v>45761.0</v>
      </c>
      <c r="B950" s="63" t="s">
        <v>27</v>
      </c>
      <c r="C950" s="79"/>
      <c r="D950" s="80">
        <v>640500.07</v>
      </c>
      <c r="E950" s="66" t="s">
        <v>28</v>
      </c>
      <c r="F950" s="84" t="s">
        <v>664</v>
      </c>
      <c r="G950" s="68">
        <v>0.0</v>
      </c>
      <c r="H950" s="69">
        <f t="shared" si="77"/>
        <v>0</v>
      </c>
      <c r="I950" s="76" t="s">
        <v>93</v>
      </c>
      <c r="J950" s="98" t="s">
        <v>627</v>
      </c>
      <c r="K950" s="95"/>
      <c r="L950" s="95"/>
      <c r="M950" s="95"/>
      <c r="N950" s="72"/>
      <c r="O950" s="96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</row>
    <row r="951" ht="22.5" customHeight="1">
      <c r="A951" s="86">
        <v>45761.0</v>
      </c>
      <c r="B951" s="63" t="s">
        <v>27</v>
      </c>
      <c r="C951" s="79"/>
      <c r="D951" s="80">
        <v>1775344.77</v>
      </c>
      <c r="E951" s="66" t="s">
        <v>28</v>
      </c>
      <c r="F951" s="84" t="s">
        <v>664</v>
      </c>
      <c r="G951" s="68">
        <v>0.0</v>
      </c>
      <c r="H951" s="69">
        <f t="shared" si="77"/>
        <v>0</v>
      </c>
      <c r="I951" s="76" t="s">
        <v>322</v>
      </c>
      <c r="J951" s="98" t="s">
        <v>641</v>
      </c>
      <c r="K951" s="95"/>
      <c r="L951" s="95"/>
      <c r="M951" s="95"/>
      <c r="N951" s="72"/>
      <c r="O951" s="145" t="s">
        <v>765</v>
      </c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</row>
    <row r="952" ht="22.5" customHeight="1">
      <c r="A952" s="86">
        <v>45761.0</v>
      </c>
      <c r="B952" s="63" t="s">
        <v>27</v>
      </c>
      <c r="C952" s="79"/>
      <c r="D952" s="80">
        <v>474060.06</v>
      </c>
      <c r="E952" s="66" t="s">
        <v>28</v>
      </c>
      <c r="F952" s="84" t="s">
        <v>664</v>
      </c>
      <c r="G952" s="68">
        <v>0.0</v>
      </c>
      <c r="H952" s="69">
        <f t="shared" si="77"/>
        <v>0</v>
      </c>
      <c r="I952" s="76" t="s">
        <v>322</v>
      </c>
      <c r="J952" s="87" t="s">
        <v>474</v>
      </c>
      <c r="K952" s="95"/>
      <c r="L952" s="95"/>
      <c r="M952" s="95"/>
      <c r="N952" s="72"/>
      <c r="O952" s="96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</row>
    <row r="953" ht="22.5" customHeight="1">
      <c r="A953" s="86">
        <v>45761.0</v>
      </c>
      <c r="B953" s="63" t="s">
        <v>27</v>
      </c>
      <c r="C953" s="79"/>
      <c r="D953" s="80">
        <v>417354.0</v>
      </c>
      <c r="E953" s="66" t="s">
        <v>28</v>
      </c>
      <c r="F953" s="84" t="s">
        <v>594</v>
      </c>
      <c r="G953" s="68">
        <v>20.0</v>
      </c>
      <c r="H953" s="69">
        <f t="shared" si="77"/>
        <v>69559</v>
      </c>
      <c r="I953" s="76" t="s">
        <v>101</v>
      </c>
      <c r="J953" s="136" t="s">
        <v>670</v>
      </c>
      <c r="K953" s="95"/>
      <c r="L953" s="95"/>
      <c r="M953" s="95"/>
      <c r="N953" s="72"/>
      <c r="O953" s="145" t="s">
        <v>766</v>
      </c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</row>
    <row r="954" ht="22.5" customHeight="1">
      <c r="A954" s="86">
        <v>45761.0</v>
      </c>
      <c r="B954" s="63" t="s">
        <v>27</v>
      </c>
      <c r="C954" s="79"/>
      <c r="D954" s="80">
        <v>401690.86</v>
      </c>
      <c r="E954" s="66" t="s">
        <v>28</v>
      </c>
      <c r="F954" s="84" t="s">
        <v>594</v>
      </c>
      <c r="G954" s="68">
        <v>20.0</v>
      </c>
      <c r="H954" s="69">
        <f t="shared" si="77"/>
        <v>66948.47667</v>
      </c>
      <c r="I954" s="76" t="s">
        <v>101</v>
      </c>
      <c r="J954" s="141" t="s">
        <v>767</v>
      </c>
      <c r="K954" s="95"/>
      <c r="L954" s="95"/>
      <c r="M954" s="95"/>
      <c r="N954" s="72"/>
      <c r="O954" s="145" t="s">
        <v>768</v>
      </c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</row>
    <row r="955" ht="22.5" customHeight="1">
      <c r="A955" s="86">
        <v>45761.0</v>
      </c>
      <c r="B955" s="63" t="s">
        <v>27</v>
      </c>
      <c r="C955" s="79"/>
      <c r="D955" s="80">
        <v>217000.0</v>
      </c>
      <c r="E955" s="66" t="s">
        <v>28</v>
      </c>
      <c r="F955" s="84" t="s">
        <v>722</v>
      </c>
      <c r="G955" s="68">
        <v>0.0</v>
      </c>
      <c r="H955" s="69">
        <f t="shared" si="77"/>
        <v>0</v>
      </c>
      <c r="I955" s="76" t="s">
        <v>495</v>
      </c>
      <c r="J955" s="87" t="s">
        <v>691</v>
      </c>
      <c r="K955" s="95"/>
      <c r="L955" s="95"/>
      <c r="M955" s="95"/>
      <c r="N955" s="72"/>
      <c r="O955" s="96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</row>
    <row r="956" ht="22.5" customHeight="1">
      <c r="A956" s="86">
        <v>45761.0</v>
      </c>
      <c r="B956" s="63" t="s">
        <v>27</v>
      </c>
      <c r="C956" s="79"/>
      <c r="D956" s="80">
        <v>15000.0</v>
      </c>
      <c r="E956" s="66" t="s">
        <v>33</v>
      </c>
      <c r="F956" s="84" t="s">
        <v>722</v>
      </c>
      <c r="G956" s="68">
        <v>0.0</v>
      </c>
      <c r="H956" s="69">
        <f t="shared" si="77"/>
        <v>0</v>
      </c>
      <c r="I956" s="76" t="s">
        <v>383</v>
      </c>
      <c r="J956" s="87" t="s">
        <v>769</v>
      </c>
      <c r="K956" s="95"/>
      <c r="L956" s="95"/>
      <c r="M956" s="95"/>
      <c r="N956" s="72"/>
      <c r="O956" s="96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</row>
    <row r="957" ht="22.5" customHeight="1">
      <c r="A957" s="86">
        <v>45762.0</v>
      </c>
      <c r="B957" s="63" t="s">
        <v>27</v>
      </c>
      <c r="C957" s="79"/>
      <c r="D957" s="79">
        <f>79*19</f>
        <v>1501</v>
      </c>
      <c r="E957" s="66" t="s">
        <v>28</v>
      </c>
      <c r="F957" s="84" t="s">
        <v>722</v>
      </c>
      <c r="G957" s="68">
        <v>0.0</v>
      </c>
      <c r="H957" s="69">
        <f t="shared" si="77"/>
        <v>0</v>
      </c>
      <c r="I957" s="76" t="s">
        <v>294</v>
      </c>
      <c r="J957" s="87" t="s">
        <v>719</v>
      </c>
      <c r="K957" s="95"/>
      <c r="L957" s="95"/>
      <c r="M957" s="95"/>
      <c r="N957" s="72"/>
      <c r="O957" s="96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</row>
    <row r="958" ht="22.5" customHeight="1">
      <c r="A958" s="86">
        <v>45762.0</v>
      </c>
      <c r="B958" s="63" t="s">
        <v>27</v>
      </c>
      <c r="C958" s="79"/>
      <c r="D958" s="80">
        <v>2500.0</v>
      </c>
      <c r="E958" s="66" t="s">
        <v>33</v>
      </c>
      <c r="F958" s="84" t="s">
        <v>722</v>
      </c>
      <c r="G958" s="68">
        <v>0.0</v>
      </c>
      <c r="H958" s="69">
        <f t="shared" si="77"/>
        <v>0</v>
      </c>
      <c r="I958" s="76" t="s">
        <v>495</v>
      </c>
      <c r="J958" s="87" t="s">
        <v>770</v>
      </c>
      <c r="K958" s="95"/>
      <c r="L958" s="95"/>
      <c r="M958" s="95"/>
      <c r="N958" s="72"/>
      <c r="O958" s="96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</row>
    <row r="959" ht="22.5" customHeight="1">
      <c r="A959" s="86">
        <v>45762.0</v>
      </c>
      <c r="B959" s="63" t="s">
        <v>27</v>
      </c>
      <c r="C959" s="79"/>
      <c r="D959" s="80">
        <v>4190.85</v>
      </c>
      <c r="E959" s="66" t="s">
        <v>28</v>
      </c>
      <c r="F959" s="84" t="s">
        <v>722</v>
      </c>
      <c r="G959" s="68">
        <v>0.0</v>
      </c>
      <c r="H959" s="69">
        <f t="shared" si="77"/>
        <v>0</v>
      </c>
      <c r="I959" s="94" t="s">
        <v>599</v>
      </c>
      <c r="J959" s="87" t="s">
        <v>72</v>
      </c>
      <c r="K959" s="95"/>
      <c r="L959" s="95"/>
      <c r="M959" s="95"/>
      <c r="N959" s="72"/>
      <c r="O959" s="96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</row>
    <row r="960" ht="22.5" customHeight="1">
      <c r="A960" s="86">
        <v>45763.0</v>
      </c>
      <c r="B960" s="63" t="s">
        <v>27</v>
      </c>
      <c r="C960" s="79"/>
      <c r="D960" s="80">
        <v>600000.0</v>
      </c>
      <c r="E960" s="66" t="s">
        <v>28</v>
      </c>
      <c r="F960" s="84" t="s">
        <v>674</v>
      </c>
      <c r="G960" s="68">
        <v>20.0</v>
      </c>
      <c r="H960" s="69">
        <f t="shared" si="77"/>
        <v>100000</v>
      </c>
      <c r="I960" s="76" t="s">
        <v>61</v>
      </c>
      <c r="J960" s="103" t="s">
        <v>228</v>
      </c>
      <c r="K960" s="95"/>
      <c r="L960" s="95"/>
      <c r="M960" s="95"/>
      <c r="N960" s="72"/>
      <c r="O960" s="83" t="s">
        <v>771</v>
      </c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</row>
    <row r="961" ht="22.5" customHeight="1">
      <c r="A961" s="86">
        <v>45763.0</v>
      </c>
      <c r="B961" s="63" t="s">
        <v>27</v>
      </c>
      <c r="C961" s="79"/>
      <c r="D961" s="80">
        <v>1245647.52</v>
      </c>
      <c r="E961" s="66" t="s">
        <v>28</v>
      </c>
      <c r="F961" s="84" t="s">
        <v>626</v>
      </c>
      <c r="G961" s="68">
        <v>20.0</v>
      </c>
      <c r="H961" s="69">
        <f t="shared" si="77"/>
        <v>207607.92</v>
      </c>
      <c r="I961" s="76" t="s">
        <v>61</v>
      </c>
      <c r="J961" s="103" t="s">
        <v>228</v>
      </c>
      <c r="K961" s="95"/>
      <c r="L961" s="95"/>
      <c r="M961" s="95"/>
      <c r="N961" s="72"/>
      <c r="O961" s="96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</row>
    <row r="962" ht="22.5" customHeight="1">
      <c r="A962" s="86">
        <v>45763.0</v>
      </c>
      <c r="B962" s="63" t="s">
        <v>27</v>
      </c>
      <c r="C962" s="79"/>
      <c r="D962" s="80">
        <v>5000.0</v>
      </c>
      <c r="E962" s="66" t="s">
        <v>33</v>
      </c>
      <c r="F962" s="84" t="s">
        <v>722</v>
      </c>
      <c r="G962" s="68">
        <v>0.0</v>
      </c>
      <c r="H962" s="69">
        <f t="shared" si="77"/>
        <v>0</v>
      </c>
      <c r="I962" s="76" t="s">
        <v>383</v>
      </c>
      <c r="J962" s="87" t="s">
        <v>772</v>
      </c>
      <c r="K962" s="95"/>
      <c r="L962" s="95"/>
      <c r="M962" s="95"/>
      <c r="N962" s="72"/>
      <c r="O962" s="96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</row>
    <row r="963" ht="22.5" customHeight="1">
      <c r="A963" s="86">
        <v>45763.0</v>
      </c>
      <c r="B963" s="63" t="s">
        <v>27</v>
      </c>
      <c r="C963" s="79"/>
      <c r="D963" s="80">
        <v>5000.0</v>
      </c>
      <c r="E963" s="66" t="s">
        <v>33</v>
      </c>
      <c r="F963" s="84" t="s">
        <v>722</v>
      </c>
      <c r="G963" s="68">
        <v>0.0</v>
      </c>
      <c r="H963" s="69">
        <f t="shared" si="77"/>
        <v>0</v>
      </c>
      <c r="I963" s="76" t="s">
        <v>490</v>
      </c>
      <c r="J963" s="87" t="s">
        <v>773</v>
      </c>
      <c r="K963" s="95"/>
      <c r="L963" s="95"/>
      <c r="M963" s="95"/>
      <c r="N963" s="72"/>
      <c r="O963" s="96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</row>
    <row r="964" ht="22.5" customHeight="1">
      <c r="A964" s="86">
        <v>45764.0</v>
      </c>
      <c r="B964" s="63" t="s">
        <v>27</v>
      </c>
      <c r="C964" s="79"/>
      <c r="D964" s="80">
        <v>349327.75</v>
      </c>
      <c r="E964" s="66" t="s">
        <v>28</v>
      </c>
      <c r="F964" s="84" t="s">
        <v>722</v>
      </c>
      <c r="G964" s="68">
        <v>0.0</v>
      </c>
      <c r="H964" s="69">
        <f t="shared" si="77"/>
        <v>0</v>
      </c>
      <c r="I964" s="76" t="s">
        <v>383</v>
      </c>
      <c r="J964" s="87" t="s">
        <v>774</v>
      </c>
      <c r="K964" s="95"/>
      <c r="L964" s="95"/>
      <c r="M964" s="95"/>
      <c r="N964" s="72"/>
      <c r="O964" s="83" t="s">
        <v>775</v>
      </c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</row>
    <row r="965" ht="22.5" customHeight="1">
      <c r="A965" s="86">
        <v>45765.0</v>
      </c>
      <c r="B965" s="63" t="s">
        <v>27</v>
      </c>
      <c r="C965" s="79"/>
      <c r="D965" s="79">
        <f>240000+240000</f>
        <v>480000</v>
      </c>
      <c r="E965" s="66" t="s">
        <v>28</v>
      </c>
      <c r="F965" s="84" t="s">
        <v>619</v>
      </c>
      <c r="G965" s="68">
        <v>20.0</v>
      </c>
      <c r="H965" s="69">
        <f t="shared" si="77"/>
        <v>80000</v>
      </c>
      <c r="I965" s="76" t="s">
        <v>101</v>
      </c>
      <c r="J965" s="141" t="s">
        <v>776</v>
      </c>
      <c r="K965" s="95"/>
      <c r="L965" s="95"/>
      <c r="M965" s="95"/>
      <c r="N965" s="72"/>
      <c r="O965" s="83" t="s">
        <v>669</v>
      </c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</row>
    <row r="966" ht="22.5" customHeight="1">
      <c r="A966" s="86">
        <v>45765.0</v>
      </c>
      <c r="B966" s="63" t="s">
        <v>27</v>
      </c>
      <c r="C966" s="79"/>
      <c r="D966" s="80">
        <v>70000.0</v>
      </c>
      <c r="E966" s="66" t="s">
        <v>28</v>
      </c>
      <c r="F966" s="84" t="s">
        <v>722</v>
      </c>
      <c r="G966" s="68">
        <v>5.0</v>
      </c>
      <c r="H966" s="69">
        <f t="shared" si="77"/>
        <v>3333.333333</v>
      </c>
      <c r="I966" s="76" t="s">
        <v>383</v>
      </c>
      <c r="J966" s="98" t="s">
        <v>777</v>
      </c>
      <c r="K966" s="95"/>
      <c r="L966" s="95"/>
      <c r="M966" s="95"/>
      <c r="N966" s="72"/>
      <c r="O966" s="96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</row>
    <row r="967" ht="22.5" customHeight="1">
      <c r="A967" s="86">
        <v>45765.0</v>
      </c>
      <c r="B967" s="63" t="s">
        <v>27</v>
      </c>
      <c r="C967" s="79"/>
      <c r="D967" s="80">
        <v>15200.0</v>
      </c>
      <c r="E967" s="66" t="s">
        <v>33</v>
      </c>
      <c r="F967" s="84" t="s">
        <v>722</v>
      </c>
      <c r="G967" s="68">
        <v>0.0</v>
      </c>
      <c r="H967" s="69">
        <f t="shared" si="77"/>
        <v>0</v>
      </c>
      <c r="I967" s="76" t="s">
        <v>490</v>
      </c>
      <c r="J967" s="87" t="s">
        <v>778</v>
      </c>
      <c r="K967" s="95"/>
      <c r="L967" s="95"/>
      <c r="M967" s="95"/>
      <c r="N967" s="72"/>
      <c r="O967" s="96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</row>
    <row r="968" ht="22.5" customHeight="1">
      <c r="A968" s="86">
        <v>45765.0</v>
      </c>
      <c r="B968" s="63" t="s">
        <v>27</v>
      </c>
      <c r="C968" s="80">
        <v>441000.0</v>
      </c>
      <c r="D968" s="79"/>
      <c r="E968" s="66" t="s">
        <v>28</v>
      </c>
      <c r="F968" s="84" t="s">
        <v>594</v>
      </c>
      <c r="G968" s="68">
        <v>20.0</v>
      </c>
      <c r="H968" s="69">
        <f t="shared" si="77"/>
        <v>73500</v>
      </c>
      <c r="I968" s="76" t="s">
        <v>37</v>
      </c>
      <c r="J968" s="87" t="s">
        <v>482</v>
      </c>
      <c r="K968" s="95"/>
      <c r="L968" s="82">
        <v>49.0</v>
      </c>
      <c r="M968" s="128">
        <v>45697.0</v>
      </c>
      <c r="N968" s="72">
        <f t="shared" ref="N968:N971" si="79">A968-IF(M968&gt;0,M968,A968)</f>
        <v>68</v>
      </c>
      <c r="O968" s="96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</row>
    <row r="969" ht="22.5" customHeight="1">
      <c r="A969" s="86">
        <v>45765.0</v>
      </c>
      <c r="B969" s="63" t="s">
        <v>27</v>
      </c>
      <c r="C969" s="80">
        <v>600600.0</v>
      </c>
      <c r="D969" s="79"/>
      <c r="E969" s="66" t="s">
        <v>28</v>
      </c>
      <c r="F969" s="84" t="s">
        <v>594</v>
      </c>
      <c r="G969" s="68">
        <v>20.0</v>
      </c>
      <c r="H969" s="69">
        <f t="shared" si="77"/>
        <v>100100</v>
      </c>
      <c r="I969" s="76" t="s">
        <v>37</v>
      </c>
      <c r="J969" s="87" t="s">
        <v>482</v>
      </c>
      <c r="K969" s="95"/>
      <c r="L969" s="82">
        <v>50.0</v>
      </c>
      <c r="M969" s="128">
        <v>45697.0</v>
      </c>
      <c r="N969" s="72">
        <f t="shared" si="79"/>
        <v>68</v>
      </c>
      <c r="O969" s="96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</row>
    <row r="970" ht="22.5" customHeight="1">
      <c r="A970" s="86">
        <v>45765.0</v>
      </c>
      <c r="B970" s="63" t="s">
        <v>27</v>
      </c>
      <c r="C970" s="80">
        <v>807240.0</v>
      </c>
      <c r="D970" s="79"/>
      <c r="E970" s="66" t="s">
        <v>28</v>
      </c>
      <c r="F970" s="84" t="s">
        <v>594</v>
      </c>
      <c r="G970" s="68">
        <v>20.0</v>
      </c>
      <c r="H970" s="69">
        <f t="shared" si="77"/>
        <v>134540</v>
      </c>
      <c r="I970" s="76" t="s">
        <v>37</v>
      </c>
      <c r="J970" s="87" t="s">
        <v>482</v>
      </c>
      <c r="K970" s="95"/>
      <c r="L970" s="82">
        <v>63.0</v>
      </c>
      <c r="M970" s="128">
        <v>45701.0</v>
      </c>
      <c r="N970" s="72">
        <f t="shared" si="79"/>
        <v>64</v>
      </c>
      <c r="O970" s="96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</row>
    <row r="971" ht="22.5" customHeight="1">
      <c r="A971" s="86">
        <v>45765.0</v>
      </c>
      <c r="B971" s="63" t="s">
        <v>27</v>
      </c>
      <c r="C971" s="80">
        <v>630000.0</v>
      </c>
      <c r="D971" s="79"/>
      <c r="E971" s="66" t="s">
        <v>28</v>
      </c>
      <c r="F971" s="84" t="s">
        <v>594</v>
      </c>
      <c r="G971" s="68">
        <v>20.0</v>
      </c>
      <c r="H971" s="69">
        <f t="shared" si="77"/>
        <v>105000</v>
      </c>
      <c r="I971" s="76" t="s">
        <v>37</v>
      </c>
      <c r="J971" s="87" t="s">
        <v>482</v>
      </c>
      <c r="K971" s="95"/>
      <c r="L971" s="82">
        <v>64.0</v>
      </c>
      <c r="M971" s="128">
        <v>45702.0</v>
      </c>
      <c r="N971" s="72">
        <f t="shared" si="79"/>
        <v>63</v>
      </c>
      <c r="O971" s="83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</row>
    <row r="972" ht="22.5" customHeight="1">
      <c r="A972" s="86">
        <v>45765.0</v>
      </c>
      <c r="B972" s="63" t="s">
        <v>27</v>
      </c>
      <c r="C972" s="79"/>
      <c r="D972" s="80">
        <v>38105.84</v>
      </c>
      <c r="E972" s="66" t="s">
        <v>28</v>
      </c>
      <c r="F972" s="84" t="s">
        <v>722</v>
      </c>
      <c r="G972" s="68">
        <v>0.0</v>
      </c>
      <c r="H972" s="69">
        <f t="shared" si="77"/>
        <v>0</v>
      </c>
      <c r="I972" s="76" t="s">
        <v>68</v>
      </c>
      <c r="J972" s="87" t="s">
        <v>779</v>
      </c>
      <c r="K972" s="95"/>
      <c r="L972" s="95"/>
      <c r="M972" s="95"/>
      <c r="N972" s="72"/>
      <c r="O972" s="96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</row>
    <row r="973" ht="22.5" customHeight="1">
      <c r="A973" s="86">
        <v>45768.0</v>
      </c>
      <c r="B973" s="63" t="s">
        <v>27</v>
      </c>
      <c r="C973" s="79"/>
      <c r="D973" s="80">
        <v>53100.0</v>
      </c>
      <c r="E973" s="66" t="s">
        <v>28</v>
      </c>
      <c r="F973" s="84" t="s">
        <v>722</v>
      </c>
      <c r="G973" s="68">
        <v>0.0</v>
      </c>
      <c r="H973" s="69">
        <f t="shared" si="77"/>
        <v>0</v>
      </c>
      <c r="I973" s="76" t="s">
        <v>383</v>
      </c>
      <c r="J973" s="87" t="s">
        <v>780</v>
      </c>
      <c r="K973" s="95"/>
      <c r="L973" s="95"/>
      <c r="M973" s="95"/>
      <c r="N973" s="72"/>
      <c r="O973" s="96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</row>
    <row r="974" ht="22.5" customHeight="1">
      <c r="A974" s="86">
        <v>45768.0</v>
      </c>
      <c r="B974" s="63" t="s">
        <v>27</v>
      </c>
      <c r="C974" s="79"/>
      <c r="D974" s="80">
        <v>20000.0</v>
      </c>
      <c r="E974" s="66" t="s">
        <v>33</v>
      </c>
      <c r="F974" s="84" t="s">
        <v>722</v>
      </c>
      <c r="G974" s="68">
        <v>0.0</v>
      </c>
      <c r="H974" s="69">
        <f t="shared" si="77"/>
        <v>0</v>
      </c>
      <c r="I974" s="76" t="s">
        <v>383</v>
      </c>
      <c r="J974" s="87" t="s">
        <v>781</v>
      </c>
      <c r="K974" s="95"/>
      <c r="L974" s="95"/>
      <c r="M974" s="95"/>
      <c r="N974" s="72"/>
      <c r="O974" s="96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</row>
    <row r="975" ht="22.5" customHeight="1">
      <c r="A975" s="86">
        <v>45768.0</v>
      </c>
      <c r="B975" s="63" t="s">
        <v>27</v>
      </c>
      <c r="C975" s="79"/>
      <c r="D975" s="80">
        <v>3000.0</v>
      </c>
      <c r="E975" s="66" t="s">
        <v>33</v>
      </c>
      <c r="F975" s="84" t="s">
        <v>722</v>
      </c>
      <c r="G975" s="68">
        <v>0.0</v>
      </c>
      <c r="H975" s="69">
        <f t="shared" si="77"/>
        <v>0</v>
      </c>
      <c r="I975" s="76" t="s">
        <v>490</v>
      </c>
      <c r="J975" s="87" t="s">
        <v>782</v>
      </c>
      <c r="K975" s="95"/>
      <c r="L975" s="95"/>
      <c r="M975" s="95"/>
      <c r="N975" s="72"/>
      <c r="O975" s="96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</row>
    <row r="976" ht="22.5" customHeight="1">
      <c r="A976" s="86">
        <v>45768.0</v>
      </c>
      <c r="B976" s="63" t="s">
        <v>27</v>
      </c>
      <c r="C976" s="80">
        <v>720000.12</v>
      </c>
      <c r="D976" s="80"/>
      <c r="E976" s="66" t="s">
        <v>376</v>
      </c>
      <c r="F976" s="84" t="s">
        <v>626</v>
      </c>
      <c r="G976" s="68">
        <v>20.0</v>
      </c>
      <c r="H976" s="69">
        <f t="shared" si="77"/>
        <v>120000.02</v>
      </c>
      <c r="I976" s="76" t="s">
        <v>37</v>
      </c>
      <c r="J976" s="87" t="s">
        <v>110</v>
      </c>
      <c r="K976" s="82" t="s">
        <v>783</v>
      </c>
      <c r="L976" s="82">
        <v>66.0</v>
      </c>
      <c r="M976" s="128">
        <v>45726.0</v>
      </c>
      <c r="N976" s="72">
        <f>A976-IF(M976&gt;0,M976,A976)</f>
        <v>42</v>
      </c>
      <c r="O976" s="96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</row>
    <row r="977" ht="22.5" customHeight="1">
      <c r="A977" s="86">
        <v>45769.0</v>
      </c>
      <c r="B977" s="63" t="s">
        <v>27</v>
      </c>
      <c r="C977" s="79"/>
      <c r="D977" s="80">
        <v>5000.0</v>
      </c>
      <c r="E977" s="66" t="s">
        <v>33</v>
      </c>
      <c r="F977" s="84" t="s">
        <v>722</v>
      </c>
      <c r="G977" s="68">
        <v>0.0</v>
      </c>
      <c r="H977" s="69">
        <f t="shared" si="77"/>
        <v>0</v>
      </c>
      <c r="I977" s="76" t="s">
        <v>383</v>
      </c>
      <c r="J977" s="87" t="s">
        <v>772</v>
      </c>
      <c r="K977" s="95"/>
      <c r="L977" s="95"/>
      <c r="M977" s="95"/>
      <c r="N977" s="72"/>
      <c r="O977" s="96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</row>
    <row r="978" ht="22.5" customHeight="1">
      <c r="A978" s="86">
        <v>45771.0</v>
      </c>
      <c r="B978" s="63" t="s">
        <v>27</v>
      </c>
      <c r="C978" s="80">
        <v>600000.24</v>
      </c>
      <c r="D978" s="79"/>
      <c r="E978" s="66" t="s">
        <v>28</v>
      </c>
      <c r="F978" s="84" t="s">
        <v>594</v>
      </c>
      <c r="G978" s="68">
        <v>20.0</v>
      </c>
      <c r="H978" s="69">
        <f t="shared" si="77"/>
        <v>100000.04</v>
      </c>
      <c r="I978" s="76" t="s">
        <v>37</v>
      </c>
      <c r="J978" s="87" t="s">
        <v>440</v>
      </c>
      <c r="K978" s="95"/>
      <c r="L978" s="82">
        <v>45.0</v>
      </c>
      <c r="M978" s="128">
        <v>45696.0</v>
      </c>
      <c r="N978" s="72">
        <f>A978-IF(M978&gt;0,M978,A978)</f>
        <v>75</v>
      </c>
      <c r="O978" s="96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</row>
    <row r="979" ht="22.5" customHeight="1">
      <c r="A979" s="86">
        <v>45771.0</v>
      </c>
      <c r="B979" s="63" t="s">
        <v>27</v>
      </c>
      <c r="C979" s="79"/>
      <c r="D979" s="80">
        <v>3000.0</v>
      </c>
      <c r="E979" s="66" t="s">
        <v>33</v>
      </c>
      <c r="F979" s="84" t="s">
        <v>722</v>
      </c>
      <c r="G979" s="68">
        <v>0.0</v>
      </c>
      <c r="H979" s="69">
        <f t="shared" si="77"/>
        <v>0</v>
      </c>
      <c r="I979" s="76" t="s">
        <v>495</v>
      </c>
      <c r="J979" s="87" t="s">
        <v>784</v>
      </c>
      <c r="K979" s="95"/>
      <c r="L979" s="95"/>
      <c r="M979" s="95"/>
      <c r="N979" s="72"/>
      <c r="O979" s="96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</row>
    <row r="980" ht="22.5" customHeight="1">
      <c r="A980" s="86">
        <v>45771.0</v>
      </c>
      <c r="B980" s="63" t="s">
        <v>27</v>
      </c>
      <c r="C980" s="79"/>
      <c r="D980" s="80">
        <v>10000.0</v>
      </c>
      <c r="E980" s="66" t="s">
        <v>33</v>
      </c>
      <c r="F980" s="84" t="s">
        <v>722</v>
      </c>
      <c r="G980" s="68">
        <v>0.0</v>
      </c>
      <c r="H980" s="69">
        <f t="shared" si="77"/>
        <v>0</v>
      </c>
      <c r="I980" s="76" t="s">
        <v>383</v>
      </c>
      <c r="J980" s="87" t="s">
        <v>785</v>
      </c>
      <c r="K980" s="95"/>
      <c r="L980" s="95"/>
      <c r="M980" s="95"/>
      <c r="N980" s="72"/>
      <c r="O980" s="96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</row>
    <row r="981" ht="22.5" customHeight="1">
      <c r="A981" s="86">
        <v>45771.0</v>
      </c>
      <c r="B981" s="63" t="s">
        <v>27</v>
      </c>
      <c r="C981" s="79"/>
      <c r="D981" s="80">
        <v>270000.0</v>
      </c>
      <c r="E981" s="66" t="s">
        <v>33</v>
      </c>
      <c r="F981" s="84" t="s">
        <v>722</v>
      </c>
      <c r="G981" s="68">
        <v>0.0</v>
      </c>
      <c r="H981" s="69">
        <f t="shared" si="77"/>
        <v>0</v>
      </c>
      <c r="I981" s="76" t="s">
        <v>383</v>
      </c>
      <c r="J981" s="87" t="s">
        <v>786</v>
      </c>
      <c r="K981" s="95"/>
      <c r="L981" s="95"/>
      <c r="M981" s="95"/>
      <c r="N981" s="72"/>
      <c r="O981" s="96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</row>
    <row r="982" ht="22.5" customHeight="1">
      <c r="A982" s="86">
        <v>45771.0</v>
      </c>
      <c r="B982" s="63" t="s">
        <v>27</v>
      </c>
      <c r="C982" s="79"/>
      <c r="D982" s="80">
        <v>50000.0</v>
      </c>
      <c r="E982" s="66" t="s">
        <v>33</v>
      </c>
      <c r="F982" s="84" t="s">
        <v>722</v>
      </c>
      <c r="G982" s="68">
        <v>0.0</v>
      </c>
      <c r="H982" s="69">
        <f t="shared" si="77"/>
        <v>0</v>
      </c>
      <c r="I982" s="76" t="s">
        <v>383</v>
      </c>
      <c r="J982" s="87" t="s">
        <v>787</v>
      </c>
      <c r="K982" s="95"/>
      <c r="L982" s="95"/>
      <c r="M982" s="95"/>
      <c r="N982" s="72"/>
      <c r="O982" s="96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</row>
    <row r="983" ht="22.5" customHeight="1">
      <c r="A983" s="86">
        <v>45771.0</v>
      </c>
      <c r="B983" s="63" t="s">
        <v>27</v>
      </c>
      <c r="C983" s="79"/>
      <c r="D983" s="80">
        <v>20000.0</v>
      </c>
      <c r="E983" s="66" t="s">
        <v>33</v>
      </c>
      <c r="F983" s="84" t="s">
        <v>722</v>
      </c>
      <c r="G983" s="68">
        <v>0.0</v>
      </c>
      <c r="H983" s="69">
        <f t="shared" si="77"/>
        <v>0</v>
      </c>
      <c r="I983" s="76" t="s">
        <v>383</v>
      </c>
      <c r="J983" s="87" t="s">
        <v>788</v>
      </c>
      <c r="K983" s="95"/>
      <c r="L983" s="95"/>
      <c r="M983" s="95"/>
      <c r="N983" s="72"/>
      <c r="O983" s="96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</row>
    <row r="984" ht="22.5" customHeight="1">
      <c r="A984" s="86">
        <v>45771.0</v>
      </c>
      <c r="B984" s="63" t="s">
        <v>27</v>
      </c>
      <c r="C984" s="79"/>
      <c r="D984" s="80">
        <v>60000.0</v>
      </c>
      <c r="E984" s="66" t="s">
        <v>33</v>
      </c>
      <c r="F984" s="84" t="s">
        <v>722</v>
      </c>
      <c r="G984" s="68">
        <v>0.0</v>
      </c>
      <c r="H984" s="69">
        <f t="shared" si="77"/>
        <v>0</v>
      </c>
      <c r="I984" s="76" t="s">
        <v>383</v>
      </c>
      <c r="J984" s="87" t="s">
        <v>789</v>
      </c>
      <c r="K984" s="95"/>
      <c r="L984" s="95"/>
      <c r="M984" s="95"/>
      <c r="N984" s="72"/>
      <c r="O984" s="96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</row>
    <row r="985" ht="22.5" customHeight="1">
      <c r="A985" s="86">
        <v>45771.0</v>
      </c>
      <c r="B985" s="63" t="s">
        <v>27</v>
      </c>
      <c r="C985" s="79"/>
      <c r="D985" s="80">
        <v>34000.0</v>
      </c>
      <c r="E985" s="66" t="s">
        <v>33</v>
      </c>
      <c r="F985" s="84" t="s">
        <v>722</v>
      </c>
      <c r="G985" s="68">
        <v>0.0</v>
      </c>
      <c r="H985" s="69">
        <f t="shared" si="77"/>
        <v>0</v>
      </c>
      <c r="I985" s="76" t="s">
        <v>383</v>
      </c>
      <c r="J985" s="87" t="s">
        <v>264</v>
      </c>
      <c r="K985" s="95"/>
      <c r="L985" s="95"/>
      <c r="M985" s="95"/>
      <c r="N985" s="72"/>
      <c r="O985" s="96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</row>
    <row r="986" ht="22.5" customHeight="1">
      <c r="A986" s="86">
        <v>45772.0</v>
      </c>
      <c r="B986" s="63" t="s">
        <v>27</v>
      </c>
      <c r="C986" s="79"/>
      <c r="D986" s="80">
        <v>29068.4</v>
      </c>
      <c r="E986" s="66" t="s">
        <v>28</v>
      </c>
      <c r="F986" s="84" t="s">
        <v>722</v>
      </c>
      <c r="G986" s="68">
        <v>0.0</v>
      </c>
      <c r="H986" s="69">
        <f t="shared" si="77"/>
        <v>0</v>
      </c>
      <c r="I986" s="76" t="s">
        <v>68</v>
      </c>
      <c r="J986" s="87" t="s">
        <v>790</v>
      </c>
      <c r="K986" s="95"/>
      <c r="L986" s="95"/>
      <c r="M986" s="95"/>
      <c r="N986" s="72"/>
      <c r="O986" s="96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</row>
    <row r="987" ht="22.5" customHeight="1">
      <c r="A987" s="86">
        <v>45772.0</v>
      </c>
      <c r="B987" s="63" t="s">
        <v>27</v>
      </c>
      <c r="C987" s="79"/>
      <c r="D987" s="79">
        <f>406204+367.47+16026</f>
        <v>422597.47</v>
      </c>
      <c r="E987" s="66" t="s">
        <v>28</v>
      </c>
      <c r="F987" s="84" t="s">
        <v>722</v>
      </c>
      <c r="G987" s="68">
        <v>0.0</v>
      </c>
      <c r="H987" s="69">
        <f t="shared" si="77"/>
        <v>0</v>
      </c>
      <c r="I987" s="76" t="s">
        <v>280</v>
      </c>
      <c r="J987" s="87" t="s">
        <v>791</v>
      </c>
      <c r="K987" s="95"/>
      <c r="L987" s="95"/>
      <c r="M987" s="95"/>
      <c r="N987" s="72"/>
      <c r="O987" s="96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</row>
    <row r="988" ht="22.5" customHeight="1">
      <c r="A988" s="143">
        <v>45772.0</v>
      </c>
      <c r="B988" s="63" t="s">
        <v>27</v>
      </c>
      <c r="C988" s="80">
        <v>1003320.0</v>
      </c>
      <c r="D988" s="80"/>
      <c r="E988" s="66" t="s">
        <v>28</v>
      </c>
      <c r="F988" s="84" t="s">
        <v>626</v>
      </c>
      <c r="G988" s="68">
        <v>20.0</v>
      </c>
      <c r="H988" s="69">
        <f t="shared" si="77"/>
        <v>167220</v>
      </c>
      <c r="I988" s="76" t="s">
        <v>37</v>
      </c>
      <c r="J988" s="87" t="s">
        <v>624</v>
      </c>
      <c r="K988" s="82" t="s">
        <v>792</v>
      </c>
      <c r="L988" s="82">
        <v>89.0</v>
      </c>
      <c r="M988" s="128">
        <v>45728.0</v>
      </c>
      <c r="N988" s="72">
        <f>A988-IF(M988&gt;0,M988,A988)</f>
        <v>44</v>
      </c>
      <c r="O988" s="96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</row>
    <row r="989" ht="22.5" customHeight="1">
      <c r="A989" s="143">
        <v>45772.0</v>
      </c>
      <c r="B989" s="63" t="s">
        <v>27</v>
      </c>
      <c r="C989" s="79"/>
      <c r="D989" s="80">
        <v>50000.0</v>
      </c>
      <c r="E989" s="66" t="s">
        <v>33</v>
      </c>
      <c r="F989" s="84" t="s">
        <v>674</v>
      </c>
      <c r="G989" s="68">
        <v>0.0</v>
      </c>
      <c r="H989" s="69">
        <f t="shared" si="77"/>
        <v>0</v>
      </c>
      <c r="I989" s="76" t="s">
        <v>53</v>
      </c>
      <c r="J989" s="87" t="s">
        <v>793</v>
      </c>
      <c r="K989" s="95"/>
      <c r="L989" s="95"/>
      <c r="M989" s="95"/>
      <c r="N989" s="72"/>
      <c r="O989" s="96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</row>
    <row r="990" ht="22.5" customHeight="1">
      <c r="A990" s="143">
        <v>45772.0</v>
      </c>
      <c r="B990" s="63" t="s">
        <v>27</v>
      </c>
      <c r="C990" s="79"/>
      <c r="D990" s="80">
        <v>5500.0</v>
      </c>
      <c r="E990" s="66" t="s">
        <v>33</v>
      </c>
      <c r="F990" s="84" t="s">
        <v>674</v>
      </c>
      <c r="G990" s="68">
        <v>0.0</v>
      </c>
      <c r="H990" s="69">
        <f t="shared" si="77"/>
        <v>0</v>
      </c>
      <c r="I990" s="76" t="s">
        <v>495</v>
      </c>
      <c r="J990" s="87" t="s">
        <v>668</v>
      </c>
      <c r="K990" s="95"/>
      <c r="L990" s="95"/>
      <c r="M990" s="95"/>
      <c r="N990" s="72"/>
      <c r="O990" s="96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</row>
    <row r="991" ht="22.5" customHeight="1">
      <c r="A991" s="143">
        <v>45772.0</v>
      </c>
      <c r="B991" s="63" t="s">
        <v>27</v>
      </c>
      <c r="C991" s="79"/>
      <c r="D991" s="80">
        <v>13000.0</v>
      </c>
      <c r="E991" s="66" t="s">
        <v>33</v>
      </c>
      <c r="F991" s="84" t="s">
        <v>722</v>
      </c>
      <c r="G991" s="68">
        <v>0.0</v>
      </c>
      <c r="H991" s="69">
        <f t="shared" si="77"/>
        <v>0</v>
      </c>
      <c r="I991" s="76" t="s">
        <v>495</v>
      </c>
      <c r="J991" s="87" t="s">
        <v>794</v>
      </c>
      <c r="K991" s="95"/>
      <c r="L991" s="95"/>
      <c r="M991" s="95"/>
      <c r="N991" s="72"/>
      <c r="O991" s="96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</row>
    <row r="992" ht="22.5" customHeight="1">
      <c r="A992" s="86">
        <v>45775.0</v>
      </c>
      <c r="B992" s="63" t="s">
        <v>27</v>
      </c>
      <c r="C992" s="79"/>
      <c r="D992" s="80">
        <v>595900.0</v>
      </c>
      <c r="E992" s="66" t="s">
        <v>33</v>
      </c>
      <c r="F992" s="84" t="s">
        <v>722</v>
      </c>
      <c r="G992" s="68">
        <v>0.0</v>
      </c>
      <c r="H992" s="69">
        <f t="shared" si="77"/>
        <v>0</v>
      </c>
      <c r="I992" s="76" t="s">
        <v>93</v>
      </c>
      <c r="J992" s="87" t="s">
        <v>795</v>
      </c>
      <c r="K992" s="95"/>
      <c r="L992" s="95"/>
      <c r="M992" s="95"/>
      <c r="N992" s="72"/>
      <c r="O992" s="96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</row>
    <row r="993" ht="22.5" customHeight="1">
      <c r="A993" s="86">
        <v>45775.0</v>
      </c>
      <c r="B993" s="63" t="s">
        <v>27</v>
      </c>
      <c r="C993" s="79"/>
      <c r="D993" s="80">
        <v>50000.0</v>
      </c>
      <c r="E993" s="66" t="s">
        <v>33</v>
      </c>
      <c r="F993" s="84" t="s">
        <v>722</v>
      </c>
      <c r="G993" s="68">
        <v>0.0</v>
      </c>
      <c r="H993" s="69">
        <f t="shared" si="77"/>
        <v>0</v>
      </c>
      <c r="I993" s="76" t="s">
        <v>53</v>
      </c>
      <c r="J993" s="87" t="s">
        <v>796</v>
      </c>
      <c r="K993" s="95"/>
      <c r="L993" s="95"/>
      <c r="M993" s="95"/>
      <c r="N993" s="72"/>
      <c r="O993" s="96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</row>
    <row r="994" ht="22.5" customHeight="1">
      <c r="A994" s="86">
        <v>45775.0</v>
      </c>
      <c r="B994" s="63" t="s">
        <v>27</v>
      </c>
      <c r="C994" s="79"/>
      <c r="D994" s="80">
        <v>2200000.0</v>
      </c>
      <c r="E994" s="66" t="s">
        <v>28</v>
      </c>
      <c r="F994" s="84" t="s">
        <v>722</v>
      </c>
      <c r="G994" s="68">
        <v>20.0</v>
      </c>
      <c r="H994" s="69">
        <f t="shared" si="77"/>
        <v>366666.6667</v>
      </c>
      <c r="I994" s="76" t="s">
        <v>47</v>
      </c>
      <c r="J994" s="81"/>
      <c r="K994" s="95"/>
      <c r="L994" s="95"/>
      <c r="M994" s="95"/>
      <c r="N994" s="72"/>
      <c r="O994" s="96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</row>
    <row r="995" ht="22.5" customHeight="1">
      <c r="A995" s="86">
        <v>45775.0</v>
      </c>
      <c r="B995" s="63" t="s">
        <v>27</v>
      </c>
      <c r="C995" s="80">
        <v>1683000.0</v>
      </c>
      <c r="D995" s="80"/>
      <c r="E995" s="66" t="s">
        <v>33</v>
      </c>
      <c r="F995" s="84" t="s">
        <v>722</v>
      </c>
      <c r="G995" s="68">
        <v>0.0</v>
      </c>
      <c r="H995" s="69">
        <f t="shared" si="77"/>
        <v>0</v>
      </c>
      <c r="I995" s="76" t="s">
        <v>47</v>
      </c>
      <c r="J995" s="81"/>
      <c r="K995" s="95"/>
      <c r="L995" s="95"/>
      <c r="M995" s="95"/>
      <c r="N995" s="72"/>
      <c r="O995" s="83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</row>
    <row r="996" ht="22.5" customHeight="1">
      <c r="A996" s="86">
        <v>45775.0</v>
      </c>
      <c r="B996" s="63" t="s">
        <v>27</v>
      </c>
      <c r="C996" s="79"/>
      <c r="D996" s="80">
        <v>1824104.0</v>
      </c>
      <c r="E996" s="66" t="s">
        <v>28</v>
      </c>
      <c r="F996" s="84" t="s">
        <v>722</v>
      </c>
      <c r="G996" s="68">
        <v>0.0</v>
      </c>
      <c r="H996" s="69">
        <f t="shared" si="77"/>
        <v>0</v>
      </c>
      <c r="I996" s="94" t="s">
        <v>623</v>
      </c>
      <c r="J996" s="87" t="s">
        <v>72</v>
      </c>
      <c r="K996" s="95"/>
      <c r="L996" s="95"/>
      <c r="M996" s="95"/>
      <c r="N996" s="72"/>
      <c r="O996" s="83" t="s">
        <v>221</v>
      </c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</row>
    <row r="997" ht="22.5" customHeight="1">
      <c r="A997" s="86">
        <v>45775.0</v>
      </c>
      <c r="B997" s="63" t="s">
        <v>27</v>
      </c>
      <c r="C997" s="79"/>
      <c r="D997" s="80">
        <v>2472335.0</v>
      </c>
      <c r="E997" s="66" t="s">
        <v>28</v>
      </c>
      <c r="F997" s="84" t="s">
        <v>722</v>
      </c>
      <c r="G997" s="68">
        <v>0.0</v>
      </c>
      <c r="H997" s="69">
        <f t="shared" si="77"/>
        <v>0</v>
      </c>
      <c r="I997" s="94" t="s">
        <v>598</v>
      </c>
      <c r="J997" s="87" t="s">
        <v>72</v>
      </c>
      <c r="K997" s="95"/>
      <c r="L997" s="95"/>
      <c r="M997" s="95"/>
      <c r="N997" s="72"/>
      <c r="O997" s="83" t="s">
        <v>222</v>
      </c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</row>
    <row r="998" ht="22.5" customHeight="1">
      <c r="A998" s="86">
        <v>45775.0</v>
      </c>
      <c r="B998" s="63" t="s">
        <v>27</v>
      </c>
      <c r="C998" s="79"/>
      <c r="D998" s="80">
        <v>1172793.0</v>
      </c>
      <c r="E998" s="66" t="s">
        <v>28</v>
      </c>
      <c r="F998" s="84" t="s">
        <v>722</v>
      </c>
      <c r="G998" s="68">
        <v>0.0</v>
      </c>
      <c r="H998" s="69">
        <f t="shared" si="77"/>
        <v>0</v>
      </c>
      <c r="I998" s="94" t="s">
        <v>598</v>
      </c>
      <c r="J998" s="87" t="s">
        <v>72</v>
      </c>
      <c r="K998" s="95"/>
      <c r="L998" s="95"/>
      <c r="M998" s="95"/>
      <c r="N998" s="72"/>
      <c r="O998" s="83" t="s">
        <v>797</v>
      </c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</row>
    <row r="999" ht="22.5" customHeight="1">
      <c r="A999" s="86">
        <v>45775.0</v>
      </c>
      <c r="B999" s="63" t="s">
        <v>27</v>
      </c>
      <c r="C999" s="79"/>
      <c r="D999" s="80">
        <v>81356.0</v>
      </c>
      <c r="E999" s="66" t="s">
        <v>28</v>
      </c>
      <c r="F999" s="84" t="s">
        <v>722</v>
      </c>
      <c r="G999" s="68">
        <v>0.0</v>
      </c>
      <c r="H999" s="69">
        <f t="shared" si="77"/>
        <v>0</v>
      </c>
      <c r="I999" s="94" t="s">
        <v>599</v>
      </c>
      <c r="J999" s="87" t="s">
        <v>72</v>
      </c>
      <c r="K999" s="95"/>
      <c r="L999" s="95"/>
      <c r="M999" s="95"/>
      <c r="N999" s="72"/>
      <c r="O999" s="83" t="s">
        <v>748</v>
      </c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</row>
    <row r="1000" ht="22.5" customHeight="1">
      <c r="A1000" s="86">
        <v>45775.0</v>
      </c>
      <c r="B1000" s="63" t="s">
        <v>27</v>
      </c>
      <c r="C1000" s="79"/>
      <c r="D1000" s="80">
        <v>208655.47</v>
      </c>
      <c r="E1000" s="66" t="s">
        <v>28</v>
      </c>
      <c r="F1000" s="84" t="s">
        <v>722</v>
      </c>
      <c r="G1000" s="68">
        <v>0.0</v>
      </c>
      <c r="H1000" s="69">
        <f t="shared" si="77"/>
        <v>0</v>
      </c>
      <c r="I1000" s="94" t="s">
        <v>622</v>
      </c>
      <c r="J1000" s="87" t="s">
        <v>72</v>
      </c>
      <c r="K1000" s="95"/>
      <c r="L1000" s="95"/>
      <c r="M1000" s="95"/>
      <c r="N1000" s="72"/>
      <c r="O1000" s="83" t="s">
        <v>798</v>
      </c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</row>
    <row r="1001" ht="22.5" customHeight="1">
      <c r="A1001" s="86">
        <v>45775.0</v>
      </c>
      <c r="B1001" s="63" t="s">
        <v>27</v>
      </c>
      <c r="C1001" s="80">
        <v>200000.0</v>
      </c>
      <c r="D1001" s="79"/>
      <c r="E1001" s="66" t="s">
        <v>28</v>
      </c>
      <c r="F1001" s="84" t="s">
        <v>722</v>
      </c>
      <c r="G1001" s="68">
        <v>20.0</v>
      </c>
      <c r="H1001" s="69">
        <f t="shared" si="77"/>
        <v>33333.33333</v>
      </c>
      <c r="I1001" s="76" t="s">
        <v>383</v>
      </c>
      <c r="J1001" s="87" t="s">
        <v>799</v>
      </c>
      <c r="K1001" s="95"/>
      <c r="L1001" s="95"/>
      <c r="M1001" s="95"/>
      <c r="N1001" s="72">
        <f t="shared" ref="N1001:N1007" si="80">A1001-IF(M1001&gt;0,M1001,A1001)</f>
        <v>0</v>
      </c>
      <c r="O1001" s="96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</row>
    <row r="1002" ht="22.5" customHeight="1">
      <c r="A1002" s="86">
        <v>45775.0</v>
      </c>
      <c r="B1002" s="63" t="s">
        <v>27</v>
      </c>
      <c r="C1002" s="79"/>
      <c r="D1002" s="80">
        <v>1172793.0</v>
      </c>
      <c r="E1002" s="66" t="s">
        <v>376</v>
      </c>
      <c r="F1002" s="84" t="s">
        <v>800</v>
      </c>
      <c r="G1002" s="68">
        <v>0.0</v>
      </c>
      <c r="H1002" s="69">
        <f t="shared" si="77"/>
        <v>0</v>
      </c>
      <c r="I1002" s="94" t="s">
        <v>598</v>
      </c>
      <c r="J1002" s="87" t="s">
        <v>72</v>
      </c>
      <c r="K1002" s="95"/>
      <c r="L1002" s="95"/>
      <c r="M1002" s="95"/>
      <c r="N1002" s="72">
        <f t="shared" si="80"/>
        <v>0</v>
      </c>
      <c r="O1002" s="96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</row>
    <row r="1003" ht="22.5" customHeight="1">
      <c r="A1003" s="86">
        <v>45776.0</v>
      </c>
      <c r="B1003" s="63" t="s">
        <v>27</v>
      </c>
      <c r="C1003" s="80">
        <v>1200360.0</v>
      </c>
      <c r="D1003" s="79"/>
      <c r="E1003" s="66" t="s">
        <v>28</v>
      </c>
      <c r="F1003" s="84" t="s">
        <v>674</v>
      </c>
      <c r="G1003" s="68">
        <v>20.0</v>
      </c>
      <c r="H1003" s="69">
        <f t="shared" si="77"/>
        <v>200060</v>
      </c>
      <c r="I1003" s="76" t="s">
        <v>37</v>
      </c>
      <c r="J1003" s="98" t="s">
        <v>641</v>
      </c>
      <c r="K1003" s="82" t="s">
        <v>801</v>
      </c>
      <c r="L1003" s="82">
        <v>146.0</v>
      </c>
      <c r="M1003" s="128">
        <v>45761.0</v>
      </c>
      <c r="N1003" s="72">
        <f t="shared" si="80"/>
        <v>15</v>
      </c>
      <c r="O1003" s="96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</row>
    <row r="1004" ht="22.5" customHeight="1">
      <c r="A1004" s="86">
        <v>45776.0</v>
      </c>
      <c r="B1004" s="63" t="s">
        <v>27</v>
      </c>
      <c r="C1004" s="80">
        <v>543778.8</v>
      </c>
      <c r="D1004" s="79"/>
      <c r="E1004" s="66" t="s">
        <v>28</v>
      </c>
      <c r="F1004" s="84" t="s">
        <v>674</v>
      </c>
      <c r="G1004" s="68">
        <v>20.0</v>
      </c>
      <c r="H1004" s="69">
        <f t="shared" si="77"/>
        <v>90629.8</v>
      </c>
      <c r="I1004" s="76" t="s">
        <v>37</v>
      </c>
      <c r="J1004" s="98" t="s">
        <v>641</v>
      </c>
      <c r="K1004" s="82" t="s">
        <v>802</v>
      </c>
      <c r="L1004" s="82">
        <v>147.0</v>
      </c>
      <c r="M1004" s="128">
        <v>45761.0</v>
      </c>
      <c r="N1004" s="72">
        <f t="shared" si="80"/>
        <v>15</v>
      </c>
      <c r="O1004" s="96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</row>
    <row r="1005" ht="22.5" customHeight="1">
      <c r="A1005" s="86">
        <v>45776.0</v>
      </c>
      <c r="B1005" s="63" t="s">
        <v>27</v>
      </c>
      <c r="C1005" s="80">
        <v>72000.0</v>
      </c>
      <c r="D1005" s="79"/>
      <c r="E1005" s="66" t="s">
        <v>28</v>
      </c>
      <c r="F1005" s="84" t="s">
        <v>674</v>
      </c>
      <c r="G1005" s="68">
        <v>20.0</v>
      </c>
      <c r="H1005" s="69">
        <f t="shared" si="77"/>
        <v>12000</v>
      </c>
      <c r="I1005" s="76" t="s">
        <v>37</v>
      </c>
      <c r="J1005" s="98" t="s">
        <v>641</v>
      </c>
      <c r="K1005" s="82" t="s">
        <v>802</v>
      </c>
      <c r="L1005" s="82">
        <v>148.0</v>
      </c>
      <c r="M1005" s="128">
        <v>45761.0</v>
      </c>
      <c r="N1005" s="72">
        <f t="shared" si="80"/>
        <v>15</v>
      </c>
      <c r="O1005" s="96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</row>
    <row r="1006" ht="22.5" customHeight="1">
      <c r="A1006" s="86">
        <v>45776.0</v>
      </c>
      <c r="B1006" s="63" t="s">
        <v>27</v>
      </c>
      <c r="C1006" s="80">
        <v>1200150.0</v>
      </c>
      <c r="D1006" s="79"/>
      <c r="E1006" s="66" t="s">
        <v>28</v>
      </c>
      <c r="F1006" s="84" t="s">
        <v>674</v>
      </c>
      <c r="G1006" s="68">
        <v>20.0</v>
      </c>
      <c r="H1006" s="69">
        <f t="shared" si="77"/>
        <v>200025</v>
      </c>
      <c r="I1006" s="76" t="s">
        <v>37</v>
      </c>
      <c r="J1006" s="98" t="s">
        <v>641</v>
      </c>
      <c r="K1006" s="82" t="s">
        <v>803</v>
      </c>
      <c r="L1006" s="82">
        <v>149.0</v>
      </c>
      <c r="M1006" s="128">
        <v>45761.0</v>
      </c>
      <c r="N1006" s="72">
        <f t="shared" si="80"/>
        <v>15</v>
      </c>
      <c r="O1006" s="96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</row>
    <row r="1007" ht="22.5" customHeight="1">
      <c r="A1007" s="86">
        <v>45776.0</v>
      </c>
      <c r="B1007" s="63" t="s">
        <v>27</v>
      </c>
      <c r="C1007" s="80">
        <v>386190.0</v>
      </c>
      <c r="D1007" s="79"/>
      <c r="E1007" s="66" t="s">
        <v>28</v>
      </c>
      <c r="F1007" s="84" t="s">
        <v>674</v>
      </c>
      <c r="G1007" s="68">
        <v>20.0</v>
      </c>
      <c r="H1007" s="69">
        <f t="shared" si="77"/>
        <v>64365</v>
      </c>
      <c r="I1007" s="76" t="s">
        <v>37</v>
      </c>
      <c r="J1007" s="98" t="s">
        <v>641</v>
      </c>
      <c r="K1007" s="82" t="s">
        <v>804</v>
      </c>
      <c r="L1007" s="82">
        <v>152.0</v>
      </c>
      <c r="M1007" s="128">
        <v>45763.0</v>
      </c>
      <c r="N1007" s="72">
        <f t="shared" si="80"/>
        <v>13</v>
      </c>
      <c r="O1007" s="96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</row>
    <row r="1008" ht="22.5" customHeight="1">
      <c r="A1008" s="86">
        <v>45776.0</v>
      </c>
      <c r="B1008" s="63" t="s">
        <v>27</v>
      </c>
      <c r="C1008" s="79"/>
      <c r="D1008" s="80">
        <v>7533.19</v>
      </c>
      <c r="E1008" s="66" t="s">
        <v>28</v>
      </c>
      <c r="F1008" s="84" t="s">
        <v>722</v>
      </c>
      <c r="G1008" s="68">
        <v>0.0</v>
      </c>
      <c r="H1008" s="69">
        <f t="shared" si="77"/>
        <v>0</v>
      </c>
      <c r="I1008" s="76" t="s">
        <v>495</v>
      </c>
      <c r="J1008" s="87" t="s">
        <v>745</v>
      </c>
      <c r="K1008" s="95"/>
      <c r="L1008" s="95"/>
      <c r="M1008" s="95"/>
      <c r="N1008" s="72"/>
      <c r="O1008" s="96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  <c r="AC1008" s="74"/>
      <c r="AD1008" s="74"/>
      <c r="AE1008" s="74"/>
      <c r="AF1008" s="74"/>
      <c r="AG1008" s="74"/>
    </row>
    <row r="1009" ht="22.5" customHeight="1">
      <c r="A1009" s="86">
        <v>45777.0</v>
      </c>
      <c r="B1009" s="63" t="s">
        <v>27</v>
      </c>
      <c r="C1009" s="80">
        <v>300000.0</v>
      </c>
      <c r="D1009" s="80"/>
      <c r="E1009" s="66" t="s">
        <v>28</v>
      </c>
      <c r="F1009" s="84" t="s">
        <v>626</v>
      </c>
      <c r="G1009" s="68">
        <v>20.0</v>
      </c>
      <c r="H1009" s="69">
        <f t="shared" si="77"/>
        <v>50000</v>
      </c>
      <c r="I1009" s="76" t="s">
        <v>37</v>
      </c>
      <c r="J1009" s="87" t="s">
        <v>675</v>
      </c>
      <c r="K1009" s="82" t="s">
        <v>805</v>
      </c>
      <c r="L1009" s="82">
        <v>65.0</v>
      </c>
      <c r="M1009" s="128">
        <v>45723.0</v>
      </c>
      <c r="N1009" s="72">
        <f>A1009-IF(M1009&gt;0,M1009,A1009)</f>
        <v>54</v>
      </c>
      <c r="O1009" s="96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</row>
    <row r="1010" ht="22.5" customHeight="1">
      <c r="A1010" s="86">
        <v>45777.0</v>
      </c>
      <c r="B1010" s="63" t="s">
        <v>27</v>
      </c>
      <c r="C1010" s="79"/>
      <c r="D1010" s="80">
        <v>50000.0</v>
      </c>
      <c r="E1010" s="66" t="s">
        <v>33</v>
      </c>
      <c r="F1010" s="84" t="s">
        <v>722</v>
      </c>
      <c r="G1010" s="68">
        <v>0.0</v>
      </c>
      <c r="H1010" s="69">
        <f t="shared" si="77"/>
        <v>0</v>
      </c>
      <c r="I1010" s="76" t="s">
        <v>383</v>
      </c>
      <c r="J1010" s="87" t="s">
        <v>806</v>
      </c>
      <c r="K1010" s="95"/>
      <c r="L1010" s="95"/>
      <c r="M1010" s="95"/>
      <c r="N1010" s="72"/>
      <c r="O1010" s="96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</row>
    <row r="1011" ht="22.5" customHeight="1">
      <c r="A1011" s="86">
        <v>45777.0</v>
      </c>
      <c r="B1011" s="63" t="s">
        <v>27</v>
      </c>
      <c r="C1011" s="80">
        <v>328571.52</v>
      </c>
      <c r="D1011" s="80"/>
      <c r="E1011" s="66" t="s">
        <v>376</v>
      </c>
      <c r="F1011" s="84" t="s">
        <v>626</v>
      </c>
      <c r="G1011" s="68">
        <v>20.0</v>
      </c>
      <c r="H1011" s="69">
        <f t="shared" si="77"/>
        <v>54761.92</v>
      </c>
      <c r="I1011" s="76" t="s">
        <v>37</v>
      </c>
      <c r="J1011" s="87" t="s">
        <v>807</v>
      </c>
      <c r="K1011" s="82" t="s">
        <v>808</v>
      </c>
      <c r="L1011" s="82">
        <v>67.0</v>
      </c>
      <c r="M1011" s="128">
        <v>45726.0</v>
      </c>
      <c r="N1011" s="72">
        <f t="shared" ref="N1011:N1017" si="81">A1011-IF(M1011&gt;0,M1011,A1011)</f>
        <v>51</v>
      </c>
      <c r="O1011" s="96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</row>
    <row r="1012" ht="22.5" customHeight="1">
      <c r="A1012" s="86">
        <v>45777.0</v>
      </c>
      <c r="B1012" s="63" t="s">
        <v>27</v>
      </c>
      <c r="C1012" s="80">
        <v>720000.12</v>
      </c>
      <c r="D1012" s="80"/>
      <c r="E1012" s="66" t="s">
        <v>376</v>
      </c>
      <c r="F1012" s="84" t="s">
        <v>626</v>
      </c>
      <c r="G1012" s="68">
        <v>20.0</v>
      </c>
      <c r="H1012" s="69">
        <f t="shared" si="77"/>
        <v>120000.02</v>
      </c>
      <c r="I1012" s="76" t="s">
        <v>37</v>
      </c>
      <c r="J1012" s="87" t="s">
        <v>110</v>
      </c>
      <c r="K1012" s="82" t="s">
        <v>809</v>
      </c>
      <c r="L1012" s="82">
        <v>70.0</v>
      </c>
      <c r="M1012" s="128">
        <v>45726.0</v>
      </c>
      <c r="N1012" s="72">
        <f t="shared" si="81"/>
        <v>51</v>
      </c>
      <c r="O1012" s="96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</row>
    <row r="1013" ht="22.5" customHeight="1">
      <c r="A1013" s="86">
        <v>45777.0</v>
      </c>
      <c r="B1013" s="63" t="s">
        <v>27</v>
      </c>
      <c r="C1013" s="80">
        <v>1200000.06</v>
      </c>
      <c r="D1013" s="80"/>
      <c r="E1013" s="66" t="s">
        <v>376</v>
      </c>
      <c r="F1013" s="84" t="s">
        <v>626</v>
      </c>
      <c r="G1013" s="68">
        <v>20.0</v>
      </c>
      <c r="H1013" s="69">
        <f t="shared" si="77"/>
        <v>200000.01</v>
      </c>
      <c r="I1013" s="76" t="s">
        <v>37</v>
      </c>
      <c r="J1013" s="87" t="s">
        <v>110</v>
      </c>
      <c r="K1013" s="82" t="s">
        <v>810</v>
      </c>
      <c r="L1013" s="82">
        <v>71.0</v>
      </c>
      <c r="M1013" s="128">
        <v>45726.0</v>
      </c>
      <c r="N1013" s="72">
        <f t="shared" si="81"/>
        <v>51</v>
      </c>
      <c r="O1013" s="96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</row>
    <row r="1014" ht="22.5" customHeight="1">
      <c r="A1014" s="86">
        <v>45777.0</v>
      </c>
      <c r="B1014" s="63" t="s">
        <v>27</v>
      </c>
      <c r="C1014" s="80">
        <v>720000.12</v>
      </c>
      <c r="D1014" s="80"/>
      <c r="E1014" s="66" t="s">
        <v>376</v>
      </c>
      <c r="F1014" s="84" t="s">
        <v>626</v>
      </c>
      <c r="G1014" s="68">
        <v>20.0</v>
      </c>
      <c r="H1014" s="69">
        <f t="shared" si="77"/>
        <v>120000.02</v>
      </c>
      <c r="I1014" s="76" t="s">
        <v>37</v>
      </c>
      <c r="J1014" s="87" t="s">
        <v>110</v>
      </c>
      <c r="K1014" s="82" t="s">
        <v>811</v>
      </c>
      <c r="L1014" s="82">
        <v>72.0</v>
      </c>
      <c r="M1014" s="128">
        <v>45726.0</v>
      </c>
      <c r="N1014" s="72">
        <f t="shared" si="81"/>
        <v>51</v>
      </c>
      <c r="O1014" s="96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</row>
    <row r="1015" ht="22.5" customHeight="1">
      <c r="A1015" s="86">
        <v>45777.0</v>
      </c>
      <c r="B1015" s="63" t="s">
        <v>27</v>
      </c>
      <c r="C1015" s="80">
        <v>720000.12</v>
      </c>
      <c r="D1015" s="80"/>
      <c r="E1015" s="66" t="s">
        <v>376</v>
      </c>
      <c r="F1015" s="84" t="s">
        <v>626</v>
      </c>
      <c r="G1015" s="68">
        <v>20.0</v>
      </c>
      <c r="H1015" s="69">
        <f t="shared" si="77"/>
        <v>120000.02</v>
      </c>
      <c r="I1015" s="76" t="s">
        <v>37</v>
      </c>
      <c r="J1015" s="87" t="s">
        <v>110</v>
      </c>
      <c r="K1015" s="82" t="s">
        <v>812</v>
      </c>
      <c r="L1015" s="82">
        <v>73.0</v>
      </c>
      <c r="M1015" s="128">
        <v>45726.0</v>
      </c>
      <c r="N1015" s="72">
        <f t="shared" si="81"/>
        <v>51</v>
      </c>
      <c r="O1015" s="96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</row>
    <row r="1016" ht="22.5" customHeight="1">
      <c r="A1016" s="86">
        <v>45777.0</v>
      </c>
      <c r="B1016" s="63" t="s">
        <v>27</v>
      </c>
      <c r="C1016" s="80">
        <v>1200000.06</v>
      </c>
      <c r="D1016" s="80"/>
      <c r="E1016" s="66" t="s">
        <v>376</v>
      </c>
      <c r="F1016" s="84" t="s">
        <v>626</v>
      </c>
      <c r="G1016" s="68">
        <v>20.0</v>
      </c>
      <c r="H1016" s="69">
        <f t="shared" si="77"/>
        <v>200000.01</v>
      </c>
      <c r="I1016" s="76" t="s">
        <v>37</v>
      </c>
      <c r="J1016" s="87" t="s">
        <v>110</v>
      </c>
      <c r="K1016" s="82" t="s">
        <v>813</v>
      </c>
      <c r="L1016" s="82">
        <v>74.0</v>
      </c>
      <c r="M1016" s="128">
        <v>45726.0</v>
      </c>
      <c r="N1016" s="72">
        <f t="shared" si="81"/>
        <v>51</v>
      </c>
      <c r="O1016" s="96"/>
      <c r="P1016" s="7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</row>
    <row r="1017" ht="22.5" customHeight="1">
      <c r="A1017" s="86">
        <v>45777.0</v>
      </c>
      <c r="B1017" s="63" t="s">
        <v>27</v>
      </c>
      <c r="C1017" s="80">
        <v>255555.72</v>
      </c>
      <c r="D1017" s="79"/>
      <c r="E1017" s="66" t="s">
        <v>376</v>
      </c>
      <c r="F1017" s="84" t="s">
        <v>674</v>
      </c>
      <c r="G1017" s="68">
        <v>20.0</v>
      </c>
      <c r="H1017" s="69">
        <f t="shared" si="77"/>
        <v>42592.62</v>
      </c>
      <c r="I1017" s="76" t="s">
        <v>37</v>
      </c>
      <c r="J1017" s="87" t="s">
        <v>807</v>
      </c>
      <c r="K1017" s="82" t="s">
        <v>808</v>
      </c>
      <c r="L1017" s="82">
        <v>106.0</v>
      </c>
      <c r="M1017" s="128">
        <v>45757.0</v>
      </c>
      <c r="N1017" s="72">
        <f t="shared" si="81"/>
        <v>20</v>
      </c>
      <c r="O1017" s="96"/>
      <c r="P1017" s="74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C1017" s="74"/>
      <c r="AD1017" s="74"/>
      <c r="AE1017" s="74"/>
      <c r="AF1017" s="74"/>
      <c r="AG1017" s="74"/>
    </row>
    <row r="1018" ht="22.5" customHeight="1">
      <c r="A1018" s="86">
        <v>45782.0</v>
      </c>
      <c r="B1018" s="63" t="s">
        <v>27</v>
      </c>
      <c r="C1018" s="79"/>
      <c r="D1018" s="80">
        <v>65000.0</v>
      </c>
      <c r="E1018" s="66" t="s">
        <v>33</v>
      </c>
      <c r="F1018" s="84" t="s">
        <v>800</v>
      </c>
      <c r="G1018" s="68">
        <v>0.0</v>
      </c>
      <c r="H1018" s="69">
        <f t="shared" si="77"/>
        <v>0</v>
      </c>
      <c r="I1018" s="76" t="s">
        <v>495</v>
      </c>
      <c r="J1018" s="87" t="s">
        <v>814</v>
      </c>
      <c r="K1018" s="95"/>
      <c r="L1018" s="95"/>
      <c r="M1018" s="95"/>
      <c r="N1018" s="72"/>
      <c r="O1018" s="96"/>
      <c r="P1018" s="74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  <c r="AC1018" s="74"/>
      <c r="AD1018" s="74"/>
      <c r="AE1018" s="74"/>
      <c r="AF1018" s="74"/>
      <c r="AG1018" s="74"/>
    </row>
    <row r="1019" ht="22.5" customHeight="1">
      <c r="A1019" s="86">
        <v>45782.0</v>
      </c>
      <c r="B1019" s="63" t="s">
        <v>27</v>
      </c>
      <c r="C1019" s="79"/>
      <c r="D1019" s="80">
        <v>140036.57</v>
      </c>
      <c r="E1019" s="66" t="s">
        <v>376</v>
      </c>
      <c r="F1019" s="84" t="s">
        <v>626</v>
      </c>
      <c r="G1019" s="68">
        <v>20.0</v>
      </c>
      <c r="H1019" s="69">
        <f t="shared" si="77"/>
        <v>23339.42833</v>
      </c>
      <c r="I1019" s="76" t="s">
        <v>61</v>
      </c>
      <c r="J1019" s="98" t="s">
        <v>509</v>
      </c>
      <c r="K1019" s="95"/>
      <c r="L1019" s="95"/>
      <c r="M1019" s="95"/>
      <c r="N1019" s="72"/>
      <c r="O1019" s="145" t="s">
        <v>815</v>
      </c>
      <c r="P1019" s="74"/>
      <c r="Q1019" s="74"/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  <c r="AC1019" s="74"/>
      <c r="AD1019" s="74"/>
      <c r="AE1019" s="74"/>
      <c r="AF1019" s="74"/>
      <c r="AG1019" s="74"/>
    </row>
    <row r="1020" ht="22.5" customHeight="1">
      <c r="A1020" s="86">
        <v>45782.0</v>
      </c>
      <c r="B1020" s="63" t="s">
        <v>27</v>
      </c>
      <c r="C1020" s="79"/>
      <c r="D1020" s="80">
        <v>113549.0</v>
      </c>
      <c r="E1020" s="66" t="s">
        <v>376</v>
      </c>
      <c r="F1020" s="84" t="s">
        <v>626</v>
      </c>
      <c r="G1020" s="68">
        <v>5.0</v>
      </c>
      <c r="H1020" s="69">
        <f t="shared" si="77"/>
        <v>5407.095238</v>
      </c>
      <c r="I1020" s="76" t="s">
        <v>101</v>
      </c>
      <c r="J1020" s="141" t="s">
        <v>671</v>
      </c>
      <c r="K1020" s="95"/>
      <c r="L1020" s="95"/>
      <c r="M1020" s="95"/>
      <c r="N1020" s="72"/>
      <c r="O1020" s="140" t="s">
        <v>816</v>
      </c>
      <c r="P1020" s="74"/>
      <c r="Q1020" s="74"/>
      <c r="R1020" s="74"/>
      <c r="S1020" s="74"/>
      <c r="T1020" s="74"/>
      <c r="U1020" s="74"/>
      <c r="V1020" s="74"/>
      <c r="W1020" s="74"/>
      <c r="X1020" s="74"/>
      <c r="Y1020" s="74"/>
      <c r="Z1020" s="74"/>
      <c r="AA1020" s="74"/>
      <c r="AB1020" s="74"/>
      <c r="AC1020" s="74"/>
      <c r="AD1020" s="74"/>
      <c r="AE1020" s="74"/>
      <c r="AF1020" s="74"/>
      <c r="AG1020" s="74"/>
    </row>
    <row r="1021" ht="22.5" customHeight="1">
      <c r="A1021" s="86">
        <v>45782.0</v>
      </c>
      <c r="B1021" s="63" t="s">
        <v>27</v>
      </c>
      <c r="C1021" s="79"/>
      <c r="D1021" s="80">
        <v>228006.46</v>
      </c>
      <c r="E1021" s="66" t="s">
        <v>376</v>
      </c>
      <c r="F1021" s="84" t="s">
        <v>626</v>
      </c>
      <c r="G1021" s="68">
        <v>20.0</v>
      </c>
      <c r="H1021" s="69">
        <f t="shared" si="77"/>
        <v>38001.07667</v>
      </c>
      <c r="I1021" s="76" t="s">
        <v>101</v>
      </c>
      <c r="J1021" s="141" t="s">
        <v>632</v>
      </c>
      <c r="K1021" s="95"/>
      <c r="L1021" s="95"/>
      <c r="M1021" s="95"/>
      <c r="N1021" s="72"/>
      <c r="O1021" s="140" t="s">
        <v>817</v>
      </c>
      <c r="P1021" s="74"/>
      <c r="Q1021" s="74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</row>
    <row r="1022" ht="22.5" customHeight="1">
      <c r="A1022" s="86">
        <v>45782.0</v>
      </c>
      <c r="B1022" s="63" t="s">
        <v>27</v>
      </c>
      <c r="C1022" s="79"/>
      <c r="D1022" s="80">
        <v>86623.1</v>
      </c>
      <c r="E1022" s="66" t="s">
        <v>376</v>
      </c>
      <c r="F1022" s="84" t="s">
        <v>626</v>
      </c>
      <c r="G1022" s="68">
        <v>20.0</v>
      </c>
      <c r="H1022" s="69">
        <f t="shared" si="77"/>
        <v>14437.18333</v>
      </c>
      <c r="I1022" s="76" t="s">
        <v>101</v>
      </c>
      <c r="J1022" s="141" t="s">
        <v>818</v>
      </c>
      <c r="K1022" s="95"/>
      <c r="L1022" s="95"/>
      <c r="M1022" s="95"/>
      <c r="N1022" s="72"/>
      <c r="O1022" s="140" t="s">
        <v>819</v>
      </c>
      <c r="P1022" s="74"/>
      <c r="Q1022" s="74"/>
      <c r="R1022" s="74"/>
      <c r="S1022" s="74"/>
      <c r="T1022" s="74"/>
      <c r="U1022" s="74"/>
      <c r="V1022" s="74"/>
      <c r="W1022" s="74"/>
      <c r="X1022" s="74"/>
      <c r="Y1022" s="74"/>
      <c r="Z1022" s="74"/>
      <c r="AA1022" s="74"/>
      <c r="AB1022" s="74"/>
      <c r="AC1022" s="74"/>
      <c r="AD1022" s="74"/>
      <c r="AE1022" s="74"/>
      <c r="AF1022" s="74"/>
      <c r="AG1022" s="74"/>
    </row>
    <row r="1023" ht="22.5" customHeight="1">
      <c r="A1023" s="86">
        <v>45782.0</v>
      </c>
      <c r="B1023" s="63" t="s">
        <v>27</v>
      </c>
      <c r="C1023" s="79"/>
      <c r="D1023" s="80">
        <v>221974.06</v>
      </c>
      <c r="E1023" s="66" t="s">
        <v>376</v>
      </c>
      <c r="F1023" s="84" t="s">
        <v>626</v>
      </c>
      <c r="G1023" s="68">
        <v>20.0</v>
      </c>
      <c r="H1023" s="69">
        <f t="shared" si="77"/>
        <v>36995.67667</v>
      </c>
      <c r="I1023" s="76" t="s">
        <v>101</v>
      </c>
      <c r="J1023" s="141" t="s">
        <v>820</v>
      </c>
      <c r="K1023" s="95"/>
      <c r="L1023" s="95"/>
      <c r="M1023" s="95"/>
      <c r="N1023" s="72"/>
      <c r="O1023" s="140" t="s">
        <v>821</v>
      </c>
      <c r="P1023" s="74"/>
      <c r="Q1023" s="74"/>
      <c r="R1023" s="74"/>
      <c r="S1023" s="74"/>
      <c r="T1023" s="74"/>
      <c r="U1023" s="74"/>
      <c r="V1023" s="74"/>
      <c r="W1023" s="74"/>
      <c r="X1023" s="74"/>
      <c r="Y1023" s="74"/>
      <c r="Z1023" s="74"/>
      <c r="AA1023" s="74"/>
      <c r="AB1023" s="74"/>
      <c r="AC1023" s="74"/>
      <c r="AD1023" s="74"/>
      <c r="AE1023" s="74"/>
      <c r="AF1023" s="74"/>
      <c r="AG1023" s="74"/>
    </row>
    <row r="1024" ht="22.5" customHeight="1">
      <c r="A1024" s="86">
        <v>45782.0</v>
      </c>
      <c r="B1024" s="63" t="s">
        <v>27</v>
      </c>
      <c r="C1024" s="79"/>
      <c r="D1024" s="80">
        <v>163169.5</v>
      </c>
      <c r="E1024" s="66" t="s">
        <v>376</v>
      </c>
      <c r="F1024" s="84" t="s">
        <v>626</v>
      </c>
      <c r="G1024" s="68">
        <v>20.0</v>
      </c>
      <c r="H1024" s="69">
        <f t="shared" si="77"/>
        <v>27194.91667</v>
      </c>
      <c r="I1024" s="76" t="s">
        <v>101</v>
      </c>
      <c r="J1024" s="141" t="s">
        <v>631</v>
      </c>
      <c r="K1024" s="95"/>
      <c r="L1024" s="95"/>
      <c r="M1024" s="95"/>
      <c r="N1024" s="72"/>
      <c r="O1024" s="140" t="s">
        <v>822</v>
      </c>
      <c r="P1024" s="74"/>
      <c r="Q1024" s="74"/>
      <c r="R1024" s="74"/>
      <c r="S1024" s="74"/>
      <c r="T1024" s="74"/>
      <c r="U1024" s="74"/>
      <c r="V1024" s="74"/>
      <c r="W1024" s="74"/>
      <c r="X1024" s="74"/>
      <c r="Y1024" s="74"/>
      <c r="Z1024" s="74"/>
      <c r="AA1024" s="74"/>
      <c r="AB1024" s="74"/>
      <c r="AC1024" s="74"/>
      <c r="AD1024" s="74"/>
      <c r="AE1024" s="74"/>
      <c r="AF1024" s="74"/>
      <c r="AG1024" s="74"/>
    </row>
    <row r="1025" ht="22.5" customHeight="1">
      <c r="A1025" s="86">
        <v>45782.0</v>
      </c>
      <c r="B1025" s="63" t="s">
        <v>27</v>
      </c>
      <c r="C1025" s="79"/>
      <c r="D1025" s="80">
        <v>521679.54</v>
      </c>
      <c r="E1025" s="66" t="s">
        <v>28</v>
      </c>
      <c r="F1025" s="84" t="s">
        <v>626</v>
      </c>
      <c r="G1025" s="68">
        <v>20.0</v>
      </c>
      <c r="H1025" s="69">
        <f t="shared" si="77"/>
        <v>86946.59</v>
      </c>
      <c r="I1025" s="76" t="s">
        <v>44</v>
      </c>
      <c r="J1025" s="98" t="s">
        <v>134</v>
      </c>
      <c r="K1025" s="95"/>
      <c r="L1025" s="95"/>
      <c r="M1025" s="95"/>
      <c r="N1025" s="72"/>
      <c r="O1025" s="140" t="s">
        <v>823</v>
      </c>
      <c r="P1025" s="74"/>
      <c r="Q1025" s="74"/>
      <c r="R1025" s="74"/>
      <c r="S1025" s="74"/>
      <c r="T1025" s="74"/>
      <c r="U1025" s="74"/>
      <c r="V1025" s="74"/>
      <c r="W1025" s="74"/>
      <c r="X1025" s="74"/>
      <c r="Y1025" s="74"/>
      <c r="Z1025" s="74"/>
      <c r="AA1025" s="74"/>
      <c r="AB1025" s="74"/>
      <c r="AC1025" s="74"/>
      <c r="AD1025" s="74"/>
      <c r="AE1025" s="74"/>
      <c r="AF1025" s="74"/>
      <c r="AG1025" s="74"/>
    </row>
    <row r="1026" ht="22.5" customHeight="1">
      <c r="A1026" s="86">
        <v>45782.0</v>
      </c>
      <c r="B1026" s="63" t="s">
        <v>27</v>
      </c>
      <c r="C1026" s="79"/>
      <c r="D1026" s="80">
        <v>558850.5</v>
      </c>
      <c r="E1026" s="66" t="s">
        <v>376</v>
      </c>
      <c r="F1026" s="84" t="s">
        <v>626</v>
      </c>
      <c r="G1026" s="68">
        <v>20.0</v>
      </c>
      <c r="H1026" s="69">
        <f t="shared" si="77"/>
        <v>93141.75</v>
      </c>
      <c r="I1026" s="76" t="s">
        <v>101</v>
      </c>
      <c r="J1026" s="136" t="s">
        <v>670</v>
      </c>
      <c r="K1026" s="95"/>
      <c r="L1026" s="95"/>
      <c r="M1026" s="95"/>
      <c r="N1026" s="72"/>
      <c r="O1026" s="140" t="s">
        <v>824</v>
      </c>
      <c r="P1026" s="74"/>
      <c r="Q1026" s="74"/>
      <c r="R1026" s="74"/>
      <c r="S1026" s="74"/>
      <c r="T1026" s="74"/>
      <c r="U1026" s="74"/>
      <c r="V1026" s="74"/>
      <c r="W1026" s="74"/>
      <c r="X1026" s="74"/>
      <c r="Y1026" s="74"/>
      <c r="Z1026" s="74"/>
      <c r="AA1026" s="74"/>
      <c r="AB1026" s="74"/>
      <c r="AC1026" s="74"/>
      <c r="AD1026" s="74"/>
      <c r="AE1026" s="74"/>
      <c r="AF1026" s="74"/>
      <c r="AG1026" s="74"/>
    </row>
    <row r="1027" ht="22.5" customHeight="1">
      <c r="A1027" s="86">
        <v>45782.0</v>
      </c>
      <c r="B1027" s="63" t="s">
        <v>27</v>
      </c>
      <c r="C1027" s="79"/>
      <c r="D1027" s="80">
        <v>430584.0</v>
      </c>
      <c r="E1027" s="66" t="s">
        <v>376</v>
      </c>
      <c r="F1027" s="84" t="s">
        <v>626</v>
      </c>
      <c r="G1027" s="68">
        <v>20.0</v>
      </c>
      <c r="H1027" s="69">
        <f t="shared" si="77"/>
        <v>71764</v>
      </c>
      <c r="I1027" s="76" t="s">
        <v>101</v>
      </c>
      <c r="J1027" s="146" t="s">
        <v>767</v>
      </c>
      <c r="K1027" s="95"/>
      <c r="L1027" s="95"/>
      <c r="M1027" s="95"/>
      <c r="N1027" s="72"/>
      <c r="O1027" s="96"/>
      <c r="P1027" s="74"/>
      <c r="Q1027" s="74"/>
      <c r="R1027" s="74"/>
      <c r="S1027" s="74"/>
      <c r="T1027" s="74"/>
      <c r="U1027" s="74"/>
      <c r="V1027" s="74"/>
      <c r="W1027" s="74"/>
      <c r="X1027" s="74"/>
      <c r="Y1027" s="74"/>
      <c r="Z1027" s="74"/>
      <c r="AA1027" s="74"/>
      <c r="AB1027" s="74"/>
      <c r="AC1027" s="74"/>
      <c r="AD1027" s="74"/>
      <c r="AE1027" s="74"/>
      <c r="AF1027" s="74"/>
      <c r="AG1027" s="74"/>
    </row>
    <row r="1028" ht="22.5" customHeight="1">
      <c r="A1028" s="86">
        <v>45782.0</v>
      </c>
      <c r="B1028" s="63" t="s">
        <v>27</v>
      </c>
      <c r="C1028" s="79"/>
      <c r="D1028" s="80">
        <v>33000.0</v>
      </c>
      <c r="E1028" s="66" t="s">
        <v>33</v>
      </c>
      <c r="F1028" s="84" t="s">
        <v>800</v>
      </c>
      <c r="G1028" s="68">
        <v>0.0</v>
      </c>
      <c r="H1028" s="69">
        <f t="shared" si="77"/>
        <v>0</v>
      </c>
      <c r="I1028" s="76" t="s">
        <v>495</v>
      </c>
      <c r="J1028" s="87" t="s">
        <v>825</v>
      </c>
      <c r="K1028" s="95"/>
      <c r="L1028" s="95"/>
      <c r="M1028" s="95"/>
      <c r="N1028" s="72"/>
      <c r="O1028" s="96"/>
      <c r="P1028" s="74"/>
      <c r="Q1028" s="74"/>
      <c r="R1028" s="74"/>
      <c r="S1028" s="74"/>
      <c r="T1028" s="74"/>
      <c r="U1028" s="74"/>
      <c r="V1028" s="74"/>
      <c r="W1028" s="74"/>
      <c r="X1028" s="74"/>
      <c r="Y1028" s="74"/>
      <c r="Z1028" s="74"/>
      <c r="AA1028" s="74"/>
      <c r="AB1028" s="74"/>
      <c r="AC1028" s="74"/>
      <c r="AD1028" s="74"/>
      <c r="AE1028" s="74"/>
      <c r="AF1028" s="74"/>
      <c r="AG1028" s="74"/>
    </row>
    <row r="1029" ht="22.5" customHeight="1">
      <c r="A1029" s="86">
        <v>45782.0</v>
      </c>
      <c r="B1029" s="63" t="s">
        <v>27</v>
      </c>
      <c r="C1029" s="79"/>
      <c r="D1029" s="80">
        <f>50000+979</f>
        <v>50979</v>
      </c>
      <c r="E1029" s="66" t="s">
        <v>28</v>
      </c>
      <c r="F1029" s="84" t="s">
        <v>722</v>
      </c>
      <c r="G1029" s="69"/>
      <c r="H1029" s="69"/>
      <c r="I1029" s="76" t="s">
        <v>68</v>
      </c>
      <c r="J1029" s="87" t="s">
        <v>826</v>
      </c>
      <c r="K1029" s="95"/>
      <c r="L1029" s="95"/>
      <c r="M1029" s="95"/>
      <c r="N1029" s="72"/>
      <c r="O1029" s="96"/>
      <c r="P1029" s="74"/>
      <c r="Q1029" s="74"/>
      <c r="R1029" s="74"/>
      <c r="S1029" s="74"/>
      <c r="T1029" s="74"/>
      <c r="U1029" s="74"/>
      <c r="V1029" s="74"/>
      <c r="W1029" s="74"/>
      <c r="X1029" s="74"/>
      <c r="Y1029" s="74"/>
      <c r="Z1029" s="74"/>
      <c r="AA1029" s="74"/>
      <c r="AB1029" s="74"/>
      <c r="AC1029" s="74"/>
      <c r="AD1029" s="74"/>
      <c r="AE1029" s="74"/>
      <c r="AF1029" s="74"/>
      <c r="AG1029" s="74"/>
    </row>
    <row r="1030" ht="22.5" customHeight="1">
      <c r="A1030" s="86">
        <v>45782.0</v>
      </c>
      <c r="B1030" s="63" t="s">
        <v>27</v>
      </c>
      <c r="C1030" s="79"/>
      <c r="D1030" s="80">
        <v>214000.0</v>
      </c>
      <c r="E1030" s="66" t="s">
        <v>28</v>
      </c>
      <c r="F1030" s="84" t="s">
        <v>722</v>
      </c>
      <c r="G1030" s="69"/>
      <c r="H1030" s="69"/>
      <c r="I1030" s="76" t="s">
        <v>68</v>
      </c>
      <c r="J1030" s="87" t="s">
        <v>827</v>
      </c>
      <c r="K1030" s="95"/>
      <c r="L1030" s="95"/>
      <c r="M1030" s="95"/>
      <c r="N1030" s="72"/>
      <c r="O1030" s="96"/>
      <c r="P1030" s="74"/>
      <c r="Q1030" s="74"/>
      <c r="R1030" s="74"/>
      <c r="S1030" s="74"/>
      <c r="T1030" s="74"/>
      <c r="U1030" s="74"/>
      <c r="V1030" s="74"/>
      <c r="W1030" s="74"/>
      <c r="X1030" s="74"/>
      <c r="Y1030" s="74"/>
      <c r="Z1030" s="74"/>
      <c r="AA1030" s="74"/>
      <c r="AB1030" s="74"/>
      <c r="AC1030" s="74"/>
      <c r="AD1030" s="74"/>
      <c r="AE1030" s="74"/>
      <c r="AF1030" s="74"/>
      <c r="AG1030" s="74"/>
    </row>
    <row r="1031" ht="22.5" customHeight="1">
      <c r="A1031" s="86">
        <v>45782.0</v>
      </c>
      <c r="B1031" s="63" t="s">
        <v>27</v>
      </c>
      <c r="C1031" s="80">
        <v>165000.4</v>
      </c>
      <c r="D1031" s="79"/>
      <c r="E1031" s="66" t="s">
        <v>28</v>
      </c>
      <c r="F1031" s="84" t="s">
        <v>619</v>
      </c>
      <c r="G1031" s="68">
        <v>20.0</v>
      </c>
      <c r="H1031" s="69">
        <f t="shared" ref="H1031:H1754" si="82">SUM(C1031:D1031)*G1031/(G1031+100)</f>
        <v>27500.06667</v>
      </c>
      <c r="I1031" s="76" t="s">
        <v>37</v>
      </c>
      <c r="J1031" s="98" t="s">
        <v>627</v>
      </c>
      <c r="K1031" s="95"/>
      <c r="L1031" s="82">
        <v>39.0</v>
      </c>
      <c r="M1031" s="128">
        <v>45677.0</v>
      </c>
      <c r="N1031" s="72">
        <f t="shared" ref="N1031:N1297" si="83">A1031-IF(M1031&gt;0,M1031,A1031)</f>
        <v>105</v>
      </c>
      <c r="O1031" s="96"/>
      <c r="P1031" s="74"/>
      <c r="Q1031" s="74"/>
      <c r="R1031" s="74"/>
      <c r="S1031" s="74"/>
      <c r="T1031" s="74"/>
      <c r="U1031" s="74"/>
      <c r="V1031" s="74"/>
      <c r="W1031" s="74"/>
      <c r="X1031" s="74"/>
      <c r="Y1031" s="74"/>
      <c r="Z1031" s="74"/>
      <c r="AA1031" s="74"/>
      <c r="AB1031" s="74"/>
      <c r="AC1031" s="74"/>
      <c r="AD1031" s="74"/>
      <c r="AE1031" s="74"/>
      <c r="AF1031" s="74"/>
      <c r="AG1031" s="74"/>
    </row>
    <row r="1032" ht="22.5" customHeight="1">
      <c r="A1032" s="86">
        <v>45782.0</v>
      </c>
      <c r="B1032" s="63" t="s">
        <v>27</v>
      </c>
      <c r="C1032" s="80">
        <v>207900.0</v>
      </c>
      <c r="D1032" s="79"/>
      <c r="E1032" s="66" t="s">
        <v>28</v>
      </c>
      <c r="F1032" s="84" t="s">
        <v>619</v>
      </c>
      <c r="G1032" s="68">
        <v>20.0</v>
      </c>
      <c r="H1032" s="69">
        <f t="shared" si="82"/>
        <v>34650</v>
      </c>
      <c r="I1032" s="76" t="s">
        <v>37</v>
      </c>
      <c r="J1032" s="98" t="s">
        <v>627</v>
      </c>
      <c r="K1032" s="95"/>
      <c r="L1032" s="82">
        <v>40.0</v>
      </c>
      <c r="M1032" s="128">
        <v>45677.0</v>
      </c>
      <c r="N1032" s="72">
        <f t="shared" si="83"/>
        <v>105</v>
      </c>
      <c r="O1032" s="96"/>
      <c r="P1032" s="74"/>
      <c r="Q1032" s="74"/>
      <c r="R1032" s="74"/>
      <c r="S1032" s="74"/>
      <c r="T1032" s="74"/>
      <c r="U1032" s="74"/>
      <c r="V1032" s="74"/>
      <c r="W1032" s="74"/>
      <c r="X1032" s="74"/>
      <c r="Y1032" s="74"/>
      <c r="Z1032" s="74"/>
      <c r="AA1032" s="74"/>
      <c r="AB1032" s="74"/>
      <c r="AC1032" s="74"/>
      <c r="AD1032" s="74"/>
      <c r="AE1032" s="74"/>
      <c r="AF1032" s="74"/>
      <c r="AG1032" s="74"/>
    </row>
    <row r="1033" ht="22.5" customHeight="1">
      <c r="A1033" s="86">
        <v>45782.0</v>
      </c>
      <c r="B1033" s="63" t="s">
        <v>27</v>
      </c>
      <c r="C1033" s="80">
        <v>132891.94</v>
      </c>
      <c r="D1033" s="79"/>
      <c r="E1033" s="66" t="s">
        <v>28</v>
      </c>
      <c r="F1033" s="84" t="s">
        <v>619</v>
      </c>
      <c r="G1033" s="68">
        <v>20.0</v>
      </c>
      <c r="H1033" s="69">
        <f t="shared" si="82"/>
        <v>22148.65667</v>
      </c>
      <c r="I1033" s="76" t="s">
        <v>37</v>
      </c>
      <c r="J1033" s="98" t="s">
        <v>627</v>
      </c>
      <c r="K1033" s="95"/>
      <c r="L1033" s="82">
        <v>41.0</v>
      </c>
      <c r="M1033" s="128">
        <v>45677.0</v>
      </c>
      <c r="N1033" s="72">
        <f t="shared" si="83"/>
        <v>105</v>
      </c>
      <c r="O1033" s="96"/>
      <c r="P1033" s="74"/>
      <c r="Q1033" s="74"/>
      <c r="R1033" s="74"/>
      <c r="S1033" s="74"/>
      <c r="T1033" s="74"/>
      <c r="U1033" s="74"/>
      <c r="V1033" s="74"/>
      <c r="W1033" s="74"/>
      <c r="X1033" s="74"/>
      <c r="Y1033" s="74"/>
      <c r="Z1033" s="74"/>
      <c r="AA1033" s="74"/>
      <c r="AB1033" s="74"/>
      <c r="AC1033" s="74"/>
      <c r="AD1033" s="74"/>
      <c r="AE1033" s="74"/>
      <c r="AF1033" s="74"/>
      <c r="AG1033" s="74"/>
    </row>
    <row r="1034" ht="22.5" customHeight="1">
      <c r="A1034" s="86">
        <v>45782.0</v>
      </c>
      <c r="B1034" s="63" t="s">
        <v>27</v>
      </c>
      <c r="C1034" s="79"/>
      <c r="D1034" s="80">
        <v>13990.0</v>
      </c>
      <c r="E1034" s="66" t="s">
        <v>28</v>
      </c>
      <c r="F1034" s="84" t="s">
        <v>800</v>
      </c>
      <c r="G1034" s="68">
        <v>0.0</v>
      </c>
      <c r="H1034" s="69">
        <f t="shared" si="82"/>
        <v>0</v>
      </c>
      <c r="I1034" s="70" t="s">
        <v>30</v>
      </c>
      <c r="J1034" s="87" t="s">
        <v>828</v>
      </c>
      <c r="K1034" s="95"/>
      <c r="L1034" s="95"/>
      <c r="M1034" s="95"/>
      <c r="N1034" s="72">
        <f t="shared" si="83"/>
        <v>0</v>
      </c>
      <c r="O1034" s="96"/>
      <c r="P1034" s="74"/>
      <c r="Q1034" s="74"/>
      <c r="R1034" s="74"/>
      <c r="S1034" s="74"/>
      <c r="T1034" s="74"/>
      <c r="U1034" s="74"/>
      <c r="V1034" s="74"/>
      <c r="W1034" s="74"/>
      <c r="X1034" s="74"/>
      <c r="Y1034" s="74"/>
      <c r="Z1034" s="74"/>
      <c r="AA1034" s="74"/>
      <c r="AB1034" s="74"/>
      <c r="AC1034" s="74"/>
      <c r="AD1034" s="74"/>
      <c r="AE1034" s="74"/>
      <c r="AF1034" s="74"/>
      <c r="AG1034" s="74"/>
    </row>
    <row r="1035" ht="22.5" customHeight="1">
      <c r="A1035" s="86">
        <v>45782.0</v>
      </c>
      <c r="B1035" s="63" t="s">
        <v>27</v>
      </c>
      <c r="C1035" s="79"/>
      <c r="D1035" s="80">
        <v>16652.0</v>
      </c>
      <c r="E1035" s="66" t="s">
        <v>28</v>
      </c>
      <c r="F1035" s="84" t="s">
        <v>800</v>
      </c>
      <c r="G1035" s="68">
        <v>0.0</v>
      </c>
      <c r="H1035" s="69">
        <f t="shared" si="82"/>
        <v>0</v>
      </c>
      <c r="I1035" s="76" t="s">
        <v>495</v>
      </c>
      <c r="J1035" s="87" t="s">
        <v>745</v>
      </c>
      <c r="K1035" s="95"/>
      <c r="L1035" s="95"/>
      <c r="M1035" s="95"/>
      <c r="N1035" s="72">
        <f t="shared" si="83"/>
        <v>0</v>
      </c>
      <c r="O1035" s="96"/>
      <c r="P1035" s="74"/>
      <c r="Q1035" s="74"/>
      <c r="R1035" s="74"/>
      <c r="S1035" s="74"/>
      <c r="T1035" s="74"/>
      <c r="U1035" s="74"/>
      <c r="V1035" s="74"/>
      <c r="W1035" s="74"/>
      <c r="X1035" s="74"/>
      <c r="Y1035" s="74"/>
      <c r="Z1035" s="74"/>
      <c r="AA1035" s="74"/>
      <c r="AB1035" s="74"/>
      <c r="AC1035" s="74"/>
      <c r="AD1035" s="74"/>
      <c r="AE1035" s="74"/>
      <c r="AF1035" s="74"/>
      <c r="AG1035" s="74"/>
    </row>
    <row r="1036" ht="22.5" customHeight="1">
      <c r="A1036" s="86">
        <v>45782.0</v>
      </c>
      <c r="B1036" s="63" t="s">
        <v>27</v>
      </c>
      <c r="C1036" s="79"/>
      <c r="D1036" s="80">
        <v>67433.0</v>
      </c>
      <c r="E1036" s="66" t="s">
        <v>28</v>
      </c>
      <c r="F1036" s="84" t="s">
        <v>722</v>
      </c>
      <c r="G1036" s="68">
        <v>0.0</v>
      </c>
      <c r="H1036" s="69">
        <f t="shared" si="82"/>
        <v>0</v>
      </c>
      <c r="I1036" s="94" t="s">
        <v>599</v>
      </c>
      <c r="J1036" s="87" t="s">
        <v>72</v>
      </c>
      <c r="K1036" s="95"/>
      <c r="L1036" s="95"/>
      <c r="M1036" s="95"/>
      <c r="N1036" s="72">
        <f t="shared" si="83"/>
        <v>0</v>
      </c>
      <c r="O1036" s="83" t="s">
        <v>748</v>
      </c>
      <c r="P1036" s="74"/>
      <c r="Q1036" s="74"/>
      <c r="R1036" s="74"/>
      <c r="S1036" s="74"/>
      <c r="T1036" s="74"/>
      <c r="U1036" s="74"/>
      <c r="V1036" s="74"/>
      <c r="W1036" s="74"/>
      <c r="X1036" s="74"/>
      <c r="Y1036" s="74"/>
      <c r="Z1036" s="74"/>
      <c r="AA1036" s="74"/>
      <c r="AB1036" s="74"/>
      <c r="AC1036" s="74"/>
      <c r="AD1036" s="74"/>
      <c r="AE1036" s="74"/>
      <c r="AF1036" s="74"/>
      <c r="AG1036" s="74"/>
    </row>
    <row r="1037" ht="22.5" customHeight="1">
      <c r="A1037" s="86">
        <v>45783.0</v>
      </c>
      <c r="B1037" s="63" t="s">
        <v>27</v>
      </c>
      <c r="C1037" s="80">
        <v>600000.24</v>
      </c>
      <c r="D1037" s="79"/>
      <c r="E1037" s="66" t="s">
        <v>28</v>
      </c>
      <c r="F1037" s="84" t="s">
        <v>594</v>
      </c>
      <c r="G1037" s="68">
        <v>20.0</v>
      </c>
      <c r="H1037" s="69">
        <f t="shared" si="82"/>
        <v>100000.04</v>
      </c>
      <c r="I1037" s="76" t="s">
        <v>37</v>
      </c>
      <c r="J1037" s="87" t="s">
        <v>440</v>
      </c>
      <c r="K1037" s="95"/>
      <c r="L1037" s="82">
        <v>46.0</v>
      </c>
      <c r="M1037" s="128">
        <v>45696.0</v>
      </c>
      <c r="N1037" s="72">
        <f t="shared" si="83"/>
        <v>87</v>
      </c>
      <c r="O1037" s="96"/>
      <c r="P1037" s="74"/>
      <c r="Q1037" s="74"/>
      <c r="R1037" s="74"/>
      <c r="S1037" s="74"/>
      <c r="T1037" s="74"/>
      <c r="U1037" s="74"/>
      <c r="V1037" s="74"/>
      <c r="W1037" s="74"/>
      <c r="X1037" s="74"/>
      <c r="Y1037" s="74"/>
      <c r="Z1037" s="74"/>
      <c r="AA1037" s="74"/>
      <c r="AB1037" s="74"/>
      <c r="AC1037" s="74"/>
      <c r="AD1037" s="74"/>
      <c r="AE1037" s="74"/>
      <c r="AF1037" s="74"/>
      <c r="AG1037" s="74"/>
    </row>
    <row r="1038" ht="22.5" customHeight="1">
      <c r="A1038" s="86">
        <v>45783.0</v>
      </c>
      <c r="B1038" s="63" t="s">
        <v>27</v>
      </c>
      <c r="C1038" s="80">
        <v>600000.24</v>
      </c>
      <c r="D1038" s="79"/>
      <c r="E1038" s="66" t="s">
        <v>28</v>
      </c>
      <c r="F1038" s="84" t="s">
        <v>594</v>
      </c>
      <c r="G1038" s="68">
        <v>20.0</v>
      </c>
      <c r="H1038" s="69">
        <f t="shared" si="82"/>
        <v>100000.04</v>
      </c>
      <c r="I1038" s="76" t="s">
        <v>37</v>
      </c>
      <c r="J1038" s="87" t="s">
        <v>440</v>
      </c>
      <c r="K1038" s="95"/>
      <c r="L1038" s="82">
        <v>47.0</v>
      </c>
      <c r="M1038" s="128">
        <v>45696.0</v>
      </c>
      <c r="N1038" s="72">
        <f t="shared" si="83"/>
        <v>87</v>
      </c>
      <c r="O1038" s="96"/>
      <c r="P1038" s="74"/>
      <c r="Q1038" s="74"/>
      <c r="R1038" s="74"/>
      <c r="S1038" s="74"/>
      <c r="T1038" s="74"/>
      <c r="U1038" s="74"/>
      <c r="V1038" s="74"/>
      <c r="W1038" s="74"/>
      <c r="X1038" s="74"/>
      <c r="Y1038" s="74"/>
      <c r="Z1038" s="74"/>
      <c r="AA1038" s="74"/>
      <c r="AB1038" s="74"/>
      <c r="AC1038" s="74"/>
      <c r="AD1038" s="74"/>
      <c r="AE1038" s="74"/>
      <c r="AF1038" s="74"/>
      <c r="AG1038" s="74"/>
    </row>
    <row r="1039" ht="22.5" customHeight="1">
      <c r="A1039" s="86">
        <v>45783.0</v>
      </c>
      <c r="B1039" s="63" t="s">
        <v>27</v>
      </c>
      <c r="C1039" s="80">
        <v>636000.36</v>
      </c>
      <c r="D1039" s="80"/>
      <c r="E1039" s="66" t="s">
        <v>28</v>
      </c>
      <c r="F1039" s="84" t="s">
        <v>626</v>
      </c>
      <c r="G1039" s="68">
        <v>20.0</v>
      </c>
      <c r="H1039" s="69">
        <f t="shared" si="82"/>
        <v>106000.06</v>
      </c>
      <c r="I1039" s="76" t="s">
        <v>37</v>
      </c>
      <c r="J1039" s="87" t="s">
        <v>675</v>
      </c>
      <c r="K1039" s="82" t="s">
        <v>829</v>
      </c>
      <c r="L1039" s="82">
        <v>100.0</v>
      </c>
      <c r="M1039" s="128">
        <v>45736.0</v>
      </c>
      <c r="N1039" s="72">
        <f t="shared" si="83"/>
        <v>47</v>
      </c>
      <c r="O1039" s="96"/>
      <c r="P1039" s="74"/>
      <c r="Q1039" s="74"/>
      <c r="R1039" s="74"/>
      <c r="S1039" s="74"/>
      <c r="T1039" s="74"/>
      <c r="U1039" s="74"/>
      <c r="V1039" s="74"/>
      <c r="W1039" s="74"/>
      <c r="X1039" s="74"/>
      <c r="Y1039" s="74"/>
      <c r="Z1039" s="74"/>
      <c r="AA1039" s="74"/>
      <c r="AB1039" s="74"/>
      <c r="AC1039" s="74"/>
      <c r="AD1039" s="74"/>
      <c r="AE1039" s="74"/>
      <c r="AF1039" s="74"/>
      <c r="AG1039" s="74"/>
    </row>
    <row r="1040" ht="22.5" customHeight="1">
      <c r="A1040" s="86">
        <v>45783.0</v>
      </c>
      <c r="B1040" s="63" t="s">
        <v>27</v>
      </c>
      <c r="C1040" s="80">
        <v>636000.36</v>
      </c>
      <c r="D1040" s="80"/>
      <c r="E1040" s="66" t="s">
        <v>28</v>
      </c>
      <c r="F1040" s="84" t="s">
        <v>626</v>
      </c>
      <c r="G1040" s="68">
        <v>20.0</v>
      </c>
      <c r="H1040" s="69">
        <f t="shared" si="82"/>
        <v>106000.06</v>
      </c>
      <c r="I1040" s="76" t="s">
        <v>37</v>
      </c>
      <c r="J1040" s="87" t="s">
        <v>675</v>
      </c>
      <c r="K1040" s="82" t="s">
        <v>830</v>
      </c>
      <c r="L1040" s="82">
        <v>101.0</v>
      </c>
      <c r="M1040" s="128">
        <v>45736.0</v>
      </c>
      <c r="N1040" s="72">
        <f t="shared" si="83"/>
        <v>47</v>
      </c>
      <c r="O1040" s="96"/>
      <c r="P1040" s="74"/>
      <c r="Q1040" s="74"/>
      <c r="R1040" s="74"/>
      <c r="S1040" s="74"/>
      <c r="T1040" s="74"/>
      <c r="U1040" s="74"/>
      <c r="V1040" s="74"/>
      <c r="W1040" s="74"/>
      <c r="X1040" s="74"/>
      <c r="Y1040" s="74"/>
      <c r="Z1040" s="74"/>
      <c r="AA1040" s="74"/>
      <c r="AB1040" s="74"/>
      <c r="AC1040" s="74"/>
      <c r="AD1040" s="74"/>
      <c r="AE1040" s="74"/>
      <c r="AF1040" s="74"/>
      <c r="AG1040" s="74"/>
    </row>
    <row r="1041" ht="22.5" customHeight="1">
      <c r="A1041" s="86">
        <v>45783.0</v>
      </c>
      <c r="B1041" s="63" t="s">
        <v>27</v>
      </c>
      <c r="C1041" s="80">
        <v>610196.7</v>
      </c>
      <c r="D1041" s="79"/>
      <c r="E1041" s="66" t="s">
        <v>28</v>
      </c>
      <c r="F1041" s="84" t="s">
        <v>800</v>
      </c>
      <c r="G1041" s="68">
        <v>20.0</v>
      </c>
      <c r="H1041" s="69">
        <f t="shared" si="82"/>
        <v>101699.45</v>
      </c>
      <c r="I1041" s="76" t="s">
        <v>37</v>
      </c>
      <c r="J1041" s="87" t="s">
        <v>440</v>
      </c>
      <c r="K1041" s="82" t="s">
        <v>758</v>
      </c>
      <c r="L1041" s="82">
        <v>228.0</v>
      </c>
      <c r="M1041" s="128">
        <v>45818.0</v>
      </c>
      <c r="N1041" s="72">
        <f t="shared" si="83"/>
        <v>-35</v>
      </c>
      <c r="O1041" s="96"/>
      <c r="P1041" s="74"/>
      <c r="Q1041" s="74"/>
      <c r="R1041" s="74"/>
      <c r="S1041" s="74"/>
      <c r="T1041" s="74"/>
      <c r="U1041" s="74"/>
      <c r="V1041" s="74"/>
      <c r="W1041" s="74"/>
      <c r="X1041" s="74"/>
      <c r="Y1041" s="74"/>
      <c r="Z1041" s="74"/>
      <c r="AA1041" s="74"/>
      <c r="AB1041" s="74"/>
      <c r="AC1041" s="74"/>
      <c r="AD1041" s="74"/>
      <c r="AE1041" s="74"/>
      <c r="AF1041" s="74"/>
      <c r="AG1041" s="74"/>
    </row>
    <row r="1042" ht="22.5" customHeight="1">
      <c r="A1042" s="86">
        <v>45784.0</v>
      </c>
      <c r="B1042" s="63" t="s">
        <v>27</v>
      </c>
      <c r="C1042" s="79"/>
      <c r="D1042" s="80">
        <f>539504.73+511.68+24038</f>
        <v>564054.41</v>
      </c>
      <c r="E1042" s="66" t="s">
        <v>28</v>
      </c>
      <c r="F1042" s="84" t="s">
        <v>722</v>
      </c>
      <c r="G1042" s="68">
        <v>0.0</v>
      </c>
      <c r="H1042" s="69">
        <f t="shared" si="82"/>
        <v>0</v>
      </c>
      <c r="I1042" s="76" t="s">
        <v>68</v>
      </c>
      <c r="J1042" s="87" t="s">
        <v>831</v>
      </c>
      <c r="K1042" s="95"/>
      <c r="L1042" s="95"/>
      <c r="M1042" s="95"/>
      <c r="N1042" s="72">
        <f t="shared" si="83"/>
        <v>0</v>
      </c>
      <c r="O1042" s="96"/>
      <c r="P1042" s="74"/>
      <c r="Q1042" s="74"/>
      <c r="R1042" s="74"/>
      <c r="S1042" s="74"/>
      <c r="T1042" s="74"/>
      <c r="U1042" s="74"/>
      <c r="V1042" s="74"/>
      <c r="W1042" s="74"/>
      <c r="X1042" s="74"/>
      <c r="Y1042" s="74"/>
      <c r="Z1042" s="74"/>
      <c r="AA1042" s="74"/>
      <c r="AB1042" s="74"/>
      <c r="AC1042" s="74"/>
      <c r="AD1042" s="74"/>
      <c r="AE1042" s="74"/>
      <c r="AF1042" s="74"/>
      <c r="AG1042" s="74"/>
    </row>
    <row r="1043" ht="22.5" customHeight="1">
      <c r="A1043" s="86">
        <v>45784.0</v>
      </c>
      <c r="B1043" s="63" t="s">
        <v>27</v>
      </c>
      <c r="C1043" s="79"/>
      <c r="D1043" s="80">
        <v>70000.0</v>
      </c>
      <c r="E1043" s="66" t="s">
        <v>33</v>
      </c>
      <c r="F1043" s="84" t="s">
        <v>722</v>
      </c>
      <c r="G1043" s="68">
        <v>0.0</v>
      </c>
      <c r="H1043" s="69">
        <f t="shared" si="82"/>
        <v>0</v>
      </c>
      <c r="I1043" s="76" t="s">
        <v>68</v>
      </c>
      <c r="J1043" s="87" t="s">
        <v>832</v>
      </c>
      <c r="K1043" s="95"/>
      <c r="L1043" s="95"/>
      <c r="M1043" s="95"/>
      <c r="N1043" s="72">
        <f t="shared" si="83"/>
        <v>0</v>
      </c>
      <c r="O1043" s="96"/>
      <c r="P1043" s="74"/>
      <c r="Q1043" s="74"/>
      <c r="R1043" s="74"/>
      <c r="S1043" s="74"/>
      <c r="T1043" s="74"/>
      <c r="U1043" s="74"/>
      <c r="V1043" s="74"/>
      <c r="W1043" s="74"/>
      <c r="X1043" s="74"/>
      <c r="Y1043" s="74"/>
      <c r="Z1043" s="74"/>
      <c r="AA1043" s="74"/>
      <c r="AB1043" s="74"/>
      <c r="AC1043" s="74"/>
      <c r="AD1043" s="74"/>
      <c r="AE1043" s="74"/>
      <c r="AF1043" s="74"/>
      <c r="AG1043" s="74"/>
    </row>
    <row r="1044" ht="22.5" customHeight="1">
      <c r="A1044" s="86">
        <v>45784.0</v>
      </c>
      <c r="B1044" s="63" t="s">
        <v>27</v>
      </c>
      <c r="C1044" s="79"/>
      <c r="D1044" s="80">
        <v>10000.0</v>
      </c>
      <c r="E1044" s="66" t="s">
        <v>33</v>
      </c>
      <c r="F1044" s="84" t="s">
        <v>800</v>
      </c>
      <c r="G1044" s="68">
        <v>0.0</v>
      </c>
      <c r="H1044" s="69">
        <f t="shared" si="82"/>
        <v>0</v>
      </c>
      <c r="I1044" s="76" t="s">
        <v>490</v>
      </c>
      <c r="J1044" s="87" t="s">
        <v>833</v>
      </c>
      <c r="K1044" s="95"/>
      <c r="L1044" s="95"/>
      <c r="M1044" s="95"/>
      <c r="N1044" s="72">
        <f t="shared" si="83"/>
        <v>0</v>
      </c>
      <c r="O1044" s="96"/>
      <c r="P1044" s="74"/>
      <c r="Q1044" s="74"/>
      <c r="R1044" s="74"/>
      <c r="S1044" s="74"/>
      <c r="T1044" s="74"/>
      <c r="U1044" s="74"/>
      <c r="V1044" s="74"/>
      <c r="W1044" s="74"/>
      <c r="X1044" s="74"/>
      <c r="Y1044" s="74"/>
      <c r="Z1044" s="74"/>
      <c r="AA1044" s="74"/>
      <c r="AB1044" s="74"/>
      <c r="AC1044" s="74"/>
      <c r="AD1044" s="74"/>
      <c r="AE1044" s="74"/>
      <c r="AF1044" s="74"/>
      <c r="AG1044" s="74"/>
    </row>
    <row r="1045" ht="22.5" customHeight="1">
      <c r="A1045" s="86">
        <v>45788.0</v>
      </c>
      <c r="B1045" s="63" t="s">
        <v>27</v>
      </c>
      <c r="C1045" s="79"/>
      <c r="D1045" s="80">
        <v>8610.0</v>
      </c>
      <c r="E1045" s="66" t="s">
        <v>28</v>
      </c>
      <c r="F1045" s="84" t="s">
        <v>800</v>
      </c>
      <c r="G1045" s="68">
        <v>20.0</v>
      </c>
      <c r="H1045" s="69">
        <f t="shared" si="82"/>
        <v>1435</v>
      </c>
      <c r="I1045" s="70" t="s">
        <v>35</v>
      </c>
      <c r="J1045" s="87" t="s">
        <v>648</v>
      </c>
      <c r="K1045" s="95"/>
      <c r="L1045" s="95"/>
      <c r="M1045" s="95"/>
      <c r="N1045" s="72">
        <f t="shared" si="83"/>
        <v>0</v>
      </c>
      <c r="O1045" s="96"/>
      <c r="P1045" s="74"/>
      <c r="Q1045" s="74"/>
      <c r="R1045" s="74"/>
      <c r="S1045" s="74"/>
      <c r="T1045" s="74"/>
      <c r="U1045" s="74"/>
      <c r="V1045" s="74"/>
      <c r="W1045" s="74"/>
      <c r="X1045" s="74"/>
      <c r="Y1045" s="74"/>
      <c r="Z1045" s="74"/>
      <c r="AA1045" s="74"/>
      <c r="AB1045" s="74"/>
      <c r="AC1045" s="74"/>
      <c r="AD1045" s="74"/>
      <c r="AE1045" s="74"/>
      <c r="AF1045" s="74"/>
      <c r="AG1045" s="74"/>
    </row>
    <row r="1046" ht="22.5" customHeight="1">
      <c r="A1046" s="86">
        <v>45788.0</v>
      </c>
      <c r="B1046" s="63" t="s">
        <v>27</v>
      </c>
      <c r="C1046" s="79"/>
      <c r="D1046" s="80">
        <v>53000.0</v>
      </c>
      <c r="E1046" s="66" t="s">
        <v>28</v>
      </c>
      <c r="F1046" s="84" t="s">
        <v>722</v>
      </c>
      <c r="G1046" s="68">
        <v>0.0</v>
      </c>
      <c r="H1046" s="69">
        <f t="shared" si="82"/>
        <v>0</v>
      </c>
      <c r="I1046" s="76" t="s">
        <v>383</v>
      </c>
      <c r="J1046" s="87" t="s">
        <v>834</v>
      </c>
      <c r="K1046" s="95"/>
      <c r="L1046" s="95"/>
      <c r="M1046" s="95"/>
      <c r="N1046" s="72">
        <f t="shared" si="83"/>
        <v>0</v>
      </c>
      <c r="O1046" s="83" t="s">
        <v>835</v>
      </c>
      <c r="P1046" s="74"/>
      <c r="Q1046" s="74"/>
      <c r="R1046" s="74"/>
      <c r="S1046" s="74"/>
      <c r="T1046" s="74"/>
      <c r="U1046" s="74"/>
      <c r="V1046" s="74"/>
      <c r="W1046" s="74"/>
      <c r="X1046" s="74"/>
      <c r="Y1046" s="74"/>
      <c r="Z1046" s="74"/>
      <c r="AA1046" s="74"/>
      <c r="AB1046" s="74"/>
      <c r="AC1046" s="74"/>
      <c r="AD1046" s="74"/>
      <c r="AE1046" s="74"/>
      <c r="AF1046" s="74"/>
      <c r="AG1046" s="74"/>
    </row>
    <row r="1047" ht="22.5" customHeight="1">
      <c r="A1047" s="86">
        <v>45788.0</v>
      </c>
      <c r="B1047" s="63" t="s">
        <v>27</v>
      </c>
      <c r="C1047" s="79"/>
      <c r="D1047" s="80">
        <v>136000.0</v>
      </c>
      <c r="E1047" s="66" t="s">
        <v>28</v>
      </c>
      <c r="F1047" s="84" t="s">
        <v>626</v>
      </c>
      <c r="G1047" s="68">
        <v>0.0</v>
      </c>
      <c r="H1047" s="69">
        <f t="shared" si="82"/>
        <v>0</v>
      </c>
      <c r="I1047" s="76" t="s">
        <v>286</v>
      </c>
      <c r="J1047" s="87" t="s">
        <v>454</v>
      </c>
      <c r="K1047" s="95"/>
      <c r="L1047" s="95"/>
      <c r="M1047" s="95"/>
      <c r="N1047" s="72">
        <f t="shared" si="83"/>
        <v>0</v>
      </c>
      <c r="O1047" s="140" t="s">
        <v>836</v>
      </c>
      <c r="P1047" s="74"/>
      <c r="Q1047" s="74"/>
      <c r="R1047" s="74"/>
      <c r="S1047" s="74"/>
      <c r="T1047" s="74"/>
      <c r="U1047" s="74"/>
      <c r="V1047" s="74"/>
      <c r="W1047" s="74"/>
      <c r="X1047" s="74"/>
      <c r="Y1047" s="74"/>
      <c r="Z1047" s="74"/>
      <c r="AA1047" s="74"/>
      <c r="AB1047" s="74"/>
      <c r="AC1047" s="74"/>
      <c r="AD1047" s="74"/>
      <c r="AE1047" s="74"/>
      <c r="AF1047" s="74"/>
      <c r="AG1047" s="74"/>
    </row>
    <row r="1048" ht="22.5" customHeight="1">
      <c r="A1048" s="86">
        <v>45788.0</v>
      </c>
      <c r="B1048" s="63" t="s">
        <v>27</v>
      </c>
      <c r="C1048" s="79"/>
      <c r="D1048" s="80">
        <v>140000.0</v>
      </c>
      <c r="E1048" s="66" t="s">
        <v>33</v>
      </c>
      <c r="F1048" s="84" t="s">
        <v>722</v>
      </c>
      <c r="G1048" s="68">
        <v>0.0</v>
      </c>
      <c r="H1048" s="69">
        <f t="shared" si="82"/>
        <v>0</v>
      </c>
      <c r="I1048" s="76" t="s">
        <v>53</v>
      </c>
      <c r="J1048" s="87" t="s">
        <v>837</v>
      </c>
      <c r="K1048" s="95"/>
      <c r="L1048" s="95"/>
      <c r="M1048" s="95"/>
      <c r="N1048" s="72">
        <f t="shared" si="83"/>
        <v>0</v>
      </c>
      <c r="O1048" s="96"/>
      <c r="P1048" s="74"/>
      <c r="Q1048" s="74"/>
      <c r="R1048" s="74"/>
      <c r="S1048" s="74"/>
      <c r="T1048" s="74"/>
      <c r="U1048" s="74"/>
      <c r="V1048" s="74"/>
      <c r="W1048" s="74"/>
      <c r="X1048" s="74"/>
      <c r="Y1048" s="74"/>
      <c r="Z1048" s="74"/>
      <c r="AA1048" s="74"/>
      <c r="AB1048" s="74"/>
      <c r="AC1048" s="74"/>
      <c r="AD1048" s="74"/>
      <c r="AE1048" s="74"/>
      <c r="AF1048" s="74"/>
      <c r="AG1048" s="74"/>
    </row>
    <row r="1049" ht="22.5" customHeight="1">
      <c r="A1049" s="86">
        <v>45789.0</v>
      </c>
      <c r="B1049" s="63" t="s">
        <v>27</v>
      </c>
      <c r="C1049" s="80">
        <v>578289.32</v>
      </c>
      <c r="D1049" s="79"/>
      <c r="E1049" s="66" t="s">
        <v>376</v>
      </c>
      <c r="F1049" s="84" t="s">
        <v>674</v>
      </c>
      <c r="G1049" s="68">
        <v>20.0</v>
      </c>
      <c r="H1049" s="69">
        <f t="shared" si="82"/>
        <v>96381.55333</v>
      </c>
      <c r="I1049" s="76" t="s">
        <v>37</v>
      </c>
      <c r="J1049" s="87" t="s">
        <v>557</v>
      </c>
      <c r="K1049" s="82" t="s">
        <v>754</v>
      </c>
      <c r="L1049" s="82">
        <v>141.0</v>
      </c>
      <c r="M1049" s="128">
        <v>45758.0</v>
      </c>
      <c r="N1049" s="72">
        <f t="shared" si="83"/>
        <v>31</v>
      </c>
      <c r="O1049" s="96"/>
      <c r="P1049" s="74"/>
      <c r="Q1049" s="74"/>
      <c r="R1049" s="74"/>
      <c r="S1049" s="74"/>
      <c r="T1049" s="74"/>
      <c r="U1049" s="74"/>
      <c r="V1049" s="74"/>
      <c r="W1049" s="74"/>
      <c r="X1049" s="74"/>
      <c r="Y1049" s="74"/>
      <c r="Z1049" s="74"/>
      <c r="AA1049" s="74"/>
      <c r="AB1049" s="74"/>
      <c r="AC1049" s="74"/>
      <c r="AD1049" s="74"/>
      <c r="AE1049" s="74"/>
      <c r="AF1049" s="74"/>
      <c r="AG1049" s="74"/>
    </row>
    <row r="1050" ht="22.5" customHeight="1">
      <c r="A1050" s="86">
        <v>45789.0</v>
      </c>
      <c r="B1050" s="63" t="s">
        <v>27</v>
      </c>
      <c r="C1050" s="79"/>
      <c r="D1050" s="80">
        <v>417900.0</v>
      </c>
      <c r="E1050" s="66" t="s">
        <v>33</v>
      </c>
      <c r="F1050" s="84" t="s">
        <v>722</v>
      </c>
      <c r="G1050" s="68">
        <v>0.0</v>
      </c>
      <c r="H1050" s="69">
        <f t="shared" si="82"/>
        <v>0</v>
      </c>
      <c r="I1050" s="76" t="s">
        <v>68</v>
      </c>
      <c r="J1050" s="87" t="s">
        <v>838</v>
      </c>
      <c r="K1050" s="95"/>
      <c r="L1050" s="95"/>
      <c r="M1050" s="95"/>
      <c r="N1050" s="72">
        <f t="shared" si="83"/>
        <v>0</v>
      </c>
      <c r="O1050" s="96"/>
      <c r="P1050" s="74"/>
      <c r="Q1050" s="74"/>
      <c r="R1050" s="74"/>
      <c r="S1050" s="74"/>
      <c r="T1050" s="74"/>
      <c r="U1050" s="74"/>
      <c r="V1050" s="74"/>
      <c r="W1050" s="74"/>
      <c r="X1050" s="74"/>
      <c r="Y1050" s="74"/>
      <c r="Z1050" s="74"/>
      <c r="AA1050" s="74"/>
      <c r="AB1050" s="74"/>
      <c r="AC1050" s="74"/>
      <c r="AD1050" s="74"/>
      <c r="AE1050" s="74"/>
      <c r="AF1050" s="74"/>
      <c r="AG1050" s="74"/>
    </row>
    <row r="1051" ht="22.5" customHeight="1">
      <c r="A1051" s="86">
        <v>45790.0</v>
      </c>
      <c r="B1051" s="63" t="s">
        <v>27</v>
      </c>
      <c r="C1051" s="80">
        <v>1424914.26</v>
      </c>
      <c r="D1051" s="79"/>
      <c r="E1051" s="66" t="s">
        <v>28</v>
      </c>
      <c r="F1051" s="84" t="s">
        <v>594</v>
      </c>
      <c r="G1051" s="68">
        <v>20.0</v>
      </c>
      <c r="H1051" s="69">
        <f t="shared" si="82"/>
        <v>237485.71</v>
      </c>
      <c r="I1051" s="76" t="s">
        <v>37</v>
      </c>
      <c r="J1051" s="87" t="s">
        <v>474</v>
      </c>
      <c r="K1051" s="95"/>
      <c r="L1051" s="82">
        <v>59.0</v>
      </c>
      <c r="M1051" s="128">
        <v>45699.0</v>
      </c>
      <c r="N1051" s="72">
        <f t="shared" si="83"/>
        <v>91</v>
      </c>
      <c r="O1051" s="96"/>
      <c r="P1051" s="74"/>
      <c r="Q1051" s="74"/>
      <c r="R1051" s="74"/>
      <c r="S1051" s="74"/>
      <c r="T1051" s="74"/>
      <c r="U1051" s="74"/>
      <c r="V1051" s="74"/>
      <c r="W1051" s="74"/>
      <c r="X1051" s="74"/>
      <c r="Y1051" s="74"/>
      <c r="Z1051" s="74"/>
      <c r="AA1051" s="74"/>
      <c r="AB1051" s="74"/>
      <c r="AC1051" s="74"/>
      <c r="AD1051" s="74"/>
      <c r="AE1051" s="74"/>
      <c r="AF1051" s="74"/>
      <c r="AG1051" s="74"/>
    </row>
    <row r="1052" ht="22.5" customHeight="1">
      <c r="A1052" s="86">
        <v>45790.0</v>
      </c>
      <c r="B1052" s="63" t="s">
        <v>27</v>
      </c>
      <c r="C1052" s="80">
        <v>1200000.48</v>
      </c>
      <c r="D1052" s="79"/>
      <c r="E1052" s="66" t="s">
        <v>28</v>
      </c>
      <c r="F1052" s="84" t="s">
        <v>594</v>
      </c>
      <c r="G1052" s="68">
        <v>20.0</v>
      </c>
      <c r="H1052" s="69">
        <f t="shared" si="82"/>
        <v>200000.08</v>
      </c>
      <c r="I1052" s="76" t="s">
        <v>37</v>
      </c>
      <c r="J1052" s="87" t="s">
        <v>474</v>
      </c>
      <c r="K1052" s="95"/>
      <c r="L1052" s="82">
        <v>60.0</v>
      </c>
      <c r="M1052" s="128">
        <v>45699.0</v>
      </c>
      <c r="N1052" s="72">
        <f t="shared" si="83"/>
        <v>91</v>
      </c>
      <c r="O1052" s="96"/>
      <c r="P1052" s="74"/>
      <c r="Q1052" s="74"/>
      <c r="R1052" s="74"/>
      <c r="S1052" s="74"/>
      <c r="T1052" s="74"/>
      <c r="U1052" s="74"/>
      <c r="V1052" s="74"/>
      <c r="W1052" s="74"/>
      <c r="X1052" s="74"/>
      <c r="Y1052" s="74"/>
      <c r="Z1052" s="74"/>
      <c r="AA1052" s="74"/>
      <c r="AB1052" s="74"/>
      <c r="AC1052" s="74"/>
      <c r="AD1052" s="74"/>
      <c r="AE1052" s="74"/>
      <c r="AF1052" s="74"/>
      <c r="AG1052" s="74"/>
    </row>
    <row r="1053" ht="22.5" customHeight="1">
      <c r="A1053" s="86">
        <v>45790.0</v>
      </c>
      <c r="B1053" s="63" t="s">
        <v>27</v>
      </c>
      <c r="C1053" s="79"/>
      <c r="D1053" s="80">
        <v>277050.0</v>
      </c>
      <c r="E1053" s="147" t="s">
        <v>376</v>
      </c>
      <c r="F1053" s="84" t="s">
        <v>839</v>
      </c>
      <c r="G1053" s="69">
        <v>0.0</v>
      </c>
      <c r="H1053" s="69">
        <f t="shared" si="82"/>
        <v>0</v>
      </c>
      <c r="I1053" s="76" t="s">
        <v>322</v>
      </c>
      <c r="J1053" s="98" t="s">
        <v>750</v>
      </c>
      <c r="K1053" s="95"/>
      <c r="L1053" s="95"/>
      <c r="M1053" s="95"/>
      <c r="N1053" s="72">
        <f t="shared" si="83"/>
        <v>0</v>
      </c>
      <c r="O1053" s="140" t="s">
        <v>840</v>
      </c>
      <c r="P1053" s="74"/>
      <c r="Q1053" s="74"/>
      <c r="R1053" s="74"/>
      <c r="S1053" s="74"/>
      <c r="T1053" s="74"/>
      <c r="U1053" s="74"/>
      <c r="V1053" s="74"/>
      <c r="W1053" s="74"/>
      <c r="X1053" s="74"/>
      <c r="Y1053" s="74"/>
      <c r="Z1053" s="74"/>
      <c r="AA1053" s="74"/>
      <c r="AB1053" s="74"/>
      <c r="AC1053" s="74"/>
      <c r="AD1053" s="74"/>
      <c r="AE1053" s="74"/>
      <c r="AF1053" s="74"/>
      <c r="AG1053" s="74"/>
    </row>
    <row r="1054" ht="22.5" customHeight="1">
      <c r="A1054" s="86">
        <v>45790.0</v>
      </c>
      <c r="B1054" s="63" t="s">
        <v>27</v>
      </c>
      <c r="C1054" s="79"/>
      <c r="D1054" s="80">
        <v>217000.0</v>
      </c>
      <c r="E1054" s="66" t="s">
        <v>28</v>
      </c>
      <c r="F1054" s="84" t="s">
        <v>800</v>
      </c>
      <c r="G1054" s="68">
        <v>0.0</v>
      </c>
      <c r="H1054" s="69">
        <f t="shared" si="82"/>
        <v>0</v>
      </c>
      <c r="I1054" s="76" t="s">
        <v>495</v>
      </c>
      <c r="J1054" s="87" t="s">
        <v>691</v>
      </c>
      <c r="K1054" s="95"/>
      <c r="L1054" s="95"/>
      <c r="M1054" s="95"/>
      <c r="N1054" s="72">
        <f t="shared" si="83"/>
        <v>0</v>
      </c>
      <c r="O1054" s="96"/>
      <c r="P1054" s="74"/>
      <c r="Q1054" s="74"/>
      <c r="R1054" s="74"/>
      <c r="S1054" s="74"/>
      <c r="T1054" s="74"/>
      <c r="U1054" s="74"/>
      <c r="V1054" s="74"/>
      <c r="W1054" s="74"/>
      <c r="X1054" s="74"/>
      <c r="Y1054" s="74"/>
      <c r="Z1054" s="74"/>
      <c r="AA1054" s="74"/>
      <c r="AB1054" s="74"/>
      <c r="AC1054" s="74"/>
      <c r="AD1054" s="74"/>
      <c r="AE1054" s="74"/>
      <c r="AF1054" s="74"/>
      <c r="AG1054" s="74"/>
    </row>
    <row r="1055" ht="22.5" customHeight="1">
      <c r="A1055" s="86">
        <v>45790.0</v>
      </c>
      <c r="B1055" s="63" t="s">
        <v>27</v>
      </c>
      <c r="C1055" s="79"/>
      <c r="D1055" s="80">
        <v>100000.0</v>
      </c>
      <c r="E1055" s="66" t="s">
        <v>33</v>
      </c>
      <c r="F1055" s="84" t="s">
        <v>800</v>
      </c>
      <c r="G1055" s="68">
        <v>0.0</v>
      </c>
      <c r="H1055" s="69">
        <f t="shared" si="82"/>
        <v>0</v>
      </c>
      <c r="I1055" s="76" t="s">
        <v>490</v>
      </c>
      <c r="J1055" s="87" t="s">
        <v>841</v>
      </c>
      <c r="K1055" s="95"/>
      <c r="L1055" s="95"/>
      <c r="M1055" s="95"/>
      <c r="N1055" s="72">
        <f t="shared" si="83"/>
        <v>0</v>
      </c>
      <c r="O1055" s="96"/>
      <c r="P1055" s="74"/>
      <c r="Q1055" s="74"/>
      <c r="R1055" s="74"/>
      <c r="S1055" s="74"/>
      <c r="T1055" s="74"/>
      <c r="U1055" s="74"/>
      <c r="V1055" s="74"/>
      <c r="W1055" s="74"/>
      <c r="X1055" s="74"/>
      <c r="Y1055" s="74"/>
      <c r="Z1055" s="74"/>
      <c r="AA1055" s="74"/>
      <c r="AB1055" s="74"/>
      <c r="AC1055" s="74"/>
      <c r="AD1055" s="74"/>
      <c r="AE1055" s="74"/>
      <c r="AF1055" s="74"/>
      <c r="AG1055" s="74"/>
    </row>
    <row r="1056" ht="22.5" customHeight="1">
      <c r="A1056" s="86">
        <v>45790.0</v>
      </c>
      <c r="B1056" s="63" t="s">
        <v>27</v>
      </c>
      <c r="C1056" s="79"/>
      <c r="D1056" s="80">
        <v>50000.0</v>
      </c>
      <c r="E1056" s="66" t="s">
        <v>33</v>
      </c>
      <c r="F1056" s="84" t="s">
        <v>722</v>
      </c>
      <c r="G1056" s="68">
        <v>0.0</v>
      </c>
      <c r="H1056" s="69">
        <f t="shared" si="82"/>
        <v>0</v>
      </c>
      <c r="I1056" s="76" t="s">
        <v>68</v>
      </c>
      <c r="J1056" s="87" t="s">
        <v>842</v>
      </c>
      <c r="K1056" s="95"/>
      <c r="L1056" s="95"/>
      <c r="M1056" s="95"/>
      <c r="N1056" s="72">
        <f t="shared" si="83"/>
        <v>0</v>
      </c>
      <c r="O1056" s="96"/>
      <c r="P1056" s="74"/>
      <c r="Q1056" s="74"/>
      <c r="R1056" s="74"/>
      <c r="S1056" s="74"/>
      <c r="T1056" s="74"/>
      <c r="U1056" s="74"/>
      <c r="V1056" s="74"/>
      <c r="W1056" s="74"/>
      <c r="X1056" s="74"/>
      <c r="Y1056" s="74"/>
      <c r="Z1056" s="74"/>
      <c r="AA1056" s="74"/>
      <c r="AB1056" s="74"/>
      <c r="AC1056" s="74"/>
      <c r="AD1056" s="74"/>
      <c r="AE1056" s="74"/>
      <c r="AF1056" s="74"/>
      <c r="AG1056" s="74"/>
    </row>
    <row r="1057" ht="22.5" customHeight="1">
      <c r="A1057" s="86">
        <v>45790.0</v>
      </c>
      <c r="B1057" s="63" t="s">
        <v>27</v>
      </c>
      <c r="C1057" s="79"/>
      <c r="D1057" s="80">
        <v>132000.0</v>
      </c>
      <c r="E1057" s="66" t="s">
        <v>33</v>
      </c>
      <c r="F1057" s="84" t="s">
        <v>800</v>
      </c>
      <c r="G1057" s="68">
        <v>0.0</v>
      </c>
      <c r="H1057" s="69">
        <f t="shared" si="82"/>
        <v>0</v>
      </c>
      <c r="I1057" s="70" t="s">
        <v>35</v>
      </c>
      <c r="J1057" s="87" t="s">
        <v>676</v>
      </c>
      <c r="K1057" s="95"/>
      <c r="L1057" s="95"/>
      <c r="M1057" s="95"/>
      <c r="N1057" s="72">
        <f t="shared" si="83"/>
        <v>0</v>
      </c>
      <c r="O1057" s="96"/>
      <c r="P1057" s="74"/>
      <c r="Q1057" s="74"/>
      <c r="R1057" s="74"/>
      <c r="S1057" s="74"/>
      <c r="T1057" s="74"/>
      <c r="U1057" s="74"/>
      <c r="V1057" s="74"/>
      <c r="W1057" s="74"/>
      <c r="X1057" s="74"/>
      <c r="Y1057" s="74"/>
      <c r="Z1057" s="74"/>
      <c r="AA1057" s="74"/>
      <c r="AB1057" s="74"/>
      <c r="AC1057" s="74"/>
      <c r="AD1057" s="74"/>
      <c r="AE1057" s="74"/>
      <c r="AF1057" s="74"/>
      <c r="AG1057" s="74"/>
    </row>
    <row r="1058" ht="22.5" customHeight="1">
      <c r="A1058" s="86">
        <v>45790.0</v>
      </c>
      <c r="B1058" s="63" t="s">
        <v>27</v>
      </c>
      <c r="C1058" s="79"/>
      <c r="D1058" s="80">
        <v>15000.0</v>
      </c>
      <c r="E1058" s="66" t="s">
        <v>33</v>
      </c>
      <c r="F1058" s="84" t="s">
        <v>800</v>
      </c>
      <c r="G1058" s="68">
        <v>0.0</v>
      </c>
      <c r="H1058" s="69">
        <f t="shared" si="82"/>
        <v>0</v>
      </c>
      <c r="I1058" s="70" t="s">
        <v>35</v>
      </c>
      <c r="J1058" s="87" t="s">
        <v>843</v>
      </c>
      <c r="K1058" s="95"/>
      <c r="L1058" s="95"/>
      <c r="M1058" s="95"/>
      <c r="N1058" s="72">
        <f t="shared" si="83"/>
        <v>0</v>
      </c>
      <c r="O1058" s="96"/>
      <c r="P1058" s="74"/>
      <c r="Q1058" s="74"/>
      <c r="R1058" s="74"/>
      <c r="S1058" s="74"/>
      <c r="T1058" s="74"/>
      <c r="U1058" s="74"/>
      <c r="V1058" s="74"/>
      <c r="W1058" s="74"/>
      <c r="X1058" s="74"/>
      <c r="Y1058" s="74"/>
      <c r="Z1058" s="74"/>
      <c r="AA1058" s="74"/>
      <c r="AB1058" s="74"/>
      <c r="AC1058" s="74"/>
      <c r="AD1058" s="74"/>
      <c r="AE1058" s="74"/>
      <c r="AF1058" s="74"/>
      <c r="AG1058" s="74"/>
    </row>
    <row r="1059" ht="22.5" customHeight="1">
      <c r="A1059" s="86">
        <v>45792.0</v>
      </c>
      <c r="B1059" s="63" t="s">
        <v>27</v>
      </c>
      <c r="C1059" s="80">
        <v>420000.0</v>
      </c>
      <c r="D1059" s="79"/>
      <c r="E1059" s="66" t="s">
        <v>28</v>
      </c>
      <c r="F1059" s="84" t="s">
        <v>674</v>
      </c>
      <c r="G1059" s="68">
        <v>20.0</v>
      </c>
      <c r="H1059" s="69">
        <f t="shared" si="82"/>
        <v>70000</v>
      </c>
      <c r="I1059" s="76" t="s">
        <v>37</v>
      </c>
      <c r="J1059" s="87" t="s">
        <v>605</v>
      </c>
      <c r="K1059" s="82" t="s">
        <v>844</v>
      </c>
      <c r="L1059" s="82">
        <v>103.0</v>
      </c>
      <c r="M1059" s="128">
        <v>45757.0</v>
      </c>
      <c r="N1059" s="72">
        <f t="shared" si="83"/>
        <v>35</v>
      </c>
      <c r="O1059" s="96"/>
      <c r="P1059" s="74"/>
      <c r="Q1059" s="74"/>
      <c r="R1059" s="74"/>
      <c r="S1059" s="74"/>
      <c r="T1059" s="74"/>
      <c r="U1059" s="74"/>
      <c r="V1059" s="74"/>
      <c r="W1059" s="74"/>
      <c r="X1059" s="74"/>
      <c r="Y1059" s="74"/>
      <c r="Z1059" s="74"/>
      <c r="AA1059" s="74"/>
      <c r="AB1059" s="74"/>
      <c r="AC1059" s="74"/>
      <c r="AD1059" s="74"/>
      <c r="AE1059" s="74"/>
      <c r="AF1059" s="74"/>
      <c r="AG1059" s="74"/>
    </row>
    <row r="1060" ht="22.5" customHeight="1">
      <c r="A1060" s="86">
        <v>45792.0</v>
      </c>
      <c r="B1060" s="63" t="s">
        <v>27</v>
      </c>
      <c r="C1060" s="79"/>
      <c r="D1060" s="80">
        <v>15000.0</v>
      </c>
      <c r="E1060" s="66" t="s">
        <v>33</v>
      </c>
      <c r="F1060" s="84" t="s">
        <v>800</v>
      </c>
      <c r="G1060" s="68">
        <v>0.0</v>
      </c>
      <c r="H1060" s="69">
        <f t="shared" si="82"/>
        <v>0</v>
      </c>
      <c r="I1060" s="70" t="s">
        <v>35</v>
      </c>
      <c r="J1060" s="87" t="s">
        <v>845</v>
      </c>
      <c r="K1060" s="95"/>
      <c r="L1060" s="95"/>
      <c r="M1060" s="95"/>
      <c r="N1060" s="72">
        <f t="shared" si="83"/>
        <v>0</v>
      </c>
      <c r="O1060" s="96"/>
      <c r="P1060" s="74"/>
      <c r="Q1060" s="74"/>
      <c r="R1060" s="74"/>
      <c r="S1060" s="74"/>
      <c r="T1060" s="74"/>
      <c r="U1060" s="74"/>
      <c r="V1060" s="74"/>
      <c r="W1060" s="74"/>
      <c r="X1060" s="74"/>
      <c r="Y1060" s="74"/>
      <c r="Z1060" s="74"/>
      <c r="AA1060" s="74"/>
      <c r="AB1060" s="74"/>
      <c r="AC1060" s="74"/>
      <c r="AD1060" s="74"/>
      <c r="AE1060" s="74"/>
      <c r="AF1060" s="74"/>
      <c r="AG1060" s="74"/>
    </row>
    <row r="1061" ht="22.5" customHeight="1">
      <c r="A1061" s="86">
        <v>45792.0</v>
      </c>
      <c r="B1061" s="63" t="s">
        <v>27</v>
      </c>
      <c r="C1061" s="79"/>
      <c r="D1061" s="80">
        <v>550000.0</v>
      </c>
      <c r="E1061" s="66" t="s">
        <v>28</v>
      </c>
      <c r="F1061" s="84" t="s">
        <v>722</v>
      </c>
      <c r="G1061" s="68">
        <v>0.0</v>
      </c>
      <c r="H1061" s="69">
        <f t="shared" si="82"/>
        <v>0</v>
      </c>
      <c r="I1061" s="76" t="s">
        <v>504</v>
      </c>
      <c r="J1061" s="87" t="s">
        <v>505</v>
      </c>
      <c r="K1061" s="95"/>
      <c r="L1061" s="95"/>
      <c r="M1061" s="95"/>
      <c r="N1061" s="72">
        <f t="shared" si="83"/>
        <v>0</v>
      </c>
      <c r="O1061" s="140" t="s">
        <v>846</v>
      </c>
      <c r="P1061" s="74"/>
      <c r="Q1061" s="74"/>
      <c r="R1061" s="74"/>
      <c r="S1061" s="74"/>
      <c r="T1061" s="74"/>
      <c r="U1061" s="74"/>
      <c r="V1061" s="74"/>
      <c r="W1061" s="74"/>
      <c r="X1061" s="74"/>
      <c r="Y1061" s="74"/>
      <c r="Z1061" s="74"/>
      <c r="AA1061" s="74"/>
      <c r="AB1061" s="74"/>
      <c r="AC1061" s="74"/>
      <c r="AD1061" s="74"/>
      <c r="AE1061" s="74"/>
      <c r="AF1061" s="74"/>
      <c r="AG1061" s="74"/>
    </row>
    <row r="1062" ht="22.5" customHeight="1">
      <c r="A1062" s="86">
        <v>45796.0</v>
      </c>
      <c r="B1062" s="63" t="s">
        <v>27</v>
      </c>
      <c r="C1062" s="80">
        <v>600000.24</v>
      </c>
      <c r="D1062" s="80"/>
      <c r="E1062" s="66" t="s">
        <v>28</v>
      </c>
      <c r="F1062" s="84" t="s">
        <v>626</v>
      </c>
      <c r="G1062" s="68">
        <v>20.0</v>
      </c>
      <c r="H1062" s="69">
        <f t="shared" si="82"/>
        <v>100000.04</v>
      </c>
      <c r="I1062" s="76" t="s">
        <v>37</v>
      </c>
      <c r="J1062" s="87" t="s">
        <v>440</v>
      </c>
      <c r="K1062" s="82" t="s">
        <v>829</v>
      </c>
      <c r="L1062" s="82">
        <v>75.0</v>
      </c>
      <c r="M1062" s="128">
        <v>45726.0</v>
      </c>
      <c r="N1062" s="72">
        <f t="shared" si="83"/>
        <v>70</v>
      </c>
      <c r="O1062" s="96"/>
      <c r="P1062" s="74"/>
      <c r="Q1062" s="74"/>
      <c r="R1062" s="74"/>
      <c r="S1062" s="74"/>
      <c r="T1062" s="74"/>
      <c r="U1062" s="74"/>
      <c r="V1062" s="74"/>
      <c r="W1062" s="74"/>
      <c r="X1062" s="74"/>
      <c r="Y1062" s="74"/>
      <c r="Z1062" s="74"/>
      <c r="AA1062" s="74"/>
      <c r="AB1062" s="74"/>
      <c r="AC1062" s="74"/>
      <c r="AD1062" s="74"/>
      <c r="AE1062" s="74"/>
      <c r="AF1062" s="74"/>
      <c r="AG1062" s="74"/>
    </row>
    <row r="1063" ht="22.5" customHeight="1">
      <c r="A1063" s="86">
        <v>45796.0</v>
      </c>
      <c r="B1063" s="63" t="s">
        <v>27</v>
      </c>
      <c r="C1063" s="80">
        <v>600000.24</v>
      </c>
      <c r="D1063" s="80"/>
      <c r="E1063" s="66" t="s">
        <v>28</v>
      </c>
      <c r="F1063" s="84" t="s">
        <v>626</v>
      </c>
      <c r="G1063" s="68">
        <v>20.0</v>
      </c>
      <c r="H1063" s="69">
        <f t="shared" si="82"/>
        <v>100000.04</v>
      </c>
      <c r="I1063" s="76" t="s">
        <v>37</v>
      </c>
      <c r="J1063" s="87" t="s">
        <v>440</v>
      </c>
      <c r="K1063" s="82" t="s">
        <v>830</v>
      </c>
      <c r="L1063" s="82">
        <v>76.0</v>
      </c>
      <c r="M1063" s="128">
        <v>45727.0</v>
      </c>
      <c r="N1063" s="72">
        <f t="shared" si="83"/>
        <v>69</v>
      </c>
      <c r="O1063" s="96"/>
      <c r="P1063" s="74"/>
      <c r="Q1063" s="74"/>
      <c r="R1063" s="74"/>
      <c r="S1063" s="74"/>
      <c r="T1063" s="74"/>
      <c r="U1063" s="74"/>
      <c r="V1063" s="74"/>
      <c r="W1063" s="74"/>
      <c r="X1063" s="74"/>
      <c r="Y1063" s="74"/>
      <c r="Z1063" s="74"/>
      <c r="AA1063" s="74"/>
      <c r="AB1063" s="74"/>
      <c r="AC1063" s="74"/>
      <c r="AD1063" s="74"/>
      <c r="AE1063" s="74"/>
      <c r="AF1063" s="74"/>
      <c r="AG1063" s="74"/>
    </row>
    <row r="1064" ht="22.5" customHeight="1">
      <c r="A1064" s="86">
        <v>45796.0</v>
      </c>
      <c r="B1064" s="63" t="s">
        <v>27</v>
      </c>
      <c r="C1064" s="80">
        <v>600000.24</v>
      </c>
      <c r="D1064" s="80"/>
      <c r="E1064" s="66" t="s">
        <v>28</v>
      </c>
      <c r="F1064" s="84" t="s">
        <v>626</v>
      </c>
      <c r="G1064" s="68">
        <v>20.0</v>
      </c>
      <c r="H1064" s="69">
        <f t="shared" si="82"/>
        <v>100000.04</v>
      </c>
      <c r="I1064" s="76" t="s">
        <v>37</v>
      </c>
      <c r="J1064" s="87" t="s">
        <v>440</v>
      </c>
      <c r="K1064" s="82" t="s">
        <v>805</v>
      </c>
      <c r="L1064" s="82">
        <v>77.0</v>
      </c>
      <c r="M1064" s="128">
        <v>45727.0</v>
      </c>
      <c r="N1064" s="72">
        <f t="shared" si="83"/>
        <v>69</v>
      </c>
      <c r="O1064" s="96"/>
      <c r="P1064" s="74"/>
      <c r="Q1064" s="74"/>
      <c r="R1064" s="74"/>
      <c r="S1064" s="74"/>
      <c r="T1064" s="74"/>
      <c r="U1064" s="74"/>
      <c r="V1064" s="74"/>
      <c r="W1064" s="74"/>
      <c r="X1064" s="74"/>
      <c r="Y1064" s="74"/>
      <c r="Z1064" s="74"/>
      <c r="AA1064" s="74"/>
      <c r="AB1064" s="74"/>
      <c r="AC1064" s="74"/>
      <c r="AD1064" s="74"/>
      <c r="AE1064" s="74"/>
      <c r="AF1064" s="74"/>
      <c r="AG1064" s="74"/>
    </row>
    <row r="1065" ht="22.5" customHeight="1">
      <c r="A1065" s="86">
        <v>45796.0</v>
      </c>
      <c r="B1065" s="63" t="s">
        <v>27</v>
      </c>
      <c r="C1065" s="79"/>
      <c r="D1065" s="80">
        <v>12000.0</v>
      </c>
      <c r="E1065" s="66" t="s">
        <v>33</v>
      </c>
      <c r="F1065" s="84" t="s">
        <v>800</v>
      </c>
      <c r="G1065" s="68">
        <v>0.0</v>
      </c>
      <c r="H1065" s="69">
        <f t="shared" si="82"/>
        <v>0</v>
      </c>
      <c r="I1065" s="76" t="s">
        <v>233</v>
      </c>
      <c r="J1065" s="87" t="s">
        <v>847</v>
      </c>
      <c r="K1065" s="95"/>
      <c r="L1065" s="95"/>
      <c r="M1065" s="95"/>
      <c r="N1065" s="72">
        <f t="shared" si="83"/>
        <v>0</v>
      </c>
      <c r="O1065" s="96"/>
      <c r="P1065" s="74"/>
      <c r="Q1065" s="74"/>
      <c r="R1065" s="74"/>
      <c r="S1065" s="74"/>
      <c r="T1065" s="74"/>
      <c r="U1065" s="74"/>
      <c r="V1065" s="74"/>
      <c r="W1065" s="74"/>
      <c r="X1065" s="74"/>
      <c r="Y1065" s="74"/>
      <c r="Z1065" s="74"/>
      <c r="AA1065" s="74"/>
      <c r="AB1065" s="74"/>
      <c r="AC1065" s="74"/>
      <c r="AD1065" s="74"/>
      <c r="AE1065" s="74"/>
      <c r="AF1065" s="74"/>
      <c r="AG1065" s="74"/>
    </row>
    <row r="1066" ht="22.5" customHeight="1">
      <c r="A1066" s="86">
        <v>45796.0</v>
      </c>
      <c r="B1066" s="63" t="s">
        <v>27</v>
      </c>
      <c r="C1066" s="79"/>
      <c r="D1066" s="80">
        <v>5000.0</v>
      </c>
      <c r="E1066" s="66" t="s">
        <v>33</v>
      </c>
      <c r="F1066" s="84" t="s">
        <v>800</v>
      </c>
      <c r="G1066" s="68">
        <v>0.0</v>
      </c>
      <c r="H1066" s="69">
        <f t="shared" si="82"/>
        <v>0</v>
      </c>
      <c r="I1066" s="76" t="s">
        <v>495</v>
      </c>
      <c r="J1066" s="87" t="s">
        <v>848</v>
      </c>
      <c r="K1066" s="95"/>
      <c r="L1066" s="95"/>
      <c r="M1066" s="95"/>
      <c r="N1066" s="72">
        <f t="shared" si="83"/>
        <v>0</v>
      </c>
      <c r="O1066" s="96"/>
      <c r="P1066" s="74"/>
      <c r="Q1066" s="74"/>
      <c r="R1066" s="74"/>
      <c r="S1066" s="74"/>
      <c r="T1066" s="74"/>
      <c r="U1066" s="74"/>
      <c r="V1066" s="74"/>
      <c r="W1066" s="74"/>
      <c r="X1066" s="74"/>
      <c r="Y1066" s="74"/>
      <c r="Z1066" s="74"/>
      <c r="AA1066" s="74"/>
      <c r="AB1066" s="74"/>
      <c r="AC1066" s="74"/>
      <c r="AD1066" s="74"/>
      <c r="AE1066" s="74"/>
      <c r="AF1066" s="74"/>
      <c r="AG1066" s="74"/>
    </row>
    <row r="1067" ht="22.5" customHeight="1">
      <c r="A1067" s="86">
        <v>45797.0</v>
      </c>
      <c r="B1067" s="63" t="s">
        <v>27</v>
      </c>
      <c r="C1067" s="80">
        <v>900000.36</v>
      </c>
      <c r="D1067" s="80"/>
      <c r="E1067" s="66" t="s">
        <v>28</v>
      </c>
      <c r="F1067" s="84" t="s">
        <v>626</v>
      </c>
      <c r="G1067" s="68">
        <v>20.0</v>
      </c>
      <c r="H1067" s="69">
        <f t="shared" si="82"/>
        <v>150000.06</v>
      </c>
      <c r="I1067" s="76" t="s">
        <v>37</v>
      </c>
      <c r="J1067" s="87" t="s">
        <v>474</v>
      </c>
      <c r="K1067" s="82" t="s">
        <v>830</v>
      </c>
      <c r="L1067" s="82">
        <v>78.0</v>
      </c>
      <c r="M1067" s="128">
        <v>45727.0</v>
      </c>
      <c r="N1067" s="72">
        <f t="shared" si="83"/>
        <v>70</v>
      </c>
      <c r="O1067" s="96"/>
      <c r="P1067" s="74"/>
      <c r="Q1067" s="74"/>
      <c r="R1067" s="74"/>
      <c r="S1067" s="74"/>
      <c r="T1067" s="74"/>
      <c r="U1067" s="74"/>
      <c r="V1067" s="74"/>
      <c r="W1067" s="74"/>
      <c r="X1067" s="74"/>
      <c r="Y1067" s="74"/>
      <c r="Z1067" s="74"/>
      <c r="AA1067" s="74"/>
      <c r="AB1067" s="74"/>
      <c r="AC1067" s="74"/>
      <c r="AD1067" s="74"/>
      <c r="AE1067" s="74"/>
      <c r="AF1067" s="74"/>
      <c r="AG1067" s="74"/>
    </row>
    <row r="1068" ht="22.5" customHeight="1">
      <c r="A1068" s="86">
        <v>45797.0</v>
      </c>
      <c r="B1068" s="63" t="s">
        <v>27</v>
      </c>
      <c r="C1068" s="80">
        <v>1766665.74</v>
      </c>
      <c r="D1068" s="80"/>
      <c r="E1068" s="66" t="s">
        <v>28</v>
      </c>
      <c r="F1068" s="84" t="s">
        <v>626</v>
      </c>
      <c r="G1068" s="68">
        <v>20.0</v>
      </c>
      <c r="H1068" s="69">
        <f t="shared" si="82"/>
        <v>294444.29</v>
      </c>
      <c r="I1068" s="76" t="s">
        <v>37</v>
      </c>
      <c r="J1068" s="87" t="s">
        <v>474</v>
      </c>
      <c r="K1068" s="82" t="s">
        <v>829</v>
      </c>
      <c r="L1068" s="82">
        <v>93.0</v>
      </c>
      <c r="M1068" s="128">
        <v>45728.0</v>
      </c>
      <c r="N1068" s="72">
        <f t="shared" si="83"/>
        <v>69</v>
      </c>
      <c r="O1068" s="96"/>
      <c r="P1068" s="74"/>
      <c r="Q1068" s="74"/>
      <c r="R1068" s="74"/>
      <c r="S1068" s="74"/>
      <c r="T1068" s="74"/>
      <c r="U1068" s="74"/>
      <c r="V1068" s="74"/>
      <c r="W1068" s="74"/>
      <c r="X1068" s="74"/>
      <c r="Y1068" s="74"/>
      <c r="Z1068" s="74"/>
      <c r="AA1068" s="74"/>
      <c r="AB1068" s="74"/>
      <c r="AC1068" s="74"/>
      <c r="AD1068" s="74"/>
      <c r="AE1068" s="74"/>
      <c r="AF1068" s="74"/>
      <c r="AG1068" s="74"/>
    </row>
    <row r="1069" ht="22.5" customHeight="1">
      <c r="A1069" s="86">
        <v>45797.0</v>
      </c>
      <c r="B1069" s="63" t="s">
        <v>27</v>
      </c>
      <c r="C1069" s="80">
        <v>600600.0</v>
      </c>
      <c r="D1069" s="80"/>
      <c r="E1069" s="66" t="s">
        <v>28</v>
      </c>
      <c r="F1069" s="84" t="s">
        <v>626</v>
      </c>
      <c r="G1069" s="68">
        <v>20.0</v>
      </c>
      <c r="H1069" s="69">
        <f t="shared" si="82"/>
        <v>100100</v>
      </c>
      <c r="I1069" s="76" t="s">
        <v>37</v>
      </c>
      <c r="J1069" s="87" t="s">
        <v>849</v>
      </c>
      <c r="K1069" s="82" t="s">
        <v>830</v>
      </c>
      <c r="L1069" s="82">
        <v>80.0</v>
      </c>
      <c r="M1069" s="128">
        <v>45727.0</v>
      </c>
      <c r="N1069" s="72">
        <f t="shared" si="83"/>
        <v>70</v>
      </c>
      <c r="O1069" s="96"/>
      <c r="P1069" s="74"/>
      <c r="Q1069" s="74"/>
      <c r="R1069" s="74"/>
      <c r="S1069" s="74"/>
      <c r="T1069" s="74"/>
      <c r="U1069" s="74"/>
      <c r="V1069" s="74"/>
      <c r="W1069" s="74"/>
      <c r="X1069" s="74"/>
      <c r="Y1069" s="74"/>
      <c r="Z1069" s="74"/>
      <c r="AA1069" s="74"/>
      <c r="AB1069" s="74"/>
      <c r="AC1069" s="74"/>
      <c r="AD1069" s="74"/>
      <c r="AE1069" s="74"/>
      <c r="AF1069" s="74"/>
      <c r="AG1069" s="74"/>
    </row>
    <row r="1070" ht="22.5" customHeight="1">
      <c r="A1070" s="86">
        <v>45797.0</v>
      </c>
      <c r="B1070" s="63" t="s">
        <v>27</v>
      </c>
      <c r="C1070" s="80">
        <v>600600.0</v>
      </c>
      <c r="D1070" s="80"/>
      <c r="E1070" s="66" t="s">
        <v>28</v>
      </c>
      <c r="F1070" s="84" t="s">
        <v>626</v>
      </c>
      <c r="G1070" s="68">
        <v>20.0</v>
      </c>
      <c r="H1070" s="69">
        <f t="shared" si="82"/>
        <v>100100</v>
      </c>
      <c r="I1070" s="76" t="s">
        <v>37</v>
      </c>
      <c r="J1070" s="87" t="s">
        <v>849</v>
      </c>
      <c r="K1070" s="82" t="s">
        <v>755</v>
      </c>
      <c r="L1070" s="82">
        <v>81.0</v>
      </c>
      <c r="M1070" s="128">
        <v>45727.0</v>
      </c>
      <c r="N1070" s="72">
        <f t="shared" si="83"/>
        <v>70</v>
      </c>
      <c r="O1070" s="96"/>
      <c r="P1070" s="74"/>
      <c r="Q1070" s="74"/>
      <c r="R1070" s="74"/>
      <c r="S1070" s="74"/>
      <c r="T1070" s="74"/>
      <c r="U1070" s="74"/>
      <c r="V1070" s="74"/>
      <c r="W1070" s="74"/>
      <c r="X1070" s="74"/>
      <c r="Y1070" s="74"/>
      <c r="Z1070" s="74"/>
      <c r="AA1070" s="74"/>
      <c r="AB1070" s="74"/>
      <c r="AC1070" s="74"/>
      <c r="AD1070" s="74"/>
      <c r="AE1070" s="74"/>
      <c r="AF1070" s="74"/>
      <c r="AG1070" s="74"/>
    </row>
    <row r="1071" ht="22.5" customHeight="1">
      <c r="A1071" s="86">
        <v>45797.0</v>
      </c>
      <c r="B1071" s="63" t="s">
        <v>27</v>
      </c>
      <c r="C1071" s="80">
        <v>807240.0</v>
      </c>
      <c r="D1071" s="80"/>
      <c r="E1071" s="66" t="s">
        <v>28</v>
      </c>
      <c r="F1071" s="84" t="s">
        <v>626</v>
      </c>
      <c r="G1071" s="68">
        <v>20.0</v>
      </c>
      <c r="H1071" s="69">
        <f t="shared" si="82"/>
        <v>134540</v>
      </c>
      <c r="I1071" s="76" t="s">
        <v>37</v>
      </c>
      <c r="J1071" s="87" t="s">
        <v>849</v>
      </c>
      <c r="K1071" s="82" t="s">
        <v>850</v>
      </c>
      <c r="L1071" s="82">
        <v>82.0</v>
      </c>
      <c r="M1071" s="128">
        <v>45727.0</v>
      </c>
      <c r="N1071" s="72">
        <f t="shared" si="83"/>
        <v>70</v>
      </c>
      <c r="O1071" s="96"/>
      <c r="P1071" s="74"/>
      <c r="Q1071" s="74"/>
      <c r="R1071" s="74"/>
      <c r="S1071" s="74"/>
      <c r="T1071" s="74"/>
      <c r="U1071" s="74"/>
      <c r="V1071" s="74"/>
      <c r="W1071" s="74"/>
      <c r="X1071" s="74"/>
      <c r="Y1071" s="74"/>
      <c r="Z1071" s="74"/>
      <c r="AA1071" s="74"/>
      <c r="AB1071" s="74"/>
      <c r="AC1071" s="74"/>
      <c r="AD1071" s="74"/>
      <c r="AE1071" s="74"/>
      <c r="AF1071" s="74"/>
      <c r="AG1071" s="74"/>
    </row>
    <row r="1072" ht="22.5" customHeight="1">
      <c r="A1072" s="86">
        <v>45797.0</v>
      </c>
      <c r="B1072" s="63" t="s">
        <v>27</v>
      </c>
      <c r="C1072" s="80">
        <v>714000.0</v>
      </c>
      <c r="D1072" s="80"/>
      <c r="E1072" s="66" t="s">
        <v>28</v>
      </c>
      <c r="F1072" s="84" t="s">
        <v>626</v>
      </c>
      <c r="G1072" s="68">
        <v>20.0</v>
      </c>
      <c r="H1072" s="69">
        <f t="shared" si="82"/>
        <v>119000</v>
      </c>
      <c r="I1072" s="76" t="s">
        <v>37</v>
      </c>
      <c r="J1072" s="87" t="s">
        <v>849</v>
      </c>
      <c r="K1072" s="82" t="s">
        <v>851</v>
      </c>
      <c r="L1072" s="82">
        <v>83.0</v>
      </c>
      <c r="M1072" s="128">
        <v>45727.0</v>
      </c>
      <c r="N1072" s="72">
        <f t="shared" si="83"/>
        <v>70</v>
      </c>
      <c r="O1072" s="96"/>
      <c r="P1072" s="74"/>
      <c r="Q1072" s="74"/>
      <c r="R1072" s="74"/>
      <c r="S1072" s="74"/>
      <c r="T1072" s="74"/>
      <c r="U1072" s="74"/>
      <c r="V1072" s="74"/>
      <c r="W1072" s="74"/>
      <c r="X1072" s="74"/>
      <c r="Y1072" s="74"/>
      <c r="Z1072" s="74"/>
      <c r="AA1072" s="74"/>
      <c r="AB1072" s="74"/>
      <c r="AC1072" s="74"/>
      <c r="AD1072" s="74"/>
      <c r="AE1072" s="74"/>
      <c r="AF1072" s="74"/>
      <c r="AG1072" s="74"/>
    </row>
    <row r="1073" ht="22.5" customHeight="1">
      <c r="A1073" s="86">
        <v>45797.0</v>
      </c>
      <c r="B1073" s="63" t="s">
        <v>27</v>
      </c>
      <c r="C1073" s="80">
        <v>630000.0</v>
      </c>
      <c r="D1073" s="80"/>
      <c r="E1073" s="66" t="s">
        <v>28</v>
      </c>
      <c r="F1073" s="84" t="s">
        <v>626</v>
      </c>
      <c r="G1073" s="68">
        <v>20.0</v>
      </c>
      <c r="H1073" s="69">
        <f t="shared" si="82"/>
        <v>105000</v>
      </c>
      <c r="I1073" s="76" t="s">
        <v>37</v>
      </c>
      <c r="J1073" s="87" t="s">
        <v>849</v>
      </c>
      <c r="K1073" s="82" t="s">
        <v>852</v>
      </c>
      <c r="L1073" s="82">
        <v>84.0</v>
      </c>
      <c r="M1073" s="128">
        <v>45727.0</v>
      </c>
      <c r="N1073" s="72">
        <f t="shared" si="83"/>
        <v>70</v>
      </c>
      <c r="O1073" s="96"/>
      <c r="P1073" s="74"/>
      <c r="Q1073" s="74"/>
      <c r="R1073" s="74"/>
      <c r="S1073" s="74"/>
      <c r="T1073" s="74"/>
      <c r="U1073" s="74"/>
      <c r="V1073" s="74"/>
      <c r="W1073" s="74"/>
      <c r="X1073" s="74"/>
      <c r="Y1073" s="74"/>
      <c r="Z1073" s="74"/>
      <c r="AA1073" s="74"/>
      <c r="AB1073" s="74"/>
      <c r="AC1073" s="74"/>
      <c r="AD1073" s="74"/>
      <c r="AE1073" s="74"/>
      <c r="AF1073" s="74"/>
      <c r="AG1073" s="74"/>
    </row>
    <row r="1074" ht="22.5" customHeight="1">
      <c r="A1074" s="86">
        <v>45797.0</v>
      </c>
      <c r="B1074" s="63" t="s">
        <v>27</v>
      </c>
      <c r="C1074" s="80">
        <v>441000.0</v>
      </c>
      <c r="D1074" s="80"/>
      <c r="E1074" s="66" t="s">
        <v>28</v>
      </c>
      <c r="F1074" s="84" t="s">
        <v>626</v>
      </c>
      <c r="G1074" s="68">
        <v>20.0</v>
      </c>
      <c r="H1074" s="69">
        <f t="shared" si="82"/>
        <v>73500</v>
      </c>
      <c r="I1074" s="76" t="s">
        <v>37</v>
      </c>
      <c r="J1074" s="87" t="s">
        <v>849</v>
      </c>
      <c r="K1074" s="82" t="s">
        <v>756</v>
      </c>
      <c r="L1074" s="82">
        <v>85.0</v>
      </c>
      <c r="M1074" s="128">
        <v>45727.0</v>
      </c>
      <c r="N1074" s="72">
        <f t="shared" si="83"/>
        <v>70</v>
      </c>
      <c r="O1074" s="96"/>
      <c r="P1074" s="74"/>
      <c r="Q1074" s="74"/>
      <c r="R1074" s="74"/>
      <c r="S1074" s="74"/>
      <c r="T1074" s="74"/>
      <c r="U1074" s="74"/>
      <c r="V1074" s="74"/>
      <c r="W1074" s="74"/>
      <c r="X1074" s="74"/>
      <c r="Y1074" s="74"/>
      <c r="Z1074" s="74"/>
      <c r="AA1074" s="74"/>
      <c r="AB1074" s="74"/>
      <c r="AC1074" s="74"/>
      <c r="AD1074" s="74"/>
      <c r="AE1074" s="74"/>
      <c r="AF1074" s="74"/>
      <c r="AG1074" s="74"/>
    </row>
    <row r="1075" ht="22.5" customHeight="1">
      <c r="A1075" s="86">
        <v>45797.0</v>
      </c>
      <c r="B1075" s="63" t="s">
        <v>27</v>
      </c>
      <c r="C1075" s="80">
        <v>630000.0</v>
      </c>
      <c r="D1075" s="80"/>
      <c r="E1075" s="66" t="s">
        <v>28</v>
      </c>
      <c r="F1075" s="84" t="s">
        <v>626</v>
      </c>
      <c r="G1075" s="68">
        <v>20.0</v>
      </c>
      <c r="H1075" s="69">
        <f t="shared" si="82"/>
        <v>105000</v>
      </c>
      <c r="I1075" s="76" t="s">
        <v>37</v>
      </c>
      <c r="J1075" s="87" t="s">
        <v>849</v>
      </c>
      <c r="K1075" s="82" t="s">
        <v>853</v>
      </c>
      <c r="L1075" s="82">
        <v>86.0</v>
      </c>
      <c r="M1075" s="128">
        <v>45727.0</v>
      </c>
      <c r="N1075" s="72">
        <f t="shared" si="83"/>
        <v>70</v>
      </c>
      <c r="O1075" s="96"/>
      <c r="P1075" s="74"/>
      <c r="Q1075" s="74"/>
      <c r="R1075" s="74"/>
      <c r="S1075" s="74"/>
      <c r="T1075" s="74"/>
      <c r="U1075" s="74"/>
      <c r="V1075" s="74"/>
      <c r="W1075" s="74"/>
      <c r="X1075" s="74"/>
      <c r="Y1075" s="74"/>
      <c r="Z1075" s="74"/>
      <c r="AA1075" s="74"/>
      <c r="AB1075" s="74"/>
      <c r="AC1075" s="74"/>
      <c r="AD1075" s="74"/>
      <c r="AE1075" s="74"/>
      <c r="AF1075" s="74"/>
      <c r="AG1075" s="74"/>
    </row>
    <row r="1076" ht="22.5" customHeight="1">
      <c r="A1076" s="86">
        <v>45797.0</v>
      </c>
      <c r="B1076" s="63" t="s">
        <v>27</v>
      </c>
      <c r="C1076" s="80">
        <v>624180.0</v>
      </c>
      <c r="D1076" s="80"/>
      <c r="E1076" s="66" t="s">
        <v>28</v>
      </c>
      <c r="F1076" s="84" t="s">
        <v>626</v>
      </c>
      <c r="G1076" s="68">
        <v>20.0</v>
      </c>
      <c r="H1076" s="69">
        <f t="shared" si="82"/>
        <v>104030</v>
      </c>
      <c r="I1076" s="76" t="s">
        <v>37</v>
      </c>
      <c r="J1076" s="87" t="s">
        <v>849</v>
      </c>
      <c r="K1076" s="82" t="s">
        <v>854</v>
      </c>
      <c r="L1076" s="82">
        <v>96.0</v>
      </c>
      <c r="M1076" s="128">
        <v>45735.0</v>
      </c>
      <c r="N1076" s="72">
        <f t="shared" si="83"/>
        <v>62</v>
      </c>
      <c r="O1076" s="96"/>
      <c r="P1076" s="74"/>
      <c r="Q1076" s="74"/>
      <c r="R1076" s="74"/>
      <c r="S1076" s="74"/>
      <c r="T1076" s="74"/>
      <c r="U1076" s="74"/>
      <c r="V1076" s="74"/>
      <c r="W1076" s="74"/>
      <c r="X1076" s="74"/>
      <c r="Y1076" s="74"/>
      <c r="Z1076" s="74"/>
      <c r="AA1076" s="74"/>
      <c r="AB1076" s="74"/>
      <c r="AC1076" s="74"/>
      <c r="AD1076" s="74"/>
      <c r="AE1076" s="74"/>
      <c r="AF1076" s="74"/>
      <c r="AG1076" s="74"/>
    </row>
    <row r="1077" ht="22.5" customHeight="1">
      <c r="A1077" s="86">
        <v>45797.0</v>
      </c>
      <c r="B1077" s="63" t="s">
        <v>27</v>
      </c>
      <c r="C1077" s="80">
        <v>624180.0</v>
      </c>
      <c r="D1077" s="80"/>
      <c r="E1077" s="66" t="s">
        <v>28</v>
      </c>
      <c r="F1077" s="84" t="s">
        <v>626</v>
      </c>
      <c r="G1077" s="68">
        <v>20.0</v>
      </c>
      <c r="H1077" s="69">
        <f t="shared" si="82"/>
        <v>104030</v>
      </c>
      <c r="I1077" s="76" t="s">
        <v>37</v>
      </c>
      <c r="J1077" s="87" t="s">
        <v>849</v>
      </c>
      <c r="K1077" s="82" t="s">
        <v>855</v>
      </c>
      <c r="L1077" s="82">
        <v>97.0</v>
      </c>
      <c r="M1077" s="128">
        <v>45735.0</v>
      </c>
      <c r="N1077" s="72">
        <f t="shared" si="83"/>
        <v>62</v>
      </c>
      <c r="O1077" s="96"/>
      <c r="P1077" s="74"/>
      <c r="Q1077" s="74"/>
      <c r="R1077" s="74"/>
      <c r="S1077" s="74"/>
      <c r="T1077" s="74"/>
      <c r="U1077" s="74"/>
      <c r="V1077" s="74"/>
      <c r="W1077" s="74"/>
      <c r="X1077" s="74"/>
      <c r="Y1077" s="74"/>
      <c r="Z1077" s="74"/>
      <c r="AA1077" s="74"/>
      <c r="AB1077" s="74"/>
      <c r="AC1077" s="74"/>
      <c r="AD1077" s="74"/>
      <c r="AE1077" s="74"/>
      <c r="AF1077" s="74"/>
      <c r="AG1077" s="74"/>
    </row>
    <row r="1078" ht="22.5" customHeight="1">
      <c r="A1078" s="86">
        <v>45797.0</v>
      </c>
      <c r="B1078" s="63" t="s">
        <v>27</v>
      </c>
      <c r="C1078" s="80">
        <v>600600.0</v>
      </c>
      <c r="D1078" s="79"/>
      <c r="E1078" s="66" t="s">
        <v>28</v>
      </c>
      <c r="F1078" s="84" t="s">
        <v>674</v>
      </c>
      <c r="G1078" s="68">
        <v>20.0</v>
      </c>
      <c r="H1078" s="69">
        <f t="shared" si="82"/>
        <v>100100</v>
      </c>
      <c r="I1078" s="76" t="s">
        <v>37</v>
      </c>
      <c r="J1078" s="87" t="s">
        <v>849</v>
      </c>
      <c r="K1078" s="82" t="s">
        <v>803</v>
      </c>
      <c r="L1078" s="82">
        <v>127.0</v>
      </c>
      <c r="M1078" s="128">
        <v>45758.0</v>
      </c>
      <c r="N1078" s="72">
        <f t="shared" si="83"/>
        <v>39</v>
      </c>
      <c r="O1078" s="96"/>
      <c r="P1078" s="74"/>
      <c r="Q1078" s="74"/>
      <c r="R1078" s="74"/>
      <c r="S1078" s="74"/>
      <c r="T1078" s="74"/>
      <c r="U1078" s="74"/>
      <c r="V1078" s="74"/>
      <c r="W1078" s="74"/>
      <c r="X1078" s="74"/>
      <c r="Y1078" s="74"/>
      <c r="Z1078" s="74"/>
      <c r="AA1078" s="74"/>
      <c r="AB1078" s="74"/>
      <c r="AC1078" s="74"/>
      <c r="AD1078" s="74"/>
      <c r="AE1078" s="74"/>
      <c r="AF1078" s="74"/>
      <c r="AG1078" s="74"/>
    </row>
    <row r="1079" ht="22.5" customHeight="1">
      <c r="A1079" s="86">
        <v>45797.0</v>
      </c>
      <c r="B1079" s="63" t="s">
        <v>27</v>
      </c>
      <c r="C1079" s="80">
        <v>609000.0</v>
      </c>
      <c r="D1079" s="79"/>
      <c r="E1079" s="66" t="s">
        <v>28</v>
      </c>
      <c r="F1079" s="84" t="s">
        <v>674</v>
      </c>
      <c r="G1079" s="68">
        <v>20.0</v>
      </c>
      <c r="H1079" s="69">
        <f t="shared" si="82"/>
        <v>101500</v>
      </c>
      <c r="I1079" s="76" t="s">
        <v>37</v>
      </c>
      <c r="J1079" s="87" t="s">
        <v>849</v>
      </c>
      <c r="K1079" s="82" t="s">
        <v>802</v>
      </c>
      <c r="L1079" s="82">
        <v>128.0</v>
      </c>
      <c r="M1079" s="128">
        <v>45758.0</v>
      </c>
      <c r="N1079" s="72">
        <f t="shared" si="83"/>
        <v>39</v>
      </c>
      <c r="O1079" s="96"/>
      <c r="P1079" s="74"/>
      <c r="Q1079" s="74"/>
      <c r="R1079" s="74"/>
      <c r="S1079" s="74"/>
      <c r="T1079" s="74"/>
      <c r="U1079" s="74"/>
      <c r="V1079" s="74"/>
      <c r="W1079" s="74"/>
      <c r="X1079" s="74"/>
      <c r="Y1079" s="74"/>
      <c r="Z1079" s="74"/>
      <c r="AA1079" s="74"/>
      <c r="AB1079" s="74"/>
      <c r="AC1079" s="74"/>
      <c r="AD1079" s="74"/>
      <c r="AE1079" s="74"/>
      <c r="AF1079" s="74"/>
      <c r="AG1079" s="74"/>
    </row>
    <row r="1080" ht="22.5" customHeight="1">
      <c r="A1080" s="86">
        <v>45797.0</v>
      </c>
      <c r="B1080" s="63" t="s">
        <v>27</v>
      </c>
      <c r="C1080" s="80">
        <v>630000.0</v>
      </c>
      <c r="D1080" s="79"/>
      <c r="E1080" s="66" t="s">
        <v>28</v>
      </c>
      <c r="F1080" s="84" t="s">
        <v>674</v>
      </c>
      <c r="G1080" s="68">
        <v>20.0</v>
      </c>
      <c r="H1080" s="69">
        <f t="shared" si="82"/>
        <v>105000</v>
      </c>
      <c r="I1080" s="76" t="s">
        <v>37</v>
      </c>
      <c r="J1080" s="87" t="s">
        <v>849</v>
      </c>
      <c r="K1080" s="82" t="s">
        <v>856</v>
      </c>
      <c r="L1080" s="82">
        <v>129.0</v>
      </c>
      <c r="M1080" s="128">
        <v>45758.0</v>
      </c>
      <c r="N1080" s="72">
        <f t="shared" si="83"/>
        <v>39</v>
      </c>
      <c r="O1080" s="96"/>
      <c r="P1080" s="74"/>
      <c r="Q1080" s="74"/>
      <c r="R1080" s="74"/>
      <c r="S1080" s="74"/>
      <c r="T1080" s="74"/>
      <c r="U1080" s="74"/>
      <c r="V1080" s="74"/>
      <c r="W1080" s="74"/>
      <c r="X1080" s="74"/>
      <c r="Y1080" s="74"/>
      <c r="Z1080" s="74"/>
      <c r="AA1080" s="74"/>
      <c r="AB1080" s="74"/>
      <c r="AC1080" s="74"/>
      <c r="AD1080" s="74"/>
      <c r="AE1080" s="74"/>
      <c r="AF1080" s="74"/>
      <c r="AG1080" s="74"/>
    </row>
    <row r="1081" ht="22.5" customHeight="1">
      <c r="A1081" s="86">
        <v>45797.0</v>
      </c>
      <c r="B1081" s="63" t="s">
        <v>27</v>
      </c>
      <c r="C1081" s="80">
        <v>630000.0</v>
      </c>
      <c r="D1081" s="79"/>
      <c r="E1081" s="66" t="s">
        <v>28</v>
      </c>
      <c r="F1081" s="84" t="s">
        <v>674</v>
      </c>
      <c r="G1081" s="68">
        <v>20.0</v>
      </c>
      <c r="H1081" s="69">
        <f t="shared" si="82"/>
        <v>105000</v>
      </c>
      <c r="I1081" s="76" t="s">
        <v>37</v>
      </c>
      <c r="J1081" s="87" t="s">
        <v>849</v>
      </c>
      <c r="K1081" s="82" t="s">
        <v>857</v>
      </c>
      <c r="L1081" s="82">
        <v>130.0</v>
      </c>
      <c r="M1081" s="128">
        <v>45758.0</v>
      </c>
      <c r="N1081" s="72">
        <f t="shared" si="83"/>
        <v>39</v>
      </c>
      <c r="O1081" s="96"/>
      <c r="P1081" s="74"/>
      <c r="Q1081" s="74"/>
      <c r="R1081" s="74"/>
      <c r="S1081" s="74"/>
      <c r="T1081" s="74"/>
      <c r="U1081" s="74"/>
      <c r="V1081" s="74"/>
      <c r="W1081" s="74"/>
      <c r="X1081" s="74"/>
      <c r="Y1081" s="74"/>
      <c r="Z1081" s="74"/>
      <c r="AA1081" s="74"/>
      <c r="AB1081" s="74"/>
      <c r="AC1081" s="74"/>
      <c r="AD1081" s="74"/>
      <c r="AE1081" s="74"/>
      <c r="AF1081" s="74"/>
      <c r="AG1081" s="74"/>
    </row>
    <row r="1082" ht="22.5" customHeight="1">
      <c r="A1082" s="86">
        <v>45797.0</v>
      </c>
      <c r="B1082" s="63" t="s">
        <v>27</v>
      </c>
      <c r="C1082" s="80">
        <v>886200.0</v>
      </c>
      <c r="D1082" s="79"/>
      <c r="E1082" s="66" t="s">
        <v>28</v>
      </c>
      <c r="F1082" s="84" t="s">
        <v>674</v>
      </c>
      <c r="G1082" s="68">
        <v>20.0</v>
      </c>
      <c r="H1082" s="69">
        <f t="shared" si="82"/>
        <v>147700</v>
      </c>
      <c r="I1082" s="76" t="s">
        <v>37</v>
      </c>
      <c r="J1082" s="87" t="s">
        <v>849</v>
      </c>
      <c r="K1082" s="82" t="s">
        <v>758</v>
      </c>
      <c r="L1082" s="82">
        <v>131.0</v>
      </c>
      <c r="M1082" s="128">
        <v>45758.0</v>
      </c>
      <c r="N1082" s="72">
        <f t="shared" si="83"/>
        <v>39</v>
      </c>
      <c r="O1082" s="96"/>
      <c r="P1082" s="74"/>
      <c r="Q1082" s="74"/>
      <c r="R1082" s="74"/>
      <c r="S1082" s="74"/>
      <c r="T1082" s="74"/>
      <c r="U1082" s="74"/>
      <c r="V1082" s="74"/>
      <c r="W1082" s="74"/>
      <c r="X1082" s="74"/>
      <c r="Y1082" s="74"/>
      <c r="Z1082" s="74"/>
      <c r="AA1082" s="74"/>
      <c r="AB1082" s="74"/>
      <c r="AC1082" s="74"/>
      <c r="AD1082" s="74"/>
      <c r="AE1082" s="74"/>
      <c r="AF1082" s="74"/>
      <c r="AG1082" s="74"/>
    </row>
    <row r="1083" ht="22.5" customHeight="1">
      <c r="A1083" s="86">
        <v>45797.0</v>
      </c>
      <c r="B1083" s="63" t="s">
        <v>27</v>
      </c>
      <c r="C1083" s="80">
        <v>600600.0</v>
      </c>
      <c r="D1083" s="79"/>
      <c r="E1083" s="66" t="s">
        <v>28</v>
      </c>
      <c r="F1083" s="84" t="s">
        <v>674</v>
      </c>
      <c r="G1083" s="68">
        <v>20.0</v>
      </c>
      <c r="H1083" s="69">
        <f t="shared" si="82"/>
        <v>100100</v>
      </c>
      <c r="I1083" s="76" t="s">
        <v>37</v>
      </c>
      <c r="J1083" s="87" t="s">
        <v>849</v>
      </c>
      <c r="K1083" s="82" t="s">
        <v>804</v>
      </c>
      <c r="L1083" s="82">
        <v>132.0</v>
      </c>
      <c r="M1083" s="128">
        <v>45758.0</v>
      </c>
      <c r="N1083" s="72">
        <f t="shared" si="83"/>
        <v>39</v>
      </c>
      <c r="O1083" s="96"/>
      <c r="P1083" s="74"/>
      <c r="Q1083" s="74"/>
      <c r="R1083" s="74"/>
      <c r="S1083" s="74"/>
      <c r="T1083" s="74"/>
      <c r="U1083" s="74"/>
      <c r="V1083" s="74"/>
      <c r="W1083" s="74"/>
      <c r="X1083" s="74"/>
      <c r="Y1083" s="74"/>
      <c r="Z1083" s="74"/>
      <c r="AA1083" s="74"/>
      <c r="AB1083" s="74"/>
      <c r="AC1083" s="74"/>
      <c r="AD1083" s="74"/>
      <c r="AE1083" s="74"/>
      <c r="AF1083" s="74"/>
      <c r="AG1083" s="74"/>
    </row>
    <row r="1084" ht="22.5" customHeight="1">
      <c r="A1084" s="86">
        <v>45797.0</v>
      </c>
      <c r="B1084" s="63" t="s">
        <v>27</v>
      </c>
      <c r="C1084" s="80">
        <v>840000.0</v>
      </c>
      <c r="D1084" s="79"/>
      <c r="E1084" s="66" t="s">
        <v>28</v>
      </c>
      <c r="F1084" s="84" t="s">
        <v>674</v>
      </c>
      <c r="G1084" s="68">
        <v>20.0</v>
      </c>
      <c r="H1084" s="69">
        <f t="shared" si="82"/>
        <v>140000</v>
      </c>
      <c r="I1084" s="76" t="s">
        <v>37</v>
      </c>
      <c r="J1084" s="87" t="s">
        <v>849</v>
      </c>
      <c r="K1084" s="82" t="s">
        <v>801</v>
      </c>
      <c r="L1084" s="82">
        <v>133.0</v>
      </c>
      <c r="M1084" s="128">
        <v>45758.0</v>
      </c>
      <c r="N1084" s="72">
        <f t="shared" si="83"/>
        <v>39</v>
      </c>
      <c r="O1084" s="96"/>
      <c r="P1084" s="74"/>
      <c r="Q1084" s="74"/>
      <c r="R1084" s="74"/>
      <c r="S1084" s="74"/>
      <c r="T1084" s="74"/>
      <c r="U1084" s="74"/>
      <c r="V1084" s="74"/>
      <c r="W1084" s="74"/>
      <c r="X1084" s="74"/>
      <c r="Y1084" s="74"/>
      <c r="Z1084" s="74"/>
      <c r="AA1084" s="74"/>
      <c r="AB1084" s="74"/>
      <c r="AC1084" s="74"/>
      <c r="AD1084" s="74"/>
      <c r="AE1084" s="74"/>
      <c r="AF1084" s="74"/>
      <c r="AG1084" s="74"/>
    </row>
    <row r="1085" ht="22.5" customHeight="1">
      <c r="A1085" s="86">
        <v>45797.0</v>
      </c>
      <c r="B1085" s="63" t="s">
        <v>27</v>
      </c>
      <c r="C1085" s="80">
        <v>600600.0</v>
      </c>
      <c r="D1085" s="79"/>
      <c r="E1085" s="66" t="s">
        <v>28</v>
      </c>
      <c r="F1085" s="84" t="s">
        <v>674</v>
      </c>
      <c r="G1085" s="68">
        <v>20.0</v>
      </c>
      <c r="H1085" s="69">
        <f t="shared" si="82"/>
        <v>100100</v>
      </c>
      <c r="I1085" s="76" t="s">
        <v>37</v>
      </c>
      <c r="J1085" s="87" t="s">
        <v>849</v>
      </c>
      <c r="K1085" s="82" t="s">
        <v>858</v>
      </c>
      <c r="L1085" s="82">
        <v>134.0</v>
      </c>
      <c r="M1085" s="128">
        <v>45758.0</v>
      </c>
      <c r="N1085" s="72">
        <f t="shared" si="83"/>
        <v>39</v>
      </c>
      <c r="O1085" s="96"/>
      <c r="P1085" s="74"/>
      <c r="Q1085" s="74"/>
      <c r="R1085" s="74"/>
      <c r="S1085" s="74"/>
      <c r="T1085" s="74"/>
      <c r="U1085" s="74"/>
      <c r="V1085" s="74"/>
      <c r="W1085" s="74"/>
      <c r="X1085" s="74"/>
      <c r="Y1085" s="74"/>
      <c r="Z1085" s="74"/>
      <c r="AA1085" s="74"/>
      <c r="AB1085" s="74"/>
      <c r="AC1085" s="74"/>
      <c r="AD1085" s="74"/>
      <c r="AE1085" s="74"/>
      <c r="AF1085" s="74"/>
      <c r="AG1085" s="74"/>
    </row>
    <row r="1086" ht="22.5" customHeight="1">
      <c r="A1086" s="86">
        <v>45797.0</v>
      </c>
      <c r="B1086" s="63" t="s">
        <v>27</v>
      </c>
      <c r="C1086" s="80">
        <v>588000.0</v>
      </c>
      <c r="D1086" s="79"/>
      <c r="E1086" s="66" t="s">
        <v>28</v>
      </c>
      <c r="F1086" s="84" t="s">
        <v>674</v>
      </c>
      <c r="G1086" s="68">
        <v>20.0</v>
      </c>
      <c r="H1086" s="69">
        <f t="shared" si="82"/>
        <v>98000</v>
      </c>
      <c r="I1086" s="76" t="s">
        <v>37</v>
      </c>
      <c r="J1086" s="87" t="s">
        <v>849</v>
      </c>
      <c r="K1086" s="82" t="s">
        <v>757</v>
      </c>
      <c r="L1086" s="82">
        <v>135.0</v>
      </c>
      <c r="M1086" s="128">
        <v>45758.0</v>
      </c>
      <c r="N1086" s="72">
        <f t="shared" si="83"/>
        <v>39</v>
      </c>
      <c r="O1086" s="96"/>
      <c r="P1086" s="74"/>
      <c r="Q1086" s="74"/>
      <c r="R1086" s="74"/>
      <c r="S1086" s="74"/>
      <c r="T1086" s="74"/>
      <c r="U1086" s="74"/>
      <c r="V1086" s="74"/>
      <c r="W1086" s="74"/>
      <c r="X1086" s="74"/>
      <c r="Y1086" s="74"/>
      <c r="Z1086" s="74"/>
      <c r="AA1086" s="74"/>
      <c r="AB1086" s="74"/>
      <c r="AC1086" s="74"/>
      <c r="AD1086" s="74"/>
      <c r="AE1086" s="74"/>
      <c r="AF1086" s="74"/>
      <c r="AG1086" s="74"/>
    </row>
    <row r="1087" ht="22.5" customHeight="1">
      <c r="A1087" s="86">
        <v>45798.0</v>
      </c>
      <c r="B1087" s="63" t="s">
        <v>27</v>
      </c>
      <c r="C1087" s="79"/>
      <c r="D1087" s="80">
        <v>1296000.0</v>
      </c>
      <c r="E1087" s="66" t="s">
        <v>28</v>
      </c>
      <c r="F1087" s="84" t="s">
        <v>664</v>
      </c>
      <c r="G1087" s="68">
        <v>20.0</v>
      </c>
      <c r="H1087" s="69">
        <f t="shared" si="82"/>
        <v>216000</v>
      </c>
      <c r="I1087" s="76" t="s">
        <v>322</v>
      </c>
      <c r="J1087" s="87" t="s">
        <v>578</v>
      </c>
      <c r="K1087" s="95"/>
      <c r="L1087" s="95"/>
      <c r="M1087" s="95"/>
      <c r="N1087" s="72">
        <f t="shared" si="83"/>
        <v>0</v>
      </c>
      <c r="O1087" s="140" t="s">
        <v>859</v>
      </c>
      <c r="P1087" s="74"/>
      <c r="Q1087" s="74"/>
      <c r="R1087" s="74"/>
      <c r="S1087" s="74"/>
      <c r="T1087" s="74"/>
      <c r="U1087" s="74"/>
      <c r="V1087" s="74"/>
      <c r="W1087" s="74"/>
      <c r="X1087" s="74"/>
      <c r="Y1087" s="74"/>
      <c r="Z1087" s="74"/>
      <c r="AA1087" s="74"/>
      <c r="AB1087" s="74"/>
      <c r="AC1087" s="74"/>
      <c r="AD1087" s="74"/>
      <c r="AE1087" s="74"/>
      <c r="AF1087" s="74"/>
      <c r="AG1087" s="74"/>
    </row>
    <row r="1088" ht="22.5" customHeight="1">
      <c r="A1088" s="86">
        <v>45798.0</v>
      </c>
      <c r="B1088" s="63" t="s">
        <v>27</v>
      </c>
      <c r="C1088" s="79"/>
      <c r="D1088" s="80">
        <v>1998000.0</v>
      </c>
      <c r="E1088" s="66" t="s">
        <v>28</v>
      </c>
      <c r="F1088" s="84" t="s">
        <v>664</v>
      </c>
      <c r="G1088" s="68">
        <v>20.0</v>
      </c>
      <c r="H1088" s="69">
        <f t="shared" si="82"/>
        <v>333000</v>
      </c>
      <c r="I1088" s="76" t="s">
        <v>322</v>
      </c>
      <c r="J1088" s="87" t="s">
        <v>578</v>
      </c>
      <c r="K1088" s="95"/>
      <c r="L1088" s="95"/>
      <c r="M1088" s="95"/>
      <c r="N1088" s="72">
        <f t="shared" si="83"/>
        <v>0</v>
      </c>
      <c r="O1088" s="140" t="s">
        <v>860</v>
      </c>
      <c r="P1088" s="74"/>
      <c r="Q1088" s="74"/>
      <c r="R1088" s="74"/>
      <c r="S1088" s="74"/>
      <c r="T1088" s="74"/>
      <c r="U1088" s="74"/>
      <c r="V1088" s="74"/>
      <c r="W1088" s="74"/>
      <c r="X1088" s="74"/>
      <c r="Y1088" s="74"/>
      <c r="Z1088" s="74"/>
      <c r="AA1088" s="74"/>
      <c r="AB1088" s="74"/>
      <c r="AC1088" s="74"/>
      <c r="AD1088" s="74"/>
      <c r="AE1088" s="74"/>
      <c r="AF1088" s="74"/>
      <c r="AG1088" s="74"/>
    </row>
    <row r="1089" ht="22.5" customHeight="1">
      <c r="A1089" s="86">
        <v>45798.0</v>
      </c>
      <c r="B1089" s="63" t="s">
        <v>27</v>
      </c>
      <c r="C1089" s="79"/>
      <c r="D1089" s="80">
        <v>4200000.0</v>
      </c>
      <c r="E1089" s="66" t="s">
        <v>376</v>
      </c>
      <c r="F1089" s="84" t="s">
        <v>664</v>
      </c>
      <c r="G1089" s="68">
        <v>20.0</v>
      </c>
      <c r="H1089" s="69">
        <f t="shared" si="82"/>
        <v>700000</v>
      </c>
      <c r="I1089" s="76" t="s">
        <v>322</v>
      </c>
      <c r="J1089" s="87" t="s">
        <v>110</v>
      </c>
      <c r="K1089" s="95"/>
      <c r="L1089" s="95"/>
      <c r="M1089" s="95"/>
      <c r="N1089" s="72">
        <f t="shared" si="83"/>
        <v>0</v>
      </c>
      <c r="O1089" s="140" t="s">
        <v>861</v>
      </c>
      <c r="P1089" s="74"/>
      <c r="Q1089" s="74"/>
      <c r="R1089" s="74"/>
      <c r="S1089" s="74"/>
      <c r="T1089" s="74"/>
      <c r="U1089" s="74"/>
      <c r="V1089" s="74"/>
      <c r="W1089" s="74"/>
      <c r="X1089" s="74"/>
      <c r="Y1089" s="74"/>
      <c r="Z1089" s="74"/>
      <c r="AA1089" s="74"/>
      <c r="AB1089" s="74"/>
      <c r="AC1089" s="74"/>
      <c r="AD1089" s="74"/>
      <c r="AE1089" s="74"/>
      <c r="AF1089" s="74"/>
      <c r="AG1089" s="74"/>
    </row>
    <row r="1090" ht="22.5" customHeight="1">
      <c r="A1090" s="86">
        <v>45798.0</v>
      </c>
      <c r="B1090" s="63" t="s">
        <v>27</v>
      </c>
      <c r="C1090" s="79"/>
      <c r="D1090" s="80">
        <v>451105.0</v>
      </c>
      <c r="E1090" s="66" t="s">
        <v>28</v>
      </c>
      <c r="F1090" s="84" t="s">
        <v>626</v>
      </c>
      <c r="G1090" s="68">
        <v>0.0</v>
      </c>
      <c r="H1090" s="69">
        <f t="shared" si="82"/>
        <v>0</v>
      </c>
      <c r="I1090" s="76" t="s">
        <v>93</v>
      </c>
      <c r="J1090" s="133" t="s">
        <v>516</v>
      </c>
      <c r="K1090" s="95"/>
      <c r="L1090" s="95"/>
      <c r="M1090" s="95"/>
      <c r="N1090" s="72">
        <f t="shared" si="83"/>
        <v>0</v>
      </c>
      <c r="O1090" s="140" t="s">
        <v>862</v>
      </c>
      <c r="P1090" s="74"/>
      <c r="Q1090" s="74"/>
      <c r="R1090" s="74"/>
      <c r="S1090" s="74"/>
      <c r="T1090" s="74"/>
      <c r="U1090" s="74"/>
      <c r="V1090" s="74"/>
      <c r="W1090" s="74"/>
      <c r="X1090" s="74"/>
      <c r="Y1090" s="74"/>
      <c r="Z1090" s="74"/>
      <c r="AA1090" s="74"/>
      <c r="AB1090" s="74"/>
      <c r="AC1090" s="74"/>
      <c r="AD1090" s="74"/>
      <c r="AE1090" s="74"/>
      <c r="AF1090" s="74"/>
      <c r="AG1090" s="74"/>
    </row>
    <row r="1091" ht="22.5" customHeight="1">
      <c r="A1091" s="86">
        <v>45798.0</v>
      </c>
      <c r="B1091" s="63" t="s">
        <v>27</v>
      </c>
      <c r="C1091" s="79"/>
      <c r="D1091" s="80">
        <v>6109884.64</v>
      </c>
      <c r="E1091" s="66" t="s">
        <v>28</v>
      </c>
      <c r="F1091" s="84" t="s">
        <v>626</v>
      </c>
      <c r="G1091" s="68">
        <v>20.0</v>
      </c>
      <c r="H1091" s="69">
        <f t="shared" si="82"/>
        <v>1018314.107</v>
      </c>
      <c r="I1091" s="76" t="s">
        <v>101</v>
      </c>
      <c r="J1091" s="100" t="s">
        <v>102</v>
      </c>
      <c r="K1091" s="95"/>
      <c r="L1091" s="95"/>
      <c r="M1091" s="95"/>
      <c r="N1091" s="72">
        <f t="shared" si="83"/>
        <v>0</v>
      </c>
      <c r="O1091" s="140" t="s">
        <v>863</v>
      </c>
      <c r="P1091" s="74"/>
      <c r="Q1091" s="74"/>
      <c r="R1091" s="74"/>
      <c r="S1091" s="74"/>
      <c r="T1091" s="74"/>
      <c r="U1091" s="74"/>
      <c r="V1091" s="74"/>
      <c r="W1091" s="74"/>
      <c r="X1091" s="74"/>
      <c r="Y1091" s="74"/>
      <c r="Z1091" s="74"/>
      <c r="AA1091" s="74"/>
      <c r="AB1091" s="74"/>
      <c r="AC1091" s="74"/>
      <c r="AD1091" s="74"/>
      <c r="AE1091" s="74"/>
      <c r="AF1091" s="74"/>
      <c r="AG1091" s="74"/>
    </row>
    <row r="1092" ht="22.5" customHeight="1">
      <c r="A1092" s="86">
        <v>45798.0</v>
      </c>
      <c r="B1092" s="63" t="s">
        <v>27</v>
      </c>
      <c r="C1092" s="79"/>
      <c r="D1092" s="80">
        <f>2615282.76-600000</f>
        <v>2015282.76</v>
      </c>
      <c r="E1092" s="66" t="s">
        <v>28</v>
      </c>
      <c r="F1092" s="84" t="s">
        <v>674</v>
      </c>
      <c r="G1092" s="68">
        <v>20.0</v>
      </c>
      <c r="H1092" s="69">
        <f t="shared" si="82"/>
        <v>335880.46</v>
      </c>
      <c r="I1092" s="76" t="s">
        <v>61</v>
      </c>
      <c r="J1092" s="103" t="s">
        <v>228</v>
      </c>
      <c r="K1092" s="95"/>
      <c r="L1092" s="95"/>
      <c r="M1092" s="95"/>
      <c r="N1092" s="72">
        <f t="shared" si="83"/>
        <v>0</v>
      </c>
      <c r="O1092" s="140" t="s">
        <v>864</v>
      </c>
      <c r="P1092" s="74"/>
      <c r="Q1092" s="74"/>
      <c r="R1092" s="74"/>
      <c r="S1092" s="74"/>
      <c r="T1092" s="74"/>
      <c r="U1092" s="74"/>
      <c r="V1092" s="74"/>
      <c r="W1092" s="74"/>
      <c r="X1092" s="74"/>
      <c r="Y1092" s="74"/>
      <c r="Z1092" s="74"/>
      <c r="AA1092" s="74"/>
      <c r="AB1092" s="74"/>
      <c r="AC1092" s="74"/>
      <c r="AD1092" s="74"/>
      <c r="AE1092" s="74"/>
      <c r="AF1092" s="74"/>
      <c r="AG1092" s="74"/>
    </row>
    <row r="1093" ht="22.5" customHeight="1">
      <c r="A1093" s="86">
        <v>45798.0</v>
      </c>
      <c r="B1093" s="63" t="s">
        <v>27</v>
      </c>
      <c r="C1093" s="79"/>
      <c r="D1093" s="80">
        <v>185400.0</v>
      </c>
      <c r="E1093" s="66" t="s">
        <v>28</v>
      </c>
      <c r="F1093" s="84" t="s">
        <v>674</v>
      </c>
      <c r="G1093" s="68">
        <v>0.0</v>
      </c>
      <c r="H1093" s="69">
        <f t="shared" si="82"/>
        <v>0</v>
      </c>
      <c r="I1093" s="76" t="s">
        <v>286</v>
      </c>
      <c r="J1093" s="87" t="s">
        <v>454</v>
      </c>
      <c r="K1093" s="95"/>
      <c r="L1093" s="95"/>
      <c r="M1093" s="95"/>
      <c r="N1093" s="72">
        <f t="shared" si="83"/>
        <v>0</v>
      </c>
      <c r="O1093" s="140" t="s">
        <v>865</v>
      </c>
      <c r="P1093" s="74"/>
      <c r="Q1093" s="74"/>
      <c r="R1093" s="74"/>
      <c r="S1093" s="74"/>
      <c r="T1093" s="74"/>
      <c r="U1093" s="74"/>
      <c r="V1093" s="74"/>
      <c r="W1093" s="74"/>
      <c r="X1093" s="74"/>
      <c r="Y1093" s="74"/>
      <c r="Z1093" s="74"/>
      <c r="AA1093" s="74"/>
      <c r="AB1093" s="74"/>
      <c r="AC1093" s="74"/>
      <c r="AD1093" s="74"/>
      <c r="AE1093" s="74"/>
      <c r="AF1093" s="74"/>
      <c r="AG1093" s="74"/>
    </row>
    <row r="1094" ht="22.5" customHeight="1">
      <c r="A1094" s="86">
        <v>45798.0</v>
      </c>
      <c r="B1094" s="63" t="s">
        <v>27</v>
      </c>
      <c r="C1094" s="80">
        <v>210000.0</v>
      </c>
      <c r="D1094" s="79"/>
      <c r="E1094" s="66" t="s">
        <v>28</v>
      </c>
      <c r="F1094" s="84" t="s">
        <v>626</v>
      </c>
      <c r="G1094" s="68">
        <v>20.0</v>
      </c>
      <c r="H1094" s="69">
        <f t="shared" si="82"/>
        <v>35000</v>
      </c>
      <c r="I1094" s="76" t="s">
        <v>37</v>
      </c>
      <c r="J1094" s="87" t="s">
        <v>654</v>
      </c>
      <c r="K1094" s="95"/>
      <c r="L1094" s="82">
        <v>102.0</v>
      </c>
      <c r="M1094" s="95"/>
      <c r="N1094" s="72">
        <f t="shared" si="83"/>
        <v>0</v>
      </c>
      <c r="O1094" s="96"/>
      <c r="P1094" s="74"/>
      <c r="Q1094" s="74"/>
      <c r="R1094" s="74"/>
      <c r="S1094" s="74"/>
      <c r="T1094" s="74"/>
      <c r="U1094" s="74"/>
      <c r="V1094" s="74"/>
      <c r="W1094" s="74"/>
      <c r="X1094" s="74"/>
      <c r="Y1094" s="74"/>
      <c r="Z1094" s="74"/>
      <c r="AA1094" s="74"/>
      <c r="AB1094" s="74"/>
      <c r="AC1094" s="74"/>
      <c r="AD1094" s="74"/>
      <c r="AE1094" s="74"/>
      <c r="AF1094" s="74"/>
      <c r="AG1094" s="74"/>
    </row>
    <row r="1095" ht="22.5" customHeight="1">
      <c r="A1095" s="86">
        <v>45798.0</v>
      </c>
      <c r="B1095" s="63" t="s">
        <v>27</v>
      </c>
      <c r="C1095" s="79"/>
      <c r="D1095" s="80">
        <v>10000.0</v>
      </c>
      <c r="E1095" s="66" t="s">
        <v>33</v>
      </c>
      <c r="F1095" s="84" t="s">
        <v>800</v>
      </c>
      <c r="G1095" s="68">
        <v>0.0</v>
      </c>
      <c r="H1095" s="69">
        <f t="shared" si="82"/>
        <v>0</v>
      </c>
      <c r="I1095" s="76" t="s">
        <v>490</v>
      </c>
      <c r="J1095" s="87" t="s">
        <v>866</v>
      </c>
      <c r="K1095" s="95"/>
      <c r="L1095" s="95"/>
      <c r="M1095" s="95"/>
      <c r="N1095" s="72">
        <f t="shared" si="83"/>
        <v>0</v>
      </c>
      <c r="O1095" s="96"/>
      <c r="P1095" s="74"/>
      <c r="Q1095" s="74"/>
      <c r="R1095" s="74"/>
      <c r="S1095" s="74"/>
      <c r="T1095" s="74"/>
      <c r="U1095" s="74"/>
      <c r="V1095" s="74"/>
      <c r="W1095" s="74"/>
      <c r="X1095" s="74"/>
      <c r="Y1095" s="74"/>
      <c r="Z1095" s="74"/>
      <c r="AA1095" s="74"/>
      <c r="AB1095" s="74"/>
      <c r="AC1095" s="74"/>
      <c r="AD1095" s="74"/>
      <c r="AE1095" s="74"/>
      <c r="AF1095" s="74"/>
      <c r="AG1095" s="74"/>
    </row>
    <row r="1096" ht="22.5" customHeight="1">
      <c r="A1096" s="86">
        <v>45798.0</v>
      </c>
      <c r="B1096" s="63" t="s">
        <v>27</v>
      </c>
      <c r="C1096" s="79"/>
      <c r="D1096" s="80">
        <v>7000.0</v>
      </c>
      <c r="E1096" s="66" t="s">
        <v>33</v>
      </c>
      <c r="F1096" s="84" t="s">
        <v>800</v>
      </c>
      <c r="G1096" s="68">
        <v>0.0</v>
      </c>
      <c r="H1096" s="69">
        <f t="shared" si="82"/>
        <v>0</v>
      </c>
      <c r="I1096" s="76" t="s">
        <v>495</v>
      </c>
      <c r="J1096" s="87" t="s">
        <v>867</v>
      </c>
      <c r="K1096" s="95"/>
      <c r="L1096" s="95"/>
      <c r="M1096" s="95"/>
      <c r="N1096" s="72">
        <f t="shared" si="83"/>
        <v>0</v>
      </c>
      <c r="O1096" s="96"/>
      <c r="P1096" s="74"/>
      <c r="Q1096" s="74"/>
      <c r="R1096" s="74"/>
      <c r="S1096" s="74"/>
      <c r="T1096" s="74"/>
      <c r="U1096" s="74"/>
      <c r="V1096" s="74"/>
      <c r="W1096" s="74"/>
      <c r="X1096" s="74"/>
      <c r="Y1096" s="74"/>
      <c r="Z1096" s="74"/>
      <c r="AA1096" s="74"/>
      <c r="AB1096" s="74"/>
      <c r="AC1096" s="74"/>
      <c r="AD1096" s="74"/>
      <c r="AE1096" s="74"/>
      <c r="AF1096" s="74"/>
      <c r="AG1096" s="74"/>
    </row>
    <row r="1097" ht="22.5" customHeight="1">
      <c r="A1097" s="86">
        <v>45798.0</v>
      </c>
      <c r="B1097" s="63" t="s">
        <v>27</v>
      </c>
      <c r="C1097" s="79"/>
      <c r="D1097" s="80">
        <v>50000.0</v>
      </c>
      <c r="E1097" s="66" t="s">
        <v>33</v>
      </c>
      <c r="F1097" s="84" t="s">
        <v>800</v>
      </c>
      <c r="G1097" s="68">
        <v>0.0</v>
      </c>
      <c r="H1097" s="69">
        <f t="shared" si="82"/>
        <v>0</v>
      </c>
      <c r="I1097" s="76" t="s">
        <v>53</v>
      </c>
      <c r="J1097" s="87" t="s">
        <v>868</v>
      </c>
      <c r="K1097" s="95"/>
      <c r="L1097" s="95"/>
      <c r="M1097" s="95"/>
      <c r="N1097" s="72">
        <f t="shared" si="83"/>
        <v>0</v>
      </c>
      <c r="O1097" s="96"/>
      <c r="P1097" s="74"/>
      <c r="Q1097" s="74"/>
      <c r="R1097" s="74"/>
      <c r="S1097" s="74"/>
      <c r="T1097" s="74"/>
      <c r="U1097" s="74"/>
      <c r="V1097" s="74"/>
      <c r="W1097" s="74"/>
      <c r="X1097" s="74"/>
      <c r="Y1097" s="74"/>
      <c r="Z1097" s="74"/>
      <c r="AA1097" s="74"/>
      <c r="AB1097" s="74"/>
      <c r="AC1097" s="74"/>
      <c r="AD1097" s="74"/>
      <c r="AE1097" s="74"/>
      <c r="AF1097" s="74"/>
      <c r="AG1097" s="74"/>
    </row>
    <row r="1098" ht="22.5" customHeight="1">
      <c r="A1098" s="86">
        <v>45798.0</v>
      </c>
      <c r="B1098" s="63" t="s">
        <v>27</v>
      </c>
      <c r="C1098" s="79"/>
      <c r="D1098" s="80">
        <v>50000.0</v>
      </c>
      <c r="E1098" s="66" t="s">
        <v>33</v>
      </c>
      <c r="F1098" s="84" t="s">
        <v>800</v>
      </c>
      <c r="G1098" s="68">
        <v>0.0</v>
      </c>
      <c r="H1098" s="69">
        <f t="shared" si="82"/>
        <v>0</v>
      </c>
      <c r="I1098" s="76" t="s">
        <v>53</v>
      </c>
      <c r="J1098" s="87" t="s">
        <v>869</v>
      </c>
      <c r="K1098" s="95"/>
      <c r="L1098" s="95"/>
      <c r="M1098" s="95"/>
      <c r="N1098" s="72">
        <f t="shared" si="83"/>
        <v>0</v>
      </c>
      <c r="O1098" s="96"/>
      <c r="P1098" s="74"/>
      <c r="Q1098" s="74"/>
      <c r="R1098" s="74"/>
      <c r="S1098" s="74"/>
      <c r="T1098" s="74"/>
      <c r="U1098" s="74"/>
      <c r="V1098" s="74"/>
      <c r="W1098" s="74"/>
      <c r="X1098" s="74"/>
      <c r="Y1098" s="74"/>
      <c r="Z1098" s="74"/>
      <c r="AA1098" s="74"/>
      <c r="AB1098" s="74"/>
      <c r="AC1098" s="74"/>
      <c r="AD1098" s="74"/>
      <c r="AE1098" s="74"/>
      <c r="AF1098" s="74"/>
      <c r="AG1098" s="74"/>
    </row>
    <row r="1099" ht="22.5" customHeight="1">
      <c r="A1099" s="86">
        <v>45798.0</v>
      </c>
      <c r="B1099" s="63" t="s">
        <v>27</v>
      </c>
      <c r="C1099" s="79"/>
      <c r="D1099" s="80">
        <v>406500.0</v>
      </c>
      <c r="E1099" s="66" t="s">
        <v>33</v>
      </c>
      <c r="F1099" s="84" t="s">
        <v>674</v>
      </c>
      <c r="G1099" s="68">
        <v>0.0</v>
      </c>
      <c r="H1099" s="69">
        <f t="shared" si="82"/>
        <v>0</v>
      </c>
      <c r="I1099" s="76" t="s">
        <v>93</v>
      </c>
      <c r="J1099" s="87" t="s">
        <v>870</v>
      </c>
      <c r="K1099" s="95"/>
      <c r="L1099" s="95"/>
      <c r="M1099" s="95"/>
      <c r="N1099" s="72">
        <f t="shared" si="83"/>
        <v>0</v>
      </c>
      <c r="O1099" s="96"/>
      <c r="P1099" s="74"/>
      <c r="Q1099" s="74"/>
      <c r="R1099" s="74"/>
      <c r="S1099" s="74"/>
      <c r="T1099" s="74"/>
      <c r="U1099" s="74"/>
      <c r="V1099" s="74"/>
      <c r="W1099" s="74"/>
      <c r="X1099" s="74"/>
      <c r="Y1099" s="74"/>
      <c r="Z1099" s="74"/>
      <c r="AA1099" s="74"/>
      <c r="AB1099" s="74"/>
      <c r="AC1099" s="74"/>
      <c r="AD1099" s="74"/>
      <c r="AE1099" s="74"/>
      <c r="AF1099" s="74"/>
      <c r="AG1099" s="74"/>
    </row>
    <row r="1100" ht="22.5" customHeight="1">
      <c r="A1100" s="86">
        <v>45798.0</v>
      </c>
      <c r="B1100" s="63" t="s">
        <v>27</v>
      </c>
      <c r="C1100" s="79"/>
      <c r="D1100" s="80">
        <v>1700000.0</v>
      </c>
      <c r="E1100" s="66" t="s">
        <v>28</v>
      </c>
      <c r="F1100" s="84" t="s">
        <v>800</v>
      </c>
      <c r="G1100" s="68">
        <v>20.0</v>
      </c>
      <c r="H1100" s="69">
        <f t="shared" si="82"/>
        <v>283333.3333</v>
      </c>
      <c r="I1100" s="76" t="s">
        <v>47</v>
      </c>
      <c r="J1100" s="98"/>
      <c r="K1100" s="95"/>
      <c r="L1100" s="95"/>
      <c r="M1100" s="95"/>
      <c r="N1100" s="72">
        <f t="shared" si="83"/>
        <v>0</v>
      </c>
      <c r="O1100" s="96"/>
      <c r="P1100" s="74"/>
      <c r="Q1100" s="74"/>
      <c r="R1100" s="74"/>
      <c r="S1100" s="74"/>
      <c r="T1100" s="74"/>
      <c r="U1100" s="74"/>
      <c r="V1100" s="74"/>
      <c r="W1100" s="74"/>
      <c r="X1100" s="74"/>
      <c r="Y1100" s="74"/>
      <c r="Z1100" s="74"/>
      <c r="AA1100" s="74"/>
      <c r="AB1100" s="74"/>
      <c r="AC1100" s="74"/>
      <c r="AD1100" s="74"/>
      <c r="AE1100" s="74"/>
      <c r="AF1100" s="74"/>
      <c r="AG1100" s="74"/>
    </row>
    <row r="1101" ht="22.5" customHeight="1">
      <c r="A1101" s="86">
        <v>45798.0</v>
      </c>
      <c r="B1101" s="63" t="s">
        <v>27</v>
      </c>
      <c r="C1101" s="80">
        <v>1275000.0</v>
      </c>
      <c r="D1101" s="79"/>
      <c r="E1101" s="66" t="s">
        <v>33</v>
      </c>
      <c r="F1101" s="84" t="s">
        <v>800</v>
      </c>
      <c r="G1101" s="68">
        <v>0.0</v>
      </c>
      <c r="H1101" s="69">
        <f t="shared" si="82"/>
        <v>0</v>
      </c>
      <c r="I1101" s="76" t="s">
        <v>47</v>
      </c>
      <c r="J1101" s="98"/>
      <c r="K1101" s="95"/>
      <c r="L1101" s="95"/>
      <c r="M1101" s="95"/>
      <c r="N1101" s="72">
        <f t="shared" si="83"/>
        <v>0</v>
      </c>
      <c r="O1101" s="96"/>
      <c r="P1101" s="74"/>
      <c r="Q1101" s="74"/>
      <c r="R1101" s="74"/>
      <c r="S1101" s="74"/>
      <c r="T1101" s="74"/>
      <c r="U1101" s="74"/>
      <c r="V1101" s="74"/>
      <c r="W1101" s="74"/>
      <c r="X1101" s="74"/>
      <c r="Y1101" s="74"/>
      <c r="Z1101" s="74"/>
      <c r="AA1101" s="74"/>
      <c r="AB1101" s="74"/>
      <c r="AC1101" s="74"/>
      <c r="AD1101" s="74"/>
      <c r="AE1101" s="74"/>
      <c r="AF1101" s="74"/>
      <c r="AG1101" s="74"/>
    </row>
    <row r="1102" ht="22.5" customHeight="1">
      <c r="A1102" s="86">
        <v>45800.0</v>
      </c>
      <c r="B1102" s="63" t="s">
        <v>27</v>
      </c>
      <c r="C1102" s="79"/>
      <c r="D1102" s="79">
        <f>16025+367.45+399323.43</f>
        <v>415715.88</v>
      </c>
      <c r="E1102" s="66" t="s">
        <v>28</v>
      </c>
      <c r="F1102" s="84" t="s">
        <v>800</v>
      </c>
      <c r="G1102" s="69">
        <v>0.0</v>
      </c>
      <c r="H1102" s="69">
        <f t="shared" si="82"/>
        <v>0</v>
      </c>
      <c r="I1102" s="76" t="s">
        <v>280</v>
      </c>
      <c r="J1102" s="87" t="s">
        <v>248</v>
      </c>
      <c r="K1102" s="95"/>
      <c r="L1102" s="95"/>
      <c r="M1102" s="95"/>
      <c r="N1102" s="72">
        <f t="shared" si="83"/>
        <v>0</v>
      </c>
      <c r="O1102" s="96"/>
      <c r="P1102" s="74"/>
      <c r="Q1102" s="74"/>
      <c r="R1102" s="74"/>
      <c r="S1102" s="74"/>
      <c r="T1102" s="74"/>
      <c r="U1102" s="74"/>
      <c r="V1102" s="74"/>
      <c r="W1102" s="74"/>
      <c r="X1102" s="74"/>
      <c r="Y1102" s="74"/>
      <c r="Z1102" s="74"/>
      <c r="AA1102" s="74"/>
      <c r="AB1102" s="74"/>
      <c r="AC1102" s="74"/>
      <c r="AD1102" s="74"/>
      <c r="AE1102" s="74"/>
      <c r="AF1102" s="74"/>
      <c r="AG1102" s="74"/>
    </row>
    <row r="1103" ht="22.5" customHeight="1">
      <c r="A1103" s="86">
        <v>45800.0</v>
      </c>
      <c r="B1103" s="63" t="s">
        <v>27</v>
      </c>
      <c r="C1103" s="80">
        <v>619200.0</v>
      </c>
      <c r="D1103" s="80"/>
      <c r="E1103" s="66" t="s">
        <v>28</v>
      </c>
      <c r="F1103" s="84" t="s">
        <v>626</v>
      </c>
      <c r="G1103" s="68">
        <v>20.0</v>
      </c>
      <c r="H1103" s="69">
        <f t="shared" si="82"/>
        <v>103200</v>
      </c>
      <c r="I1103" s="76" t="s">
        <v>37</v>
      </c>
      <c r="J1103" s="87" t="s">
        <v>474</v>
      </c>
      <c r="K1103" s="82" t="s">
        <v>850</v>
      </c>
      <c r="L1103" s="82">
        <v>98.0</v>
      </c>
      <c r="M1103" s="128">
        <v>45735.0</v>
      </c>
      <c r="N1103" s="72">
        <f t="shared" si="83"/>
        <v>65</v>
      </c>
      <c r="O1103" s="96"/>
      <c r="P1103" s="74"/>
      <c r="Q1103" s="74"/>
      <c r="R1103" s="74"/>
      <c r="S1103" s="74"/>
      <c r="T1103" s="74"/>
      <c r="U1103" s="74"/>
      <c r="V1103" s="74"/>
      <c r="W1103" s="74"/>
      <c r="X1103" s="74"/>
      <c r="Y1103" s="74"/>
      <c r="Z1103" s="74"/>
      <c r="AA1103" s="74"/>
      <c r="AB1103" s="74"/>
      <c r="AC1103" s="74"/>
      <c r="AD1103" s="74"/>
      <c r="AE1103" s="74"/>
      <c r="AF1103" s="74"/>
      <c r="AG1103" s="74"/>
    </row>
    <row r="1104" ht="22.5" customHeight="1">
      <c r="A1104" s="86">
        <v>45800.0</v>
      </c>
      <c r="B1104" s="63" t="s">
        <v>27</v>
      </c>
      <c r="C1104" s="80">
        <v>2412000.0</v>
      </c>
      <c r="D1104" s="80"/>
      <c r="E1104" s="66" t="s">
        <v>28</v>
      </c>
      <c r="F1104" s="84" t="s">
        <v>626</v>
      </c>
      <c r="G1104" s="68">
        <v>20.0</v>
      </c>
      <c r="H1104" s="69">
        <f t="shared" si="82"/>
        <v>402000</v>
      </c>
      <c r="I1104" s="76" t="s">
        <v>37</v>
      </c>
      <c r="J1104" s="87" t="s">
        <v>474</v>
      </c>
      <c r="K1104" s="82" t="s">
        <v>855</v>
      </c>
      <c r="L1104" s="82">
        <v>99.0</v>
      </c>
      <c r="M1104" s="128">
        <v>45735.0</v>
      </c>
      <c r="N1104" s="72">
        <f t="shared" si="83"/>
        <v>65</v>
      </c>
      <c r="O1104" s="96"/>
      <c r="P1104" s="74"/>
      <c r="Q1104" s="74"/>
      <c r="R1104" s="74"/>
      <c r="S1104" s="74"/>
      <c r="T1104" s="74"/>
      <c r="U1104" s="74"/>
      <c r="V1104" s="74"/>
      <c r="W1104" s="74"/>
      <c r="X1104" s="74"/>
      <c r="Y1104" s="74"/>
      <c r="Z1104" s="74"/>
      <c r="AA1104" s="74"/>
      <c r="AB1104" s="74"/>
      <c r="AC1104" s="74"/>
      <c r="AD1104" s="74"/>
      <c r="AE1104" s="74"/>
      <c r="AF1104" s="74"/>
      <c r="AG1104" s="74"/>
    </row>
    <row r="1105" ht="22.5" customHeight="1">
      <c r="A1105" s="86">
        <v>45800.0</v>
      </c>
      <c r="B1105" s="63" t="s">
        <v>27</v>
      </c>
      <c r="C1105" s="80">
        <v>3773418.78</v>
      </c>
      <c r="D1105" s="80"/>
      <c r="E1105" s="66" t="s">
        <v>28</v>
      </c>
      <c r="F1105" s="84" t="s">
        <v>722</v>
      </c>
      <c r="G1105" s="68">
        <v>20.0</v>
      </c>
      <c r="H1105" s="69">
        <f t="shared" si="82"/>
        <v>628903.13</v>
      </c>
      <c r="I1105" s="76" t="s">
        <v>37</v>
      </c>
      <c r="J1105" s="87" t="s">
        <v>871</v>
      </c>
      <c r="K1105" s="95"/>
      <c r="L1105" s="82">
        <v>196.0</v>
      </c>
      <c r="M1105" s="128">
        <v>45792.0</v>
      </c>
      <c r="N1105" s="72">
        <f t="shared" si="83"/>
        <v>8</v>
      </c>
      <c r="O1105" s="96"/>
      <c r="P1105" s="74"/>
      <c r="Q1105" s="74"/>
      <c r="R1105" s="74"/>
      <c r="S1105" s="74"/>
      <c r="T1105" s="74"/>
      <c r="U1105" s="74"/>
      <c r="V1105" s="74"/>
      <c r="W1105" s="74"/>
      <c r="X1105" s="74"/>
      <c r="Y1105" s="74"/>
      <c r="Z1105" s="74"/>
      <c r="AA1105" s="74"/>
      <c r="AB1105" s="74"/>
      <c r="AC1105" s="74"/>
      <c r="AD1105" s="74"/>
      <c r="AE1105" s="74"/>
      <c r="AF1105" s="74"/>
      <c r="AG1105" s="74"/>
    </row>
    <row r="1106" ht="22.5" customHeight="1">
      <c r="A1106" s="86">
        <v>45803.0</v>
      </c>
      <c r="B1106" s="63" t="s">
        <v>27</v>
      </c>
      <c r="C1106" s="79"/>
      <c r="D1106" s="80">
        <v>117516.0</v>
      </c>
      <c r="E1106" s="66" t="s">
        <v>28</v>
      </c>
      <c r="F1106" s="84" t="s">
        <v>800</v>
      </c>
      <c r="G1106" s="68">
        <v>0.0</v>
      </c>
      <c r="H1106" s="69">
        <f t="shared" si="82"/>
        <v>0</v>
      </c>
      <c r="I1106" s="70" t="s">
        <v>30</v>
      </c>
      <c r="J1106" s="87" t="s">
        <v>828</v>
      </c>
      <c r="K1106" s="95"/>
      <c r="L1106" s="95"/>
      <c r="M1106" s="95"/>
      <c r="N1106" s="72">
        <f t="shared" si="83"/>
        <v>0</v>
      </c>
      <c r="O1106" s="96"/>
      <c r="P1106" s="74"/>
      <c r="Q1106" s="74"/>
      <c r="R1106" s="74"/>
      <c r="S1106" s="74"/>
      <c r="T1106" s="74"/>
      <c r="U1106" s="74"/>
      <c r="V1106" s="74"/>
      <c r="W1106" s="74"/>
      <c r="X1106" s="74"/>
      <c r="Y1106" s="74"/>
      <c r="Z1106" s="74"/>
      <c r="AA1106" s="74"/>
      <c r="AB1106" s="74"/>
      <c r="AC1106" s="74"/>
      <c r="AD1106" s="74"/>
      <c r="AE1106" s="74"/>
      <c r="AF1106" s="74"/>
      <c r="AG1106" s="74"/>
    </row>
    <row r="1107" ht="22.5" customHeight="1">
      <c r="A1107" s="86">
        <v>45803.0</v>
      </c>
      <c r="B1107" s="63" t="s">
        <v>27</v>
      </c>
      <c r="C1107" s="79"/>
      <c r="D1107" s="80">
        <v>20000.0</v>
      </c>
      <c r="E1107" s="66" t="s">
        <v>33</v>
      </c>
      <c r="F1107" s="84" t="s">
        <v>800</v>
      </c>
      <c r="G1107" s="68">
        <v>0.0</v>
      </c>
      <c r="H1107" s="69">
        <f t="shared" si="82"/>
        <v>0</v>
      </c>
      <c r="I1107" s="76" t="s">
        <v>490</v>
      </c>
      <c r="J1107" s="87" t="s">
        <v>872</v>
      </c>
      <c r="K1107" s="95"/>
      <c r="L1107" s="95"/>
      <c r="M1107" s="95"/>
      <c r="N1107" s="72">
        <f t="shared" si="83"/>
        <v>0</v>
      </c>
      <c r="O1107" s="96"/>
      <c r="P1107" s="74"/>
      <c r="Q1107" s="74"/>
      <c r="R1107" s="74"/>
      <c r="S1107" s="74"/>
      <c r="T1107" s="74"/>
      <c r="U1107" s="74"/>
      <c r="V1107" s="74"/>
      <c r="W1107" s="74"/>
      <c r="X1107" s="74"/>
      <c r="Y1107" s="74"/>
      <c r="Z1107" s="74"/>
      <c r="AA1107" s="74"/>
      <c r="AB1107" s="74"/>
      <c r="AC1107" s="74"/>
      <c r="AD1107" s="74"/>
      <c r="AE1107" s="74"/>
      <c r="AF1107" s="74"/>
      <c r="AG1107" s="74"/>
    </row>
    <row r="1108" ht="22.5" customHeight="1">
      <c r="A1108" s="86">
        <v>45803.0</v>
      </c>
      <c r="B1108" s="63" t="s">
        <v>27</v>
      </c>
      <c r="C1108" s="79"/>
      <c r="D1108" s="80">
        <v>10000.0</v>
      </c>
      <c r="E1108" s="66" t="s">
        <v>33</v>
      </c>
      <c r="F1108" s="84" t="s">
        <v>800</v>
      </c>
      <c r="G1108" s="68">
        <v>0.0</v>
      </c>
      <c r="H1108" s="69">
        <f t="shared" si="82"/>
        <v>0</v>
      </c>
      <c r="I1108" s="76" t="s">
        <v>490</v>
      </c>
      <c r="J1108" s="87" t="s">
        <v>873</v>
      </c>
      <c r="K1108" s="95"/>
      <c r="L1108" s="95"/>
      <c r="M1108" s="95"/>
      <c r="N1108" s="72">
        <f t="shared" si="83"/>
        <v>0</v>
      </c>
      <c r="O1108" s="96"/>
      <c r="P1108" s="74"/>
      <c r="Q1108" s="74"/>
      <c r="R1108" s="74"/>
      <c r="S1108" s="74"/>
      <c r="T1108" s="74"/>
      <c r="U1108" s="74"/>
      <c r="V1108" s="74"/>
      <c r="W1108" s="74"/>
      <c r="X1108" s="74"/>
      <c r="Y1108" s="74"/>
      <c r="Z1108" s="74"/>
      <c r="AA1108" s="74"/>
      <c r="AB1108" s="74"/>
      <c r="AC1108" s="74"/>
      <c r="AD1108" s="74"/>
      <c r="AE1108" s="74"/>
      <c r="AF1108" s="74"/>
      <c r="AG1108" s="74"/>
    </row>
    <row r="1109" ht="22.5" customHeight="1">
      <c r="A1109" s="86">
        <v>45803.0</v>
      </c>
      <c r="B1109" s="63" t="s">
        <v>27</v>
      </c>
      <c r="C1109" s="79"/>
      <c r="D1109" s="80">
        <v>3600.0</v>
      </c>
      <c r="E1109" s="66" t="s">
        <v>28</v>
      </c>
      <c r="F1109" s="84" t="s">
        <v>800</v>
      </c>
      <c r="G1109" s="68">
        <v>20.0</v>
      </c>
      <c r="H1109" s="69">
        <f t="shared" si="82"/>
        <v>600</v>
      </c>
      <c r="I1109" s="76" t="s">
        <v>495</v>
      </c>
      <c r="J1109" s="87" t="s">
        <v>874</v>
      </c>
      <c r="K1109" s="95"/>
      <c r="L1109" s="95"/>
      <c r="M1109" s="95"/>
      <c r="N1109" s="72">
        <f t="shared" si="83"/>
        <v>0</v>
      </c>
      <c r="O1109" s="83" t="s">
        <v>875</v>
      </c>
      <c r="P1109" s="74"/>
      <c r="Q1109" s="74"/>
      <c r="R1109" s="74"/>
      <c r="S1109" s="74"/>
      <c r="T1109" s="74"/>
      <c r="U1109" s="74"/>
      <c r="V1109" s="74"/>
      <c r="W1109" s="74"/>
      <c r="X1109" s="74"/>
      <c r="Y1109" s="74"/>
      <c r="Z1109" s="74"/>
      <c r="AA1109" s="74"/>
      <c r="AB1109" s="74"/>
      <c r="AC1109" s="74"/>
      <c r="AD1109" s="74"/>
      <c r="AE1109" s="74"/>
      <c r="AF1109" s="74"/>
      <c r="AG1109" s="74"/>
    </row>
    <row r="1110" ht="22.5" customHeight="1">
      <c r="A1110" s="86">
        <v>45804.0</v>
      </c>
      <c r="B1110" s="63" t="s">
        <v>27</v>
      </c>
      <c r="C1110" s="79"/>
      <c r="D1110" s="80">
        <v>309539.54</v>
      </c>
      <c r="E1110" s="66" t="s">
        <v>28</v>
      </c>
      <c r="F1110" s="84" t="s">
        <v>674</v>
      </c>
      <c r="G1110" s="68">
        <v>20.0</v>
      </c>
      <c r="H1110" s="69">
        <f t="shared" si="82"/>
        <v>51589.92333</v>
      </c>
      <c r="I1110" s="76" t="s">
        <v>61</v>
      </c>
      <c r="J1110" s="98" t="s">
        <v>509</v>
      </c>
      <c r="K1110" s="95"/>
      <c r="L1110" s="95"/>
      <c r="M1110" s="95"/>
      <c r="N1110" s="72">
        <f t="shared" si="83"/>
        <v>0</v>
      </c>
      <c r="O1110" s="140" t="s">
        <v>876</v>
      </c>
      <c r="P1110" s="74"/>
      <c r="Q1110" s="74"/>
      <c r="R1110" s="74"/>
      <c r="S1110" s="74"/>
      <c r="T1110" s="74"/>
      <c r="U1110" s="74"/>
      <c r="V1110" s="74"/>
      <c r="W1110" s="74"/>
      <c r="X1110" s="74"/>
      <c r="Y1110" s="74"/>
      <c r="Z1110" s="74"/>
      <c r="AA1110" s="74"/>
      <c r="AB1110" s="74"/>
      <c r="AC1110" s="74"/>
      <c r="AD1110" s="74"/>
      <c r="AE1110" s="74"/>
      <c r="AF1110" s="74"/>
      <c r="AG1110" s="74"/>
    </row>
    <row r="1111" ht="22.5" customHeight="1">
      <c r="A1111" s="86">
        <v>45804.0</v>
      </c>
      <c r="B1111" s="63" t="s">
        <v>27</v>
      </c>
      <c r="C1111" s="79"/>
      <c r="D1111" s="80">
        <v>968095.1</v>
      </c>
      <c r="E1111" s="66" t="s">
        <v>28</v>
      </c>
      <c r="F1111" s="148" t="s">
        <v>674</v>
      </c>
      <c r="G1111" s="68">
        <v>0.0</v>
      </c>
      <c r="H1111" s="69">
        <f t="shared" si="82"/>
        <v>0</v>
      </c>
      <c r="I1111" s="76" t="s">
        <v>93</v>
      </c>
      <c r="J1111" s="133" t="s">
        <v>516</v>
      </c>
      <c r="K1111" s="95"/>
      <c r="L1111" s="95"/>
      <c r="M1111" s="95"/>
      <c r="N1111" s="72">
        <f t="shared" si="83"/>
        <v>0</v>
      </c>
      <c r="O1111" s="96"/>
      <c r="P1111" s="74"/>
      <c r="Q1111" s="74"/>
      <c r="R1111" s="74"/>
      <c r="S1111" s="74"/>
      <c r="T1111" s="74"/>
      <c r="U1111" s="74"/>
      <c r="V1111" s="74"/>
      <c r="W1111" s="74"/>
      <c r="X1111" s="74"/>
      <c r="Y1111" s="74"/>
      <c r="Z1111" s="74"/>
      <c r="AA1111" s="74"/>
      <c r="AB1111" s="74"/>
      <c r="AC1111" s="74"/>
      <c r="AD1111" s="74"/>
      <c r="AE1111" s="74"/>
      <c r="AF1111" s="74"/>
      <c r="AG1111" s="74"/>
    </row>
    <row r="1112" ht="22.5" customHeight="1">
      <c r="A1112" s="86">
        <v>45804.0</v>
      </c>
      <c r="B1112" s="63" t="s">
        <v>27</v>
      </c>
      <c r="C1112" s="79"/>
      <c r="D1112" s="80">
        <v>25000.0</v>
      </c>
      <c r="E1112" s="66" t="s">
        <v>33</v>
      </c>
      <c r="F1112" s="84" t="s">
        <v>800</v>
      </c>
      <c r="G1112" s="68">
        <v>0.0</v>
      </c>
      <c r="H1112" s="69">
        <f t="shared" si="82"/>
        <v>0</v>
      </c>
      <c r="I1112" s="76" t="s">
        <v>495</v>
      </c>
      <c r="J1112" s="87" t="s">
        <v>877</v>
      </c>
      <c r="K1112" s="95"/>
      <c r="L1112" s="95"/>
      <c r="M1112" s="95"/>
      <c r="N1112" s="72">
        <f t="shared" si="83"/>
        <v>0</v>
      </c>
      <c r="O1112" s="96"/>
      <c r="P1112" s="74"/>
      <c r="Q1112" s="74"/>
      <c r="R1112" s="74"/>
      <c r="S1112" s="74"/>
      <c r="T1112" s="74"/>
      <c r="U1112" s="74"/>
      <c r="V1112" s="74"/>
      <c r="W1112" s="74"/>
      <c r="X1112" s="74"/>
      <c r="Y1112" s="74"/>
      <c r="Z1112" s="74"/>
      <c r="AA1112" s="74"/>
      <c r="AB1112" s="74"/>
      <c r="AC1112" s="74"/>
      <c r="AD1112" s="74"/>
      <c r="AE1112" s="74"/>
      <c r="AF1112" s="74"/>
      <c r="AG1112" s="74"/>
    </row>
    <row r="1113" ht="22.5" customHeight="1">
      <c r="A1113" s="86">
        <v>45805.0</v>
      </c>
      <c r="B1113" s="63" t="s">
        <v>27</v>
      </c>
      <c r="C1113" s="80">
        <v>720000.12</v>
      </c>
      <c r="D1113" s="79"/>
      <c r="E1113" s="66" t="s">
        <v>376</v>
      </c>
      <c r="F1113" s="84" t="s">
        <v>674</v>
      </c>
      <c r="G1113" s="68">
        <v>20.0</v>
      </c>
      <c r="H1113" s="69">
        <f t="shared" si="82"/>
        <v>120000.02</v>
      </c>
      <c r="I1113" s="76" t="s">
        <v>37</v>
      </c>
      <c r="J1113" s="87" t="s">
        <v>878</v>
      </c>
      <c r="K1113" s="82" t="s">
        <v>879</v>
      </c>
      <c r="L1113" s="82">
        <v>104.0</v>
      </c>
      <c r="M1113" s="128">
        <v>45757.0</v>
      </c>
      <c r="N1113" s="72">
        <f t="shared" si="83"/>
        <v>48</v>
      </c>
      <c r="O1113" s="96"/>
      <c r="P1113" s="74"/>
      <c r="Q1113" s="74"/>
      <c r="R1113" s="74"/>
      <c r="S1113" s="74"/>
      <c r="T1113" s="74"/>
      <c r="U1113" s="74"/>
      <c r="V1113" s="74"/>
      <c r="W1113" s="74"/>
      <c r="X1113" s="74"/>
      <c r="Y1113" s="74"/>
      <c r="Z1113" s="74"/>
      <c r="AA1113" s="74"/>
      <c r="AB1113" s="74"/>
      <c r="AC1113" s="74"/>
      <c r="AD1113" s="74"/>
      <c r="AE1113" s="74"/>
      <c r="AF1113" s="74"/>
      <c r="AG1113" s="74"/>
    </row>
    <row r="1114" ht="22.5" customHeight="1">
      <c r="A1114" s="86">
        <v>45805.0</v>
      </c>
      <c r="B1114" s="63" t="s">
        <v>27</v>
      </c>
      <c r="C1114" s="80">
        <v>720000.12</v>
      </c>
      <c r="D1114" s="79"/>
      <c r="E1114" s="66" t="s">
        <v>376</v>
      </c>
      <c r="F1114" s="84" t="s">
        <v>674</v>
      </c>
      <c r="G1114" s="68">
        <v>20.0</v>
      </c>
      <c r="H1114" s="69">
        <f t="shared" si="82"/>
        <v>120000.02</v>
      </c>
      <c r="I1114" s="76" t="s">
        <v>37</v>
      </c>
      <c r="J1114" s="87" t="s">
        <v>878</v>
      </c>
      <c r="K1114" s="82" t="s">
        <v>880</v>
      </c>
      <c r="L1114" s="82">
        <v>105.0</v>
      </c>
      <c r="M1114" s="128">
        <v>45757.0</v>
      </c>
      <c r="N1114" s="72">
        <f t="shared" si="83"/>
        <v>48</v>
      </c>
      <c r="O1114" s="96"/>
      <c r="P1114" s="74"/>
      <c r="Q1114" s="74"/>
      <c r="R1114" s="74"/>
      <c r="S1114" s="74"/>
      <c r="T1114" s="74"/>
      <c r="U1114" s="74"/>
      <c r="V1114" s="74"/>
      <c r="W1114" s="74"/>
      <c r="X1114" s="74"/>
      <c r="Y1114" s="74"/>
      <c r="Z1114" s="74"/>
      <c r="AA1114" s="74"/>
      <c r="AB1114" s="74"/>
      <c r="AC1114" s="74"/>
      <c r="AD1114" s="74"/>
      <c r="AE1114" s="74"/>
      <c r="AF1114" s="74"/>
      <c r="AG1114" s="74"/>
    </row>
    <row r="1115" ht="22.5" customHeight="1">
      <c r="A1115" s="86">
        <v>45805.0</v>
      </c>
      <c r="B1115" s="63" t="s">
        <v>27</v>
      </c>
      <c r="C1115" s="80">
        <v>720000.16</v>
      </c>
      <c r="D1115" s="79"/>
      <c r="E1115" s="66" t="s">
        <v>376</v>
      </c>
      <c r="F1115" s="84" t="s">
        <v>674</v>
      </c>
      <c r="G1115" s="68">
        <v>20.0</v>
      </c>
      <c r="H1115" s="69">
        <f t="shared" si="82"/>
        <v>120000.0267</v>
      </c>
      <c r="I1115" s="76" t="s">
        <v>37</v>
      </c>
      <c r="J1115" s="87" t="s">
        <v>878</v>
      </c>
      <c r="K1115" s="82" t="s">
        <v>881</v>
      </c>
      <c r="L1115" s="82">
        <v>115.0</v>
      </c>
      <c r="M1115" s="128">
        <v>45757.0</v>
      </c>
      <c r="N1115" s="72">
        <f t="shared" si="83"/>
        <v>48</v>
      </c>
      <c r="O1115" s="96"/>
      <c r="P1115" s="74"/>
      <c r="Q1115" s="74"/>
      <c r="R1115" s="74"/>
      <c r="S1115" s="74"/>
      <c r="T1115" s="74"/>
      <c r="U1115" s="74"/>
      <c r="V1115" s="74"/>
      <c r="W1115" s="74"/>
      <c r="X1115" s="74"/>
      <c r="Y1115" s="74"/>
      <c r="Z1115" s="74"/>
      <c r="AA1115" s="74"/>
      <c r="AB1115" s="74"/>
      <c r="AC1115" s="74"/>
      <c r="AD1115" s="74"/>
      <c r="AE1115" s="74"/>
      <c r="AF1115" s="74"/>
      <c r="AG1115" s="74"/>
    </row>
    <row r="1116" ht="22.5" customHeight="1">
      <c r="A1116" s="86">
        <v>45805.0</v>
      </c>
      <c r="B1116" s="63" t="s">
        <v>27</v>
      </c>
      <c r="C1116" s="80">
        <v>720000.12</v>
      </c>
      <c r="D1116" s="79"/>
      <c r="E1116" s="66" t="s">
        <v>376</v>
      </c>
      <c r="F1116" s="84" t="s">
        <v>674</v>
      </c>
      <c r="G1116" s="68">
        <v>20.0</v>
      </c>
      <c r="H1116" s="69">
        <f t="shared" si="82"/>
        <v>120000.02</v>
      </c>
      <c r="I1116" s="76" t="s">
        <v>37</v>
      </c>
      <c r="J1116" s="87" t="s">
        <v>878</v>
      </c>
      <c r="K1116" s="82" t="s">
        <v>882</v>
      </c>
      <c r="L1116" s="82">
        <v>117.0</v>
      </c>
      <c r="M1116" s="128">
        <v>45757.0</v>
      </c>
      <c r="N1116" s="72">
        <f t="shared" si="83"/>
        <v>48</v>
      </c>
      <c r="O1116" s="96"/>
      <c r="P1116" s="74"/>
      <c r="Q1116" s="74"/>
      <c r="R1116" s="74"/>
      <c r="S1116" s="74"/>
      <c r="T1116" s="74"/>
      <c r="U1116" s="74"/>
      <c r="V1116" s="74"/>
      <c r="W1116" s="74"/>
      <c r="X1116" s="74"/>
      <c r="Y1116" s="74"/>
      <c r="Z1116" s="74"/>
      <c r="AA1116" s="74"/>
      <c r="AB1116" s="74"/>
      <c r="AC1116" s="74"/>
      <c r="AD1116" s="74"/>
      <c r="AE1116" s="74"/>
      <c r="AF1116" s="74"/>
      <c r="AG1116" s="74"/>
    </row>
    <row r="1117" ht="22.5" customHeight="1">
      <c r="A1117" s="86">
        <v>45805.0</v>
      </c>
      <c r="B1117" s="63" t="s">
        <v>27</v>
      </c>
      <c r="C1117" s="80">
        <v>1200000.06</v>
      </c>
      <c r="D1117" s="79"/>
      <c r="E1117" s="66" t="s">
        <v>376</v>
      </c>
      <c r="F1117" s="84" t="s">
        <v>674</v>
      </c>
      <c r="G1117" s="68">
        <v>20.0</v>
      </c>
      <c r="H1117" s="69">
        <f t="shared" si="82"/>
        <v>200000.01</v>
      </c>
      <c r="I1117" s="76" t="s">
        <v>37</v>
      </c>
      <c r="J1117" s="87" t="s">
        <v>878</v>
      </c>
      <c r="K1117" s="82" t="s">
        <v>883</v>
      </c>
      <c r="L1117" s="82">
        <v>118.0</v>
      </c>
      <c r="M1117" s="128">
        <v>45757.0</v>
      </c>
      <c r="N1117" s="72">
        <f t="shared" si="83"/>
        <v>48</v>
      </c>
      <c r="O1117" s="96"/>
      <c r="P1117" s="74"/>
      <c r="Q1117" s="74"/>
      <c r="R1117" s="74"/>
      <c r="S1117" s="74"/>
      <c r="T1117" s="74"/>
      <c r="U1117" s="74"/>
      <c r="V1117" s="74"/>
      <c r="W1117" s="74"/>
      <c r="X1117" s="74"/>
      <c r="Y1117" s="74"/>
      <c r="Z1117" s="74"/>
      <c r="AA1117" s="74"/>
      <c r="AB1117" s="74"/>
      <c r="AC1117" s="74"/>
      <c r="AD1117" s="74"/>
      <c r="AE1117" s="74"/>
      <c r="AF1117" s="74"/>
      <c r="AG1117" s="74"/>
    </row>
    <row r="1118" ht="22.5" customHeight="1">
      <c r="A1118" s="86">
        <v>45805.0</v>
      </c>
      <c r="B1118" s="63" t="s">
        <v>27</v>
      </c>
      <c r="C1118" s="80">
        <v>900000.36</v>
      </c>
      <c r="D1118" s="79"/>
      <c r="E1118" s="66" t="s">
        <v>376</v>
      </c>
      <c r="F1118" s="84" t="s">
        <v>674</v>
      </c>
      <c r="G1118" s="68">
        <v>20.0</v>
      </c>
      <c r="H1118" s="69">
        <f t="shared" si="82"/>
        <v>150000.06</v>
      </c>
      <c r="I1118" s="76" t="s">
        <v>37</v>
      </c>
      <c r="J1118" s="87" t="s">
        <v>878</v>
      </c>
      <c r="K1118" s="82" t="s">
        <v>884</v>
      </c>
      <c r="L1118" s="82">
        <v>119.0</v>
      </c>
      <c r="M1118" s="128">
        <v>45757.0</v>
      </c>
      <c r="N1118" s="72">
        <f t="shared" si="83"/>
        <v>48</v>
      </c>
      <c r="O1118" s="96"/>
      <c r="P1118" s="74"/>
      <c r="Q1118" s="74"/>
      <c r="R1118" s="74"/>
      <c r="S1118" s="74"/>
      <c r="T1118" s="74"/>
      <c r="U1118" s="74"/>
      <c r="V1118" s="74"/>
      <c r="W1118" s="74"/>
      <c r="X1118" s="74"/>
      <c r="Y1118" s="74"/>
      <c r="Z1118" s="74"/>
      <c r="AA1118" s="74"/>
      <c r="AB1118" s="74"/>
      <c r="AC1118" s="74"/>
      <c r="AD1118" s="74"/>
      <c r="AE1118" s="74"/>
      <c r="AF1118" s="74"/>
      <c r="AG1118" s="74"/>
    </row>
    <row r="1119" ht="22.5" customHeight="1">
      <c r="A1119" s="86">
        <v>45805.0</v>
      </c>
      <c r="B1119" s="63" t="s">
        <v>27</v>
      </c>
      <c r="C1119" s="79"/>
      <c r="D1119" s="80">
        <v>1172793.0</v>
      </c>
      <c r="E1119" s="66" t="s">
        <v>376</v>
      </c>
      <c r="F1119" s="84" t="s">
        <v>800</v>
      </c>
      <c r="G1119" s="69">
        <v>0.0</v>
      </c>
      <c r="H1119" s="69">
        <f t="shared" si="82"/>
        <v>0</v>
      </c>
      <c r="I1119" s="94" t="s">
        <v>598</v>
      </c>
      <c r="J1119" s="87" t="s">
        <v>72</v>
      </c>
      <c r="K1119" s="95"/>
      <c r="L1119" s="95"/>
      <c r="M1119" s="95"/>
      <c r="N1119" s="72">
        <f t="shared" si="83"/>
        <v>0</v>
      </c>
      <c r="O1119" s="96"/>
      <c r="P1119" s="74"/>
      <c r="Q1119" s="74"/>
      <c r="R1119" s="74"/>
      <c r="S1119" s="74"/>
      <c r="T1119" s="74"/>
      <c r="U1119" s="74"/>
      <c r="V1119" s="74"/>
      <c r="W1119" s="74"/>
      <c r="X1119" s="74"/>
      <c r="Y1119" s="74"/>
      <c r="Z1119" s="74"/>
      <c r="AA1119" s="74"/>
      <c r="AB1119" s="74"/>
      <c r="AC1119" s="74"/>
      <c r="AD1119" s="74"/>
      <c r="AE1119" s="74"/>
      <c r="AF1119" s="74"/>
      <c r="AG1119" s="74"/>
    </row>
    <row r="1120" ht="22.5" customHeight="1">
      <c r="A1120" s="86">
        <v>45806.0</v>
      </c>
      <c r="B1120" s="63" t="s">
        <v>27</v>
      </c>
      <c r="C1120" s="79"/>
      <c r="D1120" s="80">
        <v>60000.0</v>
      </c>
      <c r="E1120" s="66" t="s">
        <v>33</v>
      </c>
      <c r="F1120" s="84" t="s">
        <v>800</v>
      </c>
      <c r="G1120" s="68">
        <v>0.0</v>
      </c>
      <c r="H1120" s="69">
        <f t="shared" si="82"/>
        <v>0</v>
      </c>
      <c r="I1120" s="76" t="s">
        <v>53</v>
      </c>
      <c r="J1120" s="87" t="s">
        <v>885</v>
      </c>
      <c r="K1120" s="95"/>
      <c r="L1120" s="95"/>
      <c r="M1120" s="95"/>
      <c r="N1120" s="72">
        <f t="shared" si="83"/>
        <v>0</v>
      </c>
      <c r="O1120" s="96"/>
      <c r="P1120" s="74"/>
      <c r="Q1120" s="74"/>
      <c r="R1120" s="74"/>
      <c r="S1120" s="74"/>
      <c r="T1120" s="74"/>
      <c r="U1120" s="74"/>
      <c r="V1120" s="74"/>
      <c r="W1120" s="74"/>
      <c r="X1120" s="74"/>
      <c r="Y1120" s="74"/>
      <c r="Z1120" s="74"/>
      <c r="AA1120" s="74"/>
      <c r="AB1120" s="74"/>
      <c r="AC1120" s="74"/>
      <c r="AD1120" s="74"/>
      <c r="AE1120" s="74"/>
      <c r="AF1120" s="74"/>
      <c r="AG1120" s="74"/>
    </row>
    <row r="1121" ht="22.5" customHeight="1">
      <c r="A1121" s="86">
        <v>45806.0</v>
      </c>
      <c r="B1121" s="63" t="s">
        <v>27</v>
      </c>
      <c r="C1121" s="79"/>
      <c r="D1121" s="80">
        <v>17151.29</v>
      </c>
      <c r="E1121" s="66" t="s">
        <v>28</v>
      </c>
      <c r="F1121" s="84" t="s">
        <v>800</v>
      </c>
      <c r="G1121" s="68">
        <v>0.0</v>
      </c>
      <c r="H1121" s="69">
        <f t="shared" si="82"/>
        <v>0</v>
      </c>
      <c r="I1121" s="76" t="s">
        <v>280</v>
      </c>
      <c r="J1121" s="87" t="s">
        <v>886</v>
      </c>
      <c r="K1121" s="95"/>
      <c r="L1121" s="95"/>
      <c r="M1121" s="95"/>
      <c r="N1121" s="72">
        <f t="shared" si="83"/>
        <v>0</v>
      </c>
      <c r="O1121" s="96"/>
      <c r="P1121" s="74"/>
      <c r="Q1121" s="74"/>
      <c r="R1121" s="74"/>
      <c r="S1121" s="74"/>
      <c r="T1121" s="74"/>
      <c r="U1121" s="74"/>
      <c r="V1121" s="74"/>
      <c r="W1121" s="74"/>
      <c r="X1121" s="74"/>
      <c r="Y1121" s="74"/>
      <c r="Z1121" s="74"/>
      <c r="AA1121" s="74"/>
      <c r="AB1121" s="74"/>
      <c r="AC1121" s="74"/>
      <c r="AD1121" s="74"/>
      <c r="AE1121" s="74"/>
      <c r="AF1121" s="74"/>
      <c r="AG1121" s="74"/>
    </row>
    <row r="1122" ht="22.5" customHeight="1">
      <c r="A1122" s="86">
        <v>45806.0</v>
      </c>
      <c r="B1122" s="63" t="s">
        <v>27</v>
      </c>
      <c r="C1122" s="79"/>
      <c r="D1122" s="80">
        <v>40000.0</v>
      </c>
      <c r="E1122" s="66" t="s">
        <v>28</v>
      </c>
      <c r="F1122" s="84" t="s">
        <v>800</v>
      </c>
      <c r="G1122" s="68">
        <v>0.0</v>
      </c>
      <c r="H1122" s="69">
        <f t="shared" si="82"/>
        <v>0</v>
      </c>
      <c r="I1122" s="76" t="s">
        <v>30</v>
      </c>
      <c r="J1122" s="87" t="s">
        <v>887</v>
      </c>
      <c r="K1122" s="95"/>
      <c r="L1122" s="95"/>
      <c r="M1122" s="95"/>
      <c r="N1122" s="72">
        <f t="shared" si="83"/>
        <v>0</v>
      </c>
      <c r="O1122" s="96"/>
      <c r="P1122" s="74"/>
      <c r="Q1122" s="74"/>
      <c r="R1122" s="74"/>
      <c r="S1122" s="74"/>
      <c r="T1122" s="74"/>
      <c r="U1122" s="74"/>
      <c r="V1122" s="74"/>
      <c r="W1122" s="74"/>
      <c r="X1122" s="74"/>
      <c r="Y1122" s="74"/>
      <c r="Z1122" s="74"/>
      <c r="AA1122" s="74"/>
      <c r="AB1122" s="74"/>
      <c r="AC1122" s="74"/>
      <c r="AD1122" s="74"/>
      <c r="AE1122" s="74"/>
      <c r="AF1122" s="74"/>
      <c r="AG1122" s="74"/>
    </row>
    <row r="1123" ht="22.5" customHeight="1">
      <c r="A1123" s="86">
        <v>45806.0</v>
      </c>
      <c r="B1123" s="63" t="s">
        <v>27</v>
      </c>
      <c r="C1123" s="79"/>
      <c r="D1123" s="80">
        <v>84210.0</v>
      </c>
      <c r="E1123" s="66" t="s">
        <v>376</v>
      </c>
      <c r="F1123" s="84" t="s">
        <v>800</v>
      </c>
      <c r="G1123" s="68">
        <v>0.0</v>
      </c>
      <c r="H1123" s="69">
        <f t="shared" si="82"/>
        <v>0</v>
      </c>
      <c r="I1123" s="94" t="s">
        <v>599</v>
      </c>
      <c r="J1123" s="87" t="s">
        <v>72</v>
      </c>
      <c r="K1123" s="95"/>
      <c r="L1123" s="95"/>
      <c r="M1123" s="95"/>
      <c r="N1123" s="72">
        <f t="shared" si="83"/>
        <v>0</v>
      </c>
      <c r="O1123" s="96"/>
      <c r="P1123" s="74"/>
      <c r="Q1123" s="74"/>
      <c r="R1123" s="74"/>
      <c r="S1123" s="74"/>
      <c r="T1123" s="74"/>
      <c r="U1123" s="74"/>
      <c r="V1123" s="74"/>
      <c r="W1123" s="74"/>
      <c r="X1123" s="74"/>
      <c r="Y1123" s="74"/>
      <c r="Z1123" s="74"/>
      <c r="AA1123" s="74"/>
      <c r="AB1123" s="74"/>
      <c r="AC1123" s="74"/>
      <c r="AD1123" s="74"/>
      <c r="AE1123" s="74"/>
      <c r="AF1123" s="74"/>
      <c r="AG1123" s="74"/>
    </row>
    <row r="1124" ht="22.5" customHeight="1">
      <c r="A1124" s="86">
        <v>45806.0</v>
      </c>
      <c r="B1124" s="63" t="s">
        <v>27</v>
      </c>
      <c r="C1124" s="79"/>
      <c r="D1124" s="80">
        <v>232032.6</v>
      </c>
      <c r="E1124" s="66" t="s">
        <v>376</v>
      </c>
      <c r="F1124" s="84" t="s">
        <v>800</v>
      </c>
      <c r="G1124" s="68">
        <v>0.0</v>
      </c>
      <c r="H1124" s="69">
        <f t="shared" si="82"/>
        <v>0</v>
      </c>
      <c r="I1124" s="94" t="s">
        <v>622</v>
      </c>
      <c r="J1124" s="87" t="s">
        <v>72</v>
      </c>
      <c r="K1124" s="95"/>
      <c r="L1124" s="95"/>
      <c r="M1124" s="95"/>
      <c r="N1124" s="72">
        <f t="shared" si="83"/>
        <v>0</v>
      </c>
      <c r="O1124" s="96"/>
      <c r="P1124" s="74"/>
      <c r="Q1124" s="74"/>
      <c r="R1124" s="74"/>
      <c r="S1124" s="74"/>
      <c r="T1124" s="74"/>
      <c r="U1124" s="74"/>
      <c r="V1124" s="74"/>
      <c r="W1124" s="74"/>
      <c r="X1124" s="74"/>
      <c r="Y1124" s="74"/>
      <c r="Z1124" s="74"/>
      <c r="AA1124" s="74"/>
      <c r="AB1124" s="74"/>
      <c r="AC1124" s="74"/>
      <c r="AD1124" s="74"/>
      <c r="AE1124" s="74"/>
      <c r="AF1124" s="74"/>
      <c r="AG1124" s="74"/>
    </row>
    <row r="1125" ht="22.5" customHeight="1">
      <c r="A1125" s="86">
        <v>45806.0</v>
      </c>
      <c r="B1125" s="63" t="s">
        <v>27</v>
      </c>
      <c r="C1125" s="79"/>
      <c r="D1125" s="80">
        <v>1824104.0</v>
      </c>
      <c r="E1125" s="66" t="s">
        <v>376</v>
      </c>
      <c r="F1125" s="84" t="s">
        <v>800</v>
      </c>
      <c r="G1125" s="68">
        <v>0.0</v>
      </c>
      <c r="H1125" s="69">
        <f t="shared" si="82"/>
        <v>0</v>
      </c>
      <c r="I1125" s="94" t="s">
        <v>623</v>
      </c>
      <c r="J1125" s="87" t="s">
        <v>72</v>
      </c>
      <c r="K1125" s="95"/>
      <c r="L1125" s="95"/>
      <c r="M1125" s="95"/>
      <c r="N1125" s="72">
        <f t="shared" si="83"/>
        <v>0</v>
      </c>
      <c r="O1125" s="96"/>
      <c r="P1125" s="74"/>
      <c r="Q1125" s="74"/>
      <c r="R1125" s="74"/>
      <c r="S1125" s="74"/>
      <c r="T1125" s="74"/>
      <c r="U1125" s="74"/>
      <c r="V1125" s="74"/>
      <c r="W1125" s="74"/>
      <c r="X1125" s="74"/>
      <c r="Y1125" s="74"/>
      <c r="Z1125" s="74"/>
      <c r="AA1125" s="74"/>
      <c r="AB1125" s="74"/>
      <c r="AC1125" s="74"/>
      <c r="AD1125" s="74"/>
      <c r="AE1125" s="74"/>
      <c r="AF1125" s="74"/>
      <c r="AG1125" s="74"/>
    </row>
    <row r="1126" ht="22.5" customHeight="1">
      <c r="A1126" s="86">
        <v>45806.0</v>
      </c>
      <c r="B1126" s="63" t="s">
        <v>27</v>
      </c>
      <c r="C1126" s="80">
        <v>1067094.0</v>
      </c>
      <c r="D1126" s="79"/>
      <c r="E1126" s="66" t="s">
        <v>28</v>
      </c>
      <c r="F1126" s="84" t="s">
        <v>674</v>
      </c>
      <c r="G1126" s="68">
        <v>20.0</v>
      </c>
      <c r="H1126" s="69">
        <f t="shared" si="82"/>
        <v>177849</v>
      </c>
      <c r="I1126" s="76" t="s">
        <v>37</v>
      </c>
      <c r="J1126" s="87" t="s">
        <v>624</v>
      </c>
      <c r="K1126" s="82" t="s">
        <v>888</v>
      </c>
      <c r="L1126" s="82">
        <v>142.0</v>
      </c>
      <c r="M1126" s="128">
        <v>45758.0</v>
      </c>
      <c r="N1126" s="72">
        <f t="shared" si="83"/>
        <v>48</v>
      </c>
      <c r="O1126" s="96"/>
      <c r="P1126" s="74"/>
      <c r="Q1126" s="74"/>
      <c r="R1126" s="74"/>
      <c r="S1126" s="74"/>
      <c r="T1126" s="74"/>
      <c r="U1126" s="74"/>
      <c r="V1126" s="74"/>
      <c r="W1126" s="74"/>
      <c r="X1126" s="74"/>
      <c r="Y1126" s="74"/>
      <c r="Z1126" s="74"/>
      <c r="AA1126" s="74"/>
      <c r="AB1126" s="74"/>
      <c r="AC1126" s="74"/>
      <c r="AD1126" s="74"/>
      <c r="AE1126" s="74"/>
      <c r="AF1126" s="74"/>
      <c r="AG1126" s="74"/>
    </row>
    <row r="1127" ht="22.5" customHeight="1">
      <c r="A1127" s="86">
        <v>45806.0</v>
      </c>
      <c r="B1127" s="63" t="s">
        <v>27</v>
      </c>
      <c r="C1127" s="80">
        <v>960000.0</v>
      </c>
      <c r="D1127" s="79"/>
      <c r="E1127" s="66" t="s">
        <v>28</v>
      </c>
      <c r="F1127" s="84" t="s">
        <v>674</v>
      </c>
      <c r="G1127" s="68">
        <v>20.0</v>
      </c>
      <c r="H1127" s="69">
        <f t="shared" si="82"/>
        <v>160000</v>
      </c>
      <c r="I1127" s="76" t="s">
        <v>37</v>
      </c>
      <c r="J1127" s="87" t="s">
        <v>624</v>
      </c>
      <c r="K1127" s="82" t="s">
        <v>889</v>
      </c>
      <c r="L1127" s="82">
        <v>143.0</v>
      </c>
      <c r="M1127" s="128">
        <v>45758.0</v>
      </c>
      <c r="N1127" s="72">
        <f t="shared" si="83"/>
        <v>48</v>
      </c>
      <c r="O1127" s="96"/>
      <c r="P1127" s="74"/>
      <c r="Q1127" s="74"/>
      <c r="R1127" s="74"/>
      <c r="S1127" s="74"/>
      <c r="T1127" s="74"/>
      <c r="U1127" s="74"/>
      <c r="V1127" s="74"/>
      <c r="W1127" s="74"/>
      <c r="X1127" s="74"/>
      <c r="Y1127" s="74"/>
      <c r="Z1127" s="74"/>
      <c r="AA1127" s="74"/>
      <c r="AB1127" s="74"/>
      <c r="AC1127" s="74"/>
      <c r="AD1127" s="74"/>
      <c r="AE1127" s="74"/>
      <c r="AF1127" s="74"/>
      <c r="AG1127" s="74"/>
    </row>
    <row r="1128" ht="22.5" customHeight="1">
      <c r="A1128" s="86">
        <v>45806.0</v>
      </c>
      <c r="B1128" s="63" t="s">
        <v>27</v>
      </c>
      <c r="C1128" s="80">
        <v>1200150.0</v>
      </c>
      <c r="D1128" s="80"/>
      <c r="E1128" s="66" t="s">
        <v>376</v>
      </c>
      <c r="F1128" s="84" t="s">
        <v>722</v>
      </c>
      <c r="G1128" s="68">
        <v>20.0</v>
      </c>
      <c r="H1128" s="69">
        <f t="shared" si="82"/>
        <v>200025</v>
      </c>
      <c r="I1128" s="76" t="s">
        <v>37</v>
      </c>
      <c r="J1128" s="98" t="s">
        <v>641</v>
      </c>
      <c r="K1128" s="82" t="s">
        <v>856</v>
      </c>
      <c r="L1128" s="82">
        <v>191.0</v>
      </c>
      <c r="M1128" s="128">
        <v>45790.0</v>
      </c>
      <c r="N1128" s="72">
        <f t="shared" si="83"/>
        <v>16</v>
      </c>
      <c r="O1128" s="96"/>
      <c r="P1128" s="74"/>
      <c r="Q1128" s="74"/>
      <c r="R1128" s="74"/>
      <c r="S1128" s="74"/>
      <c r="T1128" s="74"/>
      <c r="U1128" s="74"/>
      <c r="V1128" s="74"/>
      <c r="W1128" s="74"/>
      <c r="X1128" s="74"/>
      <c r="Y1128" s="74"/>
      <c r="Z1128" s="74"/>
      <c r="AA1128" s="74"/>
      <c r="AB1128" s="74"/>
      <c r="AC1128" s="74"/>
      <c r="AD1128" s="74"/>
      <c r="AE1128" s="74"/>
      <c r="AF1128" s="74"/>
      <c r="AG1128" s="74"/>
    </row>
    <row r="1129" ht="22.5" customHeight="1">
      <c r="A1129" s="86">
        <v>45806.0</v>
      </c>
      <c r="B1129" s="63" t="s">
        <v>27</v>
      </c>
      <c r="C1129" s="80">
        <v>1087557.6</v>
      </c>
      <c r="D1129" s="80"/>
      <c r="E1129" s="66" t="s">
        <v>376</v>
      </c>
      <c r="F1129" s="84" t="s">
        <v>722</v>
      </c>
      <c r="G1129" s="68">
        <v>20.0</v>
      </c>
      <c r="H1129" s="69">
        <f t="shared" si="82"/>
        <v>181259.6</v>
      </c>
      <c r="I1129" s="76" t="s">
        <v>37</v>
      </c>
      <c r="J1129" s="98" t="s">
        <v>641</v>
      </c>
      <c r="K1129" s="82" t="s">
        <v>857</v>
      </c>
      <c r="L1129" s="82">
        <v>192.0</v>
      </c>
      <c r="M1129" s="128">
        <v>45790.0</v>
      </c>
      <c r="N1129" s="72">
        <f t="shared" si="83"/>
        <v>16</v>
      </c>
      <c r="O1129" s="96"/>
      <c r="P1129" s="74"/>
      <c r="Q1129" s="74"/>
      <c r="R1129" s="74"/>
      <c r="S1129" s="74"/>
      <c r="T1129" s="74"/>
      <c r="U1129" s="74"/>
      <c r="V1129" s="74"/>
      <c r="W1129" s="74"/>
      <c r="X1129" s="74"/>
      <c r="Y1129" s="74"/>
      <c r="Z1129" s="74"/>
      <c r="AA1129" s="74"/>
      <c r="AB1129" s="74"/>
      <c r="AC1129" s="74"/>
      <c r="AD1129" s="74"/>
      <c r="AE1129" s="74"/>
      <c r="AF1129" s="74"/>
      <c r="AG1129" s="74"/>
    </row>
    <row r="1130" ht="22.5" customHeight="1">
      <c r="A1130" s="86">
        <v>45810.0</v>
      </c>
      <c r="B1130" s="63" t="s">
        <v>27</v>
      </c>
      <c r="C1130" s="79"/>
      <c r="D1130" s="80">
        <v>177108.0</v>
      </c>
      <c r="E1130" s="66" t="s">
        <v>28</v>
      </c>
      <c r="F1130" s="84" t="s">
        <v>674</v>
      </c>
      <c r="G1130" s="68">
        <v>20.0</v>
      </c>
      <c r="H1130" s="69">
        <f t="shared" si="82"/>
        <v>29518</v>
      </c>
      <c r="I1130" s="76" t="s">
        <v>101</v>
      </c>
      <c r="J1130" s="146" t="s">
        <v>643</v>
      </c>
      <c r="K1130" s="95"/>
      <c r="L1130" s="95"/>
      <c r="M1130" s="95"/>
      <c r="N1130" s="72">
        <f t="shared" si="83"/>
        <v>0</v>
      </c>
      <c r="O1130" s="140" t="s">
        <v>890</v>
      </c>
      <c r="P1130" s="74"/>
      <c r="Q1130" s="74"/>
      <c r="R1130" s="74"/>
      <c r="S1130" s="74"/>
      <c r="T1130" s="74"/>
      <c r="U1130" s="74"/>
      <c r="V1130" s="74"/>
      <c r="W1130" s="74"/>
      <c r="X1130" s="74"/>
      <c r="Y1130" s="74"/>
      <c r="Z1130" s="74"/>
      <c r="AA1130" s="74"/>
      <c r="AB1130" s="74"/>
      <c r="AC1130" s="74"/>
      <c r="AD1130" s="74"/>
      <c r="AE1130" s="74"/>
      <c r="AF1130" s="74"/>
      <c r="AG1130" s="74"/>
    </row>
    <row r="1131" ht="22.5" customHeight="1">
      <c r="A1131" s="86">
        <v>45810.0</v>
      </c>
      <c r="B1131" s="63" t="s">
        <v>27</v>
      </c>
      <c r="C1131" s="79"/>
      <c r="D1131" s="80">
        <v>821148.9</v>
      </c>
      <c r="E1131" s="66" t="s">
        <v>28</v>
      </c>
      <c r="F1131" s="84" t="s">
        <v>674</v>
      </c>
      <c r="G1131" s="68">
        <v>20.0</v>
      </c>
      <c r="H1131" s="69">
        <f t="shared" si="82"/>
        <v>136858.15</v>
      </c>
      <c r="I1131" s="76" t="s">
        <v>101</v>
      </c>
      <c r="J1131" s="136" t="s">
        <v>597</v>
      </c>
      <c r="K1131" s="95"/>
      <c r="L1131" s="95"/>
      <c r="M1131" s="95"/>
      <c r="N1131" s="72">
        <f t="shared" si="83"/>
        <v>0</v>
      </c>
      <c r="O1131" s="140" t="s">
        <v>891</v>
      </c>
      <c r="P1131" s="74"/>
      <c r="Q1131" s="74"/>
      <c r="R1131" s="74"/>
      <c r="S1131" s="74"/>
      <c r="T1131" s="74"/>
      <c r="U1131" s="74"/>
      <c r="V1131" s="74"/>
      <c r="W1131" s="74"/>
      <c r="X1131" s="74"/>
      <c r="Y1131" s="74"/>
      <c r="Z1131" s="74"/>
      <c r="AA1131" s="74"/>
      <c r="AB1131" s="74"/>
      <c r="AC1131" s="74"/>
      <c r="AD1131" s="74"/>
      <c r="AE1131" s="74"/>
      <c r="AF1131" s="74"/>
      <c r="AG1131" s="74"/>
    </row>
    <row r="1132" ht="22.5" customHeight="1">
      <c r="A1132" s="86">
        <v>45810.0</v>
      </c>
      <c r="B1132" s="63" t="s">
        <v>27</v>
      </c>
      <c r="C1132" s="79"/>
      <c r="D1132" s="80">
        <v>139989.0</v>
      </c>
      <c r="E1132" s="66" t="s">
        <v>28</v>
      </c>
      <c r="F1132" s="84" t="s">
        <v>674</v>
      </c>
      <c r="G1132" s="68">
        <v>0.0</v>
      </c>
      <c r="H1132" s="69">
        <f t="shared" si="82"/>
        <v>0</v>
      </c>
      <c r="I1132" s="76" t="s">
        <v>101</v>
      </c>
      <c r="J1132" s="136" t="s">
        <v>631</v>
      </c>
      <c r="K1132" s="95"/>
      <c r="L1132" s="95"/>
      <c r="M1132" s="95"/>
      <c r="N1132" s="72">
        <f t="shared" si="83"/>
        <v>0</v>
      </c>
      <c r="O1132" s="140" t="s">
        <v>892</v>
      </c>
      <c r="P1132" s="74"/>
      <c r="Q1132" s="74"/>
      <c r="R1132" s="74"/>
      <c r="S1132" s="74"/>
      <c r="T1132" s="74"/>
      <c r="U1132" s="74"/>
      <c r="V1132" s="74"/>
      <c r="W1132" s="74"/>
      <c r="X1132" s="74"/>
      <c r="Y1132" s="74"/>
      <c r="Z1132" s="74"/>
      <c r="AA1132" s="74"/>
      <c r="AB1132" s="74"/>
      <c r="AC1132" s="74"/>
      <c r="AD1132" s="74"/>
      <c r="AE1132" s="74"/>
      <c r="AF1132" s="74"/>
      <c r="AG1132" s="74"/>
    </row>
    <row r="1133" ht="22.5" customHeight="1">
      <c r="A1133" s="86">
        <v>45810.0</v>
      </c>
      <c r="B1133" s="63" t="s">
        <v>27</v>
      </c>
      <c r="C1133" s="79"/>
      <c r="D1133" s="80">
        <v>67203.25</v>
      </c>
      <c r="E1133" s="66" t="s">
        <v>28</v>
      </c>
      <c r="F1133" s="84" t="s">
        <v>674</v>
      </c>
      <c r="G1133" s="68">
        <v>5.0</v>
      </c>
      <c r="H1133" s="69">
        <f t="shared" si="82"/>
        <v>3200.154762</v>
      </c>
      <c r="I1133" s="76" t="s">
        <v>101</v>
      </c>
      <c r="J1133" s="146" t="s">
        <v>671</v>
      </c>
      <c r="K1133" s="95"/>
      <c r="L1133" s="95"/>
      <c r="M1133" s="95"/>
      <c r="N1133" s="72">
        <f t="shared" si="83"/>
        <v>0</v>
      </c>
      <c r="O1133" s="96"/>
      <c r="P1133" s="74"/>
      <c r="Q1133" s="74"/>
      <c r="R1133" s="74"/>
      <c r="S1133" s="74"/>
      <c r="T1133" s="74"/>
      <c r="U1133" s="74"/>
      <c r="V1133" s="74"/>
      <c r="W1133" s="74"/>
      <c r="X1133" s="74"/>
      <c r="Y1133" s="74"/>
      <c r="Z1133" s="74"/>
      <c r="AA1133" s="74"/>
      <c r="AB1133" s="74"/>
      <c r="AC1133" s="74"/>
      <c r="AD1133" s="74"/>
      <c r="AE1133" s="74"/>
      <c r="AF1133" s="74"/>
      <c r="AG1133" s="74"/>
    </row>
    <row r="1134" ht="22.5" customHeight="1">
      <c r="A1134" s="86">
        <v>45810.0</v>
      </c>
      <c r="B1134" s="63" t="s">
        <v>27</v>
      </c>
      <c r="C1134" s="79"/>
      <c r="D1134" s="80">
        <v>301109.92</v>
      </c>
      <c r="E1134" s="66" t="s">
        <v>28</v>
      </c>
      <c r="F1134" s="84" t="s">
        <v>674</v>
      </c>
      <c r="G1134" s="68">
        <v>20.0</v>
      </c>
      <c r="H1134" s="69">
        <f t="shared" si="82"/>
        <v>50184.98667</v>
      </c>
      <c r="I1134" s="76" t="s">
        <v>44</v>
      </c>
      <c r="J1134" s="98" t="s">
        <v>134</v>
      </c>
      <c r="K1134" s="95"/>
      <c r="L1134" s="95"/>
      <c r="M1134" s="95"/>
      <c r="N1134" s="72">
        <f t="shared" si="83"/>
        <v>0</v>
      </c>
      <c r="O1134" s="140" t="s">
        <v>893</v>
      </c>
      <c r="P1134" s="74"/>
      <c r="Q1134" s="74"/>
      <c r="R1134" s="74"/>
      <c r="S1134" s="74"/>
      <c r="T1134" s="74"/>
      <c r="U1134" s="74"/>
      <c r="V1134" s="74"/>
      <c r="W1134" s="74"/>
      <c r="X1134" s="74"/>
      <c r="Y1134" s="74"/>
      <c r="Z1134" s="74"/>
      <c r="AA1134" s="74"/>
      <c r="AB1134" s="74"/>
      <c r="AC1134" s="74"/>
      <c r="AD1134" s="74"/>
      <c r="AE1134" s="74"/>
      <c r="AF1134" s="74"/>
      <c r="AG1134" s="74"/>
    </row>
    <row r="1135" ht="22.5" customHeight="1">
      <c r="A1135" s="86">
        <v>45810.0</v>
      </c>
      <c r="B1135" s="63" t="s">
        <v>27</v>
      </c>
      <c r="C1135" s="79"/>
      <c r="D1135" s="80">
        <v>501358.2</v>
      </c>
      <c r="E1135" s="66" t="s">
        <v>28</v>
      </c>
      <c r="F1135" s="84" t="s">
        <v>674</v>
      </c>
      <c r="G1135" s="68">
        <v>20.0</v>
      </c>
      <c r="H1135" s="69">
        <f t="shared" si="82"/>
        <v>83559.7</v>
      </c>
      <c r="I1135" s="76" t="s">
        <v>101</v>
      </c>
      <c r="J1135" s="136" t="s">
        <v>670</v>
      </c>
      <c r="K1135" s="95"/>
      <c r="L1135" s="95"/>
      <c r="M1135" s="95"/>
      <c r="N1135" s="72">
        <f t="shared" si="83"/>
        <v>0</v>
      </c>
      <c r="O1135" s="140" t="s">
        <v>894</v>
      </c>
      <c r="P1135" s="74"/>
      <c r="Q1135" s="74"/>
      <c r="R1135" s="74"/>
      <c r="S1135" s="74"/>
      <c r="T1135" s="74"/>
      <c r="U1135" s="74"/>
      <c r="V1135" s="74"/>
      <c r="W1135" s="74"/>
      <c r="X1135" s="74"/>
      <c r="Y1135" s="74"/>
      <c r="Z1135" s="74"/>
      <c r="AA1135" s="74"/>
      <c r="AB1135" s="74"/>
      <c r="AC1135" s="74"/>
      <c r="AD1135" s="74"/>
      <c r="AE1135" s="74"/>
      <c r="AF1135" s="74"/>
      <c r="AG1135" s="74"/>
    </row>
    <row r="1136" ht="22.5" customHeight="1">
      <c r="A1136" s="86">
        <v>45810.0</v>
      </c>
      <c r="B1136" s="63" t="s">
        <v>27</v>
      </c>
      <c r="C1136" s="79"/>
      <c r="D1136" s="80">
        <v>90621.9</v>
      </c>
      <c r="E1136" s="66" t="s">
        <v>28</v>
      </c>
      <c r="F1136" s="84" t="s">
        <v>674</v>
      </c>
      <c r="G1136" s="68">
        <v>20.0</v>
      </c>
      <c r="H1136" s="69">
        <f t="shared" si="82"/>
        <v>15103.65</v>
      </c>
      <c r="I1136" s="76" t="s">
        <v>101</v>
      </c>
      <c r="J1136" s="146" t="s">
        <v>820</v>
      </c>
      <c r="K1136" s="95"/>
      <c r="L1136" s="95"/>
      <c r="M1136" s="95"/>
      <c r="N1136" s="72">
        <f t="shared" si="83"/>
        <v>0</v>
      </c>
      <c r="O1136" s="140" t="s">
        <v>895</v>
      </c>
      <c r="P1136" s="74"/>
      <c r="Q1136" s="74"/>
      <c r="R1136" s="74"/>
      <c r="S1136" s="74"/>
      <c r="T1136" s="74"/>
      <c r="U1136" s="74"/>
      <c r="V1136" s="74"/>
      <c r="W1136" s="74"/>
      <c r="X1136" s="74"/>
      <c r="Y1136" s="74"/>
      <c r="Z1136" s="74"/>
      <c r="AA1136" s="74"/>
      <c r="AB1136" s="74"/>
      <c r="AC1136" s="74"/>
      <c r="AD1136" s="74"/>
      <c r="AE1136" s="74"/>
      <c r="AF1136" s="74"/>
      <c r="AG1136" s="74"/>
    </row>
    <row r="1137" ht="22.5" customHeight="1">
      <c r="A1137" s="86">
        <v>45810.0</v>
      </c>
      <c r="B1137" s="63" t="s">
        <v>27</v>
      </c>
      <c r="C1137" s="79"/>
      <c r="D1137" s="80">
        <v>91815.9</v>
      </c>
      <c r="E1137" s="66" t="s">
        <v>28</v>
      </c>
      <c r="F1137" s="84" t="s">
        <v>674</v>
      </c>
      <c r="G1137" s="68">
        <v>20.0</v>
      </c>
      <c r="H1137" s="69">
        <f t="shared" si="82"/>
        <v>15302.65</v>
      </c>
      <c r="I1137" s="76" t="s">
        <v>101</v>
      </c>
      <c r="J1137" s="146" t="s">
        <v>818</v>
      </c>
      <c r="K1137" s="95"/>
      <c r="L1137" s="95"/>
      <c r="M1137" s="95"/>
      <c r="N1137" s="72">
        <f t="shared" si="83"/>
        <v>0</v>
      </c>
      <c r="O1137" s="140" t="s">
        <v>896</v>
      </c>
      <c r="P1137" s="74"/>
      <c r="Q1137" s="74"/>
      <c r="R1137" s="74"/>
      <c r="S1137" s="74"/>
      <c r="T1137" s="74"/>
      <c r="U1137" s="74"/>
      <c r="V1137" s="74"/>
      <c r="W1137" s="74"/>
      <c r="X1137" s="74"/>
      <c r="Y1137" s="74"/>
      <c r="Z1137" s="74"/>
      <c r="AA1137" s="74"/>
      <c r="AB1137" s="74"/>
      <c r="AC1137" s="74"/>
      <c r="AD1137" s="74"/>
      <c r="AE1137" s="74"/>
      <c r="AF1137" s="74"/>
      <c r="AG1137" s="74"/>
    </row>
    <row r="1138" ht="22.5" customHeight="1">
      <c r="A1138" s="86">
        <v>45810.0</v>
      </c>
      <c r="B1138" s="63" t="s">
        <v>27</v>
      </c>
      <c r="C1138" s="79"/>
      <c r="D1138" s="80">
        <v>6361.45</v>
      </c>
      <c r="E1138" s="66" t="s">
        <v>28</v>
      </c>
      <c r="F1138" s="84" t="s">
        <v>897</v>
      </c>
      <c r="G1138" s="68">
        <v>0.0</v>
      </c>
      <c r="H1138" s="69">
        <f t="shared" si="82"/>
        <v>0</v>
      </c>
      <c r="I1138" s="76" t="s">
        <v>495</v>
      </c>
      <c r="J1138" s="87" t="s">
        <v>745</v>
      </c>
      <c r="K1138" s="95"/>
      <c r="L1138" s="95"/>
      <c r="M1138" s="95"/>
      <c r="N1138" s="72">
        <f t="shared" si="83"/>
        <v>0</v>
      </c>
      <c r="O1138" s="140" t="s">
        <v>898</v>
      </c>
      <c r="P1138" s="74"/>
      <c r="Q1138" s="74"/>
      <c r="R1138" s="74"/>
      <c r="S1138" s="74"/>
      <c r="T1138" s="74"/>
      <c r="U1138" s="74"/>
      <c r="V1138" s="74"/>
      <c r="W1138" s="74"/>
      <c r="X1138" s="74"/>
      <c r="Y1138" s="74"/>
      <c r="Z1138" s="74"/>
      <c r="AA1138" s="74"/>
      <c r="AB1138" s="74"/>
      <c r="AC1138" s="74"/>
      <c r="AD1138" s="74"/>
      <c r="AE1138" s="74"/>
      <c r="AF1138" s="74"/>
      <c r="AG1138" s="74"/>
    </row>
    <row r="1139" ht="22.5" customHeight="1">
      <c r="A1139" s="86">
        <v>45810.0</v>
      </c>
      <c r="B1139" s="63" t="s">
        <v>27</v>
      </c>
      <c r="C1139" s="79"/>
      <c r="D1139" s="80">
        <v>11300.0</v>
      </c>
      <c r="E1139" s="66" t="s">
        <v>33</v>
      </c>
      <c r="F1139" s="84" t="s">
        <v>897</v>
      </c>
      <c r="G1139" s="68">
        <v>0.0</v>
      </c>
      <c r="H1139" s="69">
        <f t="shared" si="82"/>
        <v>0</v>
      </c>
      <c r="I1139" s="70" t="s">
        <v>30</v>
      </c>
      <c r="J1139" s="124" t="s">
        <v>393</v>
      </c>
      <c r="K1139" s="95"/>
      <c r="L1139" s="95"/>
      <c r="M1139" s="95"/>
      <c r="N1139" s="72">
        <f t="shared" si="83"/>
        <v>0</v>
      </c>
      <c r="O1139" s="96"/>
      <c r="P1139" s="74"/>
      <c r="Q1139" s="74"/>
      <c r="R1139" s="74"/>
      <c r="S1139" s="74"/>
      <c r="T1139" s="74"/>
      <c r="U1139" s="74"/>
      <c r="V1139" s="74"/>
      <c r="W1139" s="74"/>
      <c r="X1139" s="74"/>
      <c r="Y1139" s="74"/>
      <c r="Z1139" s="74"/>
      <c r="AA1139" s="74"/>
      <c r="AB1139" s="74"/>
      <c r="AC1139" s="74"/>
      <c r="AD1139" s="74"/>
      <c r="AE1139" s="74"/>
      <c r="AF1139" s="74"/>
      <c r="AG1139" s="74"/>
    </row>
    <row r="1140" ht="22.5" customHeight="1">
      <c r="A1140" s="86">
        <v>45810.0</v>
      </c>
      <c r="B1140" s="63" t="s">
        <v>27</v>
      </c>
      <c r="C1140" s="79"/>
      <c r="D1140" s="80">
        <v>265242.0</v>
      </c>
      <c r="E1140" s="66" t="s">
        <v>28</v>
      </c>
      <c r="F1140" s="84" t="s">
        <v>800</v>
      </c>
      <c r="G1140" s="69">
        <v>0.0</v>
      </c>
      <c r="H1140" s="69">
        <f t="shared" si="82"/>
        <v>0</v>
      </c>
      <c r="I1140" s="76" t="s">
        <v>68</v>
      </c>
      <c r="J1140" s="87" t="s">
        <v>899</v>
      </c>
      <c r="K1140" s="95"/>
      <c r="L1140" s="95"/>
      <c r="M1140" s="95"/>
      <c r="N1140" s="72">
        <f t="shared" si="83"/>
        <v>0</v>
      </c>
      <c r="O1140" s="140" t="s">
        <v>900</v>
      </c>
      <c r="P1140" s="74"/>
      <c r="Q1140" s="74"/>
      <c r="R1140" s="74"/>
      <c r="S1140" s="74"/>
      <c r="T1140" s="74"/>
      <c r="U1140" s="74"/>
      <c r="V1140" s="74"/>
      <c r="W1140" s="74"/>
      <c r="X1140" s="74"/>
      <c r="Y1140" s="74"/>
      <c r="Z1140" s="74"/>
      <c r="AA1140" s="74"/>
      <c r="AB1140" s="74"/>
      <c r="AC1140" s="74"/>
      <c r="AD1140" s="74"/>
      <c r="AE1140" s="74"/>
      <c r="AF1140" s="74"/>
      <c r="AG1140" s="74"/>
    </row>
    <row r="1141" ht="22.5" customHeight="1">
      <c r="A1141" s="86">
        <v>45810.0</v>
      </c>
      <c r="B1141" s="63" t="s">
        <v>27</v>
      </c>
      <c r="C1141" s="79"/>
      <c r="D1141" s="80">
        <v>57448.0</v>
      </c>
      <c r="E1141" s="66" t="s">
        <v>28</v>
      </c>
      <c r="F1141" s="84" t="s">
        <v>897</v>
      </c>
      <c r="G1141" s="69">
        <v>0.0</v>
      </c>
      <c r="H1141" s="69">
        <f t="shared" si="82"/>
        <v>0</v>
      </c>
      <c r="I1141" s="76" t="s">
        <v>61</v>
      </c>
      <c r="J1141" s="87" t="s">
        <v>901</v>
      </c>
      <c r="K1141" s="95"/>
      <c r="L1141" s="95"/>
      <c r="M1141" s="95"/>
      <c r="N1141" s="72">
        <f t="shared" si="83"/>
        <v>0</v>
      </c>
      <c r="O1141" s="96"/>
      <c r="P1141" s="74"/>
      <c r="Q1141" s="74"/>
      <c r="R1141" s="74"/>
      <c r="S1141" s="74"/>
      <c r="T1141" s="74"/>
      <c r="U1141" s="74"/>
      <c r="V1141" s="74"/>
      <c r="W1141" s="74"/>
      <c r="X1141" s="74"/>
      <c r="Y1141" s="74"/>
      <c r="Z1141" s="74"/>
      <c r="AA1141" s="74"/>
      <c r="AB1141" s="74"/>
      <c r="AC1141" s="74"/>
      <c r="AD1141" s="74"/>
      <c r="AE1141" s="74"/>
      <c r="AF1141" s="74"/>
      <c r="AG1141" s="74"/>
    </row>
    <row r="1142" ht="22.5" customHeight="1">
      <c r="A1142" s="86">
        <v>45810.0</v>
      </c>
      <c r="B1142" s="63" t="s">
        <v>27</v>
      </c>
      <c r="C1142" s="79"/>
      <c r="D1142" s="80">
        <v>192794.7</v>
      </c>
      <c r="E1142" s="66" t="s">
        <v>28</v>
      </c>
      <c r="F1142" s="84" t="s">
        <v>674</v>
      </c>
      <c r="G1142" s="68">
        <v>20.0</v>
      </c>
      <c r="H1142" s="69">
        <f t="shared" si="82"/>
        <v>32132.45</v>
      </c>
      <c r="I1142" s="76" t="s">
        <v>101</v>
      </c>
      <c r="J1142" s="146" t="s">
        <v>632</v>
      </c>
      <c r="K1142" s="95"/>
      <c r="L1142" s="95"/>
      <c r="M1142" s="95"/>
      <c r="N1142" s="72">
        <f t="shared" si="83"/>
        <v>0</v>
      </c>
      <c r="O1142" s="140" t="s">
        <v>902</v>
      </c>
      <c r="P1142" s="74"/>
      <c r="Q1142" s="74"/>
      <c r="R1142" s="74"/>
      <c r="S1142" s="74"/>
      <c r="T1142" s="74"/>
      <c r="U1142" s="74"/>
      <c r="V1142" s="74"/>
      <c r="W1142" s="74"/>
      <c r="X1142" s="74"/>
      <c r="Y1142" s="74"/>
      <c r="Z1142" s="74"/>
      <c r="AA1142" s="74"/>
      <c r="AB1142" s="74"/>
      <c r="AC1142" s="74"/>
      <c r="AD1142" s="74"/>
      <c r="AE1142" s="74"/>
      <c r="AF1142" s="74"/>
      <c r="AG1142" s="74"/>
    </row>
    <row r="1143" ht="22.5" customHeight="1">
      <c r="A1143" s="86">
        <v>45810.0</v>
      </c>
      <c r="B1143" s="63" t="s">
        <v>27</v>
      </c>
      <c r="C1143" s="79"/>
      <c r="D1143" s="80">
        <v>220000.0</v>
      </c>
      <c r="E1143" s="66" t="s">
        <v>33</v>
      </c>
      <c r="F1143" s="84" t="s">
        <v>674</v>
      </c>
      <c r="G1143" s="68">
        <v>0.0</v>
      </c>
      <c r="H1143" s="69">
        <f t="shared" si="82"/>
        <v>0</v>
      </c>
      <c r="I1143" s="76" t="s">
        <v>93</v>
      </c>
      <c r="J1143" s="87" t="s">
        <v>903</v>
      </c>
      <c r="K1143" s="95"/>
      <c r="L1143" s="95"/>
      <c r="M1143" s="95"/>
      <c r="N1143" s="72">
        <f t="shared" si="83"/>
        <v>0</v>
      </c>
      <c r="O1143" s="96"/>
      <c r="P1143" s="74"/>
      <c r="Q1143" s="74"/>
      <c r="R1143" s="74"/>
      <c r="S1143" s="74"/>
      <c r="T1143" s="74"/>
      <c r="U1143" s="74"/>
      <c r="V1143" s="74"/>
      <c r="W1143" s="74"/>
      <c r="X1143" s="74"/>
      <c r="Y1143" s="74"/>
      <c r="Z1143" s="74"/>
      <c r="AA1143" s="74"/>
      <c r="AB1143" s="74"/>
      <c r="AC1143" s="74"/>
      <c r="AD1143" s="74"/>
      <c r="AE1143" s="74"/>
      <c r="AF1143" s="74"/>
      <c r="AG1143" s="74"/>
    </row>
    <row r="1144" ht="22.5" customHeight="1">
      <c r="A1144" s="86">
        <v>45810.0</v>
      </c>
      <c r="B1144" s="63" t="s">
        <v>27</v>
      </c>
      <c r="C1144" s="79"/>
      <c r="D1144" s="80">
        <v>3000.0</v>
      </c>
      <c r="E1144" s="66" t="s">
        <v>33</v>
      </c>
      <c r="F1144" s="84" t="s">
        <v>897</v>
      </c>
      <c r="G1144" s="68">
        <v>0.0</v>
      </c>
      <c r="H1144" s="69">
        <f t="shared" si="82"/>
        <v>0</v>
      </c>
      <c r="I1144" s="76" t="s">
        <v>490</v>
      </c>
      <c r="J1144" s="87" t="s">
        <v>904</v>
      </c>
      <c r="K1144" s="95"/>
      <c r="L1144" s="95"/>
      <c r="M1144" s="95"/>
      <c r="N1144" s="72">
        <f t="shared" si="83"/>
        <v>0</v>
      </c>
      <c r="O1144" s="96"/>
      <c r="P1144" s="74"/>
      <c r="Q1144" s="74"/>
      <c r="R1144" s="74"/>
      <c r="S1144" s="74"/>
      <c r="T1144" s="74"/>
      <c r="U1144" s="74"/>
      <c r="V1144" s="74"/>
      <c r="W1144" s="74"/>
      <c r="X1144" s="74"/>
      <c r="Y1144" s="74"/>
      <c r="Z1144" s="74"/>
      <c r="AA1144" s="74"/>
      <c r="AB1144" s="74"/>
      <c r="AC1144" s="74"/>
      <c r="AD1144" s="74"/>
      <c r="AE1144" s="74"/>
      <c r="AF1144" s="74"/>
      <c r="AG1144" s="74"/>
    </row>
    <row r="1145" ht="22.5" customHeight="1">
      <c r="A1145" s="86">
        <v>45810.0</v>
      </c>
      <c r="B1145" s="63" t="s">
        <v>27</v>
      </c>
      <c r="C1145" s="79"/>
      <c r="D1145" s="80">
        <v>2500.0</v>
      </c>
      <c r="E1145" s="66" t="s">
        <v>33</v>
      </c>
      <c r="F1145" s="84" t="s">
        <v>897</v>
      </c>
      <c r="G1145" s="68">
        <v>0.0</v>
      </c>
      <c r="H1145" s="69">
        <f t="shared" si="82"/>
        <v>0</v>
      </c>
      <c r="I1145" s="76" t="s">
        <v>495</v>
      </c>
      <c r="J1145" s="87" t="s">
        <v>848</v>
      </c>
      <c r="K1145" s="95"/>
      <c r="L1145" s="95"/>
      <c r="M1145" s="95"/>
      <c r="N1145" s="72">
        <f t="shared" si="83"/>
        <v>0</v>
      </c>
      <c r="O1145" s="96"/>
      <c r="P1145" s="74"/>
      <c r="Q1145" s="74"/>
      <c r="R1145" s="74"/>
      <c r="S1145" s="74"/>
      <c r="T1145" s="74"/>
      <c r="U1145" s="74"/>
      <c r="V1145" s="74"/>
      <c r="W1145" s="74"/>
      <c r="X1145" s="74"/>
      <c r="Y1145" s="74"/>
      <c r="Z1145" s="74"/>
      <c r="AA1145" s="74"/>
      <c r="AB1145" s="74"/>
      <c r="AC1145" s="74"/>
      <c r="AD1145" s="74"/>
      <c r="AE1145" s="74"/>
      <c r="AF1145" s="74"/>
      <c r="AG1145" s="74"/>
    </row>
    <row r="1146" ht="22.5" customHeight="1">
      <c r="A1146" s="86">
        <v>45811.0</v>
      </c>
      <c r="B1146" s="63" t="s">
        <v>27</v>
      </c>
      <c r="C1146" s="79"/>
      <c r="D1146" s="80">
        <v>665000.0</v>
      </c>
      <c r="E1146" s="66" t="s">
        <v>33</v>
      </c>
      <c r="F1146" s="84" t="s">
        <v>800</v>
      </c>
      <c r="G1146" s="68">
        <v>0.0</v>
      </c>
      <c r="H1146" s="69">
        <f t="shared" si="82"/>
        <v>0</v>
      </c>
      <c r="I1146" s="76" t="s">
        <v>68</v>
      </c>
      <c r="J1146" s="87" t="s">
        <v>905</v>
      </c>
      <c r="K1146" s="95"/>
      <c r="L1146" s="95"/>
      <c r="M1146" s="95"/>
      <c r="N1146" s="72">
        <f t="shared" si="83"/>
        <v>0</v>
      </c>
      <c r="O1146" s="96"/>
      <c r="P1146" s="74"/>
      <c r="Q1146" s="74"/>
      <c r="R1146" s="74"/>
      <c r="S1146" s="74"/>
      <c r="T1146" s="74"/>
      <c r="U1146" s="74"/>
      <c r="V1146" s="74"/>
      <c r="W1146" s="74"/>
      <c r="X1146" s="74"/>
      <c r="Y1146" s="74"/>
      <c r="Z1146" s="74"/>
      <c r="AA1146" s="74"/>
      <c r="AB1146" s="74"/>
      <c r="AC1146" s="74"/>
      <c r="AD1146" s="74"/>
      <c r="AE1146" s="74"/>
      <c r="AF1146" s="74"/>
      <c r="AG1146" s="74"/>
    </row>
    <row r="1147" ht="22.5" customHeight="1">
      <c r="A1147" s="86">
        <v>45811.0</v>
      </c>
      <c r="B1147" s="63" t="s">
        <v>27</v>
      </c>
      <c r="C1147" s="79"/>
      <c r="D1147" s="80">
        <v>100000.0</v>
      </c>
      <c r="E1147" s="66" t="s">
        <v>33</v>
      </c>
      <c r="F1147" s="84" t="s">
        <v>897</v>
      </c>
      <c r="G1147" s="68">
        <v>0.0</v>
      </c>
      <c r="H1147" s="69">
        <f t="shared" si="82"/>
        <v>0</v>
      </c>
      <c r="I1147" s="76" t="s">
        <v>490</v>
      </c>
      <c r="J1147" s="87" t="s">
        <v>906</v>
      </c>
      <c r="K1147" s="95"/>
      <c r="L1147" s="95"/>
      <c r="M1147" s="95"/>
      <c r="N1147" s="72">
        <f t="shared" si="83"/>
        <v>0</v>
      </c>
      <c r="O1147" s="96"/>
      <c r="P1147" s="74"/>
      <c r="Q1147" s="74"/>
      <c r="R1147" s="74"/>
      <c r="S1147" s="74"/>
      <c r="T1147" s="74"/>
      <c r="U1147" s="74"/>
      <c r="V1147" s="74"/>
      <c r="W1147" s="74"/>
      <c r="X1147" s="74"/>
      <c r="Y1147" s="74"/>
      <c r="Z1147" s="74"/>
      <c r="AA1147" s="74"/>
      <c r="AB1147" s="74"/>
      <c r="AC1147" s="74"/>
      <c r="AD1147" s="74"/>
      <c r="AE1147" s="74"/>
      <c r="AF1147" s="74"/>
      <c r="AG1147" s="74"/>
    </row>
    <row r="1148" ht="22.5" customHeight="1">
      <c r="A1148" s="86">
        <v>45811.0</v>
      </c>
      <c r="B1148" s="63" t="s">
        <v>27</v>
      </c>
      <c r="C1148" s="79"/>
      <c r="D1148" s="80">
        <v>8400.0</v>
      </c>
      <c r="E1148" s="66" t="s">
        <v>33</v>
      </c>
      <c r="F1148" s="84" t="s">
        <v>897</v>
      </c>
      <c r="G1148" s="68">
        <v>0.0</v>
      </c>
      <c r="H1148" s="69">
        <f t="shared" si="82"/>
        <v>0</v>
      </c>
      <c r="I1148" s="76" t="s">
        <v>490</v>
      </c>
      <c r="J1148" s="87" t="s">
        <v>907</v>
      </c>
      <c r="K1148" s="95"/>
      <c r="L1148" s="95"/>
      <c r="M1148" s="95"/>
      <c r="N1148" s="72">
        <f t="shared" si="83"/>
        <v>0</v>
      </c>
      <c r="O1148" s="96"/>
      <c r="P1148" s="74"/>
      <c r="Q1148" s="74"/>
      <c r="R1148" s="74"/>
      <c r="S1148" s="74"/>
      <c r="T1148" s="74"/>
      <c r="U1148" s="74"/>
      <c r="V1148" s="74"/>
      <c r="W1148" s="74"/>
      <c r="X1148" s="74"/>
      <c r="Y1148" s="74"/>
      <c r="Z1148" s="74"/>
      <c r="AA1148" s="74"/>
      <c r="AB1148" s="74"/>
      <c r="AC1148" s="74"/>
      <c r="AD1148" s="74"/>
      <c r="AE1148" s="74"/>
      <c r="AF1148" s="74"/>
      <c r="AG1148" s="74"/>
    </row>
    <row r="1149" ht="22.5" customHeight="1">
      <c r="A1149" s="86">
        <v>45811.0</v>
      </c>
      <c r="B1149" s="63" t="s">
        <v>27</v>
      </c>
      <c r="C1149" s="79"/>
      <c r="D1149" s="80">
        <v>2500.0</v>
      </c>
      <c r="E1149" s="66" t="s">
        <v>33</v>
      </c>
      <c r="F1149" s="84" t="s">
        <v>897</v>
      </c>
      <c r="G1149" s="68">
        <v>0.0</v>
      </c>
      <c r="H1149" s="69">
        <f t="shared" si="82"/>
        <v>0</v>
      </c>
      <c r="I1149" s="76" t="s">
        <v>495</v>
      </c>
      <c r="J1149" s="87" t="s">
        <v>720</v>
      </c>
      <c r="K1149" s="95"/>
      <c r="L1149" s="95"/>
      <c r="M1149" s="95"/>
      <c r="N1149" s="72">
        <f t="shared" si="83"/>
        <v>0</v>
      </c>
      <c r="O1149" s="96"/>
      <c r="P1149" s="74"/>
      <c r="Q1149" s="74"/>
      <c r="R1149" s="74"/>
      <c r="S1149" s="74"/>
      <c r="T1149" s="74"/>
      <c r="U1149" s="74"/>
      <c r="V1149" s="74"/>
      <c r="W1149" s="74"/>
      <c r="X1149" s="74"/>
      <c r="Y1149" s="74"/>
      <c r="Z1149" s="74"/>
      <c r="AA1149" s="74"/>
      <c r="AB1149" s="74"/>
      <c r="AC1149" s="74"/>
      <c r="AD1149" s="74"/>
      <c r="AE1149" s="74"/>
      <c r="AF1149" s="74"/>
      <c r="AG1149" s="74"/>
    </row>
    <row r="1150" ht="22.5" customHeight="1">
      <c r="A1150" s="86">
        <v>45812.0</v>
      </c>
      <c r="B1150" s="63" t="s">
        <v>27</v>
      </c>
      <c r="C1150" s="80">
        <v>237600.0</v>
      </c>
      <c r="D1150" s="79"/>
      <c r="E1150" s="66" t="s">
        <v>376</v>
      </c>
      <c r="F1150" s="84" t="s">
        <v>674</v>
      </c>
      <c r="G1150" s="68">
        <v>20.0</v>
      </c>
      <c r="H1150" s="69">
        <f t="shared" si="82"/>
        <v>39600</v>
      </c>
      <c r="I1150" s="76" t="s">
        <v>37</v>
      </c>
      <c r="J1150" s="87" t="s">
        <v>878</v>
      </c>
      <c r="K1150" s="82" t="s">
        <v>908</v>
      </c>
      <c r="L1150" s="82">
        <v>150.0</v>
      </c>
      <c r="M1150" s="128">
        <v>45763.0</v>
      </c>
      <c r="N1150" s="72">
        <f t="shared" si="83"/>
        <v>49</v>
      </c>
      <c r="O1150" s="96"/>
      <c r="P1150" s="74"/>
      <c r="Q1150" s="74"/>
      <c r="R1150" s="74"/>
      <c r="S1150" s="74"/>
      <c r="T1150" s="74"/>
      <c r="U1150" s="74"/>
      <c r="V1150" s="74"/>
      <c r="W1150" s="74"/>
      <c r="X1150" s="74"/>
      <c r="Y1150" s="74"/>
      <c r="Z1150" s="74"/>
      <c r="AA1150" s="74"/>
      <c r="AB1150" s="74"/>
      <c r="AC1150" s="74"/>
      <c r="AD1150" s="74"/>
      <c r="AE1150" s="74"/>
      <c r="AF1150" s="74"/>
      <c r="AG1150" s="74"/>
    </row>
    <row r="1151" ht="22.5" customHeight="1">
      <c r="A1151" s="86">
        <v>45812.0</v>
      </c>
      <c r="B1151" s="63" t="s">
        <v>27</v>
      </c>
      <c r="C1151" s="80">
        <v>237600.0</v>
      </c>
      <c r="D1151" s="79"/>
      <c r="E1151" s="66" t="s">
        <v>376</v>
      </c>
      <c r="F1151" s="84" t="s">
        <v>674</v>
      </c>
      <c r="G1151" s="68">
        <v>20.0</v>
      </c>
      <c r="H1151" s="69">
        <f t="shared" si="82"/>
        <v>39600</v>
      </c>
      <c r="I1151" s="76" t="s">
        <v>37</v>
      </c>
      <c r="J1151" s="87" t="s">
        <v>878</v>
      </c>
      <c r="K1151" s="82" t="s">
        <v>909</v>
      </c>
      <c r="L1151" s="82">
        <v>151.0</v>
      </c>
      <c r="M1151" s="128">
        <v>45763.0</v>
      </c>
      <c r="N1151" s="72">
        <f t="shared" si="83"/>
        <v>49</v>
      </c>
      <c r="O1151" s="96"/>
      <c r="P1151" s="74"/>
      <c r="Q1151" s="74"/>
      <c r="R1151" s="74"/>
      <c r="S1151" s="74"/>
      <c r="T1151" s="74"/>
      <c r="U1151" s="74"/>
      <c r="V1151" s="74"/>
      <c r="W1151" s="74"/>
      <c r="X1151" s="74"/>
      <c r="Y1151" s="74"/>
      <c r="Z1151" s="74"/>
      <c r="AA1151" s="74"/>
      <c r="AB1151" s="74"/>
      <c r="AC1151" s="74"/>
      <c r="AD1151" s="74"/>
      <c r="AE1151" s="74"/>
      <c r="AF1151" s="74"/>
      <c r="AG1151" s="74"/>
    </row>
    <row r="1152" ht="22.5" customHeight="1">
      <c r="A1152" s="86">
        <v>45813.0</v>
      </c>
      <c r="B1152" s="63" t="s">
        <v>27</v>
      </c>
      <c r="C1152" s="79"/>
      <c r="D1152" s="80">
        <v>370000.0</v>
      </c>
      <c r="E1152" s="66" t="s">
        <v>33</v>
      </c>
      <c r="F1152" s="84" t="s">
        <v>897</v>
      </c>
      <c r="G1152" s="68">
        <v>0.0</v>
      </c>
      <c r="H1152" s="69">
        <f t="shared" si="82"/>
        <v>0</v>
      </c>
      <c r="I1152" s="76" t="s">
        <v>53</v>
      </c>
      <c r="J1152" s="87" t="s">
        <v>905</v>
      </c>
      <c r="K1152" s="95"/>
      <c r="L1152" s="95"/>
      <c r="M1152" s="95"/>
      <c r="N1152" s="72">
        <f t="shared" si="83"/>
        <v>0</v>
      </c>
      <c r="O1152" s="96"/>
      <c r="P1152" s="74"/>
      <c r="Q1152" s="74"/>
      <c r="R1152" s="74"/>
      <c r="S1152" s="74"/>
      <c r="T1152" s="74"/>
      <c r="U1152" s="74"/>
      <c r="V1152" s="74"/>
      <c r="W1152" s="74"/>
      <c r="X1152" s="74"/>
      <c r="Y1152" s="74"/>
      <c r="Z1152" s="74"/>
      <c r="AA1152" s="74"/>
      <c r="AB1152" s="74"/>
      <c r="AC1152" s="74"/>
      <c r="AD1152" s="74"/>
      <c r="AE1152" s="74"/>
      <c r="AF1152" s="74"/>
      <c r="AG1152" s="74"/>
    </row>
    <row r="1153" ht="22.5" customHeight="1">
      <c r="A1153" s="86">
        <v>45813.0</v>
      </c>
      <c r="B1153" s="63" t="s">
        <v>27</v>
      </c>
      <c r="C1153" s="79"/>
      <c r="D1153" s="80">
        <v>20400.0</v>
      </c>
      <c r="E1153" s="66" t="s">
        <v>28</v>
      </c>
      <c r="F1153" s="84" t="s">
        <v>800</v>
      </c>
      <c r="G1153" s="68">
        <v>20.0</v>
      </c>
      <c r="H1153" s="69">
        <f t="shared" si="82"/>
        <v>3400</v>
      </c>
      <c r="I1153" s="76" t="s">
        <v>495</v>
      </c>
      <c r="J1153" s="98" t="s">
        <v>910</v>
      </c>
      <c r="K1153" s="95"/>
      <c r="L1153" s="95"/>
      <c r="M1153" s="95"/>
      <c r="N1153" s="72">
        <f t="shared" si="83"/>
        <v>0</v>
      </c>
      <c r="O1153" s="140" t="s">
        <v>911</v>
      </c>
      <c r="P1153" s="74"/>
      <c r="Q1153" s="74"/>
      <c r="R1153" s="74"/>
      <c r="S1153" s="74"/>
      <c r="T1153" s="74"/>
      <c r="U1153" s="74"/>
      <c r="V1153" s="74"/>
      <c r="W1153" s="74"/>
      <c r="X1153" s="74"/>
      <c r="Y1153" s="74"/>
      <c r="Z1153" s="74"/>
      <c r="AA1153" s="74"/>
      <c r="AB1153" s="74"/>
      <c r="AC1153" s="74"/>
      <c r="AD1153" s="74"/>
      <c r="AE1153" s="74"/>
      <c r="AF1153" s="74"/>
      <c r="AG1153" s="74"/>
    </row>
    <row r="1154" ht="22.5" customHeight="1">
      <c r="A1154" s="86">
        <v>45813.0</v>
      </c>
      <c r="B1154" s="63" t="s">
        <v>27</v>
      </c>
      <c r="C1154" s="79"/>
      <c r="D1154" s="80">
        <v>6580.64</v>
      </c>
      <c r="E1154" s="66" t="s">
        <v>28</v>
      </c>
      <c r="F1154" s="84" t="s">
        <v>800</v>
      </c>
      <c r="G1154" s="68">
        <v>20.0</v>
      </c>
      <c r="H1154" s="69">
        <f t="shared" si="82"/>
        <v>1096.773333</v>
      </c>
      <c r="I1154" s="76" t="s">
        <v>495</v>
      </c>
      <c r="J1154" s="98" t="s">
        <v>910</v>
      </c>
      <c r="K1154" s="95"/>
      <c r="L1154" s="95"/>
      <c r="M1154" s="95"/>
      <c r="N1154" s="72">
        <f t="shared" si="83"/>
        <v>0</v>
      </c>
      <c r="O1154" s="140" t="s">
        <v>912</v>
      </c>
      <c r="P1154" s="74"/>
      <c r="Q1154" s="74"/>
      <c r="R1154" s="74"/>
      <c r="S1154" s="74"/>
      <c r="T1154" s="74"/>
      <c r="U1154" s="74"/>
      <c r="V1154" s="74"/>
      <c r="W1154" s="74"/>
      <c r="X1154" s="74"/>
      <c r="Y1154" s="74"/>
      <c r="Z1154" s="74"/>
      <c r="AA1154" s="74"/>
      <c r="AB1154" s="74"/>
      <c r="AC1154" s="74"/>
      <c r="AD1154" s="74"/>
      <c r="AE1154" s="74"/>
      <c r="AF1154" s="74"/>
      <c r="AG1154" s="74"/>
    </row>
    <row r="1155" ht="22.5" customHeight="1">
      <c r="A1155" s="86">
        <v>45813.0</v>
      </c>
      <c r="B1155" s="63" t="s">
        <v>27</v>
      </c>
      <c r="C1155" s="79"/>
      <c r="D1155" s="80">
        <v>64626.0</v>
      </c>
      <c r="E1155" s="66" t="s">
        <v>28</v>
      </c>
      <c r="F1155" s="84" t="s">
        <v>800</v>
      </c>
      <c r="G1155" s="69">
        <v>0.0</v>
      </c>
      <c r="H1155" s="69">
        <f t="shared" si="82"/>
        <v>0</v>
      </c>
      <c r="I1155" s="94" t="s">
        <v>599</v>
      </c>
      <c r="J1155" s="87" t="s">
        <v>72</v>
      </c>
      <c r="K1155" s="95"/>
      <c r="L1155" s="95"/>
      <c r="M1155" s="95"/>
      <c r="N1155" s="72">
        <f t="shared" si="83"/>
        <v>0</v>
      </c>
      <c r="O1155" s="96"/>
      <c r="P1155" s="74"/>
      <c r="Q1155" s="74"/>
      <c r="R1155" s="74"/>
      <c r="S1155" s="74"/>
      <c r="T1155" s="74"/>
      <c r="U1155" s="74"/>
      <c r="V1155" s="74"/>
      <c r="W1155" s="74"/>
      <c r="X1155" s="74"/>
      <c r="Y1155" s="74"/>
      <c r="Z1155" s="74"/>
      <c r="AA1155" s="74"/>
      <c r="AB1155" s="74"/>
      <c r="AC1155" s="74"/>
      <c r="AD1155" s="74"/>
      <c r="AE1155" s="74"/>
      <c r="AF1155" s="74"/>
      <c r="AG1155" s="74"/>
    </row>
    <row r="1156" ht="22.5" customHeight="1">
      <c r="A1156" s="86">
        <v>45818.0</v>
      </c>
      <c r="B1156" s="63" t="s">
        <v>27</v>
      </c>
      <c r="C1156" s="80">
        <v>3015000.0</v>
      </c>
      <c r="D1156" s="79"/>
      <c r="E1156" s="66" t="s">
        <v>28</v>
      </c>
      <c r="F1156" s="84" t="s">
        <v>674</v>
      </c>
      <c r="G1156" s="68">
        <v>20.0</v>
      </c>
      <c r="H1156" s="69">
        <f t="shared" si="82"/>
        <v>502500</v>
      </c>
      <c r="I1156" s="76" t="s">
        <v>37</v>
      </c>
      <c r="J1156" s="87" t="s">
        <v>474</v>
      </c>
      <c r="K1156" s="82" t="s">
        <v>853</v>
      </c>
      <c r="L1156" s="82">
        <v>144.0</v>
      </c>
      <c r="M1156" s="128">
        <v>45758.0</v>
      </c>
      <c r="N1156" s="72">
        <f t="shared" si="83"/>
        <v>60</v>
      </c>
      <c r="O1156" s="96"/>
      <c r="P1156" s="74"/>
      <c r="Q1156" s="74"/>
      <c r="R1156" s="74"/>
      <c r="S1156" s="74"/>
      <c r="T1156" s="74"/>
      <c r="U1156" s="74"/>
      <c r="V1156" s="74"/>
      <c r="W1156" s="74"/>
      <c r="X1156" s="74"/>
      <c r="Y1156" s="74"/>
      <c r="Z1156" s="74"/>
      <c r="AA1156" s="74"/>
      <c r="AB1156" s="74"/>
      <c r="AC1156" s="74"/>
      <c r="AD1156" s="74"/>
      <c r="AE1156" s="74"/>
      <c r="AF1156" s="74"/>
      <c r="AG1156" s="74"/>
    </row>
    <row r="1157" ht="22.5" customHeight="1">
      <c r="A1157" s="86">
        <v>45818.0</v>
      </c>
      <c r="B1157" s="63" t="s">
        <v>27</v>
      </c>
      <c r="C1157" s="80">
        <v>681600.0</v>
      </c>
      <c r="D1157" s="79"/>
      <c r="E1157" s="66" t="s">
        <v>28</v>
      </c>
      <c r="F1157" s="84" t="s">
        <v>674</v>
      </c>
      <c r="G1157" s="68">
        <v>20.0</v>
      </c>
      <c r="H1157" s="69">
        <f t="shared" si="82"/>
        <v>113600</v>
      </c>
      <c r="I1157" s="76" t="s">
        <v>37</v>
      </c>
      <c r="J1157" s="87" t="s">
        <v>474</v>
      </c>
      <c r="K1157" s="82" t="s">
        <v>852</v>
      </c>
      <c r="L1157" s="82">
        <v>145.0</v>
      </c>
      <c r="M1157" s="128">
        <v>45758.0</v>
      </c>
      <c r="N1157" s="72">
        <f t="shared" si="83"/>
        <v>60</v>
      </c>
      <c r="O1157" s="96"/>
      <c r="P1157" s="74"/>
      <c r="Q1157" s="74"/>
      <c r="R1157" s="74"/>
      <c r="S1157" s="74"/>
      <c r="T1157" s="74"/>
      <c r="U1157" s="74"/>
      <c r="V1157" s="74"/>
      <c r="W1157" s="74"/>
      <c r="X1157" s="74"/>
      <c r="Y1157" s="74"/>
      <c r="Z1157" s="74"/>
      <c r="AA1157" s="74"/>
      <c r="AB1157" s="74"/>
      <c r="AC1157" s="74"/>
      <c r="AD1157" s="74"/>
      <c r="AE1157" s="74"/>
      <c r="AF1157" s="74"/>
      <c r="AG1157" s="74"/>
    </row>
    <row r="1158" ht="22.5" customHeight="1">
      <c r="A1158" s="86">
        <v>45818.0</v>
      </c>
      <c r="B1158" s="63" t="s">
        <v>27</v>
      </c>
      <c r="C1158" s="79"/>
      <c r="D1158" s="79">
        <f>688475.61+24038+511.68</f>
        <v>713025.29</v>
      </c>
      <c r="E1158" s="66" t="s">
        <v>28</v>
      </c>
      <c r="F1158" s="84" t="s">
        <v>800</v>
      </c>
      <c r="G1158" s="69">
        <v>0.0</v>
      </c>
      <c r="H1158" s="69">
        <f t="shared" si="82"/>
        <v>0</v>
      </c>
      <c r="I1158" s="76" t="s">
        <v>68</v>
      </c>
      <c r="J1158" s="87" t="s">
        <v>913</v>
      </c>
      <c r="K1158" s="95"/>
      <c r="L1158" s="95"/>
      <c r="M1158" s="95"/>
      <c r="N1158" s="72">
        <f t="shared" si="83"/>
        <v>0</v>
      </c>
      <c r="O1158" s="96"/>
      <c r="P1158" s="74"/>
      <c r="Q1158" s="74"/>
      <c r="R1158" s="74"/>
      <c r="S1158" s="74"/>
      <c r="T1158" s="74"/>
      <c r="U1158" s="74"/>
      <c r="V1158" s="74"/>
      <c r="W1158" s="74"/>
      <c r="X1158" s="74"/>
      <c r="Y1158" s="74"/>
      <c r="Z1158" s="74"/>
      <c r="AA1158" s="74"/>
      <c r="AB1158" s="74"/>
      <c r="AC1158" s="74"/>
      <c r="AD1158" s="74"/>
      <c r="AE1158" s="74"/>
      <c r="AF1158" s="74"/>
      <c r="AG1158" s="74"/>
    </row>
    <row r="1159" ht="22.5" customHeight="1">
      <c r="A1159" s="86">
        <v>45818.0</v>
      </c>
      <c r="B1159" s="63" t="s">
        <v>27</v>
      </c>
      <c r="C1159" s="79"/>
      <c r="D1159" s="80">
        <v>18500.0</v>
      </c>
      <c r="E1159" s="66" t="s">
        <v>33</v>
      </c>
      <c r="F1159" s="84" t="s">
        <v>800</v>
      </c>
      <c r="G1159" s="68">
        <v>0.0</v>
      </c>
      <c r="H1159" s="69">
        <f t="shared" si="82"/>
        <v>0</v>
      </c>
      <c r="I1159" s="76" t="s">
        <v>495</v>
      </c>
      <c r="J1159" s="87" t="s">
        <v>914</v>
      </c>
      <c r="K1159" s="95"/>
      <c r="L1159" s="95"/>
      <c r="M1159" s="95"/>
      <c r="N1159" s="72">
        <f t="shared" si="83"/>
        <v>0</v>
      </c>
      <c r="O1159" s="96"/>
      <c r="P1159" s="74"/>
      <c r="Q1159" s="74"/>
      <c r="R1159" s="74"/>
      <c r="S1159" s="74"/>
      <c r="T1159" s="74"/>
      <c r="U1159" s="74"/>
      <c r="V1159" s="74"/>
      <c r="W1159" s="74"/>
      <c r="X1159" s="74"/>
      <c r="Y1159" s="74"/>
      <c r="Z1159" s="74"/>
      <c r="AA1159" s="74"/>
      <c r="AB1159" s="74"/>
      <c r="AC1159" s="74"/>
      <c r="AD1159" s="74"/>
      <c r="AE1159" s="74"/>
      <c r="AF1159" s="74"/>
      <c r="AG1159" s="74"/>
    </row>
    <row r="1160" ht="22.5" customHeight="1">
      <c r="A1160" s="86">
        <v>45818.0</v>
      </c>
      <c r="B1160" s="63" t="s">
        <v>27</v>
      </c>
      <c r="C1160" s="79"/>
      <c r="D1160" s="80">
        <v>2000.0</v>
      </c>
      <c r="E1160" s="66" t="s">
        <v>33</v>
      </c>
      <c r="F1160" s="84" t="s">
        <v>800</v>
      </c>
      <c r="G1160" s="68">
        <v>0.0</v>
      </c>
      <c r="H1160" s="69">
        <f t="shared" si="82"/>
        <v>0</v>
      </c>
      <c r="I1160" s="76" t="s">
        <v>495</v>
      </c>
      <c r="J1160" s="87" t="s">
        <v>848</v>
      </c>
      <c r="K1160" s="95"/>
      <c r="L1160" s="95"/>
      <c r="M1160" s="95"/>
      <c r="N1160" s="72">
        <f t="shared" si="83"/>
        <v>0</v>
      </c>
      <c r="O1160" s="96"/>
      <c r="P1160" s="74"/>
      <c r="Q1160" s="74"/>
      <c r="R1160" s="74"/>
      <c r="S1160" s="74"/>
      <c r="T1160" s="74"/>
      <c r="U1160" s="74"/>
      <c r="V1160" s="74"/>
      <c r="W1160" s="74"/>
      <c r="X1160" s="74"/>
      <c r="Y1160" s="74"/>
      <c r="Z1160" s="74"/>
      <c r="AA1160" s="74"/>
      <c r="AB1160" s="74"/>
      <c r="AC1160" s="74"/>
      <c r="AD1160" s="74"/>
      <c r="AE1160" s="74"/>
      <c r="AF1160" s="74"/>
      <c r="AG1160" s="74"/>
    </row>
    <row r="1161" ht="22.5" customHeight="1">
      <c r="A1161" s="86">
        <v>45819.0</v>
      </c>
      <c r="B1161" s="63" t="s">
        <v>27</v>
      </c>
      <c r="C1161" s="79"/>
      <c r="D1161" s="80">
        <v>3796855.67</v>
      </c>
      <c r="E1161" s="66" t="s">
        <v>376</v>
      </c>
      <c r="F1161" s="84" t="s">
        <v>722</v>
      </c>
      <c r="G1161" s="68">
        <v>20.0</v>
      </c>
      <c r="H1161" s="69">
        <f t="shared" si="82"/>
        <v>632809.2783</v>
      </c>
      <c r="I1161" s="76" t="s">
        <v>61</v>
      </c>
      <c r="J1161" s="103" t="s">
        <v>228</v>
      </c>
      <c r="K1161" s="95"/>
      <c r="L1161" s="95"/>
      <c r="M1161" s="95"/>
      <c r="N1161" s="72">
        <f t="shared" si="83"/>
        <v>0</v>
      </c>
      <c r="O1161" s="140" t="s">
        <v>915</v>
      </c>
      <c r="P1161" s="74"/>
      <c r="Q1161" s="74"/>
      <c r="R1161" s="74"/>
      <c r="S1161" s="74"/>
      <c r="T1161" s="74"/>
      <c r="U1161" s="74"/>
      <c r="V1161" s="74"/>
      <c r="W1161" s="74"/>
      <c r="X1161" s="74"/>
      <c r="Y1161" s="74"/>
      <c r="Z1161" s="74"/>
      <c r="AA1161" s="74"/>
      <c r="AB1161" s="74"/>
      <c r="AC1161" s="74"/>
      <c r="AD1161" s="74"/>
      <c r="AE1161" s="74"/>
      <c r="AF1161" s="74"/>
      <c r="AG1161" s="74"/>
    </row>
    <row r="1162" ht="22.5" customHeight="1">
      <c r="A1162" s="86">
        <v>45819.0</v>
      </c>
      <c r="B1162" s="63" t="s">
        <v>27</v>
      </c>
      <c r="C1162" s="79"/>
      <c r="D1162" s="80">
        <v>31400.0</v>
      </c>
      <c r="E1162" s="66" t="s">
        <v>33</v>
      </c>
      <c r="F1162" s="84" t="s">
        <v>800</v>
      </c>
      <c r="G1162" s="68">
        <v>0.0</v>
      </c>
      <c r="H1162" s="69">
        <f t="shared" si="82"/>
        <v>0</v>
      </c>
      <c r="I1162" s="76" t="s">
        <v>93</v>
      </c>
      <c r="J1162" s="87" t="s">
        <v>916</v>
      </c>
      <c r="K1162" s="95"/>
      <c r="L1162" s="95"/>
      <c r="M1162" s="95"/>
      <c r="N1162" s="72">
        <f t="shared" si="83"/>
        <v>0</v>
      </c>
      <c r="O1162" s="96"/>
      <c r="P1162" s="74"/>
      <c r="Q1162" s="74"/>
      <c r="R1162" s="74"/>
      <c r="S1162" s="74"/>
      <c r="T1162" s="74"/>
      <c r="U1162" s="74"/>
      <c r="V1162" s="74"/>
      <c r="W1162" s="74"/>
      <c r="X1162" s="74"/>
      <c r="Y1162" s="74"/>
      <c r="Z1162" s="74"/>
      <c r="AA1162" s="74"/>
      <c r="AB1162" s="74"/>
      <c r="AC1162" s="74"/>
      <c r="AD1162" s="74"/>
      <c r="AE1162" s="74"/>
      <c r="AF1162" s="74"/>
      <c r="AG1162" s="74"/>
    </row>
    <row r="1163" ht="22.5" customHeight="1">
      <c r="A1163" s="86">
        <v>45819.0</v>
      </c>
      <c r="B1163" s="63" t="s">
        <v>27</v>
      </c>
      <c r="C1163" s="79"/>
      <c r="D1163" s="80">
        <v>15000.0</v>
      </c>
      <c r="E1163" s="66" t="s">
        <v>33</v>
      </c>
      <c r="F1163" s="84" t="s">
        <v>800</v>
      </c>
      <c r="G1163" s="68">
        <v>0.0</v>
      </c>
      <c r="H1163" s="69">
        <f t="shared" si="82"/>
        <v>0</v>
      </c>
      <c r="I1163" s="70" t="s">
        <v>35</v>
      </c>
      <c r="J1163" s="87" t="s">
        <v>917</v>
      </c>
      <c r="K1163" s="95"/>
      <c r="L1163" s="95"/>
      <c r="M1163" s="95"/>
      <c r="N1163" s="72">
        <f t="shared" si="83"/>
        <v>0</v>
      </c>
      <c r="O1163" s="96"/>
      <c r="P1163" s="74"/>
      <c r="Q1163" s="74"/>
      <c r="R1163" s="74"/>
      <c r="S1163" s="74"/>
      <c r="T1163" s="74"/>
      <c r="U1163" s="74"/>
      <c r="V1163" s="74"/>
      <c r="W1163" s="74"/>
      <c r="X1163" s="74"/>
      <c r="Y1163" s="74"/>
      <c r="Z1163" s="74"/>
      <c r="AA1163" s="74"/>
      <c r="AB1163" s="74"/>
      <c r="AC1163" s="74"/>
      <c r="AD1163" s="74"/>
      <c r="AE1163" s="74"/>
      <c r="AF1163" s="74"/>
      <c r="AG1163" s="74"/>
    </row>
    <row r="1164" ht="22.5" customHeight="1">
      <c r="A1164" s="86">
        <v>45824.0</v>
      </c>
      <c r="B1164" s="63" t="s">
        <v>27</v>
      </c>
      <c r="C1164" s="79"/>
      <c r="D1164" s="80">
        <v>217000.0</v>
      </c>
      <c r="E1164" s="66" t="s">
        <v>28</v>
      </c>
      <c r="F1164" s="84" t="s">
        <v>897</v>
      </c>
      <c r="G1164" s="68">
        <v>0.0</v>
      </c>
      <c r="H1164" s="69">
        <f t="shared" si="82"/>
        <v>0</v>
      </c>
      <c r="I1164" s="76" t="s">
        <v>495</v>
      </c>
      <c r="J1164" s="87" t="s">
        <v>691</v>
      </c>
      <c r="K1164" s="95"/>
      <c r="L1164" s="95"/>
      <c r="M1164" s="95"/>
      <c r="N1164" s="72">
        <f t="shared" si="83"/>
        <v>0</v>
      </c>
      <c r="O1164" s="96"/>
      <c r="P1164" s="74"/>
      <c r="Q1164" s="74"/>
      <c r="R1164" s="74"/>
      <c r="S1164" s="74"/>
      <c r="T1164" s="74"/>
      <c r="U1164" s="74"/>
      <c r="V1164" s="74"/>
      <c r="W1164" s="74"/>
      <c r="X1164" s="74"/>
      <c r="Y1164" s="74"/>
      <c r="Z1164" s="74"/>
      <c r="AA1164" s="74"/>
      <c r="AB1164" s="74"/>
      <c r="AC1164" s="74"/>
      <c r="AD1164" s="74"/>
      <c r="AE1164" s="74"/>
      <c r="AF1164" s="74"/>
      <c r="AG1164" s="74"/>
    </row>
    <row r="1165" ht="22.5" customHeight="1">
      <c r="A1165" s="86">
        <v>45824.0</v>
      </c>
      <c r="B1165" s="63" t="s">
        <v>27</v>
      </c>
      <c r="C1165" s="79"/>
      <c r="D1165" s="80">
        <v>550000.0</v>
      </c>
      <c r="E1165" s="66" t="s">
        <v>28</v>
      </c>
      <c r="F1165" s="84" t="s">
        <v>800</v>
      </c>
      <c r="G1165" s="68">
        <v>0.0</v>
      </c>
      <c r="H1165" s="69">
        <f t="shared" si="82"/>
        <v>0</v>
      </c>
      <c r="I1165" s="76" t="s">
        <v>504</v>
      </c>
      <c r="J1165" s="87" t="s">
        <v>505</v>
      </c>
      <c r="K1165" s="95"/>
      <c r="L1165" s="95"/>
      <c r="M1165" s="95"/>
      <c r="N1165" s="72">
        <f t="shared" si="83"/>
        <v>0</v>
      </c>
      <c r="O1165" s="96"/>
      <c r="P1165" s="74"/>
      <c r="Q1165" s="74"/>
      <c r="R1165" s="74"/>
      <c r="S1165" s="74"/>
      <c r="T1165" s="74"/>
      <c r="U1165" s="74"/>
      <c r="V1165" s="74"/>
      <c r="W1165" s="74"/>
      <c r="X1165" s="74"/>
      <c r="Y1165" s="74"/>
      <c r="Z1165" s="74"/>
      <c r="AA1165" s="74"/>
      <c r="AB1165" s="74"/>
      <c r="AC1165" s="74"/>
      <c r="AD1165" s="74"/>
      <c r="AE1165" s="74"/>
      <c r="AF1165" s="74"/>
      <c r="AG1165" s="74"/>
    </row>
    <row r="1166" ht="22.5" customHeight="1">
      <c r="A1166" s="86">
        <v>45824.0</v>
      </c>
      <c r="B1166" s="63" t="s">
        <v>27</v>
      </c>
      <c r="C1166" s="79"/>
      <c r="D1166" s="80">
        <v>650000.0</v>
      </c>
      <c r="E1166" s="66" t="s">
        <v>28</v>
      </c>
      <c r="F1166" s="84" t="s">
        <v>897</v>
      </c>
      <c r="G1166" s="68">
        <v>20.0</v>
      </c>
      <c r="H1166" s="69">
        <f t="shared" si="82"/>
        <v>108333.3333</v>
      </c>
      <c r="I1166" s="76" t="s">
        <v>47</v>
      </c>
      <c r="J1166" s="81"/>
      <c r="K1166" s="95"/>
      <c r="L1166" s="95"/>
      <c r="M1166" s="95"/>
      <c r="N1166" s="72">
        <f t="shared" si="83"/>
        <v>0</v>
      </c>
      <c r="O1166" s="96"/>
      <c r="P1166" s="74"/>
      <c r="Q1166" s="74"/>
      <c r="R1166" s="74"/>
      <c r="S1166" s="74"/>
      <c r="T1166" s="74"/>
      <c r="U1166" s="74"/>
      <c r="V1166" s="74"/>
      <c r="W1166" s="74"/>
      <c r="X1166" s="74"/>
      <c r="Y1166" s="74"/>
      <c r="Z1166" s="74"/>
      <c r="AA1166" s="74"/>
      <c r="AB1166" s="74"/>
      <c r="AC1166" s="74"/>
      <c r="AD1166" s="74"/>
      <c r="AE1166" s="74"/>
      <c r="AF1166" s="74"/>
      <c r="AG1166" s="74"/>
    </row>
    <row r="1167" ht="22.5" customHeight="1">
      <c r="A1167" s="86">
        <v>45824.0</v>
      </c>
      <c r="B1167" s="63" t="s">
        <v>27</v>
      </c>
      <c r="C1167" s="80">
        <v>484250.0</v>
      </c>
      <c r="D1167" s="80"/>
      <c r="E1167" s="66" t="s">
        <v>33</v>
      </c>
      <c r="F1167" s="84" t="s">
        <v>897</v>
      </c>
      <c r="G1167" s="68">
        <v>0.0</v>
      </c>
      <c r="H1167" s="69">
        <f t="shared" si="82"/>
        <v>0</v>
      </c>
      <c r="I1167" s="76" t="s">
        <v>47</v>
      </c>
      <c r="J1167" s="98"/>
      <c r="K1167" s="95"/>
      <c r="L1167" s="95"/>
      <c r="M1167" s="95"/>
      <c r="N1167" s="72">
        <f t="shared" si="83"/>
        <v>0</v>
      </c>
      <c r="O1167" s="96"/>
      <c r="P1167" s="74"/>
      <c r="Q1167" s="74"/>
      <c r="R1167" s="74"/>
      <c r="S1167" s="74"/>
      <c r="T1167" s="74"/>
      <c r="U1167" s="74"/>
      <c r="V1167" s="74"/>
      <c r="W1167" s="74"/>
      <c r="X1167" s="74"/>
      <c r="Y1167" s="74"/>
      <c r="Z1167" s="74"/>
      <c r="AA1167" s="74"/>
      <c r="AB1167" s="74"/>
      <c r="AC1167" s="74"/>
      <c r="AD1167" s="74"/>
      <c r="AE1167" s="74"/>
      <c r="AF1167" s="74"/>
      <c r="AG1167" s="74"/>
    </row>
    <row r="1168" ht="22.5" customHeight="1">
      <c r="A1168" s="86">
        <v>45824.0</v>
      </c>
      <c r="B1168" s="63" t="s">
        <v>27</v>
      </c>
      <c r="C1168" s="79"/>
      <c r="D1168" s="80">
        <v>2632.22</v>
      </c>
      <c r="E1168" s="66" t="s">
        <v>28</v>
      </c>
      <c r="F1168" s="84" t="s">
        <v>897</v>
      </c>
      <c r="G1168" s="69">
        <v>0.0</v>
      </c>
      <c r="H1168" s="69">
        <f t="shared" si="82"/>
        <v>0</v>
      </c>
      <c r="I1168" s="94" t="s">
        <v>599</v>
      </c>
      <c r="J1168" s="87" t="s">
        <v>72</v>
      </c>
      <c r="K1168" s="95"/>
      <c r="L1168" s="95"/>
      <c r="M1168" s="95"/>
      <c r="N1168" s="72">
        <f t="shared" si="83"/>
        <v>0</v>
      </c>
      <c r="O1168" s="96"/>
      <c r="P1168" s="74"/>
      <c r="Q1168" s="74"/>
      <c r="R1168" s="74"/>
      <c r="S1168" s="74"/>
      <c r="T1168" s="74"/>
      <c r="U1168" s="74"/>
      <c r="V1168" s="74"/>
      <c r="W1168" s="74"/>
      <c r="X1168" s="74"/>
      <c r="Y1168" s="74"/>
      <c r="Z1168" s="74"/>
      <c r="AA1168" s="74"/>
      <c r="AB1168" s="74"/>
      <c r="AC1168" s="74"/>
      <c r="AD1168" s="74"/>
      <c r="AE1168" s="74"/>
      <c r="AF1168" s="74"/>
      <c r="AG1168" s="74"/>
    </row>
    <row r="1169" ht="22.5" customHeight="1">
      <c r="A1169" s="86">
        <v>45825.0</v>
      </c>
      <c r="B1169" s="63" t="s">
        <v>27</v>
      </c>
      <c r="C1169" s="80">
        <v>600000.24</v>
      </c>
      <c r="D1169" s="79"/>
      <c r="E1169" s="66" t="s">
        <v>28</v>
      </c>
      <c r="F1169" s="84" t="s">
        <v>674</v>
      </c>
      <c r="G1169" s="68">
        <v>20.0</v>
      </c>
      <c r="H1169" s="69">
        <f t="shared" si="82"/>
        <v>100000.04</v>
      </c>
      <c r="I1169" s="76" t="s">
        <v>37</v>
      </c>
      <c r="J1169" s="87" t="s">
        <v>440</v>
      </c>
      <c r="K1169" s="82" t="s">
        <v>855</v>
      </c>
      <c r="L1169" s="82">
        <v>109.0</v>
      </c>
      <c r="M1169" s="128">
        <v>45757.0</v>
      </c>
      <c r="N1169" s="72">
        <f t="shared" si="83"/>
        <v>68</v>
      </c>
      <c r="O1169" s="96"/>
      <c r="P1169" s="74"/>
      <c r="Q1169" s="74"/>
      <c r="R1169" s="74"/>
      <c r="S1169" s="74"/>
      <c r="T1169" s="74"/>
      <c r="U1169" s="74"/>
      <c r="V1169" s="74"/>
      <c r="W1169" s="74"/>
      <c r="X1169" s="74"/>
      <c r="Y1169" s="74"/>
      <c r="Z1169" s="74"/>
      <c r="AA1169" s="74"/>
      <c r="AB1169" s="74"/>
      <c r="AC1169" s="74"/>
      <c r="AD1169" s="74"/>
      <c r="AE1169" s="74"/>
      <c r="AF1169" s="74"/>
      <c r="AG1169" s="74"/>
    </row>
    <row r="1170" ht="22.5" customHeight="1">
      <c r="A1170" s="86">
        <v>45825.0</v>
      </c>
      <c r="B1170" s="63" t="s">
        <v>27</v>
      </c>
      <c r="C1170" s="80">
        <v>600000.24</v>
      </c>
      <c r="D1170" s="79"/>
      <c r="E1170" s="66" t="s">
        <v>28</v>
      </c>
      <c r="F1170" s="84" t="s">
        <v>674</v>
      </c>
      <c r="G1170" s="68">
        <v>20.0</v>
      </c>
      <c r="H1170" s="69">
        <f t="shared" si="82"/>
        <v>100000.04</v>
      </c>
      <c r="I1170" s="76" t="s">
        <v>37</v>
      </c>
      <c r="J1170" s="87" t="s">
        <v>440</v>
      </c>
      <c r="K1170" s="82" t="s">
        <v>854</v>
      </c>
      <c r="L1170" s="82">
        <v>110.0</v>
      </c>
      <c r="M1170" s="128">
        <v>45757.0</v>
      </c>
      <c r="N1170" s="72">
        <f t="shared" si="83"/>
        <v>68</v>
      </c>
      <c r="O1170" s="96"/>
      <c r="P1170" s="74"/>
      <c r="Q1170" s="74"/>
      <c r="R1170" s="74"/>
      <c r="S1170" s="74"/>
      <c r="T1170" s="74"/>
      <c r="U1170" s="74"/>
      <c r="V1170" s="74"/>
      <c r="W1170" s="74"/>
      <c r="X1170" s="74"/>
      <c r="Y1170" s="74"/>
      <c r="Z1170" s="74"/>
      <c r="AA1170" s="74"/>
      <c r="AB1170" s="74"/>
      <c r="AC1170" s="74"/>
      <c r="AD1170" s="74"/>
      <c r="AE1170" s="74"/>
      <c r="AF1170" s="74"/>
      <c r="AG1170" s="74"/>
    </row>
    <row r="1171" ht="22.5" customHeight="1">
      <c r="A1171" s="86">
        <v>45825.0</v>
      </c>
      <c r="B1171" s="63" t="s">
        <v>27</v>
      </c>
      <c r="C1171" s="80">
        <v>600000.24</v>
      </c>
      <c r="D1171" s="79"/>
      <c r="E1171" s="66" t="s">
        <v>28</v>
      </c>
      <c r="F1171" s="84" t="s">
        <v>674</v>
      </c>
      <c r="G1171" s="68">
        <v>20.0</v>
      </c>
      <c r="H1171" s="69">
        <f t="shared" si="82"/>
        <v>100000.04</v>
      </c>
      <c r="I1171" s="76" t="s">
        <v>37</v>
      </c>
      <c r="J1171" s="87" t="s">
        <v>440</v>
      </c>
      <c r="K1171" s="82" t="s">
        <v>851</v>
      </c>
      <c r="L1171" s="82">
        <v>111.0</v>
      </c>
      <c r="M1171" s="128">
        <v>45757.0</v>
      </c>
      <c r="N1171" s="72">
        <f t="shared" si="83"/>
        <v>68</v>
      </c>
      <c r="O1171" s="96"/>
      <c r="P1171" s="74"/>
      <c r="Q1171" s="74"/>
      <c r="R1171" s="74"/>
      <c r="S1171" s="74"/>
      <c r="T1171" s="74"/>
      <c r="U1171" s="74"/>
      <c r="V1171" s="74"/>
      <c r="W1171" s="74"/>
      <c r="X1171" s="74"/>
      <c r="Y1171" s="74"/>
      <c r="Z1171" s="74"/>
      <c r="AA1171" s="74"/>
      <c r="AB1171" s="74"/>
      <c r="AC1171" s="74"/>
      <c r="AD1171" s="74"/>
      <c r="AE1171" s="74"/>
      <c r="AF1171" s="74"/>
      <c r="AG1171" s="74"/>
    </row>
    <row r="1172" ht="22.5" customHeight="1">
      <c r="A1172" s="86">
        <v>45825.0</v>
      </c>
      <c r="B1172" s="63" t="s">
        <v>27</v>
      </c>
      <c r="C1172" s="80">
        <v>750000.3</v>
      </c>
      <c r="D1172" s="79"/>
      <c r="E1172" s="66" t="s">
        <v>28</v>
      </c>
      <c r="F1172" s="84" t="s">
        <v>674</v>
      </c>
      <c r="G1172" s="68">
        <v>20.0</v>
      </c>
      <c r="H1172" s="69">
        <f t="shared" si="82"/>
        <v>125000.05</v>
      </c>
      <c r="I1172" s="76" t="s">
        <v>37</v>
      </c>
      <c r="J1172" s="87" t="s">
        <v>440</v>
      </c>
      <c r="K1172" s="82" t="s">
        <v>850</v>
      </c>
      <c r="L1172" s="82">
        <v>112.0</v>
      </c>
      <c r="M1172" s="128">
        <v>45757.0</v>
      </c>
      <c r="N1172" s="72">
        <f t="shared" si="83"/>
        <v>68</v>
      </c>
      <c r="O1172" s="96"/>
      <c r="P1172" s="74"/>
      <c r="Q1172" s="74"/>
      <c r="R1172" s="74"/>
      <c r="S1172" s="74"/>
      <c r="T1172" s="74"/>
      <c r="U1172" s="74"/>
      <c r="V1172" s="74"/>
      <c r="W1172" s="74"/>
      <c r="X1172" s="74"/>
      <c r="Y1172" s="74"/>
      <c r="Z1172" s="74"/>
      <c r="AA1172" s="74"/>
      <c r="AB1172" s="74"/>
      <c r="AC1172" s="74"/>
      <c r="AD1172" s="74"/>
      <c r="AE1172" s="74"/>
      <c r="AF1172" s="74"/>
      <c r="AG1172" s="74"/>
    </row>
    <row r="1173" ht="22.5" customHeight="1">
      <c r="A1173" s="86">
        <v>45825.0</v>
      </c>
      <c r="B1173" s="63" t="s">
        <v>27</v>
      </c>
      <c r="C1173" s="79"/>
      <c r="D1173" s="80">
        <v>190000.0</v>
      </c>
      <c r="E1173" s="66" t="s">
        <v>33</v>
      </c>
      <c r="F1173" s="84" t="s">
        <v>839</v>
      </c>
      <c r="G1173" s="68">
        <v>0.0</v>
      </c>
      <c r="H1173" s="69">
        <f t="shared" si="82"/>
        <v>0</v>
      </c>
      <c r="I1173" s="76" t="s">
        <v>65</v>
      </c>
      <c r="J1173" s="87" t="s">
        <v>918</v>
      </c>
      <c r="K1173" s="95"/>
      <c r="L1173" s="95"/>
      <c r="M1173" s="95"/>
      <c r="N1173" s="72">
        <f t="shared" si="83"/>
        <v>0</v>
      </c>
      <c r="O1173" s="96"/>
      <c r="P1173" s="74"/>
      <c r="Q1173" s="74"/>
      <c r="R1173" s="74"/>
      <c r="S1173" s="74"/>
      <c r="T1173" s="74"/>
      <c r="U1173" s="74"/>
      <c r="V1173" s="74"/>
      <c r="W1173" s="74"/>
      <c r="X1173" s="74"/>
      <c r="Y1173" s="74"/>
      <c r="Z1173" s="74"/>
      <c r="AA1173" s="74"/>
      <c r="AB1173" s="74"/>
      <c r="AC1173" s="74"/>
      <c r="AD1173" s="74"/>
      <c r="AE1173" s="74"/>
      <c r="AF1173" s="74"/>
      <c r="AG1173" s="74"/>
    </row>
    <row r="1174" ht="22.5" customHeight="1">
      <c r="A1174" s="86">
        <v>45825.0</v>
      </c>
      <c r="B1174" s="63" t="s">
        <v>27</v>
      </c>
      <c r="C1174" s="79"/>
      <c r="D1174" s="79">
        <v>103000.0</v>
      </c>
      <c r="E1174" s="66" t="s">
        <v>33</v>
      </c>
      <c r="F1174" s="84" t="s">
        <v>897</v>
      </c>
      <c r="G1174" s="68">
        <v>0.0</v>
      </c>
      <c r="H1174" s="69">
        <f t="shared" si="82"/>
        <v>0</v>
      </c>
      <c r="I1174" s="76" t="s">
        <v>495</v>
      </c>
      <c r="J1174" s="87" t="s">
        <v>919</v>
      </c>
      <c r="K1174" s="95"/>
      <c r="L1174" s="95"/>
      <c r="M1174" s="95"/>
      <c r="N1174" s="72">
        <f t="shared" si="83"/>
        <v>0</v>
      </c>
      <c r="O1174" s="96"/>
      <c r="P1174" s="74"/>
      <c r="Q1174" s="74"/>
      <c r="R1174" s="74"/>
      <c r="S1174" s="74"/>
      <c r="T1174" s="74"/>
      <c r="U1174" s="74"/>
      <c r="V1174" s="74"/>
      <c r="W1174" s="74"/>
      <c r="X1174" s="74"/>
      <c r="Y1174" s="74"/>
      <c r="Z1174" s="74"/>
      <c r="AA1174" s="74"/>
      <c r="AB1174" s="74"/>
      <c r="AC1174" s="74"/>
      <c r="AD1174" s="74"/>
      <c r="AE1174" s="74"/>
      <c r="AF1174" s="74"/>
      <c r="AG1174" s="74"/>
    </row>
    <row r="1175" ht="22.5" customHeight="1">
      <c r="A1175" s="86">
        <v>45827.0</v>
      </c>
      <c r="B1175" s="63" t="s">
        <v>27</v>
      </c>
      <c r="C1175" s="80">
        <v>392461.85</v>
      </c>
      <c r="D1175" s="79"/>
      <c r="E1175" s="66" t="s">
        <v>28</v>
      </c>
      <c r="F1175" s="84" t="s">
        <v>674</v>
      </c>
      <c r="G1175" s="68">
        <v>20.0</v>
      </c>
      <c r="H1175" s="69">
        <f t="shared" si="82"/>
        <v>65410.30833</v>
      </c>
      <c r="I1175" s="76" t="s">
        <v>37</v>
      </c>
      <c r="J1175" s="87" t="s">
        <v>920</v>
      </c>
      <c r="K1175" s="82" t="s">
        <v>921</v>
      </c>
      <c r="L1175" s="82">
        <v>107.0</v>
      </c>
      <c r="M1175" s="128">
        <v>45757.0</v>
      </c>
      <c r="N1175" s="72">
        <f t="shared" si="83"/>
        <v>70</v>
      </c>
      <c r="O1175" s="96"/>
      <c r="P1175" s="74"/>
      <c r="Q1175" s="74"/>
      <c r="R1175" s="74"/>
      <c r="S1175" s="74"/>
      <c r="T1175" s="74"/>
      <c r="U1175" s="74"/>
      <c r="V1175" s="74"/>
      <c r="W1175" s="74"/>
      <c r="X1175" s="74"/>
      <c r="Y1175" s="74"/>
      <c r="Z1175" s="74"/>
      <c r="AA1175" s="74"/>
      <c r="AB1175" s="74"/>
      <c r="AC1175" s="74"/>
      <c r="AD1175" s="74"/>
      <c r="AE1175" s="74"/>
      <c r="AF1175" s="74"/>
      <c r="AG1175" s="74"/>
    </row>
    <row r="1176" ht="22.5" customHeight="1">
      <c r="A1176" s="86">
        <v>45827.0</v>
      </c>
      <c r="B1176" s="63" t="s">
        <v>27</v>
      </c>
      <c r="C1176" s="80">
        <v>600000.24</v>
      </c>
      <c r="D1176" s="79"/>
      <c r="E1176" s="66" t="s">
        <v>28</v>
      </c>
      <c r="F1176" s="84" t="s">
        <v>674</v>
      </c>
      <c r="G1176" s="68">
        <v>20.0</v>
      </c>
      <c r="H1176" s="69">
        <f t="shared" si="82"/>
        <v>100000.04</v>
      </c>
      <c r="I1176" s="76" t="s">
        <v>37</v>
      </c>
      <c r="J1176" s="87" t="s">
        <v>675</v>
      </c>
      <c r="K1176" s="82" t="s">
        <v>855</v>
      </c>
      <c r="L1176" s="82">
        <v>138.0</v>
      </c>
      <c r="M1176" s="128">
        <v>45758.0</v>
      </c>
      <c r="N1176" s="72">
        <f t="shared" si="83"/>
        <v>69</v>
      </c>
      <c r="O1176" s="96"/>
      <c r="P1176" s="74"/>
      <c r="Q1176" s="74"/>
      <c r="R1176" s="74"/>
      <c r="S1176" s="74"/>
      <c r="T1176" s="74"/>
      <c r="U1176" s="74"/>
      <c r="V1176" s="74"/>
      <c r="W1176" s="74"/>
      <c r="X1176" s="74"/>
      <c r="Y1176" s="74"/>
      <c r="Z1176" s="74"/>
      <c r="AA1176" s="74"/>
      <c r="AB1176" s="74"/>
      <c r="AC1176" s="74"/>
      <c r="AD1176" s="74"/>
      <c r="AE1176" s="74"/>
      <c r="AF1176" s="74"/>
      <c r="AG1176" s="74"/>
    </row>
    <row r="1177" ht="22.5" customHeight="1">
      <c r="A1177" s="86">
        <v>45827.0</v>
      </c>
      <c r="B1177" s="63" t="s">
        <v>27</v>
      </c>
      <c r="C1177" s="80">
        <v>600000.24</v>
      </c>
      <c r="D1177" s="79"/>
      <c r="E1177" s="66" t="s">
        <v>28</v>
      </c>
      <c r="F1177" s="84" t="s">
        <v>674</v>
      </c>
      <c r="G1177" s="68">
        <v>20.0</v>
      </c>
      <c r="H1177" s="69">
        <f t="shared" si="82"/>
        <v>100000.04</v>
      </c>
      <c r="I1177" s="76" t="s">
        <v>37</v>
      </c>
      <c r="J1177" s="87" t="s">
        <v>675</v>
      </c>
      <c r="K1177" s="82" t="s">
        <v>850</v>
      </c>
      <c r="L1177" s="82">
        <v>139.0</v>
      </c>
      <c r="M1177" s="128">
        <v>45758.0</v>
      </c>
      <c r="N1177" s="72">
        <f t="shared" si="83"/>
        <v>69</v>
      </c>
      <c r="O1177" s="96"/>
      <c r="P1177" s="74"/>
      <c r="Q1177" s="74"/>
      <c r="R1177" s="74"/>
      <c r="S1177" s="74"/>
      <c r="T1177" s="74"/>
      <c r="U1177" s="74"/>
      <c r="V1177" s="74"/>
      <c r="W1177" s="74"/>
      <c r="X1177" s="74"/>
      <c r="Y1177" s="74"/>
      <c r="Z1177" s="74"/>
      <c r="AA1177" s="74"/>
      <c r="AB1177" s="74"/>
      <c r="AC1177" s="74"/>
      <c r="AD1177" s="74"/>
      <c r="AE1177" s="74"/>
      <c r="AF1177" s="74"/>
      <c r="AG1177" s="74"/>
    </row>
    <row r="1178" ht="22.5" customHeight="1">
      <c r="A1178" s="86">
        <v>45827.0</v>
      </c>
      <c r="B1178" s="63" t="s">
        <v>27</v>
      </c>
      <c r="C1178" s="79"/>
      <c r="D1178" s="80">
        <v>18000.0</v>
      </c>
      <c r="E1178" s="66" t="s">
        <v>33</v>
      </c>
      <c r="F1178" s="84" t="s">
        <v>897</v>
      </c>
      <c r="G1178" s="68">
        <v>0.0</v>
      </c>
      <c r="H1178" s="69">
        <f t="shared" si="82"/>
        <v>0</v>
      </c>
      <c r="I1178" s="76" t="s">
        <v>490</v>
      </c>
      <c r="J1178" s="87" t="s">
        <v>922</v>
      </c>
      <c r="K1178" s="95"/>
      <c r="L1178" s="95"/>
      <c r="M1178" s="95"/>
      <c r="N1178" s="72">
        <f t="shared" si="83"/>
        <v>0</v>
      </c>
      <c r="O1178" s="96"/>
      <c r="P1178" s="74"/>
      <c r="Q1178" s="74"/>
      <c r="R1178" s="74"/>
      <c r="S1178" s="74"/>
      <c r="T1178" s="74"/>
      <c r="U1178" s="74"/>
      <c r="V1178" s="74"/>
      <c r="W1178" s="74"/>
      <c r="X1178" s="74"/>
      <c r="Y1178" s="74"/>
      <c r="Z1178" s="74"/>
      <c r="AA1178" s="74"/>
      <c r="AB1178" s="74"/>
      <c r="AC1178" s="74"/>
      <c r="AD1178" s="74"/>
      <c r="AE1178" s="74"/>
      <c r="AF1178" s="74"/>
      <c r="AG1178" s="74"/>
    </row>
    <row r="1179" ht="22.5" customHeight="1">
      <c r="A1179" s="86">
        <v>45828.0</v>
      </c>
      <c r="B1179" s="63" t="s">
        <v>27</v>
      </c>
      <c r="C1179" s="80">
        <v>624000.0</v>
      </c>
      <c r="D1179" s="80"/>
      <c r="E1179" s="66" t="s">
        <v>28</v>
      </c>
      <c r="F1179" s="84" t="s">
        <v>722</v>
      </c>
      <c r="G1179" s="68">
        <v>20.0</v>
      </c>
      <c r="H1179" s="69">
        <f t="shared" si="82"/>
        <v>104000</v>
      </c>
      <c r="I1179" s="76" t="s">
        <v>37</v>
      </c>
      <c r="J1179" s="87" t="s">
        <v>474</v>
      </c>
      <c r="K1179" s="82" t="s">
        <v>757</v>
      </c>
      <c r="L1179" s="82">
        <v>160.0</v>
      </c>
      <c r="M1179" s="128">
        <v>45789.0</v>
      </c>
      <c r="N1179" s="72">
        <f t="shared" si="83"/>
        <v>39</v>
      </c>
      <c r="O1179" s="96"/>
      <c r="P1179" s="74"/>
      <c r="Q1179" s="74"/>
      <c r="R1179" s="74"/>
      <c r="S1179" s="74"/>
      <c r="T1179" s="74"/>
      <c r="U1179" s="74"/>
      <c r="V1179" s="74"/>
      <c r="W1179" s="74"/>
      <c r="X1179" s="74"/>
      <c r="Y1179" s="74"/>
      <c r="Z1179" s="74"/>
      <c r="AA1179" s="74"/>
      <c r="AB1179" s="74"/>
      <c r="AC1179" s="74"/>
      <c r="AD1179" s="74"/>
      <c r="AE1179" s="74"/>
      <c r="AF1179" s="74"/>
      <c r="AG1179" s="74"/>
    </row>
    <row r="1180" ht="22.5" customHeight="1">
      <c r="A1180" s="86">
        <v>45830.0</v>
      </c>
      <c r="B1180" s="63" t="s">
        <v>27</v>
      </c>
      <c r="C1180" s="79"/>
      <c r="D1180" s="80">
        <v>30000.0</v>
      </c>
      <c r="E1180" s="66" t="s">
        <v>33</v>
      </c>
      <c r="F1180" s="84" t="s">
        <v>897</v>
      </c>
      <c r="G1180" s="68">
        <v>0.0</v>
      </c>
      <c r="H1180" s="69">
        <f t="shared" si="82"/>
        <v>0</v>
      </c>
      <c r="I1180" s="76" t="s">
        <v>53</v>
      </c>
      <c r="J1180" s="87" t="s">
        <v>923</v>
      </c>
      <c r="K1180" s="95"/>
      <c r="L1180" s="95"/>
      <c r="M1180" s="95"/>
      <c r="N1180" s="72">
        <f t="shared" si="83"/>
        <v>0</v>
      </c>
      <c r="O1180" s="96"/>
      <c r="P1180" s="74"/>
      <c r="Q1180" s="74"/>
      <c r="R1180" s="74"/>
      <c r="S1180" s="74"/>
      <c r="T1180" s="74"/>
      <c r="U1180" s="74"/>
      <c r="V1180" s="74"/>
      <c r="W1180" s="74"/>
      <c r="X1180" s="74"/>
      <c r="Y1180" s="74"/>
      <c r="Z1180" s="74"/>
      <c r="AA1180" s="74"/>
      <c r="AB1180" s="74"/>
      <c r="AC1180" s="74"/>
      <c r="AD1180" s="74"/>
      <c r="AE1180" s="74"/>
      <c r="AF1180" s="74"/>
      <c r="AG1180" s="74"/>
    </row>
    <row r="1181" ht="22.5" customHeight="1">
      <c r="A1181" s="86">
        <v>45832.0</v>
      </c>
      <c r="B1181" s="63" t="s">
        <v>27</v>
      </c>
      <c r="C1181" s="80">
        <v>350000.0</v>
      </c>
      <c r="D1181" s="79"/>
      <c r="E1181" s="66" t="s">
        <v>28</v>
      </c>
      <c r="F1181" s="84" t="s">
        <v>897</v>
      </c>
      <c r="G1181" s="68">
        <v>20.0</v>
      </c>
      <c r="H1181" s="69">
        <f t="shared" si="82"/>
        <v>58333.33333</v>
      </c>
      <c r="I1181" s="76" t="s">
        <v>37</v>
      </c>
      <c r="J1181" s="87" t="s">
        <v>924</v>
      </c>
      <c r="K1181" s="95"/>
      <c r="L1181" s="82">
        <v>245.0</v>
      </c>
      <c r="M1181" s="128">
        <v>45832.0</v>
      </c>
      <c r="N1181" s="72">
        <f t="shared" si="83"/>
        <v>0</v>
      </c>
      <c r="O1181" s="96"/>
      <c r="P1181" s="74"/>
      <c r="Q1181" s="74"/>
      <c r="R1181" s="74"/>
      <c r="S1181" s="74"/>
      <c r="T1181" s="74"/>
      <c r="U1181" s="74"/>
      <c r="V1181" s="74"/>
      <c r="W1181" s="74"/>
      <c r="X1181" s="74"/>
      <c r="Y1181" s="74"/>
      <c r="Z1181" s="74"/>
      <c r="AA1181" s="74"/>
      <c r="AB1181" s="74"/>
      <c r="AC1181" s="74"/>
      <c r="AD1181" s="74"/>
      <c r="AE1181" s="74"/>
      <c r="AF1181" s="74"/>
      <c r="AG1181" s="74"/>
    </row>
    <row r="1182" ht="22.5" customHeight="1">
      <c r="A1182" s="86">
        <v>45833.0</v>
      </c>
      <c r="B1182" s="63" t="s">
        <v>27</v>
      </c>
      <c r="C1182" s="79"/>
      <c r="D1182" s="80">
        <f>622260+16026+367</f>
        <v>638653</v>
      </c>
      <c r="E1182" s="66" t="s">
        <v>28</v>
      </c>
      <c r="F1182" s="84" t="s">
        <v>897</v>
      </c>
      <c r="G1182" s="68">
        <v>20.0</v>
      </c>
      <c r="H1182" s="69">
        <f t="shared" si="82"/>
        <v>106442.1667</v>
      </c>
      <c r="I1182" s="76" t="s">
        <v>280</v>
      </c>
      <c r="J1182" s="87" t="s">
        <v>925</v>
      </c>
      <c r="K1182" s="95"/>
      <c r="L1182" s="95"/>
      <c r="M1182" s="95"/>
      <c r="N1182" s="72">
        <f t="shared" si="83"/>
        <v>0</v>
      </c>
      <c r="O1182" s="96"/>
      <c r="P1182" s="74"/>
      <c r="Q1182" s="74"/>
      <c r="R1182" s="74"/>
      <c r="S1182" s="74"/>
      <c r="T1182" s="74"/>
      <c r="U1182" s="74"/>
      <c r="V1182" s="74"/>
      <c r="W1182" s="74"/>
      <c r="X1182" s="74"/>
      <c r="Y1182" s="74"/>
      <c r="Z1182" s="74"/>
      <c r="AA1182" s="74"/>
      <c r="AB1182" s="74"/>
      <c r="AC1182" s="74"/>
      <c r="AD1182" s="74"/>
      <c r="AE1182" s="74"/>
      <c r="AF1182" s="74"/>
      <c r="AG1182" s="74"/>
    </row>
    <row r="1183" ht="22.5" customHeight="1">
      <c r="A1183" s="86">
        <v>45833.0</v>
      </c>
      <c r="B1183" s="63" t="s">
        <v>27</v>
      </c>
      <c r="C1183" s="79"/>
      <c r="D1183" s="80">
        <v>3300000.0</v>
      </c>
      <c r="E1183" s="66" t="s">
        <v>376</v>
      </c>
      <c r="F1183" s="84" t="s">
        <v>897</v>
      </c>
      <c r="G1183" s="68">
        <v>20.0</v>
      </c>
      <c r="H1183" s="69">
        <f t="shared" si="82"/>
        <v>550000</v>
      </c>
      <c r="I1183" s="76" t="s">
        <v>47</v>
      </c>
      <c r="J1183" s="103" t="s">
        <v>228</v>
      </c>
      <c r="K1183" s="95"/>
      <c r="L1183" s="95"/>
      <c r="M1183" s="95"/>
      <c r="N1183" s="72">
        <f t="shared" si="83"/>
        <v>0</v>
      </c>
      <c r="O1183" s="96"/>
      <c r="P1183" s="74"/>
      <c r="Q1183" s="74"/>
      <c r="R1183" s="74"/>
      <c r="S1183" s="74"/>
      <c r="T1183" s="74"/>
      <c r="U1183" s="74"/>
      <c r="V1183" s="74"/>
      <c r="W1183" s="74"/>
      <c r="X1183" s="74"/>
      <c r="Y1183" s="74"/>
      <c r="Z1183" s="74"/>
      <c r="AA1183" s="74"/>
      <c r="AB1183" s="74"/>
      <c r="AC1183" s="74"/>
      <c r="AD1183" s="74"/>
      <c r="AE1183" s="74"/>
      <c r="AF1183" s="74"/>
      <c r="AG1183" s="74"/>
    </row>
    <row r="1184" ht="22.5" customHeight="1">
      <c r="A1184" s="86">
        <v>45833.0</v>
      </c>
      <c r="B1184" s="63" t="s">
        <v>27</v>
      </c>
      <c r="C1184" s="80">
        <v>2525000.0</v>
      </c>
      <c r="D1184" s="80"/>
      <c r="E1184" s="66" t="s">
        <v>33</v>
      </c>
      <c r="F1184" s="84" t="s">
        <v>897</v>
      </c>
      <c r="G1184" s="68">
        <v>0.0</v>
      </c>
      <c r="H1184" s="69">
        <f t="shared" si="82"/>
        <v>0</v>
      </c>
      <c r="I1184" s="76" t="s">
        <v>47</v>
      </c>
      <c r="J1184" s="103"/>
      <c r="K1184" s="95"/>
      <c r="L1184" s="95"/>
      <c r="M1184" s="95"/>
      <c r="N1184" s="72">
        <f t="shared" si="83"/>
        <v>0</v>
      </c>
      <c r="O1184" s="96"/>
      <c r="P1184" s="74"/>
      <c r="Q1184" s="74"/>
      <c r="R1184" s="74"/>
      <c r="S1184" s="74"/>
      <c r="T1184" s="74"/>
      <c r="U1184" s="74"/>
      <c r="V1184" s="74"/>
      <c r="W1184" s="74"/>
      <c r="X1184" s="74"/>
      <c r="Y1184" s="74"/>
      <c r="Z1184" s="74"/>
      <c r="AA1184" s="74"/>
      <c r="AB1184" s="74"/>
      <c r="AC1184" s="74"/>
      <c r="AD1184" s="74"/>
      <c r="AE1184" s="74"/>
      <c r="AF1184" s="74"/>
      <c r="AG1184" s="74"/>
    </row>
    <row r="1185" ht="22.5" customHeight="1">
      <c r="A1185" s="86">
        <v>45833.0</v>
      </c>
      <c r="B1185" s="63" t="s">
        <v>27</v>
      </c>
      <c r="C1185" s="79"/>
      <c r="D1185" s="80">
        <v>600000.0</v>
      </c>
      <c r="E1185" s="66" t="s">
        <v>376</v>
      </c>
      <c r="F1185" s="84" t="s">
        <v>897</v>
      </c>
      <c r="G1185" s="68">
        <v>20.0</v>
      </c>
      <c r="H1185" s="69">
        <f t="shared" si="82"/>
        <v>100000</v>
      </c>
      <c r="I1185" s="76" t="s">
        <v>554</v>
      </c>
      <c r="J1185" s="103" t="s">
        <v>228</v>
      </c>
      <c r="K1185" s="95"/>
      <c r="L1185" s="95"/>
      <c r="M1185" s="95"/>
      <c r="N1185" s="72">
        <f t="shared" si="83"/>
        <v>0</v>
      </c>
      <c r="O1185" s="96"/>
      <c r="P1185" s="74"/>
      <c r="Q1185" s="74"/>
      <c r="R1185" s="74"/>
      <c r="S1185" s="74"/>
      <c r="T1185" s="74"/>
      <c r="U1185" s="74"/>
      <c r="V1185" s="74"/>
      <c r="W1185" s="74"/>
      <c r="X1185" s="74"/>
      <c r="Y1185" s="74"/>
      <c r="Z1185" s="74"/>
      <c r="AA1185" s="74"/>
      <c r="AB1185" s="74"/>
      <c r="AC1185" s="74"/>
      <c r="AD1185" s="74"/>
      <c r="AE1185" s="74"/>
      <c r="AF1185" s="74"/>
      <c r="AG1185" s="74"/>
    </row>
    <row r="1186" ht="22.5" customHeight="1">
      <c r="A1186" s="86">
        <v>45834.0</v>
      </c>
      <c r="B1186" s="63" t="s">
        <v>27</v>
      </c>
      <c r="C1186" s="79"/>
      <c r="D1186" s="80">
        <v>769875.33</v>
      </c>
      <c r="E1186" s="66" t="s">
        <v>28</v>
      </c>
      <c r="F1186" s="84" t="s">
        <v>839</v>
      </c>
      <c r="G1186" s="68">
        <v>0.0</v>
      </c>
      <c r="H1186" s="69">
        <f t="shared" si="82"/>
        <v>0</v>
      </c>
      <c r="I1186" s="76" t="s">
        <v>322</v>
      </c>
      <c r="J1186" s="149" t="s">
        <v>675</v>
      </c>
      <c r="K1186" s="95"/>
      <c r="L1186" s="95"/>
      <c r="M1186" s="95"/>
      <c r="N1186" s="72">
        <f t="shared" si="83"/>
        <v>0</v>
      </c>
      <c r="O1186" s="140" t="s">
        <v>926</v>
      </c>
      <c r="P1186" s="74"/>
      <c r="Q1186" s="74"/>
      <c r="R1186" s="74"/>
      <c r="S1186" s="74"/>
      <c r="T1186" s="74"/>
      <c r="U1186" s="74"/>
      <c r="V1186" s="74"/>
      <c r="W1186" s="74"/>
      <c r="X1186" s="74"/>
      <c r="Y1186" s="74"/>
      <c r="Z1186" s="74"/>
      <c r="AA1186" s="74"/>
      <c r="AB1186" s="74"/>
      <c r="AC1186" s="74"/>
      <c r="AD1186" s="74"/>
      <c r="AE1186" s="74"/>
      <c r="AF1186" s="74"/>
      <c r="AG1186" s="74"/>
    </row>
    <row r="1187" ht="22.5" customHeight="1">
      <c r="A1187" s="86">
        <v>45834.0</v>
      </c>
      <c r="B1187" s="63" t="s">
        <v>27</v>
      </c>
      <c r="C1187" s="79"/>
      <c r="D1187" s="80">
        <v>1537500.62</v>
      </c>
      <c r="E1187" s="66" t="s">
        <v>28</v>
      </c>
      <c r="F1187" s="84" t="s">
        <v>839</v>
      </c>
      <c r="G1187" s="68">
        <v>0.0</v>
      </c>
      <c r="H1187" s="69">
        <f t="shared" si="82"/>
        <v>0</v>
      </c>
      <c r="I1187" s="76" t="s">
        <v>322</v>
      </c>
      <c r="J1187" s="87" t="s">
        <v>440</v>
      </c>
      <c r="K1187" s="95"/>
      <c r="L1187" s="95"/>
      <c r="M1187" s="95"/>
      <c r="N1187" s="72">
        <f t="shared" si="83"/>
        <v>0</v>
      </c>
      <c r="O1187" s="140" t="s">
        <v>927</v>
      </c>
      <c r="P1187" s="74"/>
      <c r="Q1187" s="74"/>
      <c r="R1187" s="74"/>
      <c r="S1187" s="74"/>
      <c r="T1187" s="74"/>
      <c r="U1187" s="74"/>
      <c r="V1187" s="74"/>
      <c r="W1187" s="74"/>
      <c r="X1187" s="74"/>
      <c r="Y1187" s="74"/>
      <c r="Z1187" s="74"/>
      <c r="AA1187" s="74"/>
      <c r="AB1187" s="74"/>
      <c r="AC1187" s="74"/>
      <c r="AD1187" s="74"/>
      <c r="AE1187" s="74"/>
      <c r="AF1187" s="74"/>
      <c r="AG1187" s="74"/>
    </row>
    <row r="1188" ht="22.5" customHeight="1">
      <c r="A1188" s="86">
        <v>45834.0</v>
      </c>
      <c r="B1188" s="63" t="s">
        <v>27</v>
      </c>
      <c r="C1188" s="79"/>
      <c r="D1188" s="80">
        <v>1010138.0</v>
      </c>
      <c r="E1188" s="66" t="s">
        <v>28</v>
      </c>
      <c r="F1188" s="84" t="s">
        <v>839</v>
      </c>
      <c r="G1188" s="68">
        <v>0.0</v>
      </c>
      <c r="H1188" s="69">
        <f t="shared" si="82"/>
        <v>0</v>
      </c>
      <c r="I1188" s="76" t="s">
        <v>322</v>
      </c>
      <c r="J1188" s="149" t="s">
        <v>624</v>
      </c>
      <c r="K1188" s="95"/>
      <c r="L1188" s="95"/>
      <c r="M1188" s="95"/>
      <c r="N1188" s="72">
        <f t="shared" si="83"/>
        <v>0</v>
      </c>
      <c r="O1188" s="140" t="s">
        <v>928</v>
      </c>
      <c r="P1188" s="74"/>
      <c r="Q1188" s="74"/>
      <c r="R1188" s="74"/>
      <c r="S1188" s="74"/>
      <c r="T1188" s="74"/>
      <c r="U1188" s="74"/>
      <c r="V1188" s="74"/>
      <c r="W1188" s="74"/>
      <c r="X1188" s="74"/>
      <c r="Y1188" s="74"/>
      <c r="Z1188" s="74"/>
      <c r="AA1188" s="74"/>
      <c r="AB1188" s="74"/>
      <c r="AC1188" s="74"/>
      <c r="AD1188" s="74"/>
      <c r="AE1188" s="74"/>
      <c r="AF1188" s="74"/>
      <c r="AG1188" s="74"/>
    </row>
    <row r="1189" ht="22.5" customHeight="1">
      <c r="A1189" s="86">
        <v>45834.0</v>
      </c>
      <c r="B1189" s="63" t="s">
        <v>27</v>
      </c>
      <c r="C1189" s="79"/>
      <c r="D1189" s="80">
        <v>130820.62</v>
      </c>
      <c r="E1189" s="66" t="s">
        <v>28</v>
      </c>
      <c r="F1189" s="84" t="s">
        <v>839</v>
      </c>
      <c r="G1189" s="69">
        <v>0.0</v>
      </c>
      <c r="H1189" s="69">
        <f t="shared" si="82"/>
        <v>0</v>
      </c>
      <c r="I1189" s="76" t="s">
        <v>322</v>
      </c>
      <c r="J1189" s="149" t="s">
        <v>157</v>
      </c>
      <c r="K1189" s="95"/>
      <c r="L1189" s="95"/>
      <c r="M1189" s="95"/>
      <c r="N1189" s="72">
        <f t="shared" si="83"/>
        <v>0</v>
      </c>
      <c r="O1189" s="140" t="s">
        <v>929</v>
      </c>
      <c r="P1189" s="74"/>
      <c r="Q1189" s="74"/>
      <c r="R1189" s="74"/>
      <c r="S1189" s="74"/>
      <c r="T1189" s="74"/>
      <c r="U1189" s="74"/>
      <c r="V1189" s="74"/>
      <c r="W1189" s="74"/>
      <c r="X1189" s="74"/>
      <c r="Y1189" s="74"/>
      <c r="Z1189" s="74"/>
      <c r="AA1189" s="74"/>
      <c r="AB1189" s="74"/>
      <c r="AC1189" s="74"/>
      <c r="AD1189" s="74"/>
      <c r="AE1189" s="74"/>
      <c r="AF1189" s="74"/>
      <c r="AG1189" s="74"/>
    </row>
    <row r="1190" ht="22.5" customHeight="1">
      <c r="A1190" s="86">
        <v>45834.0</v>
      </c>
      <c r="B1190" s="63" t="s">
        <v>27</v>
      </c>
      <c r="C1190" s="79"/>
      <c r="D1190" s="80">
        <v>817792.5</v>
      </c>
      <c r="E1190" s="66" t="s">
        <v>28</v>
      </c>
      <c r="F1190" s="84" t="s">
        <v>839</v>
      </c>
      <c r="G1190" s="68">
        <v>0.0</v>
      </c>
      <c r="H1190" s="69">
        <f t="shared" si="82"/>
        <v>0</v>
      </c>
      <c r="I1190" s="76" t="s">
        <v>322</v>
      </c>
      <c r="J1190" s="149" t="s">
        <v>930</v>
      </c>
      <c r="K1190" s="95"/>
      <c r="L1190" s="95"/>
      <c r="M1190" s="95"/>
      <c r="N1190" s="72">
        <f t="shared" si="83"/>
        <v>0</v>
      </c>
      <c r="O1190" s="150" t="s">
        <v>931</v>
      </c>
      <c r="P1190" s="74"/>
      <c r="Q1190" s="74"/>
      <c r="R1190" s="74"/>
      <c r="S1190" s="74"/>
      <c r="T1190" s="74"/>
      <c r="U1190" s="74"/>
      <c r="V1190" s="74"/>
      <c r="W1190" s="74"/>
      <c r="X1190" s="74"/>
      <c r="Y1190" s="74"/>
      <c r="Z1190" s="74"/>
      <c r="AA1190" s="74"/>
      <c r="AB1190" s="74"/>
      <c r="AC1190" s="74"/>
      <c r="AD1190" s="74"/>
      <c r="AE1190" s="74"/>
      <c r="AF1190" s="74"/>
      <c r="AG1190" s="74"/>
    </row>
    <row r="1191" ht="22.5" customHeight="1">
      <c r="A1191" s="86">
        <v>45834.0</v>
      </c>
      <c r="B1191" s="63" t="s">
        <v>27</v>
      </c>
      <c r="C1191" s="79"/>
      <c r="D1191" s="80">
        <v>878440.0</v>
      </c>
      <c r="E1191" s="66" t="s">
        <v>28</v>
      </c>
      <c r="F1191" s="84" t="s">
        <v>839</v>
      </c>
      <c r="G1191" s="69">
        <v>0.0</v>
      </c>
      <c r="H1191" s="69">
        <f t="shared" si="82"/>
        <v>0</v>
      </c>
      <c r="I1191" s="76" t="s">
        <v>322</v>
      </c>
      <c r="J1191" s="98" t="s">
        <v>641</v>
      </c>
      <c r="K1191" s="95"/>
      <c r="L1191" s="95"/>
      <c r="M1191" s="95"/>
      <c r="N1191" s="72">
        <f t="shared" si="83"/>
        <v>0</v>
      </c>
      <c r="O1191" s="140" t="s">
        <v>932</v>
      </c>
      <c r="P1191" s="74"/>
      <c r="Q1191" s="74"/>
      <c r="R1191" s="74"/>
      <c r="S1191" s="74"/>
      <c r="T1191" s="74"/>
      <c r="U1191" s="74"/>
      <c r="V1191" s="74"/>
      <c r="W1191" s="74"/>
      <c r="X1191" s="74"/>
      <c r="Y1191" s="74"/>
      <c r="Z1191" s="74"/>
      <c r="AA1191" s="74"/>
      <c r="AB1191" s="74"/>
      <c r="AC1191" s="74"/>
      <c r="AD1191" s="74"/>
      <c r="AE1191" s="74"/>
      <c r="AF1191" s="74"/>
      <c r="AG1191" s="74"/>
    </row>
    <row r="1192" ht="22.5" customHeight="1">
      <c r="A1192" s="86">
        <v>45834.0</v>
      </c>
      <c r="B1192" s="63" t="s">
        <v>27</v>
      </c>
      <c r="C1192" s="79"/>
      <c r="D1192" s="80">
        <v>2728306.0</v>
      </c>
      <c r="E1192" s="66" t="s">
        <v>28</v>
      </c>
      <c r="F1192" s="84" t="s">
        <v>839</v>
      </c>
      <c r="G1192" s="69">
        <v>0.0</v>
      </c>
      <c r="H1192" s="69">
        <f t="shared" si="82"/>
        <v>0</v>
      </c>
      <c r="I1192" s="76" t="s">
        <v>322</v>
      </c>
      <c r="J1192" s="87" t="s">
        <v>849</v>
      </c>
      <c r="K1192" s="95"/>
      <c r="L1192" s="95"/>
      <c r="M1192" s="95"/>
      <c r="N1192" s="72">
        <f t="shared" si="83"/>
        <v>0</v>
      </c>
      <c r="O1192" s="140" t="s">
        <v>933</v>
      </c>
      <c r="P1192" s="74"/>
      <c r="Q1192" s="74"/>
      <c r="R1192" s="74"/>
      <c r="S1192" s="74"/>
      <c r="T1192" s="74"/>
      <c r="U1192" s="74"/>
      <c r="V1192" s="74"/>
      <c r="W1192" s="74"/>
      <c r="X1192" s="74"/>
      <c r="Y1192" s="74"/>
      <c r="Z1192" s="74"/>
      <c r="AA1192" s="74"/>
      <c r="AB1192" s="74"/>
      <c r="AC1192" s="74"/>
      <c r="AD1192" s="74"/>
      <c r="AE1192" s="74"/>
      <c r="AF1192" s="74"/>
      <c r="AG1192" s="74"/>
    </row>
    <row r="1193" ht="22.5" customHeight="1">
      <c r="A1193" s="86">
        <v>45835.0</v>
      </c>
      <c r="B1193" s="63" t="s">
        <v>27</v>
      </c>
      <c r="C1193" s="80">
        <v>600000.24</v>
      </c>
      <c r="D1193" s="79"/>
      <c r="E1193" s="66" t="s">
        <v>28</v>
      </c>
      <c r="F1193" s="84" t="s">
        <v>674</v>
      </c>
      <c r="G1193" s="68">
        <v>20.0</v>
      </c>
      <c r="H1193" s="69">
        <f t="shared" si="82"/>
        <v>100000.04</v>
      </c>
      <c r="I1193" s="76" t="s">
        <v>37</v>
      </c>
      <c r="J1193" s="87" t="s">
        <v>474</v>
      </c>
      <c r="K1193" s="82" t="s">
        <v>851</v>
      </c>
      <c r="L1193" s="82">
        <v>113.0</v>
      </c>
      <c r="M1193" s="128">
        <v>45757.0</v>
      </c>
      <c r="N1193" s="72">
        <f t="shared" si="83"/>
        <v>78</v>
      </c>
      <c r="O1193" s="96"/>
      <c r="P1193" s="74"/>
      <c r="Q1193" s="74"/>
      <c r="R1193" s="74"/>
      <c r="S1193" s="74"/>
      <c r="T1193" s="74"/>
      <c r="U1193" s="74"/>
      <c r="V1193" s="74"/>
      <c r="W1193" s="74"/>
      <c r="X1193" s="74"/>
      <c r="Y1193" s="74"/>
      <c r="Z1193" s="74"/>
      <c r="AA1193" s="74"/>
      <c r="AB1193" s="74"/>
      <c r="AC1193" s="74"/>
      <c r="AD1193" s="74"/>
      <c r="AE1193" s="74"/>
      <c r="AF1193" s="74"/>
      <c r="AG1193" s="74"/>
    </row>
    <row r="1194" ht="22.5" customHeight="1">
      <c r="A1194" s="86">
        <v>45835.0</v>
      </c>
      <c r="B1194" s="63" t="s">
        <v>27</v>
      </c>
      <c r="C1194" s="80">
        <v>1452000.48</v>
      </c>
      <c r="D1194" s="79"/>
      <c r="E1194" s="66" t="s">
        <v>28</v>
      </c>
      <c r="F1194" s="84" t="s">
        <v>674</v>
      </c>
      <c r="G1194" s="68">
        <v>20.0</v>
      </c>
      <c r="H1194" s="69">
        <f t="shared" si="82"/>
        <v>242000.08</v>
      </c>
      <c r="I1194" s="76" t="s">
        <v>37</v>
      </c>
      <c r="J1194" s="87" t="s">
        <v>474</v>
      </c>
      <c r="K1194" s="82" t="s">
        <v>854</v>
      </c>
      <c r="L1194" s="82">
        <v>114.0</v>
      </c>
      <c r="M1194" s="128">
        <v>45757.0</v>
      </c>
      <c r="N1194" s="72">
        <f t="shared" si="83"/>
        <v>78</v>
      </c>
      <c r="O1194" s="96"/>
      <c r="P1194" s="74"/>
      <c r="Q1194" s="74"/>
      <c r="R1194" s="74"/>
      <c r="S1194" s="74"/>
      <c r="T1194" s="74"/>
      <c r="U1194" s="74"/>
      <c r="V1194" s="74"/>
      <c r="W1194" s="74"/>
      <c r="X1194" s="74"/>
      <c r="Y1194" s="74"/>
      <c r="Z1194" s="74"/>
      <c r="AA1194" s="74"/>
      <c r="AB1194" s="74"/>
      <c r="AC1194" s="74"/>
      <c r="AD1194" s="74"/>
      <c r="AE1194" s="74"/>
      <c r="AF1194" s="74"/>
      <c r="AG1194" s="74"/>
    </row>
    <row r="1195" ht="22.5" customHeight="1">
      <c r="A1195" s="86">
        <v>45835.0</v>
      </c>
      <c r="B1195" s="63" t="s">
        <v>27</v>
      </c>
      <c r="C1195" s="80">
        <v>1200000.06</v>
      </c>
      <c r="D1195" s="79"/>
      <c r="E1195" s="66" t="s">
        <v>28</v>
      </c>
      <c r="F1195" s="84" t="s">
        <v>674</v>
      </c>
      <c r="G1195" s="68">
        <v>20.0</v>
      </c>
      <c r="H1195" s="69">
        <f t="shared" si="82"/>
        <v>200000.01</v>
      </c>
      <c r="I1195" s="76" t="s">
        <v>37</v>
      </c>
      <c r="J1195" s="87" t="s">
        <v>474</v>
      </c>
      <c r="K1195" s="82" t="s">
        <v>756</v>
      </c>
      <c r="L1195" s="82">
        <v>125.0</v>
      </c>
      <c r="M1195" s="128">
        <v>45757.0</v>
      </c>
      <c r="N1195" s="72">
        <f t="shared" si="83"/>
        <v>78</v>
      </c>
      <c r="O1195" s="96"/>
      <c r="P1195" s="74"/>
      <c r="Q1195" s="74"/>
      <c r="R1195" s="74"/>
      <c r="S1195" s="74"/>
      <c r="T1195" s="74"/>
      <c r="U1195" s="74"/>
      <c r="V1195" s="74"/>
      <c r="W1195" s="74"/>
      <c r="X1195" s="74"/>
      <c r="Y1195" s="74"/>
      <c r="Z1195" s="74"/>
      <c r="AA1195" s="74"/>
      <c r="AB1195" s="74"/>
      <c r="AC1195" s="74"/>
      <c r="AD1195" s="74"/>
      <c r="AE1195" s="74"/>
      <c r="AF1195" s="74"/>
      <c r="AG1195" s="74"/>
    </row>
    <row r="1196" ht="22.5" customHeight="1">
      <c r="A1196" s="86">
        <v>45835.0</v>
      </c>
      <c r="B1196" s="63" t="s">
        <v>27</v>
      </c>
      <c r="C1196" s="80">
        <v>1600000.08</v>
      </c>
      <c r="D1196" s="79"/>
      <c r="E1196" s="66" t="s">
        <v>28</v>
      </c>
      <c r="F1196" s="84" t="s">
        <v>674</v>
      </c>
      <c r="G1196" s="68">
        <v>20.0</v>
      </c>
      <c r="H1196" s="69">
        <f t="shared" si="82"/>
        <v>266666.68</v>
      </c>
      <c r="I1196" s="76" t="s">
        <v>37</v>
      </c>
      <c r="J1196" s="87" t="s">
        <v>474</v>
      </c>
      <c r="K1196" s="82" t="s">
        <v>755</v>
      </c>
      <c r="L1196" s="82">
        <v>126.0</v>
      </c>
      <c r="M1196" s="128">
        <v>45757.0</v>
      </c>
      <c r="N1196" s="72">
        <f t="shared" si="83"/>
        <v>78</v>
      </c>
      <c r="O1196" s="96"/>
      <c r="P1196" s="74"/>
      <c r="Q1196" s="74"/>
      <c r="R1196" s="74"/>
      <c r="S1196" s="74"/>
      <c r="T1196" s="74"/>
      <c r="U1196" s="74"/>
      <c r="V1196" s="74"/>
      <c r="W1196" s="74"/>
      <c r="X1196" s="74"/>
      <c r="Y1196" s="74"/>
      <c r="Z1196" s="74"/>
      <c r="AA1196" s="74"/>
      <c r="AB1196" s="74"/>
      <c r="AC1196" s="74"/>
      <c r="AD1196" s="74"/>
      <c r="AE1196" s="74"/>
      <c r="AF1196" s="74"/>
      <c r="AG1196" s="74"/>
    </row>
    <row r="1197" ht="22.5" customHeight="1">
      <c r="A1197" s="86">
        <v>45835.0</v>
      </c>
      <c r="B1197" s="63" t="s">
        <v>27</v>
      </c>
      <c r="C1197" s="80">
        <v>60000.0</v>
      </c>
      <c r="D1197" s="79"/>
      <c r="E1197" s="66" t="s">
        <v>28</v>
      </c>
      <c r="F1197" s="84" t="s">
        <v>674</v>
      </c>
      <c r="G1197" s="68">
        <v>20.0</v>
      </c>
      <c r="H1197" s="69">
        <f t="shared" si="82"/>
        <v>10000</v>
      </c>
      <c r="I1197" s="76" t="s">
        <v>37</v>
      </c>
      <c r="J1197" s="87" t="s">
        <v>474</v>
      </c>
      <c r="K1197" s="82" t="s">
        <v>934</v>
      </c>
      <c r="L1197" s="82">
        <v>153.0</v>
      </c>
      <c r="M1197" s="128">
        <v>45764.0</v>
      </c>
      <c r="N1197" s="72">
        <f t="shared" si="83"/>
        <v>71</v>
      </c>
      <c r="O1197" s="96"/>
      <c r="P1197" s="74"/>
      <c r="Q1197" s="74"/>
      <c r="R1197" s="74"/>
      <c r="S1197" s="74"/>
      <c r="T1197" s="74"/>
      <c r="U1197" s="74"/>
      <c r="V1197" s="74"/>
      <c r="W1197" s="74"/>
      <c r="X1197" s="74"/>
      <c r="Y1197" s="74"/>
      <c r="Z1197" s="74"/>
      <c r="AA1197" s="74"/>
      <c r="AB1197" s="74"/>
      <c r="AC1197" s="74"/>
      <c r="AD1197" s="74"/>
      <c r="AE1197" s="74"/>
      <c r="AF1197" s="74"/>
      <c r="AG1197" s="74"/>
    </row>
    <row r="1198" ht="22.5" customHeight="1">
      <c r="A1198" s="86">
        <v>45835.0</v>
      </c>
      <c r="B1198" s="63" t="s">
        <v>27</v>
      </c>
      <c r="C1198" s="80">
        <v>80000.0</v>
      </c>
      <c r="D1198" s="79"/>
      <c r="E1198" s="66" t="s">
        <v>28</v>
      </c>
      <c r="F1198" s="84" t="s">
        <v>674</v>
      </c>
      <c r="G1198" s="68">
        <v>20.0</v>
      </c>
      <c r="H1198" s="69">
        <f t="shared" si="82"/>
        <v>13333.33333</v>
      </c>
      <c r="I1198" s="76" t="s">
        <v>37</v>
      </c>
      <c r="J1198" s="87" t="s">
        <v>474</v>
      </c>
      <c r="K1198" s="82" t="s">
        <v>935</v>
      </c>
      <c r="L1198" s="82">
        <v>154.0</v>
      </c>
      <c r="M1198" s="128">
        <v>45764.0</v>
      </c>
      <c r="N1198" s="72">
        <f t="shared" si="83"/>
        <v>71</v>
      </c>
      <c r="O1198" s="96"/>
      <c r="P1198" s="74"/>
      <c r="Q1198" s="74"/>
      <c r="R1198" s="74"/>
      <c r="S1198" s="74"/>
      <c r="T1198" s="74"/>
      <c r="U1198" s="74"/>
      <c r="V1198" s="74"/>
      <c r="W1198" s="74"/>
      <c r="X1198" s="74"/>
      <c r="Y1198" s="74"/>
      <c r="Z1198" s="74"/>
      <c r="AA1198" s="74"/>
      <c r="AB1198" s="74"/>
      <c r="AC1198" s="74"/>
      <c r="AD1198" s="74"/>
      <c r="AE1198" s="74"/>
      <c r="AF1198" s="74"/>
      <c r="AG1198" s="74"/>
    </row>
    <row r="1199" ht="22.5" customHeight="1">
      <c r="A1199" s="86">
        <v>45835.0</v>
      </c>
      <c r="B1199" s="63" t="s">
        <v>27</v>
      </c>
      <c r="C1199" s="79"/>
      <c r="D1199" s="80">
        <v>675100.0</v>
      </c>
      <c r="E1199" s="66" t="s">
        <v>33</v>
      </c>
      <c r="F1199" s="84" t="s">
        <v>722</v>
      </c>
      <c r="G1199" s="68">
        <v>0.0</v>
      </c>
      <c r="H1199" s="69">
        <f t="shared" si="82"/>
        <v>0</v>
      </c>
      <c r="I1199" s="76" t="s">
        <v>322</v>
      </c>
      <c r="J1199" s="87" t="s">
        <v>936</v>
      </c>
      <c r="K1199" s="95"/>
      <c r="L1199" s="95"/>
      <c r="M1199" s="95"/>
      <c r="N1199" s="72">
        <f t="shared" si="83"/>
        <v>0</v>
      </c>
      <c r="O1199" s="96"/>
      <c r="P1199" s="74"/>
      <c r="Q1199" s="74"/>
      <c r="R1199" s="74"/>
      <c r="S1199" s="74"/>
      <c r="T1199" s="74"/>
      <c r="U1199" s="74"/>
      <c r="V1199" s="74"/>
      <c r="W1199" s="74"/>
      <c r="X1199" s="74"/>
      <c r="Y1199" s="74"/>
      <c r="Z1199" s="74"/>
      <c r="AA1199" s="74"/>
      <c r="AB1199" s="74"/>
      <c r="AC1199" s="74"/>
      <c r="AD1199" s="74"/>
      <c r="AE1199" s="74"/>
      <c r="AF1199" s="74"/>
      <c r="AG1199" s="74"/>
    </row>
    <row r="1200" ht="22.5" customHeight="1">
      <c r="A1200" s="86">
        <v>45835.0</v>
      </c>
      <c r="B1200" s="63" t="s">
        <v>27</v>
      </c>
      <c r="C1200" s="79"/>
      <c r="D1200" s="80">
        <v>150000.0</v>
      </c>
      <c r="E1200" s="66" t="s">
        <v>33</v>
      </c>
      <c r="F1200" s="84" t="s">
        <v>897</v>
      </c>
      <c r="G1200" s="68">
        <v>0.0</v>
      </c>
      <c r="H1200" s="69">
        <f t="shared" si="82"/>
        <v>0</v>
      </c>
      <c r="I1200" s="76" t="s">
        <v>53</v>
      </c>
      <c r="J1200" s="87" t="s">
        <v>937</v>
      </c>
      <c r="K1200" s="95"/>
      <c r="L1200" s="95"/>
      <c r="M1200" s="95"/>
      <c r="N1200" s="72">
        <f t="shared" si="83"/>
        <v>0</v>
      </c>
      <c r="O1200" s="96"/>
      <c r="P1200" s="74"/>
      <c r="Q1200" s="74"/>
      <c r="R1200" s="74"/>
      <c r="S1200" s="74"/>
      <c r="T1200" s="74"/>
      <c r="U1200" s="74"/>
      <c r="V1200" s="74"/>
      <c r="W1200" s="74"/>
      <c r="X1200" s="74"/>
      <c r="Y1200" s="74"/>
      <c r="Z1200" s="74"/>
      <c r="AA1200" s="74"/>
      <c r="AB1200" s="74"/>
      <c r="AC1200" s="74"/>
      <c r="AD1200" s="74"/>
      <c r="AE1200" s="74"/>
      <c r="AF1200" s="74"/>
      <c r="AG1200" s="74"/>
    </row>
    <row r="1201" ht="22.5" customHeight="1">
      <c r="A1201" s="86">
        <v>45838.0</v>
      </c>
      <c r="B1201" s="63" t="s">
        <v>27</v>
      </c>
      <c r="C1201" s="79"/>
      <c r="D1201" s="80">
        <v>6927773.06</v>
      </c>
      <c r="E1201" s="66" t="s">
        <v>28</v>
      </c>
      <c r="F1201" s="84" t="s">
        <v>674</v>
      </c>
      <c r="G1201" s="68">
        <v>20.0</v>
      </c>
      <c r="H1201" s="69">
        <f t="shared" si="82"/>
        <v>1154628.843</v>
      </c>
      <c r="I1201" s="76" t="s">
        <v>101</v>
      </c>
      <c r="J1201" s="100" t="s">
        <v>102</v>
      </c>
      <c r="K1201" s="95"/>
      <c r="L1201" s="95"/>
      <c r="M1201" s="95"/>
      <c r="N1201" s="72">
        <f t="shared" si="83"/>
        <v>0</v>
      </c>
      <c r="O1201" s="150" t="s">
        <v>938</v>
      </c>
      <c r="P1201" s="74"/>
      <c r="Q1201" s="74"/>
      <c r="R1201" s="74"/>
      <c r="S1201" s="74"/>
      <c r="T1201" s="74"/>
      <c r="U1201" s="74"/>
      <c r="V1201" s="74"/>
      <c r="W1201" s="74"/>
      <c r="X1201" s="74"/>
      <c r="Y1201" s="74"/>
      <c r="Z1201" s="74"/>
      <c r="AA1201" s="74"/>
      <c r="AB1201" s="74"/>
      <c r="AC1201" s="74"/>
      <c r="AD1201" s="74"/>
      <c r="AE1201" s="74"/>
      <c r="AF1201" s="74"/>
      <c r="AG1201" s="74"/>
    </row>
    <row r="1202" ht="22.5" customHeight="1">
      <c r="A1202" s="86">
        <v>45838.0</v>
      </c>
      <c r="B1202" s="63" t="s">
        <v>27</v>
      </c>
      <c r="C1202" s="79"/>
      <c r="D1202" s="80">
        <v>177300.0</v>
      </c>
      <c r="E1202" s="66" t="s">
        <v>28</v>
      </c>
      <c r="F1202" s="84" t="s">
        <v>722</v>
      </c>
      <c r="G1202" s="68">
        <v>0.0</v>
      </c>
      <c r="H1202" s="69">
        <f t="shared" si="82"/>
        <v>0</v>
      </c>
      <c r="I1202" s="76" t="s">
        <v>286</v>
      </c>
      <c r="J1202" s="87" t="s">
        <v>454</v>
      </c>
      <c r="K1202" s="95"/>
      <c r="L1202" s="95"/>
      <c r="M1202" s="95"/>
      <c r="N1202" s="72">
        <f t="shared" si="83"/>
        <v>0</v>
      </c>
      <c r="O1202" s="140" t="s">
        <v>939</v>
      </c>
      <c r="P1202" s="74"/>
      <c r="Q1202" s="74"/>
      <c r="R1202" s="74"/>
      <c r="S1202" s="74"/>
      <c r="T1202" s="74"/>
      <c r="U1202" s="74"/>
      <c r="V1202" s="74"/>
      <c r="W1202" s="74"/>
      <c r="X1202" s="74"/>
      <c r="Y1202" s="74"/>
      <c r="Z1202" s="74"/>
      <c r="AA1202" s="74"/>
      <c r="AB1202" s="74"/>
      <c r="AC1202" s="74"/>
      <c r="AD1202" s="74"/>
      <c r="AE1202" s="74"/>
      <c r="AF1202" s="74"/>
      <c r="AG1202" s="74"/>
    </row>
    <row r="1203" ht="22.5" customHeight="1">
      <c r="A1203" s="86">
        <v>45838.0</v>
      </c>
      <c r="B1203" s="63" t="s">
        <v>27</v>
      </c>
      <c r="C1203" s="79"/>
      <c r="D1203" s="80">
        <v>68270.86</v>
      </c>
      <c r="E1203" s="66" t="s">
        <v>28</v>
      </c>
      <c r="F1203" s="84" t="s">
        <v>722</v>
      </c>
      <c r="G1203" s="68">
        <v>20.0</v>
      </c>
      <c r="H1203" s="69">
        <f t="shared" si="82"/>
        <v>11378.47667</v>
      </c>
      <c r="I1203" s="76" t="s">
        <v>61</v>
      </c>
      <c r="J1203" s="98" t="s">
        <v>509</v>
      </c>
      <c r="K1203" s="95"/>
      <c r="L1203" s="95"/>
      <c r="M1203" s="95"/>
      <c r="N1203" s="72">
        <f t="shared" si="83"/>
        <v>0</v>
      </c>
      <c r="O1203" s="140" t="s">
        <v>940</v>
      </c>
      <c r="P1203" s="74"/>
      <c r="Q1203" s="74"/>
      <c r="R1203" s="74"/>
      <c r="S1203" s="74"/>
      <c r="T1203" s="74"/>
      <c r="U1203" s="74"/>
      <c r="V1203" s="74"/>
      <c r="W1203" s="74"/>
      <c r="X1203" s="74"/>
      <c r="Y1203" s="74"/>
      <c r="Z1203" s="74"/>
      <c r="AA1203" s="74"/>
      <c r="AB1203" s="74"/>
      <c r="AC1203" s="74"/>
      <c r="AD1203" s="74"/>
      <c r="AE1203" s="74"/>
      <c r="AF1203" s="74"/>
      <c r="AG1203" s="74"/>
    </row>
    <row r="1204" ht="22.5" customHeight="1">
      <c r="A1204" s="86">
        <v>45838.0</v>
      </c>
      <c r="B1204" s="63" t="s">
        <v>27</v>
      </c>
      <c r="C1204" s="79"/>
      <c r="D1204" s="80">
        <v>60000.0</v>
      </c>
      <c r="E1204" s="66" t="s">
        <v>28</v>
      </c>
      <c r="F1204" s="84" t="s">
        <v>941</v>
      </c>
      <c r="G1204" s="68">
        <v>20.0</v>
      </c>
      <c r="H1204" s="69">
        <f t="shared" si="82"/>
        <v>10000</v>
      </c>
      <c r="I1204" s="76" t="s">
        <v>61</v>
      </c>
      <c r="J1204" s="87" t="s">
        <v>942</v>
      </c>
      <c r="K1204" s="95"/>
      <c r="L1204" s="95"/>
      <c r="M1204" s="95"/>
      <c r="N1204" s="72">
        <f t="shared" si="83"/>
        <v>0</v>
      </c>
      <c r="O1204" s="83" t="s">
        <v>943</v>
      </c>
      <c r="P1204" s="74"/>
      <c r="Q1204" s="74"/>
      <c r="R1204" s="74"/>
      <c r="S1204" s="74"/>
      <c r="T1204" s="74"/>
      <c r="U1204" s="74"/>
      <c r="V1204" s="74"/>
      <c r="W1204" s="74"/>
      <c r="X1204" s="74"/>
      <c r="Y1204" s="74"/>
      <c r="Z1204" s="74"/>
      <c r="AA1204" s="74"/>
      <c r="AB1204" s="74"/>
      <c r="AC1204" s="74"/>
      <c r="AD1204" s="74"/>
      <c r="AE1204" s="74"/>
      <c r="AF1204" s="74"/>
      <c r="AG1204" s="74"/>
    </row>
    <row r="1205" ht="22.5" customHeight="1">
      <c r="A1205" s="86">
        <v>45838.0</v>
      </c>
      <c r="B1205" s="63" t="s">
        <v>27</v>
      </c>
      <c r="C1205" s="79"/>
      <c r="D1205" s="80">
        <v>60000.0</v>
      </c>
      <c r="E1205" s="66" t="s">
        <v>28</v>
      </c>
      <c r="F1205" s="84" t="s">
        <v>941</v>
      </c>
      <c r="G1205" s="68">
        <v>20.0</v>
      </c>
      <c r="H1205" s="69">
        <f t="shared" si="82"/>
        <v>10000</v>
      </c>
      <c r="I1205" s="76" t="s">
        <v>61</v>
      </c>
      <c r="J1205" s="87" t="s">
        <v>942</v>
      </c>
      <c r="K1205" s="95"/>
      <c r="L1205" s="95"/>
      <c r="M1205" s="95"/>
      <c r="N1205" s="72">
        <f t="shared" si="83"/>
        <v>0</v>
      </c>
      <c r="O1205" s="83" t="s">
        <v>943</v>
      </c>
      <c r="P1205" s="74"/>
      <c r="Q1205" s="74"/>
      <c r="R1205" s="74"/>
      <c r="S1205" s="74"/>
      <c r="T1205" s="74"/>
      <c r="U1205" s="74"/>
      <c r="V1205" s="74"/>
      <c r="W1205" s="74"/>
      <c r="X1205" s="74"/>
      <c r="Y1205" s="74"/>
      <c r="Z1205" s="74"/>
      <c r="AA1205" s="74"/>
      <c r="AB1205" s="74"/>
      <c r="AC1205" s="74"/>
      <c r="AD1205" s="74"/>
      <c r="AE1205" s="74"/>
      <c r="AF1205" s="74"/>
      <c r="AG1205" s="74"/>
    </row>
    <row r="1206" ht="22.5" customHeight="1">
      <c r="A1206" s="86">
        <v>45838.0</v>
      </c>
      <c r="B1206" s="63" t="s">
        <v>27</v>
      </c>
      <c r="C1206" s="80">
        <v>655316.51</v>
      </c>
      <c r="D1206" s="80"/>
      <c r="E1206" s="66" t="s">
        <v>28</v>
      </c>
      <c r="F1206" s="84" t="s">
        <v>626</v>
      </c>
      <c r="G1206" s="68">
        <v>20.0</v>
      </c>
      <c r="H1206" s="69">
        <f t="shared" si="82"/>
        <v>109219.4183</v>
      </c>
      <c r="I1206" s="76" t="s">
        <v>37</v>
      </c>
      <c r="J1206" s="87" t="s">
        <v>944</v>
      </c>
      <c r="K1206" s="82" t="s">
        <v>945</v>
      </c>
      <c r="L1206" s="82">
        <v>90.0</v>
      </c>
      <c r="M1206" s="128">
        <v>45728.0</v>
      </c>
      <c r="N1206" s="72">
        <f t="shared" si="83"/>
        <v>110</v>
      </c>
      <c r="O1206" s="96"/>
      <c r="P1206" s="74"/>
      <c r="Q1206" s="74"/>
      <c r="R1206" s="74"/>
      <c r="S1206" s="74"/>
      <c r="T1206" s="74"/>
      <c r="U1206" s="74"/>
      <c r="V1206" s="74"/>
      <c r="W1206" s="74"/>
      <c r="X1206" s="74"/>
      <c r="Y1206" s="74"/>
      <c r="Z1206" s="74"/>
      <c r="AA1206" s="74"/>
      <c r="AB1206" s="74"/>
      <c r="AC1206" s="74"/>
      <c r="AD1206" s="74"/>
      <c r="AE1206" s="74"/>
      <c r="AF1206" s="74"/>
      <c r="AG1206" s="74"/>
    </row>
    <row r="1207" ht="22.5" customHeight="1">
      <c r="A1207" s="86">
        <v>45838.0</v>
      </c>
      <c r="B1207" s="63" t="s">
        <v>27</v>
      </c>
      <c r="C1207" s="80">
        <v>334950.0</v>
      </c>
      <c r="D1207" s="80"/>
      <c r="E1207" s="66" t="s">
        <v>28</v>
      </c>
      <c r="F1207" s="84" t="s">
        <v>626</v>
      </c>
      <c r="G1207" s="68">
        <v>20.0</v>
      </c>
      <c r="H1207" s="69">
        <f t="shared" si="82"/>
        <v>55825</v>
      </c>
      <c r="I1207" s="76" t="s">
        <v>37</v>
      </c>
      <c r="J1207" s="87" t="s">
        <v>944</v>
      </c>
      <c r="K1207" s="82" t="s">
        <v>945</v>
      </c>
      <c r="L1207" s="82">
        <v>91.0</v>
      </c>
      <c r="M1207" s="128">
        <v>45728.0</v>
      </c>
      <c r="N1207" s="72">
        <f t="shared" si="83"/>
        <v>110</v>
      </c>
      <c r="O1207" s="96"/>
      <c r="P1207" s="74"/>
      <c r="Q1207" s="74"/>
      <c r="R1207" s="74"/>
      <c r="S1207" s="74"/>
      <c r="T1207" s="74"/>
      <c r="U1207" s="74"/>
      <c r="V1207" s="74"/>
      <c r="W1207" s="74"/>
      <c r="X1207" s="74"/>
      <c r="Y1207" s="74"/>
      <c r="Z1207" s="74"/>
      <c r="AA1207" s="74"/>
      <c r="AB1207" s="74"/>
      <c r="AC1207" s="74"/>
      <c r="AD1207" s="74"/>
      <c r="AE1207" s="74"/>
      <c r="AF1207" s="74"/>
      <c r="AG1207" s="74"/>
    </row>
    <row r="1208" ht="22.5" customHeight="1">
      <c r="A1208" s="86">
        <v>45838.0</v>
      </c>
      <c r="B1208" s="63" t="s">
        <v>27</v>
      </c>
      <c r="C1208" s="80">
        <v>792000.02</v>
      </c>
      <c r="D1208" s="80"/>
      <c r="E1208" s="66" t="s">
        <v>28</v>
      </c>
      <c r="F1208" s="84" t="s">
        <v>626</v>
      </c>
      <c r="G1208" s="68">
        <v>20.0</v>
      </c>
      <c r="H1208" s="69">
        <f t="shared" si="82"/>
        <v>132000.0033</v>
      </c>
      <c r="I1208" s="76" t="s">
        <v>37</v>
      </c>
      <c r="J1208" s="87" t="s">
        <v>944</v>
      </c>
      <c r="K1208" s="82" t="s">
        <v>945</v>
      </c>
      <c r="L1208" s="82">
        <v>92.0</v>
      </c>
      <c r="M1208" s="128">
        <v>45728.0</v>
      </c>
      <c r="N1208" s="72">
        <f t="shared" si="83"/>
        <v>110</v>
      </c>
      <c r="O1208" s="96"/>
      <c r="P1208" s="74"/>
      <c r="Q1208" s="74"/>
      <c r="R1208" s="74"/>
      <c r="S1208" s="74"/>
      <c r="T1208" s="74"/>
      <c r="U1208" s="74"/>
      <c r="V1208" s="74"/>
      <c r="W1208" s="74"/>
      <c r="X1208" s="74"/>
      <c r="Y1208" s="74"/>
      <c r="Z1208" s="74"/>
      <c r="AA1208" s="74"/>
      <c r="AB1208" s="74"/>
      <c r="AC1208" s="74"/>
      <c r="AD1208" s="74"/>
      <c r="AE1208" s="74"/>
      <c r="AF1208" s="74"/>
      <c r="AG1208" s="74"/>
    </row>
    <row r="1209" ht="22.5" customHeight="1">
      <c r="A1209" s="86">
        <v>45838.0</v>
      </c>
      <c r="B1209" s="63" t="s">
        <v>27</v>
      </c>
      <c r="C1209" s="80">
        <v>34200.0</v>
      </c>
      <c r="D1209" s="79"/>
      <c r="E1209" s="66" t="s">
        <v>28</v>
      </c>
      <c r="F1209" s="84" t="s">
        <v>674</v>
      </c>
      <c r="G1209" s="68">
        <v>20.0</v>
      </c>
      <c r="H1209" s="69">
        <f t="shared" si="82"/>
        <v>5700</v>
      </c>
      <c r="I1209" s="76" t="s">
        <v>37</v>
      </c>
      <c r="J1209" s="87" t="s">
        <v>944</v>
      </c>
      <c r="K1209" s="82" t="s">
        <v>946</v>
      </c>
      <c r="L1209" s="82">
        <v>140.0</v>
      </c>
      <c r="M1209" s="128">
        <v>45758.0</v>
      </c>
      <c r="N1209" s="72">
        <f t="shared" si="83"/>
        <v>80</v>
      </c>
      <c r="O1209" s="96"/>
      <c r="P1209" s="74"/>
      <c r="Q1209" s="74"/>
      <c r="R1209" s="74"/>
      <c r="S1209" s="74"/>
      <c r="T1209" s="74"/>
      <c r="U1209" s="74"/>
      <c r="V1209" s="74"/>
      <c r="W1209" s="74"/>
      <c r="X1209" s="74"/>
      <c r="Y1209" s="74"/>
      <c r="Z1209" s="74"/>
      <c r="AA1209" s="74"/>
      <c r="AB1209" s="74"/>
      <c r="AC1209" s="74"/>
      <c r="AD1209" s="74"/>
      <c r="AE1209" s="74"/>
      <c r="AF1209" s="74"/>
      <c r="AG1209" s="74"/>
    </row>
    <row r="1210" ht="22.5" customHeight="1">
      <c r="A1210" s="86">
        <v>45838.0</v>
      </c>
      <c r="B1210" s="63" t="s">
        <v>27</v>
      </c>
      <c r="C1210" s="80">
        <v>960000.0</v>
      </c>
      <c r="D1210" s="80"/>
      <c r="E1210" s="66" t="s">
        <v>28</v>
      </c>
      <c r="F1210" s="84" t="s">
        <v>722</v>
      </c>
      <c r="G1210" s="68">
        <v>20.0</v>
      </c>
      <c r="H1210" s="69">
        <f t="shared" si="82"/>
        <v>160000</v>
      </c>
      <c r="I1210" s="76" t="s">
        <v>37</v>
      </c>
      <c r="J1210" s="87" t="s">
        <v>624</v>
      </c>
      <c r="K1210" s="82" t="s">
        <v>947</v>
      </c>
      <c r="L1210" s="82">
        <v>168.0</v>
      </c>
      <c r="M1210" s="128">
        <v>45789.0</v>
      </c>
      <c r="N1210" s="72">
        <f t="shared" si="83"/>
        <v>49</v>
      </c>
      <c r="O1210" s="96"/>
      <c r="P1210" s="74"/>
      <c r="Q1210" s="74"/>
      <c r="R1210" s="74"/>
      <c r="S1210" s="74"/>
      <c r="T1210" s="74"/>
      <c r="U1210" s="74"/>
      <c r="V1210" s="74"/>
      <c r="W1210" s="74"/>
      <c r="X1210" s="74"/>
      <c r="Y1210" s="74"/>
      <c r="Z1210" s="74"/>
      <c r="AA1210" s="74"/>
      <c r="AB1210" s="74"/>
      <c r="AC1210" s="74"/>
      <c r="AD1210" s="74"/>
      <c r="AE1210" s="74"/>
      <c r="AF1210" s="74"/>
      <c r="AG1210" s="74"/>
    </row>
    <row r="1211" ht="22.5" customHeight="1">
      <c r="A1211" s="86">
        <v>45838.0</v>
      </c>
      <c r="B1211" s="63" t="s">
        <v>27</v>
      </c>
      <c r="C1211" s="80">
        <v>960000.3</v>
      </c>
      <c r="D1211" s="80"/>
      <c r="E1211" s="66" t="s">
        <v>28</v>
      </c>
      <c r="F1211" s="84" t="s">
        <v>722</v>
      </c>
      <c r="G1211" s="68">
        <v>20.0</v>
      </c>
      <c r="H1211" s="69">
        <f t="shared" si="82"/>
        <v>160000.05</v>
      </c>
      <c r="I1211" s="76" t="s">
        <v>37</v>
      </c>
      <c r="J1211" s="87" t="s">
        <v>948</v>
      </c>
      <c r="K1211" s="82" t="s">
        <v>949</v>
      </c>
      <c r="L1211" s="82">
        <v>197.0</v>
      </c>
      <c r="M1211" s="128">
        <v>45792.0</v>
      </c>
      <c r="N1211" s="72">
        <f t="shared" si="83"/>
        <v>46</v>
      </c>
      <c r="O1211" s="96"/>
      <c r="P1211" s="74"/>
      <c r="Q1211" s="74"/>
      <c r="R1211" s="74"/>
      <c r="S1211" s="74"/>
      <c r="T1211" s="74"/>
      <c r="U1211" s="74"/>
      <c r="V1211" s="74"/>
      <c r="W1211" s="74"/>
      <c r="X1211" s="74"/>
      <c r="Y1211" s="74"/>
      <c r="Z1211" s="74"/>
      <c r="AA1211" s="74"/>
      <c r="AB1211" s="74"/>
      <c r="AC1211" s="74"/>
      <c r="AD1211" s="74"/>
      <c r="AE1211" s="74"/>
      <c r="AF1211" s="74"/>
      <c r="AG1211" s="74"/>
    </row>
    <row r="1212" ht="22.5" customHeight="1">
      <c r="A1212" s="86">
        <v>45838.0</v>
      </c>
      <c r="B1212" s="63" t="s">
        <v>27</v>
      </c>
      <c r="C1212" s="80">
        <v>1123851.6</v>
      </c>
      <c r="D1212" s="79"/>
      <c r="E1212" s="66" t="s">
        <v>376</v>
      </c>
      <c r="F1212" s="84" t="s">
        <v>800</v>
      </c>
      <c r="G1212" s="68">
        <v>20.0</v>
      </c>
      <c r="H1212" s="69">
        <f t="shared" si="82"/>
        <v>187308.6</v>
      </c>
      <c r="I1212" s="76" t="s">
        <v>37</v>
      </c>
      <c r="J1212" s="98" t="s">
        <v>641</v>
      </c>
      <c r="K1212" s="82" t="s">
        <v>950</v>
      </c>
      <c r="L1212" s="82">
        <v>214.0</v>
      </c>
      <c r="M1212" s="128">
        <v>45817.0</v>
      </c>
      <c r="N1212" s="72">
        <f t="shared" si="83"/>
        <v>21</v>
      </c>
      <c r="O1212" s="96"/>
      <c r="P1212" s="74"/>
      <c r="Q1212" s="74"/>
      <c r="R1212" s="74"/>
      <c r="S1212" s="74"/>
      <c r="T1212" s="74"/>
      <c r="U1212" s="74"/>
      <c r="V1212" s="74"/>
      <c r="W1212" s="74"/>
      <c r="X1212" s="74"/>
      <c r="Y1212" s="74"/>
      <c r="Z1212" s="74"/>
      <c r="AA1212" s="74"/>
      <c r="AB1212" s="74"/>
      <c r="AC1212" s="74"/>
      <c r="AD1212" s="74"/>
      <c r="AE1212" s="74"/>
      <c r="AF1212" s="74"/>
      <c r="AG1212" s="74"/>
    </row>
    <row r="1213" ht="22.5" customHeight="1">
      <c r="A1213" s="86">
        <v>45838.0</v>
      </c>
      <c r="B1213" s="63" t="s">
        <v>27</v>
      </c>
      <c r="C1213" s="79"/>
      <c r="D1213" s="80">
        <v>1824104.0</v>
      </c>
      <c r="E1213" s="66" t="s">
        <v>28</v>
      </c>
      <c r="F1213" s="84" t="s">
        <v>897</v>
      </c>
      <c r="G1213" s="69">
        <v>0.0</v>
      </c>
      <c r="H1213" s="69">
        <f t="shared" si="82"/>
        <v>0</v>
      </c>
      <c r="I1213" s="94" t="s">
        <v>623</v>
      </c>
      <c r="J1213" s="87" t="s">
        <v>72</v>
      </c>
      <c r="K1213" s="95"/>
      <c r="L1213" s="95"/>
      <c r="M1213" s="95"/>
      <c r="N1213" s="72">
        <f t="shared" si="83"/>
        <v>0</v>
      </c>
      <c r="O1213" s="96"/>
      <c r="P1213" s="74"/>
      <c r="Q1213" s="74"/>
      <c r="R1213" s="74"/>
      <c r="S1213" s="74"/>
      <c r="T1213" s="74"/>
      <c r="U1213" s="74"/>
      <c r="V1213" s="74"/>
      <c r="W1213" s="74"/>
      <c r="X1213" s="74"/>
      <c r="Y1213" s="74"/>
      <c r="Z1213" s="74"/>
      <c r="AA1213" s="74"/>
      <c r="AB1213" s="74"/>
      <c r="AC1213" s="74"/>
      <c r="AD1213" s="74"/>
      <c r="AE1213" s="74"/>
      <c r="AF1213" s="74"/>
      <c r="AG1213" s="74"/>
    </row>
    <row r="1214" ht="22.5" customHeight="1">
      <c r="A1214" s="86">
        <v>45838.0</v>
      </c>
      <c r="B1214" s="63" t="s">
        <v>27</v>
      </c>
      <c r="C1214" s="79"/>
      <c r="D1214" s="80">
        <v>252955.25</v>
      </c>
      <c r="E1214" s="66" t="s">
        <v>28</v>
      </c>
      <c r="F1214" s="84" t="s">
        <v>897</v>
      </c>
      <c r="G1214" s="69">
        <v>0.0</v>
      </c>
      <c r="H1214" s="69">
        <f t="shared" si="82"/>
        <v>0</v>
      </c>
      <c r="I1214" s="94" t="s">
        <v>622</v>
      </c>
      <c r="J1214" s="87" t="s">
        <v>72</v>
      </c>
      <c r="K1214" s="95"/>
      <c r="L1214" s="95"/>
      <c r="M1214" s="95"/>
      <c r="N1214" s="72">
        <f t="shared" si="83"/>
        <v>0</v>
      </c>
      <c r="O1214" s="96"/>
      <c r="P1214" s="74"/>
      <c r="Q1214" s="74"/>
      <c r="R1214" s="74"/>
      <c r="S1214" s="74"/>
      <c r="T1214" s="74"/>
      <c r="U1214" s="74"/>
      <c r="V1214" s="74"/>
      <c r="W1214" s="74"/>
      <c r="X1214" s="74"/>
      <c r="Y1214" s="74"/>
      <c r="Z1214" s="74"/>
      <c r="AA1214" s="74"/>
      <c r="AB1214" s="74"/>
      <c r="AC1214" s="74"/>
      <c r="AD1214" s="74"/>
      <c r="AE1214" s="74"/>
      <c r="AF1214" s="74"/>
      <c r="AG1214" s="74"/>
    </row>
    <row r="1215" ht="22.5" customHeight="1">
      <c r="A1215" s="86">
        <v>45838.0</v>
      </c>
      <c r="B1215" s="63" t="s">
        <v>27</v>
      </c>
      <c r="C1215" s="79"/>
      <c r="D1215" s="80">
        <v>106469.0</v>
      </c>
      <c r="E1215" s="66" t="s">
        <v>28</v>
      </c>
      <c r="F1215" s="84" t="s">
        <v>897</v>
      </c>
      <c r="G1215" s="69">
        <v>0.0</v>
      </c>
      <c r="H1215" s="69">
        <f t="shared" si="82"/>
        <v>0</v>
      </c>
      <c r="I1215" s="94" t="s">
        <v>599</v>
      </c>
      <c r="J1215" s="87" t="s">
        <v>72</v>
      </c>
      <c r="K1215" s="95"/>
      <c r="L1215" s="95"/>
      <c r="M1215" s="95"/>
      <c r="N1215" s="72">
        <f t="shared" si="83"/>
        <v>0</v>
      </c>
      <c r="O1215" s="96"/>
      <c r="P1215" s="74"/>
      <c r="Q1215" s="74"/>
      <c r="R1215" s="74"/>
      <c r="S1215" s="74"/>
      <c r="T1215" s="74"/>
      <c r="U1215" s="74"/>
      <c r="V1215" s="74"/>
      <c r="W1215" s="74"/>
      <c r="X1215" s="74"/>
      <c r="Y1215" s="74"/>
      <c r="Z1215" s="74"/>
      <c r="AA1215" s="74"/>
      <c r="AB1215" s="74"/>
      <c r="AC1215" s="74"/>
      <c r="AD1215" s="74"/>
      <c r="AE1215" s="74"/>
      <c r="AF1215" s="74"/>
      <c r="AG1215" s="74"/>
    </row>
    <row r="1216" ht="22.5" customHeight="1">
      <c r="A1216" s="86">
        <v>45838.0</v>
      </c>
      <c r="B1216" s="63" t="s">
        <v>27</v>
      </c>
      <c r="C1216" s="79"/>
      <c r="D1216" s="79">
        <f>40*79</f>
        <v>3160</v>
      </c>
      <c r="E1216" s="66" t="s">
        <v>28</v>
      </c>
      <c r="F1216" s="84" t="s">
        <v>951</v>
      </c>
      <c r="G1216" s="69">
        <v>0.0</v>
      </c>
      <c r="H1216" s="69">
        <f t="shared" si="82"/>
        <v>0</v>
      </c>
      <c r="I1216" s="76" t="s">
        <v>294</v>
      </c>
      <c r="J1216" s="87" t="s">
        <v>719</v>
      </c>
      <c r="K1216" s="95"/>
      <c r="L1216" s="95"/>
      <c r="M1216" s="95"/>
      <c r="N1216" s="72">
        <f t="shared" si="83"/>
        <v>0</v>
      </c>
      <c r="O1216" s="83" t="s">
        <v>952</v>
      </c>
      <c r="P1216" s="74"/>
      <c r="Q1216" s="74"/>
      <c r="R1216" s="74"/>
      <c r="S1216" s="74"/>
      <c r="T1216" s="74"/>
      <c r="U1216" s="74"/>
      <c r="V1216" s="74"/>
      <c r="W1216" s="74"/>
      <c r="X1216" s="74"/>
      <c r="Y1216" s="74"/>
      <c r="Z1216" s="74"/>
      <c r="AA1216" s="74"/>
      <c r="AB1216" s="74"/>
      <c r="AC1216" s="74"/>
      <c r="AD1216" s="74"/>
      <c r="AE1216" s="74"/>
      <c r="AF1216" s="74"/>
      <c r="AG1216" s="74"/>
    </row>
    <row r="1217" ht="22.5" customHeight="1">
      <c r="A1217" s="86">
        <v>45839.0</v>
      </c>
      <c r="B1217" s="63" t="s">
        <v>27</v>
      </c>
      <c r="C1217" s="79"/>
      <c r="D1217" s="80">
        <v>100000.0</v>
      </c>
      <c r="E1217" s="66" t="s">
        <v>33</v>
      </c>
      <c r="F1217" s="84" t="s">
        <v>897</v>
      </c>
      <c r="G1217" s="68">
        <v>0.0</v>
      </c>
      <c r="H1217" s="69">
        <f t="shared" si="82"/>
        <v>0</v>
      </c>
      <c r="I1217" s="76" t="s">
        <v>53</v>
      </c>
      <c r="J1217" s="87" t="s">
        <v>953</v>
      </c>
      <c r="K1217" s="95"/>
      <c r="L1217" s="95"/>
      <c r="M1217" s="95"/>
      <c r="N1217" s="72">
        <f t="shared" si="83"/>
        <v>0</v>
      </c>
      <c r="O1217" s="96"/>
      <c r="P1217" s="74"/>
      <c r="Q1217" s="74"/>
      <c r="R1217" s="74"/>
      <c r="S1217" s="74"/>
      <c r="T1217" s="74"/>
      <c r="U1217" s="74"/>
      <c r="V1217" s="74"/>
      <c r="W1217" s="74"/>
      <c r="X1217" s="74"/>
      <c r="Y1217" s="74"/>
      <c r="Z1217" s="74"/>
      <c r="AA1217" s="74"/>
      <c r="AB1217" s="74"/>
      <c r="AC1217" s="74"/>
      <c r="AD1217" s="74"/>
      <c r="AE1217" s="74"/>
      <c r="AF1217" s="74"/>
      <c r="AG1217" s="74"/>
    </row>
    <row r="1218" ht="22.5" customHeight="1">
      <c r="A1218" s="86">
        <v>45841.0</v>
      </c>
      <c r="B1218" s="63" t="s">
        <v>27</v>
      </c>
      <c r="C1218" s="79"/>
      <c r="D1218" s="80">
        <v>60000.0</v>
      </c>
      <c r="E1218" s="66" t="s">
        <v>28</v>
      </c>
      <c r="F1218" s="84" t="s">
        <v>941</v>
      </c>
      <c r="G1218" s="68">
        <v>20.0</v>
      </c>
      <c r="H1218" s="69">
        <f t="shared" si="82"/>
        <v>10000</v>
      </c>
      <c r="I1218" s="76" t="s">
        <v>61</v>
      </c>
      <c r="J1218" s="87" t="s">
        <v>942</v>
      </c>
      <c r="K1218" s="95"/>
      <c r="L1218" s="95"/>
      <c r="M1218" s="95"/>
      <c r="N1218" s="72">
        <f t="shared" si="83"/>
        <v>0</v>
      </c>
      <c r="O1218" s="83" t="s">
        <v>943</v>
      </c>
      <c r="P1218" s="74"/>
      <c r="Q1218" s="74"/>
      <c r="R1218" s="74"/>
      <c r="S1218" s="74"/>
      <c r="T1218" s="74"/>
      <c r="U1218" s="74"/>
      <c r="V1218" s="74"/>
      <c r="W1218" s="74"/>
      <c r="X1218" s="74"/>
      <c r="Y1218" s="74"/>
      <c r="Z1218" s="74"/>
      <c r="AA1218" s="74"/>
      <c r="AB1218" s="74"/>
      <c r="AC1218" s="74"/>
      <c r="AD1218" s="74"/>
      <c r="AE1218" s="74"/>
      <c r="AF1218" s="74"/>
      <c r="AG1218" s="74"/>
    </row>
    <row r="1219" ht="22.5" customHeight="1">
      <c r="A1219" s="86">
        <v>45842.0</v>
      </c>
      <c r="B1219" s="63" t="s">
        <v>27</v>
      </c>
      <c r="C1219" s="79"/>
      <c r="D1219" s="80">
        <v>214000.0</v>
      </c>
      <c r="E1219" s="66" t="s">
        <v>28</v>
      </c>
      <c r="F1219" s="84" t="s">
        <v>941</v>
      </c>
      <c r="G1219" s="69">
        <v>0.0</v>
      </c>
      <c r="H1219" s="69">
        <f t="shared" si="82"/>
        <v>0</v>
      </c>
      <c r="I1219" s="76" t="s">
        <v>68</v>
      </c>
      <c r="J1219" s="87" t="s">
        <v>954</v>
      </c>
      <c r="K1219" s="95"/>
      <c r="L1219" s="95"/>
      <c r="M1219" s="95"/>
      <c r="N1219" s="72">
        <f t="shared" si="83"/>
        <v>0</v>
      </c>
      <c r="O1219" s="83" t="s">
        <v>955</v>
      </c>
      <c r="P1219" s="74"/>
      <c r="Q1219" s="74"/>
      <c r="R1219" s="74"/>
      <c r="S1219" s="74"/>
      <c r="T1219" s="74"/>
      <c r="U1219" s="74"/>
      <c r="V1219" s="74"/>
      <c r="W1219" s="74"/>
      <c r="X1219" s="74"/>
      <c r="Y1219" s="74"/>
      <c r="Z1219" s="74"/>
      <c r="AA1219" s="74"/>
      <c r="AB1219" s="74"/>
      <c r="AC1219" s="74"/>
      <c r="AD1219" s="74"/>
      <c r="AE1219" s="74"/>
      <c r="AF1219" s="74"/>
      <c r="AG1219" s="74"/>
    </row>
    <row r="1220" ht="22.5" customHeight="1">
      <c r="A1220" s="86">
        <v>45842.0</v>
      </c>
      <c r="B1220" s="63" t="s">
        <v>27</v>
      </c>
      <c r="C1220" s="79"/>
      <c r="D1220" s="80">
        <f>53191+1036.44</f>
        <v>54227.44</v>
      </c>
      <c r="E1220" s="66" t="s">
        <v>28</v>
      </c>
      <c r="F1220" s="84" t="s">
        <v>897</v>
      </c>
      <c r="G1220" s="69">
        <v>0.0</v>
      </c>
      <c r="H1220" s="69">
        <f t="shared" si="82"/>
        <v>0</v>
      </c>
      <c r="I1220" s="76" t="s">
        <v>61</v>
      </c>
      <c r="J1220" s="87" t="s">
        <v>901</v>
      </c>
      <c r="K1220" s="95"/>
      <c r="L1220" s="95"/>
      <c r="M1220" s="95"/>
      <c r="N1220" s="72">
        <f t="shared" si="83"/>
        <v>0</v>
      </c>
      <c r="O1220" s="83" t="s">
        <v>955</v>
      </c>
      <c r="P1220" s="74"/>
      <c r="Q1220" s="74"/>
      <c r="R1220" s="74"/>
      <c r="S1220" s="74"/>
      <c r="T1220" s="74"/>
      <c r="U1220" s="74"/>
      <c r="V1220" s="74"/>
      <c r="W1220" s="74"/>
      <c r="X1220" s="74"/>
      <c r="Y1220" s="74"/>
      <c r="Z1220" s="74"/>
      <c r="AA1220" s="74"/>
      <c r="AB1220" s="74"/>
      <c r="AC1220" s="74"/>
      <c r="AD1220" s="74"/>
      <c r="AE1220" s="74"/>
      <c r="AF1220" s="74"/>
      <c r="AG1220" s="74"/>
    </row>
    <row r="1221" ht="22.5" customHeight="1">
      <c r="A1221" s="86">
        <v>45842.0</v>
      </c>
      <c r="B1221" s="63" t="s">
        <v>27</v>
      </c>
      <c r="C1221" s="79"/>
      <c r="D1221" s="80">
        <v>34500.0</v>
      </c>
      <c r="E1221" s="66" t="s">
        <v>33</v>
      </c>
      <c r="F1221" s="84" t="s">
        <v>941</v>
      </c>
      <c r="G1221" s="68">
        <v>0.0</v>
      </c>
      <c r="H1221" s="69">
        <f t="shared" si="82"/>
        <v>0</v>
      </c>
      <c r="I1221" s="76" t="s">
        <v>490</v>
      </c>
      <c r="J1221" s="87" t="s">
        <v>956</v>
      </c>
      <c r="K1221" s="95"/>
      <c r="L1221" s="95"/>
      <c r="M1221" s="95"/>
      <c r="N1221" s="72">
        <f t="shared" si="83"/>
        <v>0</v>
      </c>
      <c r="O1221" s="96"/>
      <c r="P1221" s="74"/>
      <c r="Q1221" s="74"/>
      <c r="R1221" s="74"/>
      <c r="S1221" s="74"/>
      <c r="T1221" s="74"/>
      <c r="U1221" s="74"/>
      <c r="V1221" s="74"/>
      <c r="W1221" s="74"/>
      <c r="X1221" s="74"/>
      <c r="Y1221" s="74"/>
      <c r="Z1221" s="74"/>
      <c r="AA1221" s="74"/>
      <c r="AB1221" s="74"/>
      <c r="AC1221" s="74"/>
      <c r="AD1221" s="74"/>
      <c r="AE1221" s="74"/>
      <c r="AF1221" s="74"/>
      <c r="AG1221" s="74"/>
    </row>
    <row r="1222" ht="22.5" customHeight="1">
      <c r="A1222" s="86">
        <v>45845.0</v>
      </c>
      <c r="B1222" s="63" t="s">
        <v>27</v>
      </c>
      <c r="C1222" s="79"/>
      <c r="D1222" s="80">
        <v>4850.8</v>
      </c>
      <c r="E1222" s="66" t="s">
        <v>28</v>
      </c>
      <c r="F1222" s="84" t="s">
        <v>941</v>
      </c>
      <c r="G1222" s="69">
        <v>0.0</v>
      </c>
      <c r="H1222" s="69">
        <f t="shared" si="82"/>
        <v>0</v>
      </c>
      <c r="I1222" s="76" t="s">
        <v>495</v>
      </c>
      <c r="J1222" s="87" t="s">
        <v>957</v>
      </c>
      <c r="K1222" s="95"/>
      <c r="L1222" s="95"/>
      <c r="M1222" s="95"/>
      <c r="N1222" s="72">
        <f t="shared" si="83"/>
        <v>0</v>
      </c>
      <c r="O1222" s="140" t="s">
        <v>958</v>
      </c>
      <c r="P1222" s="74"/>
      <c r="Q1222" s="74"/>
      <c r="R1222" s="74"/>
      <c r="S1222" s="74"/>
      <c r="T1222" s="74"/>
      <c r="U1222" s="74"/>
      <c r="V1222" s="74"/>
      <c r="W1222" s="74"/>
      <c r="X1222" s="74"/>
      <c r="Y1222" s="74"/>
      <c r="Z1222" s="74"/>
      <c r="AA1222" s="74"/>
      <c r="AB1222" s="74"/>
      <c r="AC1222" s="74"/>
      <c r="AD1222" s="74"/>
      <c r="AE1222" s="74"/>
      <c r="AF1222" s="74"/>
      <c r="AG1222" s="74"/>
    </row>
    <row r="1223" ht="22.5" customHeight="1">
      <c r="A1223" s="86">
        <v>45845.0</v>
      </c>
      <c r="B1223" s="63" t="s">
        <v>27</v>
      </c>
      <c r="C1223" s="79"/>
      <c r="D1223" s="80">
        <v>21502.8</v>
      </c>
      <c r="E1223" s="66" t="s">
        <v>28</v>
      </c>
      <c r="F1223" s="84" t="s">
        <v>941</v>
      </c>
      <c r="G1223" s="68">
        <v>20.0</v>
      </c>
      <c r="H1223" s="69">
        <f t="shared" si="82"/>
        <v>3583.8</v>
      </c>
      <c r="I1223" s="76" t="s">
        <v>495</v>
      </c>
      <c r="J1223" s="87" t="s">
        <v>957</v>
      </c>
      <c r="K1223" s="95"/>
      <c r="L1223" s="95"/>
      <c r="M1223" s="95"/>
      <c r="N1223" s="72">
        <f t="shared" si="83"/>
        <v>0</v>
      </c>
      <c r="O1223" s="140" t="s">
        <v>959</v>
      </c>
      <c r="P1223" s="74"/>
      <c r="Q1223" s="74"/>
      <c r="R1223" s="74"/>
      <c r="S1223" s="74"/>
      <c r="T1223" s="74"/>
      <c r="U1223" s="74"/>
      <c r="V1223" s="74"/>
      <c r="W1223" s="74"/>
      <c r="X1223" s="74"/>
      <c r="Y1223" s="74"/>
      <c r="Z1223" s="74"/>
      <c r="AA1223" s="74"/>
      <c r="AB1223" s="74"/>
      <c r="AC1223" s="74"/>
      <c r="AD1223" s="74"/>
      <c r="AE1223" s="74"/>
      <c r="AF1223" s="74"/>
      <c r="AG1223" s="74"/>
    </row>
    <row r="1224" ht="22.5" customHeight="1">
      <c r="A1224" s="86">
        <v>45845.0</v>
      </c>
      <c r="B1224" s="63" t="s">
        <v>27</v>
      </c>
      <c r="C1224" s="79"/>
      <c r="D1224" s="80">
        <v>1085722.0</v>
      </c>
      <c r="E1224" s="66" t="s">
        <v>33</v>
      </c>
      <c r="F1224" s="84" t="s">
        <v>897</v>
      </c>
      <c r="G1224" s="68">
        <v>0.0</v>
      </c>
      <c r="H1224" s="69">
        <f t="shared" si="82"/>
        <v>0</v>
      </c>
      <c r="I1224" s="76" t="s">
        <v>53</v>
      </c>
      <c r="J1224" s="87" t="s">
        <v>960</v>
      </c>
      <c r="K1224" s="95"/>
      <c r="L1224" s="95"/>
      <c r="M1224" s="95"/>
      <c r="N1224" s="72">
        <f t="shared" si="83"/>
        <v>0</v>
      </c>
      <c r="O1224" s="96"/>
      <c r="P1224" s="74"/>
      <c r="Q1224" s="74"/>
      <c r="R1224" s="74"/>
      <c r="S1224" s="74"/>
      <c r="T1224" s="74"/>
      <c r="U1224" s="74"/>
      <c r="V1224" s="74"/>
      <c r="W1224" s="74"/>
      <c r="X1224" s="74"/>
      <c r="Y1224" s="74"/>
      <c r="Z1224" s="74"/>
      <c r="AA1224" s="74"/>
      <c r="AB1224" s="74"/>
      <c r="AC1224" s="74"/>
      <c r="AD1224" s="74"/>
      <c r="AE1224" s="74"/>
      <c r="AF1224" s="74"/>
      <c r="AG1224" s="74"/>
    </row>
    <row r="1225" ht="22.5" customHeight="1">
      <c r="A1225" s="86">
        <v>45845.0</v>
      </c>
      <c r="B1225" s="63" t="s">
        <v>27</v>
      </c>
      <c r="C1225" s="79"/>
      <c r="D1225" s="80">
        <v>470400.0</v>
      </c>
      <c r="E1225" s="66" t="s">
        <v>33</v>
      </c>
      <c r="F1225" s="84" t="s">
        <v>839</v>
      </c>
      <c r="G1225" s="68">
        <v>0.0</v>
      </c>
      <c r="H1225" s="69">
        <f t="shared" si="82"/>
        <v>0</v>
      </c>
      <c r="I1225" s="76" t="s">
        <v>65</v>
      </c>
      <c r="J1225" s="87" t="s">
        <v>961</v>
      </c>
      <c r="K1225" s="95"/>
      <c r="L1225" s="95"/>
      <c r="M1225" s="95"/>
      <c r="N1225" s="72">
        <f t="shared" si="83"/>
        <v>0</v>
      </c>
      <c r="O1225" s="96"/>
      <c r="P1225" s="74"/>
      <c r="Q1225" s="74"/>
      <c r="R1225" s="74"/>
      <c r="S1225" s="74"/>
      <c r="T1225" s="74"/>
      <c r="U1225" s="74"/>
      <c r="V1225" s="74"/>
      <c r="W1225" s="74"/>
      <c r="X1225" s="74"/>
      <c r="Y1225" s="74"/>
      <c r="Z1225" s="74"/>
      <c r="AA1225" s="74"/>
      <c r="AB1225" s="74"/>
      <c r="AC1225" s="74"/>
      <c r="AD1225" s="74"/>
      <c r="AE1225" s="74"/>
      <c r="AF1225" s="74"/>
      <c r="AG1225" s="74"/>
    </row>
    <row r="1226" ht="22.5" customHeight="1">
      <c r="A1226" s="86">
        <v>45845.0</v>
      </c>
      <c r="B1226" s="63" t="s">
        <v>27</v>
      </c>
      <c r="C1226" s="79"/>
      <c r="D1226" s="80">
        <v>18622.0</v>
      </c>
      <c r="E1226" s="66" t="s">
        <v>33</v>
      </c>
      <c r="F1226" s="84" t="s">
        <v>897</v>
      </c>
      <c r="G1226" s="68">
        <v>0.0</v>
      </c>
      <c r="H1226" s="69">
        <f t="shared" si="82"/>
        <v>0</v>
      </c>
      <c r="I1226" s="76" t="s">
        <v>490</v>
      </c>
      <c r="J1226" s="87" t="s">
        <v>962</v>
      </c>
      <c r="K1226" s="95"/>
      <c r="L1226" s="95"/>
      <c r="M1226" s="95"/>
      <c r="N1226" s="72">
        <f t="shared" si="83"/>
        <v>0</v>
      </c>
      <c r="O1226" s="96"/>
      <c r="P1226" s="74"/>
      <c r="Q1226" s="74"/>
      <c r="R1226" s="74"/>
      <c r="S1226" s="74"/>
      <c r="T1226" s="74"/>
      <c r="U1226" s="74"/>
      <c r="V1226" s="74"/>
      <c r="W1226" s="74"/>
      <c r="X1226" s="74"/>
      <c r="Y1226" s="74"/>
      <c r="Z1226" s="74"/>
      <c r="AA1226" s="74"/>
      <c r="AB1226" s="74"/>
      <c r="AC1226" s="74"/>
      <c r="AD1226" s="74"/>
      <c r="AE1226" s="74"/>
      <c r="AF1226" s="74"/>
      <c r="AG1226" s="74"/>
    </row>
    <row r="1227" ht="22.5" customHeight="1">
      <c r="A1227" s="86">
        <v>45845.0</v>
      </c>
      <c r="B1227" s="63" t="s">
        <v>27</v>
      </c>
      <c r="C1227" s="79"/>
      <c r="D1227" s="80">
        <v>15500.0</v>
      </c>
      <c r="E1227" s="66" t="s">
        <v>33</v>
      </c>
      <c r="F1227" s="84" t="s">
        <v>897</v>
      </c>
      <c r="G1227" s="68">
        <v>0.0</v>
      </c>
      <c r="H1227" s="69">
        <f t="shared" si="82"/>
        <v>0</v>
      </c>
      <c r="I1227" s="76" t="s">
        <v>495</v>
      </c>
      <c r="J1227" s="87" t="s">
        <v>963</v>
      </c>
      <c r="K1227" s="95"/>
      <c r="L1227" s="95"/>
      <c r="M1227" s="95"/>
      <c r="N1227" s="72">
        <f t="shared" si="83"/>
        <v>0</v>
      </c>
      <c r="O1227" s="96"/>
      <c r="P1227" s="74"/>
      <c r="Q1227" s="74"/>
      <c r="R1227" s="74"/>
      <c r="S1227" s="74"/>
      <c r="T1227" s="74"/>
      <c r="U1227" s="74"/>
      <c r="V1227" s="74"/>
      <c r="W1227" s="74"/>
      <c r="X1227" s="74"/>
      <c r="Y1227" s="74"/>
      <c r="Z1227" s="74"/>
      <c r="AA1227" s="74"/>
      <c r="AB1227" s="74"/>
      <c r="AC1227" s="74"/>
      <c r="AD1227" s="74"/>
      <c r="AE1227" s="74"/>
      <c r="AF1227" s="74"/>
      <c r="AG1227" s="74"/>
    </row>
    <row r="1228" ht="22.5" customHeight="1">
      <c r="A1228" s="86">
        <v>45845.0</v>
      </c>
      <c r="B1228" s="63" t="s">
        <v>27</v>
      </c>
      <c r="C1228" s="79"/>
      <c r="D1228" s="80">
        <v>38676.0</v>
      </c>
      <c r="E1228" s="66" t="s">
        <v>28</v>
      </c>
      <c r="F1228" s="84" t="s">
        <v>941</v>
      </c>
      <c r="G1228" s="68">
        <v>20.0</v>
      </c>
      <c r="H1228" s="69">
        <f t="shared" si="82"/>
        <v>6446</v>
      </c>
      <c r="I1228" s="104" t="s">
        <v>233</v>
      </c>
      <c r="J1228" s="87" t="s">
        <v>964</v>
      </c>
      <c r="K1228" s="95"/>
      <c r="L1228" s="95"/>
      <c r="M1228" s="95"/>
      <c r="N1228" s="72">
        <f t="shared" si="83"/>
        <v>0</v>
      </c>
      <c r="O1228" s="96"/>
      <c r="P1228" s="74"/>
      <c r="Q1228" s="74"/>
      <c r="R1228" s="74"/>
      <c r="S1228" s="74"/>
      <c r="T1228" s="74"/>
      <c r="U1228" s="74"/>
      <c r="V1228" s="74"/>
      <c r="W1228" s="74"/>
      <c r="X1228" s="74"/>
      <c r="Y1228" s="74"/>
      <c r="Z1228" s="74"/>
      <c r="AA1228" s="74"/>
      <c r="AB1228" s="74"/>
      <c r="AC1228" s="74"/>
      <c r="AD1228" s="74"/>
      <c r="AE1228" s="74"/>
      <c r="AF1228" s="74"/>
      <c r="AG1228" s="74"/>
    </row>
    <row r="1229" ht="22.5" customHeight="1">
      <c r="A1229" s="86">
        <v>45845.0</v>
      </c>
      <c r="B1229" s="63" t="s">
        <v>27</v>
      </c>
      <c r="C1229" s="79"/>
      <c r="D1229" s="80">
        <v>95374.0</v>
      </c>
      <c r="E1229" s="66" t="s">
        <v>28</v>
      </c>
      <c r="F1229" s="84" t="s">
        <v>941</v>
      </c>
      <c r="G1229" s="69">
        <v>0.0</v>
      </c>
      <c r="H1229" s="69">
        <f t="shared" si="82"/>
        <v>0</v>
      </c>
      <c r="I1229" s="94" t="s">
        <v>599</v>
      </c>
      <c r="J1229" s="87" t="s">
        <v>72</v>
      </c>
      <c r="K1229" s="95"/>
      <c r="L1229" s="95"/>
      <c r="M1229" s="95"/>
      <c r="N1229" s="72">
        <f t="shared" si="83"/>
        <v>0</v>
      </c>
      <c r="O1229" s="96"/>
      <c r="P1229" s="74"/>
      <c r="Q1229" s="74"/>
      <c r="R1229" s="74"/>
      <c r="S1229" s="74"/>
      <c r="T1229" s="74"/>
      <c r="U1229" s="74"/>
      <c r="V1229" s="74"/>
      <c r="W1229" s="74"/>
      <c r="X1229" s="74"/>
      <c r="Y1229" s="74"/>
      <c r="Z1229" s="74"/>
      <c r="AA1229" s="74"/>
      <c r="AB1229" s="74"/>
      <c r="AC1229" s="74"/>
      <c r="AD1229" s="74"/>
      <c r="AE1229" s="74"/>
      <c r="AF1229" s="74"/>
      <c r="AG1229" s="74"/>
    </row>
    <row r="1230" ht="22.5" customHeight="1">
      <c r="A1230" s="86">
        <v>45845.0</v>
      </c>
      <c r="B1230" s="63" t="s">
        <v>27</v>
      </c>
      <c r="C1230" s="79"/>
      <c r="D1230" s="80">
        <v>3746.45</v>
      </c>
      <c r="E1230" s="66" t="s">
        <v>28</v>
      </c>
      <c r="F1230" s="84" t="s">
        <v>941</v>
      </c>
      <c r="G1230" s="68">
        <v>20.0</v>
      </c>
      <c r="H1230" s="69">
        <f t="shared" si="82"/>
        <v>624.4083333</v>
      </c>
      <c r="I1230" s="76" t="s">
        <v>495</v>
      </c>
      <c r="J1230" s="87" t="s">
        <v>745</v>
      </c>
      <c r="K1230" s="95"/>
      <c r="L1230" s="95"/>
      <c r="M1230" s="95"/>
      <c r="N1230" s="72">
        <f t="shared" si="83"/>
        <v>0</v>
      </c>
      <c r="O1230" s="140" t="s">
        <v>965</v>
      </c>
      <c r="P1230" s="74"/>
      <c r="Q1230" s="74"/>
      <c r="R1230" s="74"/>
      <c r="S1230" s="74"/>
      <c r="T1230" s="74"/>
      <c r="U1230" s="74"/>
      <c r="V1230" s="74"/>
      <c r="W1230" s="74"/>
      <c r="X1230" s="74"/>
      <c r="Y1230" s="74"/>
      <c r="Z1230" s="74"/>
      <c r="AA1230" s="74"/>
      <c r="AB1230" s="74"/>
      <c r="AC1230" s="74"/>
      <c r="AD1230" s="74"/>
      <c r="AE1230" s="74"/>
      <c r="AF1230" s="74"/>
      <c r="AG1230" s="74"/>
    </row>
    <row r="1231" ht="22.5" customHeight="1">
      <c r="A1231" s="86">
        <v>45845.0</v>
      </c>
      <c r="B1231" s="63" t="s">
        <v>27</v>
      </c>
      <c r="C1231" s="79"/>
      <c r="D1231" s="80">
        <v>70000.0</v>
      </c>
      <c r="E1231" s="66" t="s">
        <v>33</v>
      </c>
      <c r="F1231" s="84" t="s">
        <v>941</v>
      </c>
      <c r="G1231" s="68">
        <v>0.0</v>
      </c>
      <c r="H1231" s="69">
        <f t="shared" si="82"/>
        <v>0</v>
      </c>
      <c r="I1231" s="76" t="s">
        <v>490</v>
      </c>
      <c r="J1231" s="87" t="s">
        <v>966</v>
      </c>
      <c r="K1231" s="95"/>
      <c r="L1231" s="95"/>
      <c r="M1231" s="95"/>
      <c r="N1231" s="72">
        <f t="shared" si="83"/>
        <v>0</v>
      </c>
      <c r="O1231" s="96"/>
      <c r="P1231" s="74"/>
      <c r="Q1231" s="74"/>
      <c r="R1231" s="74"/>
      <c r="S1231" s="74"/>
      <c r="T1231" s="74"/>
      <c r="U1231" s="74"/>
      <c r="V1231" s="74"/>
      <c r="W1231" s="74"/>
      <c r="X1231" s="74"/>
      <c r="Y1231" s="74"/>
      <c r="Z1231" s="74"/>
      <c r="AA1231" s="74"/>
      <c r="AB1231" s="74"/>
      <c r="AC1231" s="74"/>
      <c r="AD1231" s="74"/>
      <c r="AE1231" s="74"/>
      <c r="AF1231" s="74"/>
      <c r="AG1231" s="74"/>
    </row>
    <row r="1232" ht="22.5" customHeight="1">
      <c r="A1232" s="86">
        <v>45846.0</v>
      </c>
      <c r="B1232" s="63" t="s">
        <v>27</v>
      </c>
      <c r="C1232" s="79"/>
      <c r="D1232" s="80">
        <v>74000.0</v>
      </c>
      <c r="E1232" s="66" t="s">
        <v>33</v>
      </c>
      <c r="F1232" s="84" t="s">
        <v>941</v>
      </c>
      <c r="G1232" s="68">
        <v>0.0</v>
      </c>
      <c r="H1232" s="69">
        <f t="shared" si="82"/>
        <v>0</v>
      </c>
      <c r="I1232" s="76" t="s">
        <v>490</v>
      </c>
      <c r="J1232" s="87" t="s">
        <v>967</v>
      </c>
      <c r="K1232" s="95"/>
      <c r="L1232" s="95"/>
      <c r="M1232" s="95"/>
      <c r="N1232" s="72">
        <f t="shared" si="83"/>
        <v>0</v>
      </c>
      <c r="O1232" s="96"/>
      <c r="P1232" s="74"/>
      <c r="Q1232" s="74"/>
      <c r="R1232" s="74"/>
      <c r="S1232" s="74"/>
      <c r="T1232" s="74"/>
      <c r="U1232" s="74"/>
      <c r="V1232" s="74"/>
      <c r="W1232" s="74"/>
      <c r="X1232" s="74"/>
      <c r="Y1232" s="74"/>
      <c r="Z1232" s="74"/>
      <c r="AA1232" s="74"/>
      <c r="AB1232" s="74"/>
      <c r="AC1232" s="74"/>
      <c r="AD1232" s="74"/>
      <c r="AE1232" s="74"/>
      <c r="AF1232" s="74"/>
      <c r="AG1232" s="74"/>
    </row>
    <row r="1233" ht="22.5" customHeight="1">
      <c r="A1233" s="86">
        <v>45846.0</v>
      </c>
      <c r="B1233" s="63" t="s">
        <v>27</v>
      </c>
      <c r="C1233" s="79"/>
      <c r="D1233" s="80">
        <v>28000.0</v>
      </c>
      <c r="E1233" s="66" t="s">
        <v>28</v>
      </c>
      <c r="F1233" s="84" t="s">
        <v>941</v>
      </c>
      <c r="G1233" s="68">
        <v>5.0</v>
      </c>
      <c r="H1233" s="69">
        <f t="shared" si="82"/>
        <v>1333.333333</v>
      </c>
      <c r="I1233" s="104" t="s">
        <v>233</v>
      </c>
      <c r="J1233" s="87" t="s">
        <v>968</v>
      </c>
      <c r="K1233" s="95"/>
      <c r="L1233" s="95"/>
      <c r="M1233" s="95"/>
      <c r="N1233" s="72">
        <f t="shared" si="83"/>
        <v>0</v>
      </c>
      <c r="O1233" s="140" t="s">
        <v>969</v>
      </c>
      <c r="P1233" s="74"/>
      <c r="Q1233" s="74"/>
      <c r="R1233" s="74"/>
      <c r="S1233" s="74"/>
      <c r="T1233" s="74"/>
      <c r="U1233" s="74"/>
      <c r="V1233" s="74"/>
      <c r="W1233" s="74"/>
      <c r="X1233" s="74"/>
      <c r="Y1233" s="74"/>
      <c r="Z1233" s="74"/>
      <c r="AA1233" s="74"/>
      <c r="AB1233" s="74"/>
      <c r="AC1233" s="74"/>
      <c r="AD1233" s="74"/>
      <c r="AE1233" s="74"/>
      <c r="AF1233" s="74"/>
      <c r="AG1233" s="74"/>
    </row>
    <row r="1234" ht="22.5" customHeight="1">
      <c r="A1234" s="86">
        <v>45847.0</v>
      </c>
      <c r="B1234" s="63" t="s">
        <v>27</v>
      </c>
      <c r="C1234" s="79"/>
      <c r="D1234" s="80">
        <v>143074.6</v>
      </c>
      <c r="E1234" s="66" t="s">
        <v>28</v>
      </c>
      <c r="F1234" s="84" t="s">
        <v>722</v>
      </c>
      <c r="G1234" s="68">
        <v>0.0</v>
      </c>
      <c r="H1234" s="69">
        <f t="shared" si="82"/>
        <v>0</v>
      </c>
      <c r="I1234" s="76" t="s">
        <v>101</v>
      </c>
      <c r="J1234" s="136" t="s">
        <v>631</v>
      </c>
      <c r="K1234" s="95"/>
      <c r="L1234" s="95"/>
      <c r="M1234" s="95"/>
      <c r="N1234" s="72">
        <f t="shared" si="83"/>
        <v>0</v>
      </c>
      <c r="O1234" s="140" t="s">
        <v>970</v>
      </c>
      <c r="P1234" s="74"/>
      <c r="Q1234" s="74"/>
      <c r="R1234" s="74"/>
      <c r="S1234" s="74"/>
      <c r="T1234" s="74"/>
      <c r="U1234" s="74"/>
      <c r="V1234" s="74"/>
      <c r="W1234" s="74"/>
      <c r="X1234" s="74"/>
      <c r="Y1234" s="74"/>
      <c r="Z1234" s="74"/>
      <c r="AA1234" s="74"/>
      <c r="AB1234" s="74"/>
      <c r="AC1234" s="74"/>
      <c r="AD1234" s="74"/>
      <c r="AE1234" s="74"/>
      <c r="AF1234" s="74"/>
      <c r="AG1234" s="74"/>
    </row>
    <row r="1235" ht="22.5" customHeight="1">
      <c r="A1235" s="86">
        <v>45847.0</v>
      </c>
      <c r="B1235" s="63" t="s">
        <v>27</v>
      </c>
      <c r="C1235" s="79"/>
      <c r="D1235" s="80">
        <v>234814.36</v>
      </c>
      <c r="E1235" s="66" t="s">
        <v>28</v>
      </c>
      <c r="F1235" s="84" t="s">
        <v>722</v>
      </c>
      <c r="G1235" s="68">
        <v>20.0</v>
      </c>
      <c r="H1235" s="69">
        <f t="shared" si="82"/>
        <v>39135.72667</v>
      </c>
      <c r="I1235" s="76" t="s">
        <v>101</v>
      </c>
      <c r="J1235" s="136" t="s">
        <v>820</v>
      </c>
      <c r="K1235" s="95"/>
      <c r="L1235" s="95"/>
      <c r="M1235" s="95"/>
      <c r="N1235" s="72">
        <f t="shared" si="83"/>
        <v>0</v>
      </c>
      <c r="O1235" s="140" t="s">
        <v>971</v>
      </c>
      <c r="P1235" s="74"/>
      <c r="Q1235" s="74"/>
      <c r="R1235" s="74"/>
      <c r="S1235" s="74"/>
      <c r="T1235" s="74"/>
      <c r="U1235" s="74"/>
      <c r="V1235" s="74"/>
      <c r="W1235" s="74"/>
      <c r="X1235" s="74"/>
      <c r="Y1235" s="74"/>
      <c r="Z1235" s="74"/>
      <c r="AA1235" s="74"/>
      <c r="AB1235" s="74"/>
      <c r="AC1235" s="74"/>
      <c r="AD1235" s="74"/>
      <c r="AE1235" s="74"/>
      <c r="AF1235" s="74"/>
      <c r="AG1235" s="74"/>
    </row>
    <row r="1236" ht="22.5" customHeight="1">
      <c r="A1236" s="86">
        <v>45847.0</v>
      </c>
      <c r="B1236" s="63" t="s">
        <v>27</v>
      </c>
      <c r="C1236" s="79"/>
      <c r="D1236" s="80">
        <v>117095.8</v>
      </c>
      <c r="E1236" s="66" t="s">
        <v>28</v>
      </c>
      <c r="F1236" s="84" t="s">
        <v>722</v>
      </c>
      <c r="G1236" s="68">
        <v>0.0</v>
      </c>
      <c r="H1236" s="69">
        <f t="shared" si="82"/>
        <v>0</v>
      </c>
      <c r="I1236" s="76" t="s">
        <v>101</v>
      </c>
      <c r="J1236" s="136" t="s">
        <v>818</v>
      </c>
      <c r="K1236" s="95"/>
      <c r="L1236" s="95"/>
      <c r="M1236" s="95"/>
      <c r="N1236" s="72">
        <f t="shared" si="83"/>
        <v>0</v>
      </c>
      <c r="O1236" s="140" t="s">
        <v>972</v>
      </c>
      <c r="P1236" s="74"/>
      <c r="Q1236" s="74"/>
      <c r="R1236" s="74"/>
      <c r="S1236" s="74"/>
      <c r="T1236" s="74"/>
      <c r="U1236" s="74"/>
      <c r="V1236" s="74"/>
      <c r="W1236" s="74"/>
      <c r="X1236" s="74"/>
      <c r="Y1236" s="74"/>
      <c r="Z1236" s="74"/>
      <c r="AA1236" s="74"/>
      <c r="AB1236" s="74"/>
      <c r="AC1236" s="74"/>
      <c r="AD1236" s="74"/>
      <c r="AE1236" s="74"/>
      <c r="AF1236" s="74"/>
      <c r="AG1236" s="74"/>
    </row>
    <row r="1237" ht="22.5" customHeight="1">
      <c r="A1237" s="86">
        <v>45847.0</v>
      </c>
      <c r="B1237" s="63" t="s">
        <v>27</v>
      </c>
      <c r="C1237" s="79"/>
      <c r="D1237" s="80">
        <v>6751.44</v>
      </c>
      <c r="E1237" s="66" t="s">
        <v>28</v>
      </c>
      <c r="F1237" s="84" t="s">
        <v>722</v>
      </c>
      <c r="G1237" s="68">
        <v>20.0</v>
      </c>
      <c r="H1237" s="69">
        <f t="shared" si="82"/>
        <v>1125.24</v>
      </c>
      <c r="I1237" s="76" t="s">
        <v>101</v>
      </c>
      <c r="J1237" s="136" t="s">
        <v>973</v>
      </c>
      <c r="K1237" s="95"/>
      <c r="L1237" s="95"/>
      <c r="M1237" s="95"/>
      <c r="N1237" s="72">
        <f t="shared" si="83"/>
        <v>0</v>
      </c>
      <c r="O1237" s="140" t="s">
        <v>974</v>
      </c>
      <c r="P1237" s="74"/>
      <c r="Q1237" s="74"/>
      <c r="R1237" s="74"/>
      <c r="S1237" s="74"/>
      <c r="T1237" s="74"/>
      <c r="U1237" s="74"/>
      <c r="V1237" s="74"/>
      <c r="W1237" s="74"/>
      <c r="X1237" s="74"/>
      <c r="Y1237" s="74"/>
      <c r="Z1237" s="74"/>
      <c r="AA1237" s="74"/>
      <c r="AB1237" s="74"/>
      <c r="AC1237" s="74"/>
      <c r="AD1237" s="74"/>
      <c r="AE1237" s="74"/>
      <c r="AF1237" s="74"/>
      <c r="AG1237" s="74"/>
    </row>
    <row r="1238" ht="22.5" customHeight="1">
      <c r="A1238" s="86">
        <v>45847.0</v>
      </c>
      <c r="B1238" s="63" t="s">
        <v>27</v>
      </c>
      <c r="C1238" s="79"/>
      <c r="D1238" s="80">
        <v>42544.0</v>
      </c>
      <c r="E1238" s="66" t="s">
        <v>28</v>
      </c>
      <c r="F1238" s="84" t="s">
        <v>722</v>
      </c>
      <c r="G1238" s="68">
        <v>5.0</v>
      </c>
      <c r="H1238" s="69">
        <f t="shared" si="82"/>
        <v>2025.904762</v>
      </c>
      <c r="I1238" s="76" t="s">
        <v>101</v>
      </c>
      <c r="J1238" s="136" t="s">
        <v>671</v>
      </c>
      <c r="K1238" s="95"/>
      <c r="L1238" s="95"/>
      <c r="M1238" s="95"/>
      <c r="N1238" s="72">
        <f t="shared" si="83"/>
        <v>0</v>
      </c>
      <c r="O1238" s="140" t="s">
        <v>975</v>
      </c>
      <c r="P1238" s="74"/>
      <c r="Q1238" s="74"/>
      <c r="R1238" s="74"/>
      <c r="S1238" s="74"/>
      <c r="T1238" s="74"/>
      <c r="U1238" s="74"/>
      <c r="V1238" s="74"/>
      <c r="W1238" s="74"/>
      <c r="X1238" s="74"/>
      <c r="Y1238" s="74"/>
      <c r="Z1238" s="74"/>
      <c r="AA1238" s="74"/>
      <c r="AB1238" s="74"/>
      <c r="AC1238" s="74"/>
      <c r="AD1238" s="74"/>
      <c r="AE1238" s="74"/>
      <c r="AF1238" s="74"/>
      <c r="AG1238" s="74"/>
    </row>
    <row r="1239" ht="22.5" customHeight="1">
      <c r="A1239" s="86">
        <v>45847.0</v>
      </c>
      <c r="B1239" s="63" t="s">
        <v>27</v>
      </c>
      <c r="C1239" s="79"/>
      <c r="D1239" s="80">
        <v>7092.84</v>
      </c>
      <c r="E1239" s="66" t="s">
        <v>28</v>
      </c>
      <c r="F1239" s="84" t="s">
        <v>722</v>
      </c>
      <c r="G1239" s="68">
        <v>0.0</v>
      </c>
      <c r="H1239" s="69">
        <f t="shared" si="82"/>
        <v>0</v>
      </c>
      <c r="I1239" s="76" t="s">
        <v>101</v>
      </c>
      <c r="J1239" s="136" t="s">
        <v>976</v>
      </c>
      <c r="K1239" s="95"/>
      <c r="L1239" s="95"/>
      <c r="M1239" s="95"/>
      <c r="N1239" s="72">
        <f t="shared" si="83"/>
        <v>0</v>
      </c>
      <c r="O1239" s="140" t="s">
        <v>977</v>
      </c>
      <c r="P1239" s="74"/>
      <c r="Q1239" s="74"/>
      <c r="R1239" s="74"/>
      <c r="S1239" s="74"/>
      <c r="T1239" s="74"/>
      <c r="U1239" s="74"/>
      <c r="V1239" s="74"/>
      <c r="W1239" s="74"/>
      <c r="X1239" s="74"/>
      <c r="Y1239" s="74"/>
      <c r="Z1239" s="74"/>
      <c r="AA1239" s="74"/>
      <c r="AB1239" s="74"/>
      <c r="AC1239" s="74"/>
      <c r="AD1239" s="74"/>
      <c r="AE1239" s="74"/>
      <c r="AF1239" s="74"/>
      <c r="AG1239" s="74"/>
    </row>
    <row r="1240" ht="22.5" customHeight="1">
      <c r="A1240" s="86">
        <v>45847.0</v>
      </c>
      <c r="B1240" s="63" t="s">
        <v>27</v>
      </c>
      <c r="C1240" s="79"/>
      <c r="D1240" s="80">
        <v>373901.7</v>
      </c>
      <c r="E1240" s="66" t="s">
        <v>28</v>
      </c>
      <c r="F1240" s="84" t="s">
        <v>722</v>
      </c>
      <c r="G1240" s="68">
        <v>20.0</v>
      </c>
      <c r="H1240" s="69">
        <f t="shared" si="82"/>
        <v>62316.95</v>
      </c>
      <c r="I1240" s="76" t="s">
        <v>101</v>
      </c>
      <c r="J1240" s="136" t="s">
        <v>670</v>
      </c>
      <c r="K1240" s="95"/>
      <c r="L1240" s="95"/>
      <c r="M1240" s="95"/>
      <c r="N1240" s="72">
        <f t="shared" si="83"/>
        <v>0</v>
      </c>
      <c r="O1240" s="140" t="s">
        <v>978</v>
      </c>
      <c r="P1240" s="74"/>
      <c r="Q1240" s="74"/>
      <c r="R1240" s="74"/>
      <c r="S1240" s="74"/>
      <c r="T1240" s="74"/>
      <c r="U1240" s="74"/>
      <c r="V1240" s="74"/>
      <c r="W1240" s="74"/>
      <c r="X1240" s="74"/>
      <c r="Y1240" s="74"/>
      <c r="Z1240" s="74"/>
      <c r="AA1240" s="74"/>
      <c r="AB1240" s="74"/>
      <c r="AC1240" s="74"/>
      <c r="AD1240" s="74"/>
      <c r="AE1240" s="74"/>
      <c r="AF1240" s="74"/>
      <c r="AG1240" s="74"/>
    </row>
    <row r="1241" ht="22.5" customHeight="1">
      <c r="A1241" s="86">
        <v>45847.0</v>
      </c>
      <c r="B1241" s="63" t="s">
        <v>27</v>
      </c>
      <c r="C1241" s="79"/>
      <c r="D1241" s="80">
        <v>191330.4</v>
      </c>
      <c r="E1241" s="66" t="s">
        <v>28</v>
      </c>
      <c r="F1241" s="84" t="s">
        <v>722</v>
      </c>
      <c r="G1241" s="68">
        <v>20.0</v>
      </c>
      <c r="H1241" s="69">
        <f t="shared" si="82"/>
        <v>31888.4</v>
      </c>
      <c r="I1241" s="76" t="s">
        <v>101</v>
      </c>
      <c r="J1241" s="136" t="s">
        <v>643</v>
      </c>
      <c r="K1241" s="95"/>
      <c r="L1241" s="95"/>
      <c r="M1241" s="95"/>
      <c r="N1241" s="72">
        <f t="shared" si="83"/>
        <v>0</v>
      </c>
      <c r="O1241" s="140" t="s">
        <v>979</v>
      </c>
      <c r="P1241" s="74"/>
      <c r="Q1241" s="74"/>
      <c r="R1241" s="74"/>
      <c r="S1241" s="74"/>
      <c r="T1241" s="74"/>
      <c r="U1241" s="74"/>
      <c r="V1241" s="74"/>
      <c r="W1241" s="74"/>
      <c r="X1241" s="74"/>
      <c r="Y1241" s="74"/>
      <c r="Z1241" s="74"/>
      <c r="AA1241" s="74"/>
      <c r="AB1241" s="74"/>
      <c r="AC1241" s="74"/>
      <c r="AD1241" s="74"/>
      <c r="AE1241" s="74"/>
      <c r="AF1241" s="74"/>
      <c r="AG1241" s="74"/>
    </row>
    <row r="1242" ht="22.5" customHeight="1">
      <c r="A1242" s="86">
        <v>45847.0</v>
      </c>
      <c r="B1242" s="63" t="s">
        <v>27</v>
      </c>
      <c r="C1242" s="79"/>
      <c r="D1242" s="80">
        <v>692239.36</v>
      </c>
      <c r="E1242" s="66" t="s">
        <v>28</v>
      </c>
      <c r="F1242" s="84" t="s">
        <v>722</v>
      </c>
      <c r="G1242" s="68">
        <v>20.0</v>
      </c>
      <c r="H1242" s="69">
        <f t="shared" si="82"/>
        <v>115373.2267</v>
      </c>
      <c r="I1242" s="76" t="s">
        <v>101</v>
      </c>
      <c r="J1242" s="136" t="s">
        <v>597</v>
      </c>
      <c r="K1242" s="95"/>
      <c r="L1242" s="95"/>
      <c r="M1242" s="95"/>
      <c r="N1242" s="72">
        <f t="shared" si="83"/>
        <v>0</v>
      </c>
      <c r="O1242" s="140" t="s">
        <v>980</v>
      </c>
      <c r="P1242" s="74"/>
      <c r="Q1242" s="74"/>
      <c r="R1242" s="74"/>
      <c r="S1242" s="74"/>
      <c r="T1242" s="74"/>
      <c r="U1242" s="74"/>
      <c r="V1242" s="74"/>
      <c r="W1242" s="74"/>
      <c r="X1242" s="74"/>
      <c r="Y1242" s="74"/>
      <c r="Z1242" s="74"/>
      <c r="AA1242" s="74"/>
      <c r="AB1242" s="74"/>
      <c r="AC1242" s="74"/>
      <c r="AD1242" s="74"/>
      <c r="AE1242" s="74"/>
      <c r="AF1242" s="74"/>
      <c r="AG1242" s="74"/>
    </row>
    <row r="1243" ht="22.5" customHeight="1">
      <c r="A1243" s="86">
        <v>45847.0</v>
      </c>
      <c r="B1243" s="63" t="s">
        <v>27</v>
      </c>
      <c r="C1243" s="79"/>
      <c r="D1243" s="80">
        <v>224751.67</v>
      </c>
      <c r="E1243" s="66" t="s">
        <v>28</v>
      </c>
      <c r="F1243" s="84" t="s">
        <v>722</v>
      </c>
      <c r="G1243" s="68">
        <v>20.0</v>
      </c>
      <c r="H1243" s="69">
        <f t="shared" si="82"/>
        <v>37458.61167</v>
      </c>
      <c r="I1243" s="76" t="s">
        <v>101</v>
      </c>
      <c r="J1243" s="136" t="s">
        <v>632</v>
      </c>
      <c r="K1243" s="95"/>
      <c r="L1243" s="95"/>
      <c r="M1243" s="95"/>
      <c r="N1243" s="72">
        <f t="shared" si="83"/>
        <v>0</v>
      </c>
      <c r="O1243" s="140" t="s">
        <v>981</v>
      </c>
      <c r="P1243" s="74"/>
      <c r="Q1243" s="74"/>
      <c r="R1243" s="74"/>
      <c r="S1243" s="74"/>
      <c r="T1243" s="74"/>
      <c r="U1243" s="74"/>
      <c r="V1243" s="74"/>
      <c r="W1243" s="74"/>
      <c r="X1243" s="74"/>
      <c r="Y1243" s="74"/>
      <c r="Z1243" s="74"/>
      <c r="AA1243" s="74"/>
      <c r="AB1243" s="74"/>
      <c r="AC1243" s="74"/>
      <c r="AD1243" s="74"/>
      <c r="AE1243" s="74"/>
      <c r="AF1243" s="74"/>
      <c r="AG1243" s="74"/>
    </row>
    <row r="1244" ht="22.5" customHeight="1">
      <c r="A1244" s="86">
        <v>45847.0</v>
      </c>
      <c r="B1244" s="63" t="s">
        <v>27</v>
      </c>
      <c r="C1244" s="79"/>
      <c r="D1244" s="80">
        <v>7402.2</v>
      </c>
      <c r="E1244" s="66" t="s">
        <v>28</v>
      </c>
      <c r="F1244" s="84" t="s">
        <v>722</v>
      </c>
      <c r="G1244" s="68">
        <v>0.0</v>
      </c>
      <c r="H1244" s="69">
        <f t="shared" si="82"/>
        <v>0</v>
      </c>
      <c r="I1244" s="76" t="s">
        <v>101</v>
      </c>
      <c r="J1244" s="136" t="s">
        <v>982</v>
      </c>
      <c r="K1244" s="95"/>
      <c r="L1244" s="95"/>
      <c r="M1244" s="95"/>
      <c r="N1244" s="72">
        <f t="shared" si="83"/>
        <v>0</v>
      </c>
      <c r="O1244" s="140" t="s">
        <v>983</v>
      </c>
      <c r="P1244" s="74"/>
      <c r="Q1244" s="74"/>
      <c r="R1244" s="74"/>
      <c r="S1244" s="74"/>
      <c r="T1244" s="74"/>
      <c r="U1244" s="74"/>
      <c r="V1244" s="74"/>
      <c r="W1244" s="74"/>
      <c r="X1244" s="74"/>
      <c r="Y1244" s="74"/>
      <c r="Z1244" s="74"/>
      <c r="AA1244" s="74"/>
      <c r="AB1244" s="74"/>
      <c r="AC1244" s="74"/>
      <c r="AD1244" s="74"/>
      <c r="AE1244" s="74"/>
      <c r="AF1244" s="74"/>
      <c r="AG1244" s="74"/>
    </row>
    <row r="1245" ht="22.5" customHeight="1">
      <c r="A1245" s="86">
        <v>45847.0</v>
      </c>
      <c r="B1245" s="63" t="s">
        <v>27</v>
      </c>
      <c r="C1245" s="80">
        <v>420000.0</v>
      </c>
      <c r="D1245" s="79"/>
      <c r="E1245" s="66" t="s">
        <v>376</v>
      </c>
      <c r="F1245" s="84" t="s">
        <v>674</v>
      </c>
      <c r="G1245" s="68">
        <v>20.0</v>
      </c>
      <c r="H1245" s="69">
        <f t="shared" si="82"/>
        <v>70000</v>
      </c>
      <c r="I1245" s="76" t="s">
        <v>37</v>
      </c>
      <c r="J1245" s="87" t="s">
        <v>677</v>
      </c>
      <c r="K1245" s="82" t="s">
        <v>844</v>
      </c>
      <c r="L1245" s="82">
        <v>116.0</v>
      </c>
      <c r="M1245" s="128">
        <v>45757.0</v>
      </c>
      <c r="N1245" s="72">
        <f t="shared" si="83"/>
        <v>90</v>
      </c>
      <c r="O1245" s="96"/>
      <c r="P1245" s="74"/>
      <c r="Q1245" s="74"/>
      <c r="R1245" s="74"/>
      <c r="S1245" s="74"/>
      <c r="T1245" s="74"/>
      <c r="U1245" s="74"/>
      <c r="V1245" s="74"/>
      <c r="W1245" s="74"/>
      <c r="X1245" s="74"/>
      <c r="Y1245" s="74"/>
      <c r="Z1245" s="74"/>
      <c r="AA1245" s="74"/>
      <c r="AB1245" s="74"/>
      <c r="AC1245" s="74"/>
      <c r="AD1245" s="74"/>
      <c r="AE1245" s="74"/>
      <c r="AF1245" s="74"/>
      <c r="AG1245" s="74"/>
    </row>
    <row r="1246" ht="22.5" customHeight="1">
      <c r="A1246" s="86">
        <v>45847.0</v>
      </c>
      <c r="B1246" s="63" t="s">
        <v>27</v>
      </c>
      <c r="C1246" s="80">
        <v>470400.0</v>
      </c>
      <c r="D1246" s="80"/>
      <c r="E1246" s="66" t="s">
        <v>376</v>
      </c>
      <c r="F1246" s="84" t="s">
        <v>722</v>
      </c>
      <c r="G1246" s="68">
        <v>20.0</v>
      </c>
      <c r="H1246" s="69">
        <f t="shared" si="82"/>
        <v>78400</v>
      </c>
      <c r="I1246" s="76" t="s">
        <v>37</v>
      </c>
      <c r="J1246" s="87" t="s">
        <v>878</v>
      </c>
      <c r="K1246" s="82" t="s">
        <v>984</v>
      </c>
      <c r="L1246" s="82">
        <v>158.0</v>
      </c>
      <c r="M1246" s="128">
        <v>45784.0</v>
      </c>
      <c r="N1246" s="72">
        <f t="shared" si="83"/>
        <v>63</v>
      </c>
      <c r="O1246" s="96"/>
      <c r="P1246" s="74"/>
      <c r="Q1246" s="74"/>
      <c r="R1246" s="74"/>
      <c r="S1246" s="74"/>
      <c r="T1246" s="74"/>
      <c r="U1246" s="74"/>
      <c r="V1246" s="74"/>
      <c r="W1246" s="74"/>
      <c r="X1246" s="74"/>
      <c r="Y1246" s="74"/>
      <c r="Z1246" s="74"/>
      <c r="AA1246" s="74"/>
      <c r="AB1246" s="74"/>
      <c r="AC1246" s="74"/>
      <c r="AD1246" s="74"/>
      <c r="AE1246" s="74"/>
      <c r="AF1246" s="74"/>
      <c r="AG1246" s="74"/>
    </row>
    <row r="1247" ht="22.5" customHeight="1">
      <c r="A1247" s="86">
        <v>45847.0</v>
      </c>
      <c r="B1247" s="63" t="s">
        <v>27</v>
      </c>
      <c r="C1247" s="80">
        <v>470400.0</v>
      </c>
      <c r="D1247" s="80"/>
      <c r="E1247" s="66" t="s">
        <v>376</v>
      </c>
      <c r="F1247" s="84" t="s">
        <v>722</v>
      </c>
      <c r="G1247" s="68">
        <v>20.0</v>
      </c>
      <c r="H1247" s="69">
        <f t="shared" si="82"/>
        <v>78400</v>
      </c>
      <c r="I1247" s="76" t="s">
        <v>37</v>
      </c>
      <c r="J1247" s="87" t="s">
        <v>878</v>
      </c>
      <c r="K1247" s="82" t="s">
        <v>985</v>
      </c>
      <c r="L1247" s="82">
        <v>159.0</v>
      </c>
      <c r="M1247" s="128">
        <v>45784.0</v>
      </c>
      <c r="N1247" s="72">
        <f t="shared" si="83"/>
        <v>63</v>
      </c>
      <c r="O1247" s="96"/>
      <c r="P1247" s="74"/>
      <c r="Q1247" s="74"/>
      <c r="R1247" s="74"/>
      <c r="S1247" s="74"/>
      <c r="T1247" s="74"/>
      <c r="U1247" s="74"/>
      <c r="V1247" s="74"/>
      <c r="W1247" s="74"/>
      <c r="X1247" s="74"/>
      <c r="Y1247" s="74"/>
      <c r="Z1247" s="74"/>
      <c r="AA1247" s="74"/>
      <c r="AB1247" s="74"/>
      <c r="AC1247" s="74"/>
      <c r="AD1247" s="74"/>
      <c r="AE1247" s="74"/>
      <c r="AF1247" s="74"/>
      <c r="AG1247" s="74"/>
    </row>
    <row r="1248" ht="22.5" customHeight="1">
      <c r="A1248" s="86">
        <v>45848.0</v>
      </c>
      <c r="B1248" s="63" t="s">
        <v>27</v>
      </c>
      <c r="C1248" s="79"/>
      <c r="D1248" s="80">
        <f>933388+24038+511.68</f>
        <v>957937.68</v>
      </c>
      <c r="E1248" s="66" t="s">
        <v>28</v>
      </c>
      <c r="F1248" s="84" t="s">
        <v>897</v>
      </c>
      <c r="G1248" s="68">
        <v>0.0</v>
      </c>
      <c r="H1248" s="69">
        <f t="shared" si="82"/>
        <v>0</v>
      </c>
      <c r="I1248" s="76" t="s">
        <v>68</v>
      </c>
      <c r="J1248" s="87" t="s">
        <v>986</v>
      </c>
      <c r="K1248" s="95"/>
      <c r="L1248" s="95"/>
      <c r="M1248" s="95"/>
      <c r="N1248" s="72">
        <f t="shared" si="83"/>
        <v>0</v>
      </c>
      <c r="O1248" s="96"/>
      <c r="P1248" s="74"/>
      <c r="Q1248" s="74"/>
      <c r="R1248" s="74"/>
      <c r="S1248" s="74"/>
      <c r="T1248" s="74"/>
      <c r="U1248" s="74"/>
      <c r="V1248" s="74"/>
      <c r="W1248" s="74"/>
      <c r="X1248" s="74"/>
      <c r="Y1248" s="74"/>
      <c r="Z1248" s="74"/>
      <c r="AA1248" s="74"/>
      <c r="AB1248" s="74"/>
      <c r="AC1248" s="74"/>
      <c r="AD1248" s="74"/>
      <c r="AE1248" s="74"/>
      <c r="AF1248" s="74"/>
      <c r="AG1248" s="74"/>
    </row>
    <row r="1249" ht="22.5" customHeight="1">
      <c r="A1249" s="86">
        <v>45849.0</v>
      </c>
      <c r="B1249" s="63" t="s">
        <v>27</v>
      </c>
      <c r="C1249" s="79"/>
      <c r="D1249" s="80">
        <v>10000.0</v>
      </c>
      <c r="E1249" s="66" t="s">
        <v>33</v>
      </c>
      <c r="F1249" s="84" t="s">
        <v>941</v>
      </c>
      <c r="G1249" s="68">
        <v>0.0</v>
      </c>
      <c r="H1249" s="69">
        <f t="shared" si="82"/>
        <v>0</v>
      </c>
      <c r="I1249" s="76" t="s">
        <v>495</v>
      </c>
      <c r="J1249" s="87" t="s">
        <v>987</v>
      </c>
      <c r="K1249" s="95"/>
      <c r="L1249" s="95"/>
      <c r="M1249" s="95"/>
      <c r="N1249" s="72">
        <f t="shared" si="83"/>
        <v>0</v>
      </c>
      <c r="O1249" s="96"/>
      <c r="P1249" s="74"/>
      <c r="Q1249" s="74"/>
      <c r="R1249" s="74"/>
      <c r="S1249" s="74"/>
      <c r="T1249" s="74"/>
      <c r="U1249" s="74"/>
      <c r="V1249" s="74"/>
      <c r="W1249" s="74"/>
      <c r="X1249" s="74"/>
      <c r="Y1249" s="74"/>
      <c r="Z1249" s="74"/>
      <c r="AA1249" s="74"/>
      <c r="AB1249" s="74"/>
      <c r="AC1249" s="74"/>
      <c r="AD1249" s="74"/>
      <c r="AE1249" s="74"/>
      <c r="AF1249" s="74"/>
      <c r="AG1249" s="74"/>
    </row>
    <row r="1250" ht="22.5" customHeight="1">
      <c r="A1250" s="86">
        <v>45852.0</v>
      </c>
      <c r="B1250" s="63" t="s">
        <v>27</v>
      </c>
      <c r="C1250" s="79"/>
      <c r="D1250" s="80">
        <v>20400.0</v>
      </c>
      <c r="E1250" s="66" t="s">
        <v>28</v>
      </c>
      <c r="F1250" s="84" t="s">
        <v>897</v>
      </c>
      <c r="G1250" s="68">
        <v>20.0</v>
      </c>
      <c r="H1250" s="69">
        <f t="shared" si="82"/>
        <v>3400</v>
      </c>
      <c r="I1250" s="76" t="s">
        <v>495</v>
      </c>
      <c r="J1250" s="98" t="s">
        <v>910</v>
      </c>
      <c r="K1250" s="95"/>
      <c r="L1250" s="95"/>
      <c r="M1250" s="95"/>
      <c r="N1250" s="72">
        <f t="shared" si="83"/>
        <v>0</v>
      </c>
      <c r="O1250" s="140" t="s">
        <v>988</v>
      </c>
      <c r="P1250" s="74"/>
      <c r="Q1250" s="74"/>
      <c r="R1250" s="74"/>
      <c r="S1250" s="74"/>
      <c r="T1250" s="74"/>
      <c r="U1250" s="74"/>
      <c r="V1250" s="74"/>
      <c r="W1250" s="74"/>
      <c r="X1250" s="74"/>
      <c r="Y1250" s="74"/>
      <c r="Z1250" s="74"/>
      <c r="AA1250" s="74"/>
      <c r="AB1250" s="74"/>
      <c r="AC1250" s="74"/>
      <c r="AD1250" s="74"/>
      <c r="AE1250" s="74"/>
      <c r="AF1250" s="74"/>
      <c r="AG1250" s="74"/>
    </row>
    <row r="1251" ht="22.5" customHeight="1">
      <c r="A1251" s="86">
        <v>45852.0</v>
      </c>
      <c r="B1251" s="63" t="s">
        <v>27</v>
      </c>
      <c r="C1251" s="79"/>
      <c r="D1251" s="80">
        <v>20400.0</v>
      </c>
      <c r="E1251" s="66" t="s">
        <v>28</v>
      </c>
      <c r="F1251" s="84" t="s">
        <v>941</v>
      </c>
      <c r="G1251" s="68">
        <v>20.0</v>
      </c>
      <c r="H1251" s="69">
        <f t="shared" si="82"/>
        <v>3400</v>
      </c>
      <c r="I1251" s="76" t="s">
        <v>495</v>
      </c>
      <c r="J1251" s="98" t="s">
        <v>910</v>
      </c>
      <c r="K1251" s="95"/>
      <c r="L1251" s="95"/>
      <c r="M1251" s="95"/>
      <c r="N1251" s="72">
        <f t="shared" si="83"/>
        <v>0</v>
      </c>
      <c r="O1251" s="140" t="s">
        <v>989</v>
      </c>
      <c r="P1251" s="74"/>
      <c r="Q1251" s="74"/>
      <c r="R1251" s="74"/>
      <c r="S1251" s="74"/>
      <c r="T1251" s="74"/>
      <c r="U1251" s="74"/>
      <c r="V1251" s="74"/>
      <c r="W1251" s="74"/>
      <c r="X1251" s="74"/>
      <c r="Y1251" s="74"/>
      <c r="Z1251" s="74"/>
      <c r="AA1251" s="74"/>
      <c r="AB1251" s="74"/>
      <c r="AC1251" s="74"/>
      <c r="AD1251" s="74"/>
      <c r="AE1251" s="74"/>
      <c r="AF1251" s="74"/>
      <c r="AG1251" s="74"/>
    </row>
    <row r="1252" ht="22.5" customHeight="1">
      <c r="A1252" s="86">
        <v>45852.0</v>
      </c>
      <c r="B1252" s="63" t="s">
        <v>27</v>
      </c>
      <c r="C1252" s="79"/>
      <c r="D1252" s="80">
        <v>550000.0</v>
      </c>
      <c r="E1252" s="66" t="s">
        <v>28</v>
      </c>
      <c r="F1252" s="84" t="s">
        <v>897</v>
      </c>
      <c r="G1252" s="68">
        <v>0.0</v>
      </c>
      <c r="H1252" s="69">
        <f t="shared" si="82"/>
        <v>0</v>
      </c>
      <c r="I1252" s="76" t="s">
        <v>504</v>
      </c>
      <c r="J1252" s="87" t="s">
        <v>505</v>
      </c>
      <c r="K1252" s="95"/>
      <c r="L1252" s="95"/>
      <c r="M1252" s="95"/>
      <c r="N1252" s="72">
        <f t="shared" si="83"/>
        <v>0</v>
      </c>
      <c r="O1252" s="96"/>
      <c r="P1252" s="74"/>
      <c r="Q1252" s="74"/>
      <c r="R1252" s="74"/>
      <c r="S1252" s="74"/>
      <c r="T1252" s="74"/>
      <c r="U1252" s="74"/>
      <c r="V1252" s="74"/>
      <c r="W1252" s="74"/>
      <c r="X1252" s="74"/>
      <c r="Y1252" s="74"/>
      <c r="Z1252" s="74"/>
      <c r="AA1252" s="74"/>
      <c r="AB1252" s="74"/>
      <c r="AC1252" s="74"/>
      <c r="AD1252" s="74"/>
      <c r="AE1252" s="74"/>
      <c r="AF1252" s="74"/>
      <c r="AG1252" s="74"/>
    </row>
    <row r="1253" ht="22.5" customHeight="1">
      <c r="A1253" s="86">
        <v>45852.0</v>
      </c>
      <c r="B1253" s="63" t="s">
        <v>27</v>
      </c>
      <c r="C1253" s="79"/>
      <c r="D1253" s="80">
        <v>217200.0</v>
      </c>
      <c r="E1253" s="66" t="s">
        <v>28</v>
      </c>
      <c r="F1253" s="84" t="s">
        <v>941</v>
      </c>
      <c r="G1253" s="68">
        <v>0.0</v>
      </c>
      <c r="H1253" s="69">
        <f t="shared" si="82"/>
        <v>0</v>
      </c>
      <c r="I1253" s="76" t="s">
        <v>495</v>
      </c>
      <c r="J1253" s="87" t="s">
        <v>691</v>
      </c>
      <c r="K1253" s="95"/>
      <c r="L1253" s="95"/>
      <c r="M1253" s="95"/>
      <c r="N1253" s="72">
        <f t="shared" si="83"/>
        <v>0</v>
      </c>
      <c r="O1253" s="83" t="s">
        <v>990</v>
      </c>
      <c r="P1253" s="74"/>
      <c r="Q1253" s="74"/>
      <c r="R1253" s="74"/>
      <c r="S1253" s="74"/>
      <c r="T1253" s="74"/>
      <c r="U1253" s="74"/>
      <c r="V1253" s="74"/>
      <c r="W1253" s="74"/>
      <c r="X1253" s="74"/>
      <c r="Y1253" s="74"/>
      <c r="Z1253" s="74"/>
      <c r="AA1253" s="74"/>
      <c r="AB1253" s="74"/>
      <c r="AC1253" s="74"/>
      <c r="AD1253" s="74"/>
      <c r="AE1253" s="74"/>
      <c r="AF1253" s="74"/>
      <c r="AG1253" s="74"/>
    </row>
    <row r="1254" ht="22.5" customHeight="1">
      <c r="A1254" s="86">
        <v>45852.0</v>
      </c>
      <c r="B1254" s="63" t="s">
        <v>27</v>
      </c>
      <c r="C1254" s="79"/>
      <c r="D1254" s="80">
        <v>64200.0</v>
      </c>
      <c r="E1254" s="66" t="s">
        <v>28</v>
      </c>
      <c r="F1254" s="84" t="s">
        <v>941</v>
      </c>
      <c r="G1254" s="68">
        <v>20.0</v>
      </c>
      <c r="H1254" s="69">
        <f t="shared" si="82"/>
        <v>10700</v>
      </c>
      <c r="I1254" s="104" t="s">
        <v>233</v>
      </c>
      <c r="J1254" s="87" t="s">
        <v>991</v>
      </c>
      <c r="K1254" s="95"/>
      <c r="L1254" s="95"/>
      <c r="M1254" s="95"/>
      <c r="N1254" s="72">
        <f t="shared" si="83"/>
        <v>0</v>
      </c>
      <c r="O1254" s="96"/>
      <c r="P1254" s="74"/>
      <c r="Q1254" s="74"/>
      <c r="R1254" s="74"/>
      <c r="S1254" s="74"/>
      <c r="T1254" s="74"/>
      <c r="U1254" s="74"/>
      <c r="V1254" s="74"/>
      <c r="W1254" s="74"/>
      <c r="X1254" s="74"/>
      <c r="Y1254" s="74"/>
      <c r="Z1254" s="74"/>
      <c r="AA1254" s="74"/>
      <c r="AB1254" s="74"/>
      <c r="AC1254" s="74"/>
      <c r="AD1254" s="74"/>
      <c r="AE1254" s="74"/>
      <c r="AF1254" s="74"/>
      <c r="AG1254" s="74"/>
    </row>
    <row r="1255" ht="22.5" customHeight="1">
      <c r="A1255" s="86">
        <v>45852.0</v>
      </c>
      <c r="B1255" s="63" t="s">
        <v>27</v>
      </c>
      <c r="C1255" s="79"/>
      <c r="D1255" s="80">
        <v>28000.0</v>
      </c>
      <c r="E1255" s="66" t="s">
        <v>28</v>
      </c>
      <c r="F1255" s="84" t="s">
        <v>941</v>
      </c>
      <c r="G1255" s="68">
        <v>5.0</v>
      </c>
      <c r="H1255" s="69">
        <f t="shared" si="82"/>
        <v>1333.333333</v>
      </c>
      <c r="I1255" s="104" t="s">
        <v>233</v>
      </c>
      <c r="J1255" s="87" t="s">
        <v>968</v>
      </c>
      <c r="K1255" s="95"/>
      <c r="L1255" s="95"/>
      <c r="M1255" s="95"/>
      <c r="N1255" s="72">
        <f t="shared" si="83"/>
        <v>0</v>
      </c>
      <c r="O1255" s="140" t="s">
        <v>992</v>
      </c>
      <c r="P1255" s="74"/>
      <c r="Q1255" s="74"/>
      <c r="R1255" s="74"/>
      <c r="S1255" s="74"/>
      <c r="T1255" s="74"/>
      <c r="U1255" s="74"/>
      <c r="V1255" s="74"/>
      <c r="W1255" s="74"/>
      <c r="X1255" s="74"/>
      <c r="Y1255" s="74"/>
      <c r="Z1255" s="74"/>
      <c r="AA1255" s="74"/>
      <c r="AB1255" s="74"/>
      <c r="AC1255" s="74"/>
      <c r="AD1255" s="74"/>
      <c r="AE1255" s="74"/>
      <c r="AF1255" s="74"/>
      <c r="AG1255" s="74"/>
    </row>
    <row r="1256" ht="22.5" customHeight="1">
      <c r="A1256" s="86">
        <v>45853.0</v>
      </c>
      <c r="B1256" s="63" t="s">
        <v>27</v>
      </c>
      <c r="C1256" s="80">
        <v>720000.12</v>
      </c>
      <c r="D1256" s="80"/>
      <c r="E1256" s="66" t="s">
        <v>28</v>
      </c>
      <c r="F1256" s="84" t="s">
        <v>722</v>
      </c>
      <c r="G1256" s="68">
        <v>20.0</v>
      </c>
      <c r="H1256" s="69">
        <f t="shared" si="82"/>
        <v>120000.02</v>
      </c>
      <c r="I1256" s="76" t="s">
        <v>37</v>
      </c>
      <c r="J1256" s="87" t="s">
        <v>948</v>
      </c>
      <c r="K1256" s="82" t="s">
        <v>993</v>
      </c>
      <c r="L1256" s="82">
        <v>193.0</v>
      </c>
      <c r="M1256" s="128">
        <v>45791.0</v>
      </c>
      <c r="N1256" s="72">
        <f t="shared" si="83"/>
        <v>62</v>
      </c>
      <c r="O1256" s="96"/>
      <c r="P1256" s="74"/>
      <c r="Q1256" s="74"/>
      <c r="R1256" s="74"/>
      <c r="S1256" s="74"/>
      <c r="T1256" s="74"/>
      <c r="U1256" s="74"/>
      <c r="V1256" s="74"/>
      <c r="W1256" s="74"/>
      <c r="X1256" s="74"/>
      <c r="Y1256" s="74"/>
      <c r="Z1256" s="74"/>
      <c r="AA1256" s="74"/>
      <c r="AB1256" s="74"/>
      <c r="AC1256" s="74"/>
      <c r="AD1256" s="74"/>
      <c r="AE1256" s="74"/>
      <c r="AF1256" s="74"/>
      <c r="AG1256" s="74"/>
    </row>
    <row r="1257" ht="22.5" customHeight="1">
      <c r="A1257" s="86">
        <v>45853.0</v>
      </c>
      <c r="B1257" s="63" t="s">
        <v>27</v>
      </c>
      <c r="C1257" s="80">
        <v>695652.78</v>
      </c>
      <c r="D1257" s="80"/>
      <c r="E1257" s="66" t="s">
        <v>28</v>
      </c>
      <c r="F1257" s="84" t="s">
        <v>722</v>
      </c>
      <c r="G1257" s="68">
        <v>20.0</v>
      </c>
      <c r="H1257" s="69">
        <f t="shared" si="82"/>
        <v>115942.13</v>
      </c>
      <c r="I1257" s="76" t="s">
        <v>37</v>
      </c>
      <c r="J1257" s="87" t="s">
        <v>948</v>
      </c>
      <c r="K1257" s="82" t="s">
        <v>805</v>
      </c>
      <c r="L1257" s="82">
        <v>194.0</v>
      </c>
      <c r="M1257" s="128">
        <v>45791.0</v>
      </c>
      <c r="N1257" s="72">
        <f t="shared" si="83"/>
        <v>62</v>
      </c>
      <c r="O1257" s="96"/>
      <c r="P1257" s="74"/>
      <c r="Q1257" s="74"/>
      <c r="R1257" s="74"/>
      <c r="S1257" s="74"/>
      <c r="T1257" s="74"/>
      <c r="U1257" s="74"/>
      <c r="V1257" s="74"/>
      <c r="W1257" s="74"/>
      <c r="X1257" s="74"/>
      <c r="Y1257" s="74"/>
      <c r="Z1257" s="74"/>
      <c r="AA1257" s="74"/>
      <c r="AB1257" s="74"/>
      <c r="AC1257" s="74"/>
      <c r="AD1257" s="74"/>
      <c r="AE1257" s="74"/>
      <c r="AF1257" s="74"/>
      <c r="AG1257" s="74"/>
    </row>
    <row r="1258" ht="22.5" customHeight="1">
      <c r="A1258" s="86">
        <v>45853.0</v>
      </c>
      <c r="B1258" s="63" t="s">
        <v>27</v>
      </c>
      <c r="C1258" s="80">
        <v>720000.12</v>
      </c>
      <c r="D1258" s="80"/>
      <c r="E1258" s="66" t="s">
        <v>28</v>
      </c>
      <c r="F1258" s="84" t="s">
        <v>722</v>
      </c>
      <c r="G1258" s="68">
        <v>20.0</v>
      </c>
      <c r="H1258" s="69">
        <f t="shared" si="82"/>
        <v>120000.02</v>
      </c>
      <c r="I1258" s="76" t="s">
        <v>37</v>
      </c>
      <c r="J1258" s="87" t="s">
        <v>948</v>
      </c>
      <c r="K1258" s="82" t="s">
        <v>994</v>
      </c>
      <c r="L1258" s="82">
        <v>195.0</v>
      </c>
      <c r="M1258" s="128">
        <v>45791.0</v>
      </c>
      <c r="N1258" s="72">
        <f t="shared" si="83"/>
        <v>62</v>
      </c>
      <c r="O1258" s="96"/>
      <c r="P1258" s="74"/>
      <c r="Q1258" s="74"/>
      <c r="R1258" s="74"/>
      <c r="S1258" s="74"/>
      <c r="T1258" s="74"/>
      <c r="U1258" s="74"/>
      <c r="V1258" s="74"/>
      <c r="W1258" s="74"/>
      <c r="X1258" s="74"/>
      <c r="Y1258" s="74"/>
      <c r="Z1258" s="74"/>
      <c r="AA1258" s="74"/>
      <c r="AB1258" s="74"/>
      <c r="AC1258" s="74"/>
      <c r="AD1258" s="74"/>
      <c r="AE1258" s="74"/>
      <c r="AF1258" s="74"/>
      <c r="AG1258" s="74"/>
    </row>
    <row r="1259" ht="22.5" customHeight="1">
      <c r="A1259" s="86">
        <v>45853.0</v>
      </c>
      <c r="B1259" s="63" t="s">
        <v>27</v>
      </c>
      <c r="C1259" s="80">
        <v>600000.24</v>
      </c>
      <c r="D1259" s="79"/>
      <c r="E1259" s="66" t="s">
        <v>376</v>
      </c>
      <c r="F1259" s="84" t="s">
        <v>897</v>
      </c>
      <c r="G1259" s="68">
        <v>20.0</v>
      </c>
      <c r="H1259" s="69">
        <f t="shared" si="82"/>
        <v>100000.04</v>
      </c>
      <c r="I1259" s="76" t="s">
        <v>37</v>
      </c>
      <c r="J1259" s="87" t="s">
        <v>995</v>
      </c>
      <c r="K1259" s="82" t="s">
        <v>808</v>
      </c>
      <c r="L1259" s="82">
        <v>249.0</v>
      </c>
      <c r="M1259" s="128">
        <v>45842.0</v>
      </c>
      <c r="N1259" s="72">
        <f t="shared" si="83"/>
        <v>11</v>
      </c>
      <c r="O1259" s="96"/>
      <c r="P1259" s="74"/>
      <c r="Q1259" s="74"/>
      <c r="R1259" s="74"/>
      <c r="S1259" s="74"/>
      <c r="T1259" s="74"/>
      <c r="U1259" s="74"/>
      <c r="V1259" s="74"/>
      <c r="W1259" s="74"/>
      <c r="X1259" s="74"/>
      <c r="Y1259" s="74"/>
      <c r="Z1259" s="74"/>
      <c r="AA1259" s="74"/>
      <c r="AB1259" s="74"/>
      <c r="AC1259" s="74"/>
      <c r="AD1259" s="74"/>
      <c r="AE1259" s="74"/>
      <c r="AF1259" s="74"/>
      <c r="AG1259" s="74"/>
    </row>
    <row r="1260" ht="22.5" customHeight="1">
      <c r="A1260" s="86">
        <v>45853.0</v>
      </c>
      <c r="B1260" s="63" t="s">
        <v>27</v>
      </c>
      <c r="C1260" s="79"/>
      <c r="D1260" s="80">
        <v>100000.0</v>
      </c>
      <c r="E1260" s="66" t="s">
        <v>33</v>
      </c>
      <c r="F1260" s="84" t="s">
        <v>941</v>
      </c>
      <c r="G1260" s="68">
        <v>0.0</v>
      </c>
      <c r="H1260" s="69">
        <f t="shared" si="82"/>
        <v>0</v>
      </c>
      <c r="I1260" s="76" t="s">
        <v>93</v>
      </c>
      <c r="J1260" s="87" t="s">
        <v>996</v>
      </c>
      <c r="K1260" s="95"/>
      <c r="L1260" s="95"/>
      <c r="M1260" s="95"/>
      <c r="N1260" s="72">
        <f t="shared" si="83"/>
        <v>0</v>
      </c>
      <c r="O1260" s="96"/>
      <c r="P1260" s="74"/>
      <c r="Q1260" s="74"/>
      <c r="R1260" s="74"/>
      <c r="S1260" s="74"/>
      <c r="T1260" s="74"/>
      <c r="U1260" s="74"/>
      <c r="V1260" s="74"/>
      <c r="W1260" s="74"/>
      <c r="X1260" s="74"/>
      <c r="Y1260" s="74"/>
      <c r="Z1260" s="74"/>
      <c r="AA1260" s="74"/>
      <c r="AB1260" s="74"/>
      <c r="AC1260" s="74"/>
      <c r="AD1260" s="74"/>
      <c r="AE1260" s="74"/>
      <c r="AF1260" s="74"/>
      <c r="AG1260" s="74"/>
    </row>
    <row r="1261" ht="22.5" customHeight="1">
      <c r="A1261" s="86">
        <v>45855.0</v>
      </c>
      <c r="B1261" s="63" t="s">
        <v>27</v>
      </c>
      <c r="C1261" s="79"/>
      <c r="D1261" s="80">
        <v>7000.0</v>
      </c>
      <c r="E1261" s="66" t="s">
        <v>33</v>
      </c>
      <c r="F1261" s="84" t="s">
        <v>941</v>
      </c>
      <c r="G1261" s="68">
        <v>0.0</v>
      </c>
      <c r="H1261" s="69">
        <f t="shared" si="82"/>
        <v>0</v>
      </c>
      <c r="I1261" s="70" t="s">
        <v>35</v>
      </c>
      <c r="J1261" s="87" t="s">
        <v>997</v>
      </c>
      <c r="K1261" s="95"/>
      <c r="L1261" s="95"/>
      <c r="M1261" s="95"/>
      <c r="N1261" s="72">
        <f t="shared" si="83"/>
        <v>0</v>
      </c>
      <c r="O1261" s="96"/>
      <c r="P1261" s="74"/>
      <c r="Q1261" s="74"/>
      <c r="R1261" s="74"/>
      <c r="S1261" s="74"/>
      <c r="T1261" s="74"/>
      <c r="U1261" s="74"/>
      <c r="V1261" s="74"/>
      <c r="W1261" s="74"/>
      <c r="X1261" s="74"/>
      <c r="Y1261" s="74"/>
      <c r="Z1261" s="74"/>
      <c r="AA1261" s="74"/>
      <c r="AB1261" s="74"/>
      <c r="AC1261" s="74"/>
      <c r="AD1261" s="74"/>
      <c r="AE1261" s="74"/>
      <c r="AF1261" s="74"/>
      <c r="AG1261" s="74"/>
    </row>
    <row r="1262" ht="22.5" customHeight="1">
      <c r="A1262" s="86">
        <v>45855.0</v>
      </c>
      <c r="B1262" s="63" t="s">
        <v>27</v>
      </c>
      <c r="C1262" s="79"/>
      <c r="D1262" s="80">
        <v>30000.0</v>
      </c>
      <c r="E1262" s="66" t="s">
        <v>33</v>
      </c>
      <c r="F1262" s="84" t="s">
        <v>941</v>
      </c>
      <c r="G1262" s="68">
        <v>0.0</v>
      </c>
      <c r="H1262" s="69">
        <f t="shared" si="82"/>
        <v>0</v>
      </c>
      <c r="I1262" s="70" t="s">
        <v>35</v>
      </c>
      <c r="J1262" s="87" t="s">
        <v>998</v>
      </c>
      <c r="K1262" s="95"/>
      <c r="L1262" s="95"/>
      <c r="M1262" s="95"/>
      <c r="N1262" s="72">
        <f t="shared" si="83"/>
        <v>0</v>
      </c>
      <c r="O1262" s="96"/>
      <c r="P1262" s="74"/>
      <c r="Q1262" s="74"/>
      <c r="R1262" s="74"/>
      <c r="S1262" s="74"/>
      <c r="T1262" s="74"/>
      <c r="U1262" s="74"/>
      <c r="V1262" s="74"/>
      <c r="W1262" s="74"/>
      <c r="X1262" s="74"/>
      <c r="Y1262" s="74"/>
      <c r="Z1262" s="74"/>
      <c r="AA1262" s="74"/>
      <c r="AB1262" s="74"/>
      <c r="AC1262" s="74"/>
      <c r="AD1262" s="74"/>
      <c r="AE1262" s="74"/>
      <c r="AF1262" s="74"/>
      <c r="AG1262" s="74"/>
    </row>
    <row r="1263" ht="22.5" customHeight="1">
      <c r="A1263" s="86">
        <v>45856.0</v>
      </c>
      <c r="B1263" s="63" t="s">
        <v>27</v>
      </c>
      <c r="C1263" s="79"/>
      <c r="D1263" s="80">
        <v>250000.0</v>
      </c>
      <c r="E1263" s="66" t="s">
        <v>28</v>
      </c>
      <c r="F1263" s="84" t="s">
        <v>941</v>
      </c>
      <c r="G1263" s="68">
        <v>20.0</v>
      </c>
      <c r="H1263" s="69">
        <f t="shared" si="82"/>
        <v>41666.66667</v>
      </c>
      <c r="I1263" s="76" t="s">
        <v>383</v>
      </c>
      <c r="J1263" s="87" t="s">
        <v>384</v>
      </c>
      <c r="K1263" s="95"/>
      <c r="L1263" s="95"/>
      <c r="M1263" s="95"/>
      <c r="N1263" s="72">
        <f t="shared" si="83"/>
        <v>0</v>
      </c>
      <c r="O1263" s="83" t="s">
        <v>999</v>
      </c>
      <c r="P1263" s="74"/>
      <c r="Q1263" s="74"/>
      <c r="R1263" s="74"/>
      <c r="S1263" s="74"/>
      <c r="T1263" s="74"/>
      <c r="U1263" s="74"/>
      <c r="V1263" s="74"/>
      <c r="W1263" s="74"/>
      <c r="X1263" s="74"/>
      <c r="Y1263" s="74"/>
      <c r="Z1263" s="74"/>
      <c r="AA1263" s="74"/>
      <c r="AB1263" s="74"/>
      <c r="AC1263" s="74"/>
      <c r="AD1263" s="74"/>
      <c r="AE1263" s="74"/>
      <c r="AF1263" s="74"/>
      <c r="AG1263" s="74"/>
    </row>
    <row r="1264" ht="22.5" customHeight="1">
      <c r="A1264" s="86">
        <v>45859.0</v>
      </c>
      <c r="B1264" s="63" t="s">
        <v>27</v>
      </c>
      <c r="C1264" s="79"/>
      <c r="D1264" s="80">
        <v>37739.0</v>
      </c>
      <c r="E1264" s="66" t="s">
        <v>28</v>
      </c>
      <c r="F1264" s="84" t="s">
        <v>941</v>
      </c>
      <c r="G1264" s="68">
        <v>5.0</v>
      </c>
      <c r="H1264" s="69">
        <f t="shared" si="82"/>
        <v>1797.095238</v>
      </c>
      <c r="I1264" s="104" t="s">
        <v>233</v>
      </c>
      <c r="J1264" s="87" t="s">
        <v>968</v>
      </c>
      <c r="K1264" s="95"/>
      <c r="L1264" s="95"/>
      <c r="M1264" s="95"/>
      <c r="N1264" s="72">
        <f t="shared" si="83"/>
        <v>0</v>
      </c>
      <c r="O1264" s="96"/>
      <c r="P1264" s="74"/>
      <c r="Q1264" s="74"/>
      <c r="R1264" s="74"/>
      <c r="S1264" s="74"/>
      <c r="T1264" s="74"/>
      <c r="U1264" s="74"/>
      <c r="V1264" s="74"/>
      <c r="W1264" s="74"/>
      <c r="X1264" s="74"/>
      <c r="Y1264" s="74"/>
      <c r="Z1264" s="74"/>
      <c r="AA1264" s="74"/>
      <c r="AB1264" s="74"/>
      <c r="AC1264" s="74"/>
      <c r="AD1264" s="74"/>
      <c r="AE1264" s="74"/>
      <c r="AF1264" s="74"/>
      <c r="AG1264" s="74"/>
    </row>
    <row r="1265" ht="22.5" customHeight="1">
      <c r="A1265" s="86">
        <v>45859.0</v>
      </c>
      <c r="B1265" s="63" t="s">
        <v>27</v>
      </c>
      <c r="C1265" s="79"/>
      <c r="D1265" s="80">
        <v>20000.0</v>
      </c>
      <c r="E1265" s="66" t="s">
        <v>33</v>
      </c>
      <c r="F1265" s="84" t="s">
        <v>941</v>
      </c>
      <c r="G1265" s="68">
        <v>0.0</v>
      </c>
      <c r="H1265" s="69">
        <f t="shared" si="82"/>
        <v>0</v>
      </c>
      <c r="I1265" s="76" t="s">
        <v>53</v>
      </c>
      <c r="J1265" s="87" t="s">
        <v>998</v>
      </c>
      <c r="K1265" s="95"/>
      <c r="L1265" s="95"/>
      <c r="M1265" s="95"/>
      <c r="N1265" s="72">
        <f t="shared" si="83"/>
        <v>0</v>
      </c>
      <c r="O1265" s="96"/>
      <c r="P1265" s="74"/>
      <c r="Q1265" s="74"/>
      <c r="R1265" s="74"/>
      <c r="S1265" s="74"/>
      <c r="T1265" s="74"/>
      <c r="U1265" s="74"/>
      <c r="V1265" s="74"/>
      <c r="W1265" s="74"/>
      <c r="X1265" s="74"/>
      <c r="Y1265" s="74"/>
      <c r="Z1265" s="74"/>
      <c r="AA1265" s="74"/>
      <c r="AB1265" s="74"/>
      <c r="AC1265" s="74"/>
      <c r="AD1265" s="74"/>
      <c r="AE1265" s="74"/>
      <c r="AF1265" s="74"/>
      <c r="AG1265" s="74"/>
    </row>
    <row r="1266" ht="22.5" customHeight="1">
      <c r="A1266" s="86">
        <v>45863.0</v>
      </c>
      <c r="B1266" s="63" t="s">
        <v>27</v>
      </c>
      <c r="C1266" s="80">
        <v>906536.9</v>
      </c>
      <c r="D1266" s="80"/>
      <c r="E1266" s="66" t="s">
        <v>28</v>
      </c>
      <c r="F1266" s="84" t="s">
        <v>722</v>
      </c>
      <c r="G1266" s="68">
        <v>20.0</v>
      </c>
      <c r="H1266" s="69">
        <f t="shared" si="82"/>
        <v>151089.4833</v>
      </c>
      <c r="I1266" s="76" t="s">
        <v>37</v>
      </c>
      <c r="J1266" s="87" t="s">
        <v>440</v>
      </c>
      <c r="K1266" s="82" t="s">
        <v>852</v>
      </c>
      <c r="L1266" s="82">
        <v>176.0</v>
      </c>
      <c r="M1266" s="128">
        <v>45790.0</v>
      </c>
      <c r="N1266" s="72">
        <f t="shared" si="83"/>
        <v>73</v>
      </c>
      <c r="O1266" s="96"/>
      <c r="P1266" s="74"/>
      <c r="Q1266" s="74"/>
      <c r="R1266" s="74"/>
      <c r="S1266" s="74"/>
      <c r="T1266" s="74"/>
      <c r="U1266" s="74"/>
      <c r="V1266" s="74"/>
      <c r="W1266" s="74"/>
      <c r="X1266" s="74"/>
      <c r="Y1266" s="74"/>
      <c r="Z1266" s="74"/>
      <c r="AA1266" s="74"/>
      <c r="AB1266" s="74"/>
      <c r="AC1266" s="74"/>
      <c r="AD1266" s="74"/>
      <c r="AE1266" s="74"/>
      <c r="AF1266" s="74"/>
      <c r="AG1266" s="74"/>
    </row>
    <row r="1267" ht="22.5" customHeight="1">
      <c r="A1267" s="86">
        <v>45863.0</v>
      </c>
      <c r="B1267" s="63" t="s">
        <v>27</v>
      </c>
      <c r="C1267" s="80">
        <v>750000.0</v>
      </c>
      <c r="D1267" s="80"/>
      <c r="E1267" s="66" t="s">
        <v>28</v>
      </c>
      <c r="F1267" s="84" t="s">
        <v>722</v>
      </c>
      <c r="G1267" s="68">
        <v>20.0</v>
      </c>
      <c r="H1267" s="69">
        <f t="shared" si="82"/>
        <v>125000</v>
      </c>
      <c r="I1267" s="76" t="s">
        <v>37</v>
      </c>
      <c r="J1267" s="87" t="s">
        <v>440</v>
      </c>
      <c r="K1267" s="82" t="s">
        <v>755</v>
      </c>
      <c r="L1267" s="82">
        <v>177.0</v>
      </c>
      <c r="M1267" s="128">
        <v>45790.0</v>
      </c>
      <c r="N1267" s="72">
        <f t="shared" si="83"/>
        <v>73</v>
      </c>
      <c r="O1267" s="96"/>
      <c r="P1267" s="74"/>
      <c r="Q1267" s="74"/>
      <c r="R1267" s="74"/>
      <c r="S1267" s="74"/>
      <c r="T1267" s="74"/>
      <c r="U1267" s="74"/>
      <c r="V1267" s="74"/>
      <c r="W1267" s="74"/>
      <c r="X1267" s="74"/>
      <c r="Y1267" s="74"/>
      <c r="Z1267" s="74"/>
      <c r="AA1267" s="74"/>
      <c r="AB1267" s="74"/>
      <c r="AC1267" s="74"/>
      <c r="AD1267" s="74"/>
      <c r="AE1267" s="74"/>
      <c r="AF1267" s="74"/>
      <c r="AG1267" s="74"/>
    </row>
    <row r="1268" ht="22.5" customHeight="1">
      <c r="A1268" s="86">
        <v>45863.0</v>
      </c>
      <c r="B1268" s="63" t="s">
        <v>27</v>
      </c>
      <c r="C1268" s="80">
        <v>600000.24</v>
      </c>
      <c r="D1268" s="80"/>
      <c r="E1268" s="66" t="s">
        <v>28</v>
      </c>
      <c r="F1268" s="84" t="s">
        <v>722</v>
      </c>
      <c r="G1268" s="68">
        <v>20.0</v>
      </c>
      <c r="H1268" s="69">
        <f t="shared" si="82"/>
        <v>100000.04</v>
      </c>
      <c r="I1268" s="76" t="s">
        <v>37</v>
      </c>
      <c r="J1268" s="87" t="s">
        <v>440</v>
      </c>
      <c r="K1268" s="82" t="s">
        <v>756</v>
      </c>
      <c r="L1268" s="82">
        <v>178.0</v>
      </c>
      <c r="M1268" s="128">
        <v>45790.0</v>
      </c>
      <c r="N1268" s="72">
        <f t="shared" si="83"/>
        <v>73</v>
      </c>
      <c r="O1268" s="96"/>
      <c r="P1268" s="74"/>
      <c r="Q1268" s="74"/>
      <c r="R1268" s="74"/>
      <c r="S1268" s="74"/>
      <c r="T1268" s="74"/>
      <c r="U1268" s="74"/>
      <c r="V1268" s="74"/>
      <c r="W1268" s="74"/>
      <c r="X1268" s="74"/>
      <c r="Y1268" s="74"/>
      <c r="Z1268" s="74"/>
      <c r="AA1268" s="74"/>
      <c r="AB1268" s="74"/>
      <c r="AC1268" s="74"/>
      <c r="AD1268" s="74"/>
      <c r="AE1268" s="74"/>
      <c r="AF1268" s="74"/>
      <c r="AG1268" s="74"/>
    </row>
    <row r="1269" ht="22.5" customHeight="1">
      <c r="A1269" s="86">
        <v>45863.0</v>
      </c>
      <c r="B1269" s="63" t="s">
        <v>27</v>
      </c>
      <c r="C1269" s="80">
        <v>600000.24</v>
      </c>
      <c r="D1269" s="80"/>
      <c r="E1269" s="66" t="s">
        <v>28</v>
      </c>
      <c r="F1269" s="84" t="s">
        <v>722</v>
      </c>
      <c r="G1269" s="68">
        <v>20.0</v>
      </c>
      <c r="H1269" s="69">
        <f t="shared" si="82"/>
        <v>100000.04</v>
      </c>
      <c r="I1269" s="76" t="s">
        <v>37</v>
      </c>
      <c r="J1269" s="87" t="s">
        <v>440</v>
      </c>
      <c r="K1269" s="82" t="s">
        <v>853</v>
      </c>
      <c r="L1269" s="82">
        <v>179.0</v>
      </c>
      <c r="M1269" s="128">
        <v>45790.0</v>
      </c>
      <c r="N1269" s="72">
        <f t="shared" si="83"/>
        <v>73</v>
      </c>
      <c r="O1269" s="96"/>
      <c r="P1269" s="74"/>
      <c r="Q1269" s="74"/>
      <c r="R1269" s="74"/>
      <c r="S1269" s="74"/>
      <c r="T1269" s="74"/>
      <c r="U1269" s="74"/>
      <c r="V1269" s="74"/>
      <c r="W1269" s="74"/>
      <c r="X1269" s="74"/>
      <c r="Y1269" s="74"/>
      <c r="Z1269" s="74"/>
      <c r="AA1269" s="74"/>
      <c r="AB1269" s="74"/>
      <c r="AC1269" s="74"/>
      <c r="AD1269" s="74"/>
      <c r="AE1269" s="74"/>
      <c r="AF1269" s="74"/>
      <c r="AG1269" s="74"/>
    </row>
    <row r="1270" ht="22.5" customHeight="1">
      <c r="A1270" s="86">
        <v>45863.0</v>
      </c>
      <c r="B1270" s="63" t="s">
        <v>27</v>
      </c>
      <c r="C1270" s="80">
        <v>1000001.86</v>
      </c>
      <c r="D1270" s="79"/>
      <c r="E1270" s="66" t="s">
        <v>28</v>
      </c>
      <c r="F1270" s="84" t="s">
        <v>800</v>
      </c>
      <c r="G1270" s="68">
        <v>20.0</v>
      </c>
      <c r="H1270" s="69">
        <f t="shared" si="82"/>
        <v>166666.9767</v>
      </c>
      <c r="I1270" s="76" t="s">
        <v>37</v>
      </c>
      <c r="J1270" s="87" t="s">
        <v>1000</v>
      </c>
      <c r="K1270" s="82" t="s">
        <v>1001</v>
      </c>
      <c r="L1270" s="82">
        <v>207.0</v>
      </c>
      <c r="M1270" s="128">
        <v>45817.0</v>
      </c>
      <c r="N1270" s="72">
        <f t="shared" si="83"/>
        <v>46</v>
      </c>
      <c r="O1270" s="96"/>
      <c r="P1270" s="74"/>
      <c r="Q1270" s="74"/>
      <c r="R1270" s="74"/>
      <c r="S1270" s="74"/>
      <c r="T1270" s="74"/>
      <c r="U1270" s="74"/>
      <c r="V1270" s="74"/>
      <c r="W1270" s="74"/>
      <c r="X1270" s="74"/>
      <c r="Y1270" s="74"/>
      <c r="Z1270" s="74"/>
      <c r="AA1270" s="74"/>
      <c r="AB1270" s="74"/>
      <c r="AC1270" s="74"/>
      <c r="AD1270" s="74"/>
      <c r="AE1270" s="74"/>
      <c r="AF1270" s="74"/>
      <c r="AG1270" s="74"/>
    </row>
    <row r="1271" ht="22.5" customHeight="1">
      <c r="A1271" s="86">
        <v>45863.0</v>
      </c>
      <c r="B1271" s="63" t="s">
        <v>27</v>
      </c>
      <c r="C1271" s="79"/>
      <c r="D1271" s="80">
        <v>622258.0</v>
      </c>
      <c r="E1271" s="66" t="s">
        <v>28</v>
      </c>
      <c r="F1271" s="67" t="s">
        <v>1002</v>
      </c>
      <c r="G1271" s="68">
        <v>0.0</v>
      </c>
      <c r="H1271" s="69">
        <f t="shared" si="82"/>
        <v>0</v>
      </c>
      <c r="I1271" s="76" t="s">
        <v>280</v>
      </c>
      <c r="J1271" s="87" t="s">
        <v>1003</v>
      </c>
      <c r="K1271" s="95"/>
      <c r="L1271" s="95"/>
      <c r="M1271" s="95"/>
      <c r="N1271" s="72">
        <f t="shared" si="83"/>
        <v>0</v>
      </c>
      <c r="O1271" s="96"/>
      <c r="P1271" s="74"/>
      <c r="Q1271" s="74"/>
      <c r="R1271" s="74"/>
      <c r="S1271" s="74"/>
      <c r="T1271" s="74"/>
      <c r="U1271" s="74"/>
      <c r="V1271" s="74"/>
      <c r="W1271" s="74"/>
      <c r="X1271" s="74"/>
      <c r="Y1271" s="74"/>
      <c r="Z1271" s="74"/>
      <c r="AA1271" s="74"/>
      <c r="AB1271" s="74"/>
      <c r="AC1271" s="74"/>
      <c r="AD1271" s="74"/>
      <c r="AE1271" s="74"/>
      <c r="AF1271" s="74"/>
      <c r="AG1271" s="74"/>
    </row>
    <row r="1272" ht="22.5" customHeight="1">
      <c r="A1272" s="86">
        <v>45863.0</v>
      </c>
      <c r="B1272" s="63" t="s">
        <v>27</v>
      </c>
      <c r="C1272" s="79"/>
      <c r="D1272" s="80">
        <v>21000.0</v>
      </c>
      <c r="E1272" s="66" t="s">
        <v>28</v>
      </c>
      <c r="F1272" s="84" t="s">
        <v>941</v>
      </c>
      <c r="G1272" s="68">
        <v>20.0</v>
      </c>
      <c r="H1272" s="69">
        <f t="shared" si="82"/>
        <v>3500</v>
      </c>
      <c r="I1272" s="76" t="s">
        <v>61</v>
      </c>
      <c r="J1272" s="87" t="s">
        <v>942</v>
      </c>
      <c r="K1272" s="95"/>
      <c r="L1272" s="95"/>
      <c r="M1272" s="95"/>
      <c r="N1272" s="72">
        <f t="shared" si="83"/>
        <v>0</v>
      </c>
      <c r="O1272" s="83" t="s">
        <v>943</v>
      </c>
      <c r="P1272" s="74"/>
      <c r="Q1272" s="74"/>
      <c r="R1272" s="74"/>
      <c r="S1272" s="74"/>
      <c r="T1272" s="74"/>
      <c r="U1272" s="74"/>
      <c r="V1272" s="74"/>
      <c r="W1272" s="74"/>
      <c r="X1272" s="74"/>
      <c r="Y1272" s="74"/>
      <c r="Z1272" s="74"/>
      <c r="AA1272" s="74"/>
      <c r="AB1272" s="74"/>
      <c r="AC1272" s="74"/>
      <c r="AD1272" s="74"/>
      <c r="AE1272" s="74"/>
      <c r="AF1272" s="74"/>
      <c r="AG1272" s="74"/>
    </row>
    <row r="1273" ht="22.5" customHeight="1">
      <c r="A1273" s="86">
        <v>45863.0</v>
      </c>
      <c r="B1273" s="63" t="s">
        <v>27</v>
      </c>
      <c r="C1273" s="79"/>
      <c r="D1273" s="80">
        <v>60000.0</v>
      </c>
      <c r="E1273" s="66" t="s">
        <v>28</v>
      </c>
      <c r="F1273" s="84" t="s">
        <v>941</v>
      </c>
      <c r="G1273" s="68">
        <v>20.0</v>
      </c>
      <c r="H1273" s="69">
        <f t="shared" si="82"/>
        <v>10000</v>
      </c>
      <c r="I1273" s="76" t="s">
        <v>61</v>
      </c>
      <c r="J1273" s="87" t="s">
        <v>942</v>
      </c>
      <c r="K1273" s="95"/>
      <c r="L1273" s="95"/>
      <c r="M1273" s="95"/>
      <c r="N1273" s="72">
        <f t="shared" si="83"/>
        <v>0</v>
      </c>
      <c r="O1273" s="83" t="s">
        <v>943</v>
      </c>
      <c r="P1273" s="74"/>
      <c r="Q1273" s="74"/>
      <c r="R1273" s="74"/>
      <c r="S1273" s="74"/>
      <c r="T1273" s="74"/>
      <c r="U1273" s="74"/>
      <c r="V1273" s="74"/>
      <c r="W1273" s="74"/>
      <c r="X1273" s="74"/>
      <c r="Y1273" s="74"/>
      <c r="Z1273" s="74"/>
      <c r="AA1273" s="74"/>
      <c r="AB1273" s="74"/>
      <c r="AC1273" s="74"/>
      <c r="AD1273" s="74"/>
      <c r="AE1273" s="74"/>
      <c r="AF1273" s="74"/>
      <c r="AG1273" s="74"/>
    </row>
    <row r="1274" ht="22.5" customHeight="1">
      <c r="A1274" s="86">
        <v>45863.0</v>
      </c>
      <c r="B1274" s="63" t="s">
        <v>27</v>
      </c>
      <c r="C1274" s="79"/>
      <c r="D1274" s="80">
        <v>60000.0</v>
      </c>
      <c r="E1274" s="66" t="s">
        <v>28</v>
      </c>
      <c r="F1274" s="84" t="s">
        <v>941</v>
      </c>
      <c r="G1274" s="68">
        <v>20.0</v>
      </c>
      <c r="H1274" s="69">
        <f t="shared" si="82"/>
        <v>10000</v>
      </c>
      <c r="I1274" s="76" t="s">
        <v>61</v>
      </c>
      <c r="J1274" s="87" t="s">
        <v>942</v>
      </c>
      <c r="K1274" s="95"/>
      <c r="L1274" s="95"/>
      <c r="M1274" s="95"/>
      <c r="N1274" s="72">
        <f t="shared" si="83"/>
        <v>0</v>
      </c>
      <c r="O1274" s="83" t="s">
        <v>943</v>
      </c>
      <c r="P1274" s="74"/>
      <c r="Q1274" s="74"/>
      <c r="R1274" s="74"/>
      <c r="S1274" s="74"/>
      <c r="T1274" s="74"/>
      <c r="U1274" s="74"/>
      <c r="V1274" s="74"/>
      <c r="W1274" s="74"/>
      <c r="X1274" s="74"/>
      <c r="Y1274" s="74"/>
      <c r="Z1274" s="74"/>
      <c r="AA1274" s="74"/>
      <c r="AB1274" s="74"/>
      <c r="AC1274" s="74"/>
      <c r="AD1274" s="74"/>
      <c r="AE1274" s="74"/>
      <c r="AF1274" s="74"/>
      <c r="AG1274" s="74"/>
    </row>
    <row r="1275" ht="22.5" customHeight="1">
      <c r="A1275" s="86">
        <v>45863.0</v>
      </c>
      <c r="B1275" s="63" t="s">
        <v>27</v>
      </c>
      <c r="C1275" s="79"/>
      <c r="D1275" s="80">
        <v>68520.0</v>
      </c>
      <c r="E1275" s="66" t="s">
        <v>28</v>
      </c>
      <c r="F1275" s="84" t="s">
        <v>941</v>
      </c>
      <c r="G1275" s="68">
        <v>20.0</v>
      </c>
      <c r="H1275" s="69">
        <f t="shared" si="82"/>
        <v>11420</v>
      </c>
      <c r="I1275" s="76" t="s">
        <v>495</v>
      </c>
      <c r="J1275" s="87" t="s">
        <v>1004</v>
      </c>
      <c r="K1275" s="95"/>
      <c r="L1275" s="95"/>
      <c r="M1275" s="95"/>
      <c r="N1275" s="72">
        <f t="shared" si="83"/>
        <v>0</v>
      </c>
      <c r="O1275" s="83" t="s">
        <v>1005</v>
      </c>
      <c r="P1275" s="74"/>
      <c r="Q1275" s="74"/>
      <c r="R1275" s="74"/>
      <c r="S1275" s="74"/>
      <c r="T1275" s="74"/>
      <c r="U1275" s="74"/>
      <c r="V1275" s="74"/>
      <c r="W1275" s="74"/>
      <c r="X1275" s="74"/>
      <c r="Y1275" s="74"/>
      <c r="Z1275" s="74"/>
      <c r="AA1275" s="74"/>
      <c r="AB1275" s="74"/>
      <c r="AC1275" s="74"/>
      <c r="AD1275" s="74"/>
      <c r="AE1275" s="74"/>
      <c r="AF1275" s="74"/>
      <c r="AG1275" s="74"/>
    </row>
    <row r="1276" ht="22.5" customHeight="1">
      <c r="A1276" s="86">
        <v>45866.0</v>
      </c>
      <c r="B1276" s="63" t="s">
        <v>27</v>
      </c>
      <c r="C1276" s="79"/>
      <c r="D1276" s="80">
        <v>12000.0</v>
      </c>
      <c r="E1276" s="66" t="s">
        <v>33</v>
      </c>
      <c r="F1276" s="84" t="s">
        <v>941</v>
      </c>
      <c r="G1276" s="68">
        <v>0.0</v>
      </c>
      <c r="H1276" s="69">
        <f t="shared" si="82"/>
        <v>0</v>
      </c>
      <c r="I1276" s="104" t="s">
        <v>233</v>
      </c>
      <c r="J1276" s="87" t="s">
        <v>1006</v>
      </c>
      <c r="K1276" s="95"/>
      <c r="L1276" s="95"/>
      <c r="M1276" s="95"/>
      <c r="N1276" s="72">
        <f t="shared" si="83"/>
        <v>0</v>
      </c>
      <c r="O1276" s="96"/>
      <c r="P1276" s="74"/>
      <c r="Q1276" s="74"/>
      <c r="R1276" s="74"/>
      <c r="S1276" s="74"/>
      <c r="T1276" s="74"/>
      <c r="U1276" s="74"/>
      <c r="V1276" s="74"/>
      <c r="W1276" s="74"/>
      <c r="X1276" s="74"/>
      <c r="Y1276" s="74"/>
      <c r="Z1276" s="74"/>
      <c r="AA1276" s="74"/>
      <c r="AB1276" s="74"/>
      <c r="AC1276" s="74"/>
      <c r="AD1276" s="74"/>
      <c r="AE1276" s="74"/>
      <c r="AF1276" s="74"/>
      <c r="AG1276" s="74"/>
    </row>
    <row r="1277" ht="22.5" customHeight="1">
      <c r="A1277" s="86">
        <v>45866.0</v>
      </c>
      <c r="B1277" s="63" t="s">
        <v>27</v>
      </c>
      <c r="C1277" s="79"/>
      <c r="D1277" s="80">
        <v>8000.0</v>
      </c>
      <c r="E1277" s="66" t="s">
        <v>28</v>
      </c>
      <c r="F1277" s="84" t="s">
        <v>941</v>
      </c>
      <c r="G1277" s="68">
        <v>20.0</v>
      </c>
      <c r="H1277" s="69">
        <f t="shared" si="82"/>
        <v>1333.333333</v>
      </c>
      <c r="I1277" s="76" t="s">
        <v>495</v>
      </c>
      <c r="J1277" s="87" t="s">
        <v>1007</v>
      </c>
      <c r="K1277" s="95"/>
      <c r="L1277" s="95"/>
      <c r="M1277" s="95"/>
      <c r="N1277" s="72">
        <f t="shared" si="83"/>
        <v>0</v>
      </c>
      <c r="O1277" s="96"/>
      <c r="P1277" s="74"/>
      <c r="Q1277" s="74"/>
      <c r="R1277" s="74"/>
      <c r="S1277" s="74"/>
      <c r="T1277" s="74"/>
      <c r="U1277" s="74"/>
      <c r="V1277" s="74"/>
      <c r="W1277" s="74"/>
      <c r="X1277" s="74"/>
      <c r="Y1277" s="74"/>
      <c r="Z1277" s="74"/>
      <c r="AA1277" s="74"/>
      <c r="AB1277" s="74"/>
      <c r="AC1277" s="74"/>
      <c r="AD1277" s="74"/>
      <c r="AE1277" s="74"/>
      <c r="AF1277" s="74"/>
      <c r="AG1277" s="74"/>
    </row>
    <row r="1278" ht="22.5" customHeight="1">
      <c r="A1278" s="86">
        <v>45866.0</v>
      </c>
      <c r="B1278" s="63" t="s">
        <v>27</v>
      </c>
      <c r="C1278" s="79"/>
      <c r="D1278" s="80">
        <v>30000.0</v>
      </c>
      <c r="E1278" s="66" t="s">
        <v>28</v>
      </c>
      <c r="F1278" s="84" t="s">
        <v>941</v>
      </c>
      <c r="G1278" s="68">
        <v>20.0</v>
      </c>
      <c r="H1278" s="69">
        <f t="shared" si="82"/>
        <v>5000</v>
      </c>
      <c r="I1278" s="76" t="s">
        <v>61</v>
      </c>
      <c r="J1278" s="87" t="s">
        <v>942</v>
      </c>
      <c r="K1278" s="95"/>
      <c r="L1278" s="95"/>
      <c r="M1278" s="95"/>
      <c r="N1278" s="72">
        <f t="shared" si="83"/>
        <v>0</v>
      </c>
      <c r="O1278" s="83" t="s">
        <v>943</v>
      </c>
      <c r="P1278" s="74"/>
      <c r="Q1278" s="74"/>
      <c r="R1278" s="74"/>
      <c r="S1278" s="74"/>
      <c r="T1278" s="74"/>
      <c r="U1278" s="74"/>
      <c r="V1278" s="74"/>
      <c r="W1278" s="74"/>
      <c r="X1278" s="74"/>
      <c r="Y1278" s="74"/>
      <c r="Z1278" s="74"/>
      <c r="AA1278" s="74"/>
      <c r="AB1278" s="74"/>
      <c r="AC1278" s="74"/>
      <c r="AD1278" s="74"/>
      <c r="AE1278" s="74"/>
      <c r="AF1278" s="74"/>
      <c r="AG1278" s="74"/>
    </row>
    <row r="1279" ht="22.5" customHeight="1">
      <c r="A1279" s="86">
        <v>45866.0</v>
      </c>
      <c r="B1279" s="63" t="s">
        <v>27</v>
      </c>
      <c r="C1279" s="79"/>
      <c r="D1279" s="80">
        <v>1211399.0</v>
      </c>
      <c r="E1279" s="66" t="s">
        <v>28</v>
      </c>
      <c r="F1279" s="84" t="s">
        <v>941</v>
      </c>
      <c r="G1279" s="68">
        <v>0.0</v>
      </c>
      <c r="H1279" s="69">
        <f t="shared" si="82"/>
        <v>0</v>
      </c>
      <c r="I1279" s="94" t="s">
        <v>598</v>
      </c>
      <c r="J1279" s="87" t="s">
        <v>72</v>
      </c>
      <c r="K1279" s="95"/>
      <c r="L1279" s="95"/>
      <c r="M1279" s="95"/>
      <c r="N1279" s="72">
        <f t="shared" si="83"/>
        <v>0</v>
      </c>
      <c r="O1279" s="83" t="s">
        <v>1008</v>
      </c>
      <c r="P1279" s="74"/>
      <c r="Q1279" s="74"/>
      <c r="R1279" s="74"/>
      <c r="S1279" s="74"/>
      <c r="T1279" s="74"/>
      <c r="U1279" s="74"/>
      <c r="V1279" s="74"/>
      <c r="W1279" s="74"/>
      <c r="X1279" s="74"/>
      <c r="Y1279" s="74"/>
      <c r="Z1279" s="74"/>
      <c r="AA1279" s="74"/>
      <c r="AB1279" s="74"/>
      <c r="AC1279" s="74"/>
      <c r="AD1279" s="74"/>
      <c r="AE1279" s="74"/>
      <c r="AF1279" s="74"/>
      <c r="AG1279" s="74"/>
    </row>
    <row r="1280" ht="22.5" customHeight="1">
      <c r="A1280" s="86">
        <v>45866.0</v>
      </c>
      <c r="B1280" s="63" t="s">
        <v>27</v>
      </c>
      <c r="C1280" s="79"/>
      <c r="D1280" s="80">
        <v>3634199.0</v>
      </c>
      <c r="E1280" s="66" t="s">
        <v>28</v>
      </c>
      <c r="F1280" s="84" t="s">
        <v>941</v>
      </c>
      <c r="G1280" s="68">
        <v>0.0</v>
      </c>
      <c r="H1280" s="69">
        <f t="shared" si="82"/>
        <v>0</v>
      </c>
      <c r="I1280" s="94" t="s">
        <v>598</v>
      </c>
      <c r="J1280" s="87" t="s">
        <v>72</v>
      </c>
      <c r="K1280" s="95"/>
      <c r="L1280" s="95"/>
      <c r="M1280" s="95"/>
      <c r="N1280" s="72">
        <f t="shared" si="83"/>
        <v>0</v>
      </c>
      <c r="O1280" s="83" t="s">
        <v>1009</v>
      </c>
      <c r="P1280" s="74"/>
      <c r="Q1280" s="74"/>
      <c r="R1280" s="74"/>
      <c r="S1280" s="74"/>
      <c r="T1280" s="74"/>
      <c r="U1280" s="74"/>
      <c r="V1280" s="74"/>
      <c r="W1280" s="74"/>
      <c r="X1280" s="74"/>
      <c r="Y1280" s="74"/>
      <c r="Z1280" s="74"/>
      <c r="AA1280" s="74"/>
      <c r="AB1280" s="74"/>
      <c r="AC1280" s="74"/>
      <c r="AD1280" s="74"/>
      <c r="AE1280" s="74"/>
      <c r="AF1280" s="74"/>
      <c r="AG1280" s="74"/>
    </row>
    <row r="1281" ht="22.5" customHeight="1">
      <c r="A1281" s="86">
        <v>45866.0</v>
      </c>
      <c r="B1281" s="63" t="s">
        <v>27</v>
      </c>
      <c r="C1281" s="79"/>
      <c r="D1281" s="80">
        <v>2355115.0</v>
      </c>
      <c r="E1281" s="66" t="s">
        <v>376</v>
      </c>
      <c r="F1281" s="84" t="s">
        <v>941</v>
      </c>
      <c r="G1281" s="68">
        <v>0.0</v>
      </c>
      <c r="H1281" s="69">
        <f t="shared" si="82"/>
        <v>0</v>
      </c>
      <c r="I1281" s="94" t="s">
        <v>623</v>
      </c>
      <c r="J1281" s="87" t="s">
        <v>72</v>
      </c>
      <c r="K1281" s="95"/>
      <c r="L1281" s="95"/>
      <c r="M1281" s="95"/>
      <c r="N1281" s="72">
        <f t="shared" si="83"/>
        <v>0</v>
      </c>
      <c r="O1281" s="83" t="s">
        <v>18</v>
      </c>
      <c r="P1281" s="74"/>
      <c r="Q1281" s="74"/>
      <c r="R1281" s="74"/>
      <c r="S1281" s="74"/>
      <c r="T1281" s="74"/>
      <c r="U1281" s="74"/>
      <c r="V1281" s="74"/>
      <c r="W1281" s="74"/>
      <c r="X1281" s="74"/>
      <c r="Y1281" s="74"/>
      <c r="Z1281" s="74"/>
      <c r="AA1281" s="74"/>
      <c r="AB1281" s="74"/>
      <c r="AC1281" s="74"/>
      <c r="AD1281" s="74"/>
      <c r="AE1281" s="74"/>
      <c r="AF1281" s="74"/>
      <c r="AG1281" s="74"/>
    </row>
    <row r="1282" ht="22.5" customHeight="1">
      <c r="A1282" s="86">
        <v>45866.0</v>
      </c>
      <c r="B1282" s="63" t="s">
        <v>27</v>
      </c>
      <c r="C1282" s="79"/>
      <c r="D1282" s="80">
        <v>345808.5</v>
      </c>
      <c r="E1282" s="66" t="s">
        <v>376</v>
      </c>
      <c r="F1282" s="84" t="s">
        <v>941</v>
      </c>
      <c r="G1282" s="68">
        <v>0.0</v>
      </c>
      <c r="H1282" s="69">
        <f t="shared" si="82"/>
        <v>0</v>
      </c>
      <c r="I1282" s="94" t="s">
        <v>622</v>
      </c>
      <c r="J1282" s="87" t="s">
        <v>72</v>
      </c>
      <c r="K1282" s="95"/>
      <c r="L1282" s="95"/>
      <c r="M1282" s="95"/>
      <c r="N1282" s="72">
        <f t="shared" si="83"/>
        <v>0</v>
      </c>
      <c r="O1282" s="83" t="s">
        <v>1010</v>
      </c>
      <c r="P1282" s="74"/>
      <c r="Q1282" s="74"/>
      <c r="R1282" s="74"/>
      <c r="S1282" s="74"/>
      <c r="T1282" s="74"/>
      <c r="U1282" s="74"/>
      <c r="V1282" s="74"/>
      <c r="W1282" s="74"/>
      <c r="X1282" s="74"/>
      <c r="Y1282" s="74"/>
      <c r="Z1282" s="74"/>
      <c r="AA1282" s="74"/>
      <c r="AB1282" s="74"/>
      <c r="AC1282" s="74"/>
      <c r="AD1282" s="74"/>
      <c r="AE1282" s="74"/>
      <c r="AF1282" s="74"/>
      <c r="AG1282" s="74"/>
    </row>
    <row r="1283" ht="22.5" customHeight="1">
      <c r="A1283" s="86">
        <v>45866.0</v>
      </c>
      <c r="B1283" s="63" t="s">
        <v>27</v>
      </c>
      <c r="C1283" s="79"/>
      <c r="D1283" s="80">
        <v>143064.0</v>
      </c>
      <c r="E1283" s="66" t="s">
        <v>376</v>
      </c>
      <c r="F1283" s="84" t="s">
        <v>941</v>
      </c>
      <c r="G1283" s="68">
        <v>0.0</v>
      </c>
      <c r="H1283" s="69">
        <f t="shared" si="82"/>
        <v>0</v>
      </c>
      <c r="I1283" s="94" t="s">
        <v>599</v>
      </c>
      <c r="J1283" s="87" t="s">
        <v>72</v>
      </c>
      <c r="K1283" s="95"/>
      <c r="L1283" s="95"/>
      <c r="M1283" s="95"/>
      <c r="N1283" s="72">
        <f t="shared" si="83"/>
        <v>0</v>
      </c>
      <c r="O1283" s="83" t="s">
        <v>1011</v>
      </c>
      <c r="P1283" s="74"/>
      <c r="Q1283" s="74"/>
      <c r="R1283" s="74"/>
      <c r="S1283" s="74"/>
      <c r="T1283" s="74"/>
      <c r="U1283" s="74"/>
      <c r="V1283" s="74"/>
      <c r="W1283" s="74"/>
      <c r="X1283" s="74"/>
      <c r="Y1283" s="74"/>
      <c r="Z1283" s="74"/>
      <c r="AA1283" s="74"/>
      <c r="AB1283" s="74"/>
      <c r="AC1283" s="74"/>
      <c r="AD1283" s="74"/>
      <c r="AE1283" s="74"/>
      <c r="AF1283" s="74"/>
      <c r="AG1283" s="74"/>
    </row>
    <row r="1284" ht="22.5" customHeight="1">
      <c r="A1284" s="86">
        <v>45866.0</v>
      </c>
      <c r="B1284" s="63" t="s">
        <v>27</v>
      </c>
      <c r="C1284" s="79"/>
      <c r="D1284" s="80">
        <v>3506.0</v>
      </c>
      <c r="E1284" s="66" t="s">
        <v>376</v>
      </c>
      <c r="F1284" s="84" t="s">
        <v>941</v>
      </c>
      <c r="G1284" s="68">
        <v>0.0</v>
      </c>
      <c r="H1284" s="69">
        <f t="shared" si="82"/>
        <v>0</v>
      </c>
      <c r="I1284" s="94" t="s">
        <v>659</v>
      </c>
      <c r="J1284" s="87" t="s">
        <v>72</v>
      </c>
      <c r="K1284" s="95"/>
      <c r="L1284" s="95"/>
      <c r="M1284" s="95"/>
      <c r="N1284" s="72">
        <f t="shared" si="83"/>
        <v>0</v>
      </c>
      <c r="O1284" s="83" t="s">
        <v>1011</v>
      </c>
      <c r="P1284" s="74"/>
      <c r="Q1284" s="74"/>
      <c r="R1284" s="74"/>
      <c r="S1284" s="74"/>
      <c r="T1284" s="74"/>
      <c r="U1284" s="74"/>
      <c r="V1284" s="74"/>
      <c r="W1284" s="74"/>
      <c r="X1284" s="74"/>
      <c r="Y1284" s="74"/>
      <c r="Z1284" s="74"/>
      <c r="AA1284" s="74"/>
      <c r="AB1284" s="74"/>
      <c r="AC1284" s="74"/>
      <c r="AD1284" s="74"/>
      <c r="AE1284" s="74"/>
      <c r="AF1284" s="74"/>
      <c r="AG1284" s="74"/>
    </row>
    <row r="1285" ht="22.5" customHeight="1">
      <c r="A1285" s="86">
        <v>45867.0</v>
      </c>
      <c r="B1285" s="63" t="s">
        <v>27</v>
      </c>
      <c r="C1285" s="80">
        <v>695651.82</v>
      </c>
      <c r="D1285" s="79"/>
      <c r="E1285" s="66" t="s">
        <v>28</v>
      </c>
      <c r="F1285" s="84" t="s">
        <v>800</v>
      </c>
      <c r="G1285" s="68">
        <v>20.0</v>
      </c>
      <c r="H1285" s="69">
        <f t="shared" si="82"/>
        <v>115941.97</v>
      </c>
      <c r="I1285" s="76" t="s">
        <v>37</v>
      </c>
      <c r="J1285" s="87" t="s">
        <v>948</v>
      </c>
      <c r="K1285" s="82" t="s">
        <v>830</v>
      </c>
      <c r="L1285" s="82">
        <v>217.0</v>
      </c>
      <c r="M1285" s="128">
        <v>45817.0</v>
      </c>
      <c r="N1285" s="72">
        <f t="shared" si="83"/>
        <v>50</v>
      </c>
      <c r="O1285" s="96"/>
      <c r="P1285" s="74"/>
      <c r="Q1285" s="74"/>
      <c r="R1285" s="74"/>
      <c r="S1285" s="74"/>
      <c r="T1285" s="74"/>
      <c r="U1285" s="74"/>
      <c r="V1285" s="74"/>
      <c r="W1285" s="74"/>
      <c r="X1285" s="74"/>
      <c r="Y1285" s="74"/>
      <c r="Z1285" s="74"/>
      <c r="AA1285" s="74"/>
      <c r="AB1285" s="74"/>
      <c r="AC1285" s="74"/>
      <c r="AD1285" s="74"/>
      <c r="AE1285" s="74"/>
      <c r="AF1285" s="74"/>
      <c r="AG1285" s="74"/>
    </row>
    <row r="1286" ht="22.5" customHeight="1">
      <c r="A1286" s="86">
        <v>45867.0</v>
      </c>
      <c r="B1286" s="63" t="s">
        <v>27</v>
      </c>
      <c r="C1286" s="80">
        <v>695652.3</v>
      </c>
      <c r="D1286" s="79"/>
      <c r="E1286" s="66" t="s">
        <v>28</v>
      </c>
      <c r="F1286" s="84" t="s">
        <v>800</v>
      </c>
      <c r="G1286" s="68">
        <v>20.0</v>
      </c>
      <c r="H1286" s="69">
        <f t="shared" si="82"/>
        <v>115942.05</v>
      </c>
      <c r="I1286" s="76" t="s">
        <v>37</v>
      </c>
      <c r="J1286" s="87" t="s">
        <v>948</v>
      </c>
      <c r="K1286" s="82" t="s">
        <v>829</v>
      </c>
      <c r="L1286" s="82">
        <v>205.0</v>
      </c>
      <c r="M1286" s="128">
        <v>45806.0</v>
      </c>
      <c r="N1286" s="72">
        <f t="shared" si="83"/>
        <v>61</v>
      </c>
      <c r="O1286" s="96"/>
      <c r="P1286" s="74"/>
      <c r="Q1286" s="74"/>
      <c r="R1286" s="74"/>
      <c r="S1286" s="74"/>
      <c r="T1286" s="74"/>
      <c r="U1286" s="74"/>
      <c r="V1286" s="74"/>
      <c r="W1286" s="74"/>
      <c r="X1286" s="74"/>
      <c r="Y1286" s="74"/>
      <c r="Z1286" s="74"/>
      <c r="AA1286" s="74"/>
      <c r="AB1286" s="74"/>
      <c r="AC1286" s="74"/>
      <c r="AD1286" s="74"/>
      <c r="AE1286" s="74"/>
      <c r="AF1286" s="74"/>
      <c r="AG1286" s="74"/>
    </row>
    <row r="1287" ht="22.5" customHeight="1">
      <c r="A1287" s="86">
        <v>45868.0</v>
      </c>
      <c r="B1287" s="63" t="s">
        <v>27</v>
      </c>
      <c r="C1287" s="80">
        <v>330330.0</v>
      </c>
      <c r="D1287" s="79"/>
      <c r="E1287" s="66" t="s">
        <v>28</v>
      </c>
      <c r="F1287" s="84" t="s">
        <v>674</v>
      </c>
      <c r="G1287" s="68">
        <v>20.0</v>
      </c>
      <c r="H1287" s="69">
        <f t="shared" si="82"/>
        <v>55055</v>
      </c>
      <c r="I1287" s="76" t="s">
        <v>37</v>
      </c>
      <c r="J1287" s="87" t="s">
        <v>944</v>
      </c>
      <c r="K1287" s="82" t="s">
        <v>1012</v>
      </c>
      <c r="L1287" s="82">
        <v>120.0</v>
      </c>
      <c r="M1287" s="128">
        <v>45757.0</v>
      </c>
      <c r="N1287" s="72">
        <f t="shared" si="83"/>
        <v>111</v>
      </c>
      <c r="O1287" s="96"/>
      <c r="P1287" s="74"/>
      <c r="Q1287" s="74"/>
      <c r="R1287" s="74"/>
      <c r="S1287" s="74"/>
      <c r="T1287" s="74"/>
      <c r="U1287" s="74"/>
      <c r="V1287" s="74"/>
      <c r="W1287" s="74"/>
      <c r="X1287" s="74"/>
      <c r="Y1287" s="74"/>
      <c r="Z1287" s="74"/>
      <c r="AA1287" s="74"/>
      <c r="AB1287" s="74"/>
      <c r="AC1287" s="74"/>
      <c r="AD1287" s="74"/>
      <c r="AE1287" s="74"/>
      <c r="AF1287" s="74"/>
      <c r="AG1287" s="74"/>
    </row>
    <row r="1288" ht="22.5" customHeight="1">
      <c r="A1288" s="86">
        <v>45868.0</v>
      </c>
      <c r="B1288" s="63" t="s">
        <v>27</v>
      </c>
      <c r="C1288" s="80">
        <v>792000.02</v>
      </c>
      <c r="D1288" s="79"/>
      <c r="E1288" s="66" t="s">
        <v>28</v>
      </c>
      <c r="F1288" s="84" t="s">
        <v>674</v>
      </c>
      <c r="G1288" s="68">
        <v>20.0</v>
      </c>
      <c r="H1288" s="69">
        <f t="shared" si="82"/>
        <v>132000.0033</v>
      </c>
      <c r="I1288" s="76" t="s">
        <v>37</v>
      </c>
      <c r="J1288" s="87" t="s">
        <v>944</v>
      </c>
      <c r="K1288" s="82" t="s">
        <v>1012</v>
      </c>
      <c r="L1288" s="82">
        <v>121.0</v>
      </c>
      <c r="M1288" s="128">
        <v>45757.0</v>
      </c>
      <c r="N1288" s="72">
        <f t="shared" si="83"/>
        <v>111</v>
      </c>
      <c r="O1288" s="96"/>
      <c r="P1288" s="74"/>
      <c r="Q1288" s="74"/>
      <c r="R1288" s="74"/>
      <c r="S1288" s="74"/>
      <c r="T1288" s="74"/>
      <c r="U1288" s="74"/>
      <c r="V1288" s="74"/>
      <c r="W1288" s="74"/>
      <c r="X1288" s="74"/>
      <c r="Y1288" s="74"/>
      <c r="Z1288" s="74"/>
      <c r="AA1288" s="74"/>
      <c r="AB1288" s="74"/>
      <c r="AC1288" s="74"/>
      <c r="AD1288" s="74"/>
      <c r="AE1288" s="74"/>
      <c r="AF1288" s="74"/>
      <c r="AG1288" s="74"/>
    </row>
    <row r="1289" ht="22.5" customHeight="1">
      <c r="A1289" s="86">
        <v>45868.0</v>
      </c>
      <c r="B1289" s="63" t="s">
        <v>27</v>
      </c>
      <c r="C1289" s="80">
        <v>330330.0</v>
      </c>
      <c r="D1289" s="79"/>
      <c r="E1289" s="66" t="s">
        <v>28</v>
      </c>
      <c r="F1289" s="84" t="s">
        <v>674</v>
      </c>
      <c r="G1289" s="68">
        <v>20.0</v>
      </c>
      <c r="H1289" s="69">
        <f t="shared" si="82"/>
        <v>55055</v>
      </c>
      <c r="I1289" s="76" t="s">
        <v>37</v>
      </c>
      <c r="J1289" s="87" t="s">
        <v>944</v>
      </c>
      <c r="K1289" s="82" t="s">
        <v>1012</v>
      </c>
      <c r="L1289" s="82">
        <v>122.0</v>
      </c>
      <c r="M1289" s="128">
        <v>45757.0</v>
      </c>
      <c r="N1289" s="72">
        <f t="shared" si="83"/>
        <v>111</v>
      </c>
      <c r="O1289" s="96"/>
      <c r="P1289" s="74"/>
      <c r="Q1289" s="74"/>
      <c r="R1289" s="74"/>
      <c r="S1289" s="74"/>
      <c r="T1289" s="74"/>
      <c r="U1289" s="74"/>
      <c r="V1289" s="74"/>
      <c r="W1289" s="74"/>
      <c r="X1289" s="74"/>
      <c r="Y1289" s="74"/>
      <c r="Z1289" s="74"/>
      <c r="AA1289" s="74"/>
      <c r="AB1289" s="74"/>
      <c r="AC1289" s="74"/>
      <c r="AD1289" s="74"/>
      <c r="AE1289" s="74"/>
      <c r="AF1289" s="74"/>
      <c r="AG1289" s="74"/>
    </row>
    <row r="1290" ht="22.5" customHeight="1">
      <c r="A1290" s="86">
        <v>45868.0</v>
      </c>
      <c r="B1290" s="63" t="s">
        <v>27</v>
      </c>
      <c r="C1290" s="80">
        <v>189040.5</v>
      </c>
      <c r="D1290" s="79"/>
      <c r="E1290" s="66" t="s">
        <v>28</v>
      </c>
      <c r="F1290" s="84" t="s">
        <v>674</v>
      </c>
      <c r="G1290" s="68">
        <v>20.0</v>
      </c>
      <c r="H1290" s="69">
        <f t="shared" si="82"/>
        <v>31506.75</v>
      </c>
      <c r="I1290" s="76" t="s">
        <v>37</v>
      </c>
      <c r="J1290" s="87" t="s">
        <v>944</v>
      </c>
      <c r="K1290" s="82" t="s">
        <v>1012</v>
      </c>
      <c r="L1290" s="82">
        <v>123.0</v>
      </c>
      <c r="M1290" s="128">
        <v>45757.0</v>
      </c>
      <c r="N1290" s="72">
        <f t="shared" si="83"/>
        <v>111</v>
      </c>
      <c r="O1290" s="96"/>
      <c r="P1290" s="74"/>
      <c r="Q1290" s="74"/>
      <c r="R1290" s="74"/>
      <c r="S1290" s="74"/>
      <c r="T1290" s="74"/>
      <c r="U1290" s="74"/>
      <c r="V1290" s="74"/>
      <c r="W1290" s="74"/>
      <c r="X1290" s="74"/>
      <c r="Y1290" s="74"/>
      <c r="Z1290" s="74"/>
      <c r="AA1290" s="74"/>
      <c r="AB1290" s="74"/>
      <c r="AC1290" s="74"/>
      <c r="AD1290" s="74"/>
      <c r="AE1290" s="74"/>
      <c r="AF1290" s="74"/>
      <c r="AG1290" s="74"/>
    </row>
    <row r="1291" ht="22.5" customHeight="1">
      <c r="A1291" s="86">
        <v>45868.0</v>
      </c>
      <c r="B1291" s="63" t="s">
        <v>27</v>
      </c>
      <c r="C1291" s="80">
        <v>103403.85</v>
      </c>
      <c r="D1291" s="79"/>
      <c r="E1291" s="66" t="s">
        <v>28</v>
      </c>
      <c r="F1291" s="84" t="s">
        <v>674</v>
      </c>
      <c r="G1291" s="68">
        <v>20.0</v>
      </c>
      <c r="H1291" s="69">
        <f t="shared" si="82"/>
        <v>17233.975</v>
      </c>
      <c r="I1291" s="76" t="s">
        <v>37</v>
      </c>
      <c r="J1291" s="87" t="s">
        <v>944</v>
      </c>
      <c r="K1291" s="82" t="s">
        <v>1012</v>
      </c>
      <c r="L1291" s="82">
        <v>124.0</v>
      </c>
      <c r="M1291" s="128">
        <v>45757.0</v>
      </c>
      <c r="N1291" s="72">
        <f t="shared" si="83"/>
        <v>111</v>
      </c>
      <c r="O1291" s="96"/>
      <c r="P1291" s="74"/>
      <c r="Q1291" s="74"/>
      <c r="R1291" s="74"/>
      <c r="S1291" s="74"/>
      <c r="T1291" s="74"/>
      <c r="U1291" s="74"/>
      <c r="V1291" s="74"/>
      <c r="W1291" s="74"/>
      <c r="X1291" s="74"/>
      <c r="Y1291" s="74"/>
      <c r="Z1291" s="74"/>
      <c r="AA1291" s="74"/>
      <c r="AB1291" s="74"/>
      <c r="AC1291" s="74"/>
      <c r="AD1291" s="74"/>
      <c r="AE1291" s="74"/>
      <c r="AF1291" s="74"/>
      <c r="AG1291" s="74"/>
    </row>
    <row r="1292" ht="22.5" customHeight="1">
      <c r="A1292" s="86">
        <v>45868.0</v>
      </c>
      <c r="B1292" s="63" t="s">
        <v>27</v>
      </c>
      <c r="C1292" s="80">
        <v>543778.8</v>
      </c>
      <c r="D1292" s="79"/>
      <c r="E1292" s="66" t="s">
        <v>28</v>
      </c>
      <c r="F1292" s="84" t="s">
        <v>897</v>
      </c>
      <c r="G1292" s="68">
        <v>20.0</v>
      </c>
      <c r="H1292" s="69">
        <f t="shared" si="82"/>
        <v>90629.8</v>
      </c>
      <c r="I1292" s="76" t="s">
        <v>37</v>
      </c>
      <c r="J1292" s="98" t="s">
        <v>641</v>
      </c>
      <c r="K1292" s="82" t="s">
        <v>1013</v>
      </c>
      <c r="L1292" s="82">
        <v>247.0</v>
      </c>
      <c r="M1292" s="128">
        <v>45842.0</v>
      </c>
      <c r="N1292" s="72">
        <f t="shared" si="83"/>
        <v>26</v>
      </c>
      <c r="O1292" s="96"/>
      <c r="P1292" s="74"/>
      <c r="Q1292" s="74"/>
      <c r="R1292" s="74"/>
      <c r="S1292" s="74"/>
      <c r="T1292" s="74"/>
      <c r="U1292" s="74"/>
      <c r="V1292" s="74"/>
      <c r="W1292" s="74"/>
      <c r="X1292" s="74"/>
      <c r="Y1292" s="74"/>
      <c r="Z1292" s="74"/>
      <c r="AA1292" s="74"/>
      <c r="AB1292" s="74"/>
      <c r="AC1292" s="74"/>
      <c r="AD1292" s="74"/>
      <c r="AE1292" s="74"/>
      <c r="AF1292" s="74"/>
      <c r="AG1292" s="74"/>
    </row>
    <row r="1293" ht="22.5" customHeight="1">
      <c r="A1293" s="86">
        <v>45869.0</v>
      </c>
      <c r="B1293" s="63" t="s">
        <v>27</v>
      </c>
      <c r="C1293" s="80">
        <v>608160.0</v>
      </c>
      <c r="D1293" s="80"/>
      <c r="E1293" s="66" t="s">
        <v>28</v>
      </c>
      <c r="F1293" s="84" t="s">
        <v>722</v>
      </c>
      <c r="G1293" s="68">
        <v>20.0</v>
      </c>
      <c r="H1293" s="69">
        <f t="shared" si="82"/>
        <v>101360</v>
      </c>
      <c r="I1293" s="76" t="s">
        <v>37</v>
      </c>
      <c r="J1293" s="87" t="s">
        <v>1014</v>
      </c>
      <c r="K1293" s="82" t="s">
        <v>993</v>
      </c>
      <c r="L1293" s="82">
        <v>181.0</v>
      </c>
      <c r="M1293" s="128">
        <v>45790.0</v>
      </c>
      <c r="N1293" s="72">
        <f t="shared" si="83"/>
        <v>79</v>
      </c>
      <c r="O1293" s="96"/>
      <c r="P1293" s="74"/>
      <c r="Q1293" s="74"/>
      <c r="R1293" s="74"/>
      <c r="S1293" s="74"/>
      <c r="T1293" s="74"/>
      <c r="U1293" s="74"/>
      <c r="V1293" s="74"/>
      <c r="W1293" s="74"/>
      <c r="X1293" s="74"/>
      <c r="Y1293" s="74"/>
      <c r="Z1293" s="74"/>
      <c r="AA1293" s="74"/>
      <c r="AB1293" s="74"/>
      <c r="AC1293" s="74"/>
      <c r="AD1293" s="74"/>
      <c r="AE1293" s="74"/>
      <c r="AF1293" s="74"/>
      <c r="AG1293" s="74"/>
    </row>
    <row r="1294" ht="22.5" customHeight="1">
      <c r="A1294" s="86">
        <v>45869.0</v>
      </c>
      <c r="B1294" s="63" t="s">
        <v>27</v>
      </c>
      <c r="C1294" s="80">
        <v>840000.0</v>
      </c>
      <c r="D1294" s="80"/>
      <c r="E1294" s="66" t="s">
        <v>28</v>
      </c>
      <c r="F1294" s="84" t="s">
        <v>722</v>
      </c>
      <c r="G1294" s="68">
        <v>20.0</v>
      </c>
      <c r="H1294" s="69">
        <f t="shared" si="82"/>
        <v>140000</v>
      </c>
      <c r="I1294" s="76" t="s">
        <v>37</v>
      </c>
      <c r="J1294" s="87" t="s">
        <v>1014</v>
      </c>
      <c r="K1294" s="82" t="s">
        <v>754</v>
      </c>
      <c r="L1294" s="82">
        <v>182.0</v>
      </c>
      <c r="M1294" s="128">
        <v>45790.0</v>
      </c>
      <c r="N1294" s="72">
        <f t="shared" si="83"/>
        <v>79</v>
      </c>
      <c r="O1294" s="96"/>
      <c r="P1294" s="74"/>
      <c r="Q1294" s="74"/>
      <c r="R1294" s="74"/>
      <c r="S1294" s="74"/>
      <c r="T1294" s="74"/>
      <c r="U1294" s="74"/>
      <c r="V1294" s="74"/>
      <c r="W1294" s="74"/>
      <c r="X1294" s="74"/>
      <c r="Y1294" s="74"/>
      <c r="Z1294" s="74"/>
      <c r="AA1294" s="74"/>
      <c r="AB1294" s="74"/>
      <c r="AC1294" s="74"/>
      <c r="AD1294" s="74"/>
      <c r="AE1294" s="74"/>
      <c r="AF1294" s="74"/>
      <c r="AG1294" s="74"/>
    </row>
    <row r="1295" ht="22.5" customHeight="1">
      <c r="A1295" s="86">
        <v>45869.0</v>
      </c>
      <c r="B1295" s="63" t="s">
        <v>27</v>
      </c>
      <c r="C1295" s="79"/>
      <c r="D1295" s="80">
        <v>289302.2</v>
      </c>
      <c r="E1295" s="66" t="s">
        <v>28</v>
      </c>
      <c r="F1295" s="84" t="s">
        <v>800</v>
      </c>
      <c r="G1295" s="68">
        <v>20.0</v>
      </c>
      <c r="H1295" s="69">
        <f t="shared" si="82"/>
        <v>48217.03333</v>
      </c>
      <c r="I1295" s="76" t="s">
        <v>61</v>
      </c>
      <c r="J1295" s="98" t="s">
        <v>509</v>
      </c>
      <c r="K1295" s="95"/>
      <c r="L1295" s="95"/>
      <c r="M1295" s="95"/>
      <c r="N1295" s="72">
        <f t="shared" si="83"/>
        <v>0</v>
      </c>
      <c r="O1295" s="140" t="s">
        <v>1015</v>
      </c>
      <c r="P1295" s="74"/>
      <c r="Q1295" s="74"/>
      <c r="R1295" s="74"/>
      <c r="S1295" s="74"/>
      <c r="T1295" s="74"/>
      <c r="U1295" s="74"/>
      <c r="V1295" s="74"/>
      <c r="W1295" s="74"/>
      <c r="X1295" s="74"/>
      <c r="Y1295" s="74"/>
      <c r="Z1295" s="74"/>
      <c r="AA1295" s="74"/>
      <c r="AB1295" s="74"/>
      <c r="AC1295" s="74"/>
      <c r="AD1295" s="74"/>
      <c r="AE1295" s="74"/>
      <c r="AF1295" s="74"/>
      <c r="AG1295" s="74"/>
    </row>
    <row r="1296" ht="22.5" customHeight="1">
      <c r="A1296" s="86">
        <v>45870.0</v>
      </c>
      <c r="B1296" s="63" t="s">
        <v>27</v>
      </c>
      <c r="C1296" s="80"/>
      <c r="D1296" s="80">
        <v>314435.84</v>
      </c>
      <c r="E1296" s="66" t="s">
        <v>28</v>
      </c>
      <c r="F1296" s="84" t="s">
        <v>722</v>
      </c>
      <c r="G1296" s="68">
        <v>20.0</v>
      </c>
      <c r="H1296" s="69">
        <f t="shared" si="82"/>
        <v>52405.97333</v>
      </c>
      <c r="I1296" s="76" t="s">
        <v>44</v>
      </c>
      <c r="J1296" s="98" t="s">
        <v>134</v>
      </c>
      <c r="K1296" s="95"/>
      <c r="L1296" s="95"/>
      <c r="M1296" s="95"/>
      <c r="N1296" s="72">
        <f t="shared" si="83"/>
        <v>0</v>
      </c>
      <c r="O1296" s="140" t="s">
        <v>1016</v>
      </c>
      <c r="P1296" s="74"/>
      <c r="Q1296" s="74"/>
      <c r="R1296" s="74"/>
      <c r="S1296" s="74"/>
      <c r="T1296" s="74"/>
      <c r="U1296" s="74"/>
      <c r="V1296" s="74"/>
      <c r="W1296" s="74"/>
      <c r="X1296" s="74"/>
      <c r="Y1296" s="74"/>
      <c r="Z1296" s="74"/>
      <c r="AA1296" s="74"/>
      <c r="AB1296" s="74"/>
      <c r="AC1296" s="74"/>
      <c r="AD1296" s="74"/>
      <c r="AE1296" s="74"/>
      <c r="AF1296" s="74"/>
      <c r="AG1296" s="74"/>
    </row>
    <row r="1297" ht="22.5" customHeight="1">
      <c r="A1297" s="86">
        <v>45870.0</v>
      </c>
      <c r="B1297" s="63" t="s">
        <v>27</v>
      </c>
      <c r="C1297" s="79"/>
      <c r="D1297" s="80">
        <v>60000.0</v>
      </c>
      <c r="E1297" s="66" t="s">
        <v>28</v>
      </c>
      <c r="F1297" s="67" t="s">
        <v>1002</v>
      </c>
      <c r="G1297" s="68">
        <v>20.0</v>
      </c>
      <c r="H1297" s="69">
        <f t="shared" si="82"/>
        <v>10000</v>
      </c>
      <c r="I1297" s="76" t="s">
        <v>61</v>
      </c>
      <c r="J1297" s="87" t="s">
        <v>942</v>
      </c>
      <c r="K1297" s="95"/>
      <c r="L1297" s="95"/>
      <c r="M1297" s="95"/>
      <c r="N1297" s="72">
        <f t="shared" si="83"/>
        <v>0</v>
      </c>
      <c r="O1297" s="83" t="s">
        <v>943</v>
      </c>
      <c r="P1297" s="74"/>
      <c r="Q1297" s="74"/>
      <c r="R1297" s="74"/>
      <c r="S1297" s="74"/>
      <c r="T1297" s="74"/>
      <c r="U1297" s="74"/>
      <c r="V1297" s="74"/>
      <c r="W1297" s="74"/>
      <c r="X1297" s="74"/>
      <c r="Y1297" s="74"/>
      <c r="Z1297" s="74"/>
      <c r="AA1297" s="74"/>
      <c r="AB1297" s="74"/>
      <c r="AC1297" s="74"/>
      <c r="AD1297" s="74"/>
      <c r="AE1297" s="74"/>
      <c r="AF1297" s="74"/>
      <c r="AG1297" s="74"/>
    </row>
    <row r="1298" ht="22.5" customHeight="1">
      <c r="A1298" s="86">
        <v>45873.0</v>
      </c>
      <c r="B1298" s="63" t="s">
        <v>27</v>
      </c>
      <c r="C1298" s="79"/>
      <c r="D1298" s="80">
        <v>56000.0</v>
      </c>
      <c r="E1298" s="66" t="s">
        <v>28</v>
      </c>
      <c r="F1298" s="67" t="s">
        <v>1002</v>
      </c>
      <c r="G1298" s="68">
        <v>5.0</v>
      </c>
      <c r="H1298" s="69">
        <f t="shared" si="82"/>
        <v>2666.666667</v>
      </c>
      <c r="I1298" s="76" t="s">
        <v>233</v>
      </c>
      <c r="J1298" s="87" t="s">
        <v>968</v>
      </c>
      <c r="K1298" s="95"/>
      <c r="L1298" s="95"/>
      <c r="M1298" s="95"/>
      <c r="N1298" s="72"/>
      <c r="O1298" s="83" t="s">
        <v>1017</v>
      </c>
      <c r="P1298" s="74"/>
      <c r="Q1298" s="74"/>
      <c r="R1298" s="74"/>
      <c r="S1298" s="74"/>
      <c r="T1298" s="74"/>
      <c r="U1298" s="74"/>
      <c r="V1298" s="74"/>
      <c r="W1298" s="74"/>
      <c r="X1298" s="74"/>
      <c r="Y1298" s="74"/>
      <c r="Z1298" s="74"/>
      <c r="AA1298" s="74"/>
      <c r="AB1298" s="74"/>
      <c r="AC1298" s="74"/>
      <c r="AD1298" s="74"/>
      <c r="AE1298" s="74"/>
      <c r="AF1298" s="74"/>
      <c r="AG1298" s="74"/>
    </row>
    <row r="1299" ht="22.5" customHeight="1">
      <c r="A1299" s="86">
        <v>45873.0</v>
      </c>
      <c r="B1299" s="63" t="s">
        <v>27</v>
      </c>
      <c r="C1299" s="79"/>
      <c r="D1299" s="80">
        <v>200000.0</v>
      </c>
      <c r="E1299" s="66" t="s">
        <v>28</v>
      </c>
      <c r="F1299" s="67" t="s">
        <v>1002</v>
      </c>
      <c r="G1299" s="68">
        <v>20.0</v>
      </c>
      <c r="H1299" s="69">
        <f t="shared" si="82"/>
        <v>33333.33333</v>
      </c>
      <c r="I1299" s="76" t="s">
        <v>616</v>
      </c>
      <c r="J1299" s="98" t="s">
        <v>617</v>
      </c>
      <c r="K1299" s="95"/>
      <c r="L1299" s="95"/>
      <c r="M1299" s="95"/>
      <c r="N1299" s="72"/>
      <c r="O1299" s="83" t="s">
        <v>1018</v>
      </c>
      <c r="P1299" s="74"/>
      <c r="Q1299" s="74"/>
      <c r="R1299" s="74"/>
      <c r="S1299" s="74"/>
      <c r="T1299" s="74"/>
      <c r="U1299" s="74"/>
      <c r="V1299" s="74"/>
      <c r="W1299" s="74"/>
      <c r="X1299" s="74"/>
      <c r="Y1299" s="74"/>
      <c r="Z1299" s="74"/>
      <c r="AA1299" s="74"/>
      <c r="AB1299" s="74"/>
      <c r="AC1299" s="74"/>
      <c r="AD1299" s="74"/>
      <c r="AE1299" s="74"/>
      <c r="AF1299" s="74"/>
      <c r="AG1299" s="74"/>
    </row>
    <row r="1300" ht="22.5" customHeight="1">
      <c r="A1300" s="86">
        <v>45873.0</v>
      </c>
      <c r="B1300" s="63" t="s">
        <v>27</v>
      </c>
      <c r="C1300" s="79"/>
      <c r="D1300" s="80">
        <v>10000.0</v>
      </c>
      <c r="E1300" s="66" t="s">
        <v>33</v>
      </c>
      <c r="F1300" s="67" t="s">
        <v>1002</v>
      </c>
      <c r="G1300" s="68">
        <v>0.0</v>
      </c>
      <c r="H1300" s="69">
        <f t="shared" si="82"/>
        <v>0</v>
      </c>
      <c r="I1300" s="76" t="s">
        <v>495</v>
      </c>
      <c r="J1300" s="87" t="s">
        <v>1019</v>
      </c>
      <c r="K1300" s="95"/>
      <c r="L1300" s="95"/>
      <c r="M1300" s="95"/>
      <c r="N1300" s="72">
        <f t="shared" ref="N1300:N1343" si="84">A1300-IF(M1300&gt;0,M1300,A1300)</f>
        <v>0</v>
      </c>
      <c r="O1300" s="96"/>
      <c r="P1300" s="74"/>
      <c r="Q1300" s="74"/>
      <c r="R1300" s="74"/>
      <c r="S1300" s="74"/>
      <c r="T1300" s="74"/>
      <c r="U1300" s="74"/>
      <c r="V1300" s="74"/>
      <c r="W1300" s="74"/>
      <c r="X1300" s="74"/>
      <c r="Y1300" s="74"/>
      <c r="Z1300" s="74"/>
      <c r="AA1300" s="74"/>
      <c r="AB1300" s="74"/>
      <c r="AC1300" s="74"/>
      <c r="AD1300" s="74"/>
      <c r="AE1300" s="74"/>
      <c r="AF1300" s="74"/>
      <c r="AG1300" s="74"/>
    </row>
    <row r="1301" ht="22.5" customHeight="1">
      <c r="A1301" s="86">
        <v>45875.0</v>
      </c>
      <c r="B1301" s="63" t="s">
        <v>27</v>
      </c>
      <c r="C1301" s="79"/>
      <c r="D1301" s="80">
        <v>7095.0</v>
      </c>
      <c r="E1301" s="66" t="s">
        <v>28</v>
      </c>
      <c r="F1301" s="67" t="s">
        <v>1002</v>
      </c>
      <c r="G1301" s="68">
        <v>0.0</v>
      </c>
      <c r="H1301" s="69">
        <f t="shared" si="82"/>
        <v>0</v>
      </c>
      <c r="I1301" s="76" t="s">
        <v>383</v>
      </c>
      <c r="J1301" s="87" t="s">
        <v>1020</v>
      </c>
      <c r="K1301" s="95"/>
      <c r="L1301" s="95"/>
      <c r="M1301" s="95"/>
      <c r="N1301" s="72">
        <f t="shared" si="84"/>
        <v>0</v>
      </c>
      <c r="O1301" s="96"/>
      <c r="P1301" s="74"/>
      <c r="Q1301" s="74"/>
      <c r="R1301" s="74"/>
      <c r="S1301" s="74"/>
      <c r="T1301" s="74"/>
      <c r="U1301" s="74"/>
      <c r="V1301" s="74"/>
      <c r="W1301" s="74"/>
      <c r="X1301" s="74"/>
      <c r="Y1301" s="74"/>
      <c r="Z1301" s="74"/>
      <c r="AA1301" s="74"/>
      <c r="AB1301" s="74"/>
      <c r="AC1301" s="74"/>
      <c r="AD1301" s="74"/>
      <c r="AE1301" s="74"/>
      <c r="AF1301" s="74"/>
      <c r="AG1301" s="74"/>
    </row>
    <row r="1302" ht="22.5" customHeight="1">
      <c r="A1302" s="86">
        <v>45876.0</v>
      </c>
      <c r="B1302" s="63" t="s">
        <v>27</v>
      </c>
      <c r="C1302" s="79"/>
      <c r="D1302" s="80">
        <v>203731.96</v>
      </c>
      <c r="E1302" s="66" t="s">
        <v>28</v>
      </c>
      <c r="F1302" s="84" t="s">
        <v>800</v>
      </c>
      <c r="G1302" s="68">
        <v>20.0</v>
      </c>
      <c r="H1302" s="69">
        <f t="shared" si="82"/>
        <v>33955.32667</v>
      </c>
      <c r="I1302" s="76" t="s">
        <v>101</v>
      </c>
      <c r="J1302" s="136" t="s">
        <v>632</v>
      </c>
      <c r="K1302" s="95"/>
      <c r="L1302" s="95"/>
      <c r="M1302" s="95"/>
      <c r="N1302" s="72">
        <f t="shared" si="84"/>
        <v>0</v>
      </c>
      <c r="O1302" s="140" t="s">
        <v>1021</v>
      </c>
      <c r="P1302" s="74"/>
      <c r="Q1302" s="74"/>
      <c r="R1302" s="74"/>
      <c r="S1302" s="74"/>
      <c r="T1302" s="74"/>
      <c r="U1302" s="74"/>
      <c r="V1302" s="74"/>
      <c r="W1302" s="74"/>
      <c r="X1302" s="74"/>
      <c r="Y1302" s="74"/>
      <c r="Z1302" s="74"/>
      <c r="AA1302" s="74"/>
      <c r="AB1302" s="74"/>
      <c r="AC1302" s="74"/>
      <c r="AD1302" s="74"/>
      <c r="AE1302" s="74"/>
      <c r="AF1302" s="74"/>
      <c r="AG1302" s="74"/>
    </row>
    <row r="1303" ht="22.5" customHeight="1">
      <c r="A1303" s="86">
        <v>45876.0</v>
      </c>
      <c r="B1303" s="63" t="s">
        <v>27</v>
      </c>
      <c r="C1303" s="79"/>
      <c r="D1303" s="80">
        <v>9053.643</v>
      </c>
      <c r="E1303" s="66" t="s">
        <v>28</v>
      </c>
      <c r="F1303" s="84" t="s">
        <v>800</v>
      </c>
      <c r="G1303" s="68">
        <v>20.0</v>
      </c>
      <c r="H1303" s="69">
        <f t="shared" si="82"/>
        <v>1508.9405</v>
      </c>
      <c r="I1303" s="76" t="s">
        <v>101</v>
      </c>
      <c r="J1303" s="136" t="s">
        <v>973</v>
      </c>
      <c r="K1303" s="95"/>
      <c r="L1303" s="95"/>
      <c r="M1303" s="95"/>
      <c r="N1303" s="72">
        <f t="shared" si="84"/>
        <v>0</v>
      </c>
      <c r="O1303" s="140" t="s">
        <v>1022</v>
      </c>
      <c r="P1303" s="74"/>
      <c r="Q1303" s="74"/>
      <c r="R1303" s="74"/>
      <c r="S1303" s="74"/>
      <c r="T1303" s="74"/>
      <c r="U1303" s="74"/>
      <c r="V1303" s="74"/>
      <c r="W1303" s="74"/>
      <c r="X1303" s="74"/>
      <c r="Y1303" s="74"/>
      <c r="Z1303" s="74"/>
      <c r="AA1303" s="74"/>
      <c r="AB1303" s="74"/>
      <c r="AC1303" s="74"/>
      <c r="AD1303" s="74"/>
      <c r="AE1303" s="74"/>
      <c r="AF1303" s="74"/>
      <c r="AG1303" s="74"/>
    </row>
    <row r="1304" ht="22.5" customHeight="1">
      <c r="A1304" s="86">
        <v>45876.0</v>
      </c>
      <c r="B1304" s="63" t="s">
        <v>27</v>
      </c>
      <c r="C1304" s="79"/>
      <c r="D1304" s="80">
        <v>6885.36</v>
      </c>
      <c r="E1304" s="66" t="s">
        <v>28</v>
      </c>
      <c r="F1304" s="84" t="s">
        <v>800</v>
      </c>
      <c r="G1304" s="68">
        <v>20.0</v>
      </c>
      <c r="H1304" s="69">
        <f t="shared" si="82"/>
        <v>1147.56</v>
      </c>
      <c r="I1304" s="76" t="s">
        <v>101</v>
      </c>
      <c r="J1304" s="136" t="s">
        <v>976</v>
      </c>
      <c r="K1304" s="95"/>
      <c r="L1304" s="95"/>
      <c r="M1304" s="95"/>
      <c r="N1304" s="72">
        <f t="shared" si="84"/>
        <v>0</v>
      </c>
      <c r="O1304" s="140" t="s">
        <v>1023</v>
      </c>
      <c r="P1304" s="74"/>
      <c r="Q1304" s="74"/>
      <c r="R1304" s="74"/>
      <c r="S1304" s="74"/>
      <c r="T1304" s="74"/>
      <c r="U1304" s="74"/>
      <c r="V1304" s="74"/>
      <c r="W1304" s="74"/>
      <c r="X1304" s="74"/>
      <c r="Y1304" s="74"/>
      <c r="Z1304" s="74"/>
      <c r="AA1304" s="74"/>
      <c r="AB1304" s="74"/>
      <c r="AC1304" s="74"/>
      <c r="AD1304" s="74"/>
      <c r="AE1304" s="74"/>
      <c r="AF1304" s="74"/>
      <c r="AG1304" s="74"/>
    </row>
    <row r="1305" ht="22.5" customHeight="1">
      <c r="A1305" s="86">
        <v>45876.0</v>
      </c>
      <c r="B1305" s="63" t="s">
        <v>27</v>
      </c>
      <c r="C1305" s="79"/>
      <c r="D1305" s="80">
        <v>182281.0</v>
      </c>
      <c r="E1305" s="66" t="s">
        <v>28</v>
      </c>
      <c r="F1305" s="84" t="s">
        <v>800</v>
      </c>
      <c r="G1305" s="68">
        <v>20.0</v>
      </c>
      <c r="H1305" s="69">
        <f t="shared" si="82"/>
        <v>30380.16667</v>
      </c>
      <c r="I1305" s="76" t="s">
        <v>101</v>
      </c>
      <c r="J1305" s="136" t="s">
        <v>631</v>
      </c>
      <c r="K1305" s="95"/>
      <c r="L1305" s="95"/>
      <c r="M1305" s="95"/>
      <c r="N1305" s="72">
        <f t="shared" si="84"/>
        <v>0</v>
      </c>
      <c r="O1305" s="140" t="s">
        <v>1024</v>
      </c>
      <c r="P1305" s="74"/>
      <c r="Q1305" s="74"/>
      <c r="R1305" s="74"/>
      <c r="S1305" s="74"/>
      <c r="T1305" s="74"/>
      <c r="U1305" s="74"/>
      <c r="V1305" s="74"/>
      <c r="W1305" s="74"/>
      <c r="X1305" s="74"/>
      <c r="Y1305" s="74"/>
      <c r="Z1305" s="74"/>
      <c r="AA1305" s="74"/>
      <c r="AB1305" s="74"/>
      <c r="AC1305" s="74"/>
      <c r="AD1305" s="74"/>
      <c r="AE1305" s="74"/>
      <c r="AF1305" s="74"/>
      <c r="AG1305" s="74"/>
    </row>
    <row r="1306" ht="22.5" customHeight="1">
      <c r="A1306" s="86">
        <v>45876.0</v>
      </c>
      <c r="B1306" s="63" t="s">
        <v>27</v>
      </c>
      <c r="C1306" s="79"/>
      <c r="D1306" s="80">
        <v>343837.36</v>
      </c>
      <c r="E1306" s="66" t="s">
        <v>28</v>
      </c>
      <c r="F1306" s="84" t="s">
        <v>800</v>
      </c>
      <c r="G1306" s="68">
        <v>20.0</v>
      </c>
      <c r="H1306" s="69">
        <f t="shared" si="82"/>
        <v>57306.22667</v>
      </c>
      <c r="I1306" s="76" t="s">
        <v>101</v>
      </c>
      <c r="J1306" s="136" t="s">
        <v>670</v>
      </c>
      <c r="K1306" s="95"/>
      <c r="L1306" s="95"/>
      <c r="M1306" s="95"/>
      <c r="N1306" s="72">
        <f t="shared" si="84"/>
        <v>0</v>
      </c>
      <c r="O1306" s="140" t="s">
        <v>1025</v>
      </c>
      <c r="P1306" s="74"/>
      <c r="Q1306" s="74"/>
      <c r="R1306" s="74"/>
      <c r="S1306" s="74"/>
      <c r="T1306" s="74"/>
      <c r="U1306" s="74"/>
      <c r="V1306" s="74"/>
      <c r="W1306" s="74"/>
      <c r="X1306" s="74"/>
      <c r="Y1306" s="74"/>
      <c r="Z1306" s="74"/>
      <c r="AA1306" s="74"/>
      <c r="AB1306" s="74"/>
      <c r="AC1306" s="74"/>
      <c r="AD1306" s="74"/>
      <c r="AE1306" s="74"/>
      <c r="AF1306" s="74"/>
      <c r="AG1306" s="74"/>
    </row>
    <row r="1307" ht="22.5" customHeight="1">
      <c r="A1307" s="86">
        <v>45876.0</v>
      </c>
      <c r="B1307" s="63" t="s">
        <v>27</v>
      </c>
      <c r="C1307" s="79"/>
      <c r="D1307" s="80">
        <v>30536.25</v>
      </c>
      <c r="E1307" s="66" t="s">
        <v>28</v>
      </c>
      <c r="F1307" s="84" t="s">
        <v>800</v>
      </c>
      <c r="G1307" s="68">
        <v>5.0</v>
      </c>
      <c r="H1307" s="69">
        <f t="shared" si="82"/>
        <v>1454.107143</v>
      </c>
      <c r="I1307" s="76" t="s">
        <v>101</v>
      </c>
      <c r="J1307" s="136" t="s">
        <v>671</v>
      </c>
      <c r="K1307" s="95"/>
      <c r="L1307" s="95"/>
      <c r="M1307" s="95"/>
      <c r="N1307" s="72">
        <f t="shared" si="84"/>
        <v>0</v>
      </c>
      <c r="O1307" s="140" t="s">
        <v>1026</v>
      </c>
      <c r="P1307" s="74"/>
      <c r="Q1307" s="74"/>
      <c r="R1307" s="74"/>
      <c r="S1307" s="74"/>
      <c r="T1307" s="74"/>
      <c r="U1307" s="74"/>
      <c r="V1307" s="74"/>
      <c r="W1307" s="74"/>
      <c r="X1307" s="74"/>
      <c r="Y1307" s="74"/>
      <c r="Z1307" s="74"/>
      <c r="AA1307" s="74"/>
      <c r="AB1307" s="74"/>
      <c r="AC1307" s="74"/>
      <c r="AD1307" s="74"/>
      <c r="AE1307" s="74"/>
      <c r="AF1307" s="74"/>
      <c r="AG1307" s="74"/>
    </row>
    <row r="1308" ht="22.5" customHeight="1">
      <c r="A1308" s="86">
        <v>45876.0</v>
      </c>
      <c r="B1308" s="63" t="s">
        <v>27</v>
      </c>
      <c r="C1308" s="79"/>
      <c r="D1308" s="80">
        <v>558279.0</v>
      </c>
      <c r="E1308" s="66" t="s">
        <v>28</v>
      </c>
      <c r="F1308" s="84" t="s">
        <v>800</v>
      </c>
      <c r="G1308" s="68">
        <v>20.0</v>
      </c>
      <c r="H1308" s="69">
        <f t="shared" si="82"/>
        <v>93046.5</v>
      </c>
      <c r="I1308" s="76" t="s">
        <v>101</v>
      </c>
      <c r="J1308" s="136" t="s">
        <v>597</v>
      </c>
      <c r="K1308" s="95"/>
      <c r="L1308" s="95"/>
      <c r="M1308" s="95"/>
      <c r="N1308" s="72">
        <f t="shared" si="84"/>
        <v>0</v>
      </c>
      <c r="O1308" s="140" t="s">
        <v>1027</v>
      </c>
      <c r="P1308" s="74"/>
      <c r="Q1308" s="74"/>
      <c r="R1308" s="74"/>
      <c r="S1308" s="74"/>
      <c r="T1308" s="74"/>
      <c r="U1308" s="74"/>
      <c r="V1308" s="74"/>
      <c r="W1308" s="74"/>
      <c r="X1308" s="74"/>
      <c r="Y1308" s="74"/>
      <c r="Z1308" s="74"/>
      <c r="AA1308" s="74"/>
      <c r="AB1308" s="74"/>
      <c r="AC1308" s="74"/>
      <c r="AD1308" s="74"/>
      <c r="AE1308" s="74"/>
      <c r="AF1308" s="74"/>
      <c r="AG1308" s="74"/>
    </row>
    <row r="1309" ht="22.5" customHeight="1">
      <c r="A1309" s="86">
        <v>45876.0</v>
      </c>
      <c r="B1309" s="63" t="s">
        <v>27</v>
      </c>
      <c r="C1309" s="79"/>
      <c r="D1309" s="80">
        <v>172419.3</v>
      </c>
      <c r="E1309" s="66" t="s">
        <v>28</v>
      </c>
      <c r="F1309" s="84" t="s">
        <v>800</v>
      </c>
      <c r="G1309" s="68">
        <v>20.0</v>
      </c>
      <c r="H1309" s="69">
        <f t="shared" si="82"/>
        <v>28736.55</v>
      </c>
      <c r="I1309" s="76" t="s">
        <v>101</v>
      </c>
      <c r="J1309" s="136" t="s">
        <v>643</v>
      </c>
      <c r="K1309" s="95"/>
      <c r="L1309" s="95"/>
      <c r="M1309" s="95"/>
      <c r="N1309" s="72">
        <f t="shared" si="84"/>
        <v>0</v>
      </c>
      <c r="O1309" s="140" t="s">
        <v>1028</v>
      </c>
      <c r="P1309" s="74"/>
      <c r="Q1309" s="74"/>
      <c r="R1309" s="74"/>
      <c r="S1309" s="74"/>
      <c r="T1309" s="74"/>
      <c r="U1309" s="74"/>
      <c r="V1309" s="74"/>
      <c r="W1309" s="74"/>
      <c r="X1309" s="74"/>
      <c r="Y1309" s="74"/>
      <c r="Z1309" s="74"/>
      <c r="AA1309" s="74"/>
      <c r="AB1309" s="74"/>
      <c r="AC1309" s="74"/>
      <c r="AD1309" s="74"/>
      <c r="AE1309" s="74"/>
      <c r="AF1309" s="74"/>
      <c r="AG1309" s="74"/>
    </row>
    <row r="1310" ht="22.5" customHeight="1">
      <c r="A1310" s="86">
        <v>45876.0</v>
      </c>
      <c r="B1310" s="63" t="s">
        <v>27</v>
      </c>
      <c r="C1310" s="79"/>
      <c r="D1310" s="80">
        <v>296695.8</v>
      </c>
      <c r="E1310" s="66" t="s">
        <v>28</v>
      </c>
      <c r="F1310" s="84" t="s">
        <v>800</v>
      </c>
      <c r="G1310" s="68">
        <v>20.0</v>
      </c>
      <c r="H1310" s="69">
        <f t="shared" si="82"/>
        <v>49449.3</v>
      </c>
      <c r="I1310" s="76" t="s">
        <v>101</v>
      </c>
      <c r="J1310" s="136" t="s">
        <v>820</v>
      </c>
      <c r="K1310" s="95"/>
      <c r="L1310" s="95"/>
      <c r="M1310" s="95"/>
      <c r="N1310" s="72">
        <f t="shared" si="84"/>
        <v>0</v>
      </c>
      <c r="O1310" s="140" t="s">
        <v>1029</v>
      </c>
      <c r="P1310" s="74"/>
      <c r="Q1310" s="74"/>
      <c r="R1310" s="74"/>
      <c r="S1310" s="74"/>
      <c r="T1310" s="74"/>
      <c r="U1310" s="74"/>
      <c r="V1310" s="74"/>
      <c r="W1310" s="74"/>
      <c r="X1310" s="74"/>
      <c r="Y1310" s="74"/>
      <c r="Z1310" s="74"/>
      <c r="AA1310" s="74"/>
      <c r="AB1310" s="74"/>
      <c r="AC1310" s="74"/>
      <c r="AD1310" s="74"/>
      <c r="AE1310" s="74"/>
      <c r="AF1310" s="74"/>
      <c r="AG1310" s="74"/>
    </row>
    <row r="1311" ht="22.5" customHeight="1">
      <c r="A1311" s="86">
        <v>45876.0</v>
      </c>
      <c r="B1311" s="63" t="s">
        <v>27</v>
      </c>
      <c r="C1311" s="79"/>
      <c r="D1311" s="80">
        <v>44105.4</v>
      </c>
      <c r="E1311" s="66" t="s">
        <v>28</v>
      </c>
      <c r="F1311" s="84" t="s">
        <v>800</v>
      </c>
      <c r="G1311" s="68">
        <v>20.0</v>
      </c>
      <c r="H1311" s="69">
        <f t="shared" si="82"/>
        <v>7350.9</v>
      </c>
      <c r="I1311" s="76" t="s">
        <v>101</v>
      </c>
      <c r="J1311" s="136" t="s">
        <v>1030</v>
      </c>
      <c r="K1311" s="95"/>
      <c r="L1311" s="95"/>
      <c r="M1311" s="95"/>
      <c r="N1311" s="72">
        <f t="shared" si="84"/>
        <v>0</v>
      </c>
      <c r="O1311" s="140" t="s">
        <v>1031</v>
      </c>
      <c r="P1311" s="74"/>
      <c r="Q1311" s="74"/>
      <c r="R1311" s="74"/>
      <c r="S1311" s="74"/>
      <c r="T1311" s="74"/>
      <c r="U1311" s="74"/>
      <c r="V1311" s="74"/>
      <c r="W1311" s="74"/>
      <c r="X1311" s="74"/>
      <c r="Y1311" s="74"/>
      <c r="Z1311" s="74"/>
      <c r="AA1311" s="74"/>
      <c r="AB1311" s="74"/>
      <c r="AC1311" s="74"/>
      <c r="AD1311" s="74"/>
      <c r="AE1311" s="74"/>
      <c r="AF1311" s="74"/>
      <c r="AG1311" s="74"/>
    </row>
    <row r="1312" ht="22.5" customHeight="1">
      <c r="A1312" s="86">
        <v>45876.0</v>
      </c>
      <c r="B1312" s="63" t="s">
        <v>27</v>
      </c>
      <c r="C1312" s="79"/>
      <c r="D1312" s="80">
        <v>53078.24</v>
      </c>
      <c r="E1312" s="66" t="s">
        <v>28</v>
      </c>
      <c r="F1312" s="84" t="s">
        <v>800</v>
      </c>
      <c r="G1312" s="68">
        <v>5.0</v>
      </c>
      <c r="H1312" s="69">
        <f t="shared" si="82"/>
        <v>2527.535238</v>
      </c>
      <c r="I1312" s="76" t="s">
        <v>101</v>
      </c>
      <c r="J1312" s="136" t="s">
        <v>1032</v>
      </c>
      <c r="K1312" s="95"/>
      <c r="L1312" s="95"/>
      <c r="M1312" s="95"/>
      <c r="N1312" s="72">
        <f t="shared" si="84"/>
        <v>0</v>
      </c>
      <c r="O1312" s="140" t="s">
        <v>1033</v>
      </c>
      <c r="P1312" s="74"/>
      <c r="Q1312" s="74"/>
      <c r="R1312" s="74"/>
      <c r="S1312" s="74"/>
      <c r="T1312" s="74"/>
      <c r="U1312" s="74"/>
      <c r="V1312" s="74"/>
      <c r="W1312" s="74"/>
      <c r="X1312" s="74"/>
      <c r="Y1312" s="74"/>
      <c r="Z1312" s="74"/>
      <c r="AA1312" s="74"/>
      <c r="AB1312" s="74"/>
      <c r="AC1312" s="74"/>
      <c r="AD1312" s="74"/>
      <c r="AE1312" s="74"/>
      <c r="AF1312" s="74"/>
      <c r="AG1312" s="74"/>
    </row>
    <row r="1313" ht="22.5" customHeight="1">
      <c r="A1313" s="86">
        <v>45876.0</v>
      </c>
      <c r="B1313" s="63" t="s">
        <v>27</v>
      </c>
      <c r="C1313" s="79"/>
      <c r="D1313" s="80">
        <v>77438.1</v>
      </c>
      <c r="E1313" s="66" t="s">
        <v>28</v>
      </c>
      <c r="F1313" s="84" t="s">
        <v>800</v>
      </c>
      <c r="G1313" s="68">
        <v>5.0</v>
      </c>
      <c r="H1313" s="69">
        <f t="shared" si="82"/>
        <v>3687.528571</v>
      </c>
      <c r="I1313" s="76" t="s">
        <v>101</v>
      </c>
      <c r="J1313" s="136" t="s">
        <v>818</v>
      </c>
      <c r="K1313" s="95"/>
      <c r="L1313" s="95"/>
      <c r="M1313" s="95"/>
      <c r="N1313" s="72">
        <f t="shared" si="84"/>
        <v>0</v>
      </c>
      <c r="O1313" s="140" t="s">
        <v>1034</v>
      </c>
      <c r="P1313" s="74"/>
      <c r="Q1313" s="74"/>
      <c r="R1313" s="74"/>
      <c r="S1313" s="74"/>
      <c r="T1313" s="74"/>
      <c r="U1313" s="74"/>
      <c r="V1313" s="74"/>
      <c r="W1313" s="74"/>
      <c r="X1313" s="74"/>
      <c r="Y1313" s="74"/>
      <c r="Z1313" s="74"/>
      <c r="AA1313" s="74"/>
      <c r="AB1313" s="74"/>
      <c r="AC1313" s="74"/>
      <c r="AD1313" s="74"/>
      <c r="AE1313" s="74"/>
      <c r="AF1313" s="74"/>
      <c r="AG1313" s="74"/>
    </row>
    <row r="1314" ht="22.5" customHeight="1">
      <c r="A1314" s="86">
        <v>45876.0</v>
      </c>
      <c r="B1314" s="63" t="s">
        <v>27</v>
      </c>
      <c r="C1314" s="79"/>
      <c r="D1314" s="80">
        <v>134000.0</v>
      </c>
      <c r="E1314" s="66" t="s">
        <v>28</v>
      </c>
      <c r="F1314" s="84" t="s">
        <v>800</v>
      </c>
      <c r="G1314" s="69">
        <v>0.0</v>
      </c>
      <c r="H1314" s="69">
        <f t="shared" si="82"/>
        <v>0</v>
      </c>
      <c r="I1314" s="76" t="s">
        <v>286</v>
      </c>
      <c r="J1314" s="100" t="s">
        <v>454</v>
      </c>
      <c r="K1314" s="95"/>
      <c r="L1314" s="95"/>
      <c r="M1314" s="95"/>
      <c r="N1314" s="72">
        <f t="shared" si="84"/>
        <v>0</v>
      </c>
      <c r="O1314" s="140" t="s">
        <v>1035</v>
      </c>
      <c r="P1314" s="74"/>
      <c r="Q1314" s="74"/>
      <c r="R1314" s="74"/>
      <c r="S1314" s="74"/>
      <c r="T1314" s="74"/>
      <c r="U1314" s="74"/>
      <c r="V1314" s="74"/>
      <c r="W1314" s="74"/>
      <c r="X1314" s="74"/>
      <c r="Y1314" s="74"/>
      <c r="Z1314" s="74"/>
      <c r="AA1314" s="74"/>
      <c r="AB1314" s="74"/>
      <c r="AC1314" s="74"/>
      <c r="AD1314" s="74"/>
      <c r="AE1314" s="74"/>
      <c r="AF1314" s="74"/>
      <c r="AG1314" s="74"/>
    </row>
    <row r="1315" ht="22.5" customHeight="1">
      <c r="A1315" s="86">
        <v>45876.0</v>
      </c>
      <c r="B1315" s="63" t="s">
        <v>27</v>
      </c>
      <c r="C1315" s="79"/>
      <c r="D1315" s="80">
        <v>319713.64</v>
      </c>
      <c r="E1315" s="66" t="s">
        <v>28</v>
      </c>
      <c r="F1315" s="84" t="s">
        <v>800</v>
      </c>
      <c r="G1315" s="68">
        <v>20.0</v>
      </c>
      <c r="H1315" s="69">
        <f t="shared" si="82"/>
        <v>53285.60667</v>
      </c>
      <c r="I1315" s="76" t="s">
        <v>44</v>
      </c>
      <c r="J1315" s="98" t="s">
        <v>134</v>
      </c>
      <c r="K1315" s="95"/>
      <c r="L1315" s="95"/>
      <c r="M1315" s="95"/>
      <c r="N1315" s="72">
        <f t="shared" si="84"/>
        <v>0</v>
      </c>
      <c r="O1315" s="140" t="s">
        <v>1036</v>
      </c>
      <c r="P1315" s="74"/>
      <c r="Q1315" s="74"/>
      <c r="R1315" s="74"/>
      <c r="S1315" s="74"/>
      <c r="T1315" s="74"/>
      <c r="U1315" s="74"/>
      <c r="V1315" s="74"/>
      <c r="W1315" s="74"/>
      <c r="X1315" s="74"/>
      <c r="Y1315" s="74"/>
      <c r="Z1315" s="74"/>
      <c r="AA1315" s="74"/>
      <c r="AB1315" s="74"/>
      <c r="AC1315" s="74"/>
      <c r="AD1315" s="74"/>
      <c r="AE1315" s="74"/>
      <c r="AF1315" s="74"/>
      <c r="AG1315" s="74"/>
    </row>
    <row r="1316" ht="22.5" customHeight="1">
      <c r="A1316" s="86">
        <v>45876.0</v>
      </c>
      <c r="B1316" s="63" t="s">
        <v>27</v>
      </c>
      <c r="C1316" s="79"/>
      <c r="D1316" s="80">
        <v>550000.0</v>
      </c>
      <c r="E1316" s="66" t="s">
        <v>28</v>
      </c>
      <c r="F1316" s="84" t="s">
        <v>941</v>
      </c>
      <c r="G1316" s="68">
        <v>0.0</v>
      </c>
      <c r="H1316" s="69">
        <f t="shared" si="82"/>
        <v>0</v>
      </c>
      <c r="I1316" s="76" t="s">
        <v>504</v>
      </c>
      <c r="J1316" s="87" t="s">
        <v>505</v>
      </c>
      <c r="K1316" s="95"/>
      <c r="L1316" s="95"/>
      <c r="M1316" s="95"/>
      <c r="N1316" s="72">
        <f t="shared" si="84"/>
        <v>0</v>
      </c>
      <c r="O1316" s="96"/>
      <c r="P1316" s="74"/>
      <c r="Q1316" s="74"/>
      <c r="R1316" s="74"/>
      <c r="S1316" s="74"/>
      <c r="T1316" s="74"/>
      <c r="U1316" s="74"/>
      <c r="V1316" s="74"/>
      <c r="W1316" s="74"/>
      <c r="X1316" s="74"/>
      <c r="Y1316" s="74"/>
      <c r="Z1316" s="74"/>
      <c r="AA1316" s="74"/>
      <c r="AB1316" s="74"/>
      <c r="AC1316" s="74"/>
      <c r="AD1316" s="74"/>
      <c r="AE1316" s="74"/>
      <c r="AF1316" s="74"/>
      <c r="AG1316" s="74"/>
    </row>
    <row r="1317" ht="22.5" customHeight="1">
      <c r="A1317" s="86">
        <v>45877.0</v>
      </c>
      <c r="B1317" s="63" t="s">
        <v>27</v>
      </c>
      <c r="C1317" s="80">
        <v>388500.0</v>
      </c>
      <c r="D1317" s="79"/>
      <c r="E1317" s="66" t="s">
        <v>28</v>
      </c>
      <c r="F1317" s="84" t="s">
        <v>674</v>
      </c>
      <c r="G1317" s="68">
        <v>20.0</v>
      </c>
      <c r="H1317" s="69">
        <f t="shared" si="82"/>
        <v>64750</v>
      </c>
      <c r="I1317" s="76" t="s">
        <v>37</v>
      </c>
      <c r="J1317" s="87" t="s">
        <v>539</v>
      </c>
      <c r="K1317" s="82" t="s">
        <v>801</v>
      </c>
      <c r="L1317" s="82">
        <v>136.0</v>
      </c>
      <c r="M1317" s="128">
        <v>45758.0</v>
      </c>
      <c r="N1317" s="72">
        <f t="shared" si="84"/>
        <v>119</v>
      </c>
      <c r="O1317" s="96"/>
      <c r="P1317" s="74"/>
      <c r="Q1317" s="74"/>
      <c r="R1317" s="74"/>
      <c r="S1317" s="74"/>
      <c r="T1317" s="74"/>
      <c r="U1317" s="74"/>
      <c r="V1317" s="74"/>
      <c r="W1317" s="74"/>
      <c r="X1317" s="74"/>
      <c r="Y1317" s="74"/>
      <c r="Z1317" s="74"/>
      <c r="AA1317" s="74"/>
      <c r="AB1317" s="74"/>
      <c r="AC1317" s="74"/>
      <c r="AD1317" s="74"/>
      <c r="AE1317" s="74"/>
      <c r="AF1317" s="74"/>
      <c r="AG1317" s="74"/>
    </row>
    <row r="1318" ht="22.5" customHeight="1">
      <c r="A1318" s="86">
        <v>45877.0</v>
      </c>
      <c r="B1318" s="63" t="s">
        <v>27</v>
      </c>
      <c r="C1318" s="79"/>
      <c r="D1318" s="80">
        <f>933388+511.68+24038</f>
        <v>957937.68</v>
      </c>
      <c r="E1318" s="66" t="s">
        <v>28</v>
      </c>
      <c r="F1318" s="84" t="s">
        <v>941</v>
      </c>
      <c r="G1318" s="68">
        <v>0.0</v>
      </c>
      <c r="H1318" s="69">
        <f t="shared" si="82"/>
        <v>0</v>
      </c>
      <c r="I1318" s="76" t="s">
        <v>68</v>
      </c>
      <c r="J1318" s="87" t="s">
        <v>1037</v>
      </c>
      <c r="K1318" s="95"/>
      <c r="L1318" s="95"/>
      <c r="M1318" s="95"/>
      <c r="N1318" s="72">
        <f t="shared" si="84"/>
        <v>0</v>
      </c>
      <c r="O1318" s="96"/>
      <c r="P1318" s="74"/>
      <c r="Q1318" s="74"/>
      <c r="R1318" s="74"/>
      <c r="S1318" s="74"/>
      <c r="T1318" s="74"/>
      <c r="U1318" s="74"/>
      <c r="V1318" s="74"/>
      <c r="W1318" s="74"/>
      <c r="X1318" s="74"/>
      <c r="Y1318" s="74"/>
      <c r="Z1318" s="74"/>
      <c r="AA1318" s="74"/>
      <c r="AB1318" s="74"/>
      <c r="AC1318" s="74"/>
      <c r="AD1318" s="74"/>
      <c r="AE1318" s="74"/>
      <c r="AF1318" s="74"/>
      <c r="AG1318" s="74"/>
    </row>
    <row r="1319" ht="22.5" customHeight="1">
      <c r="A1319" s="86">
        <v>45880.0</v>
      </c>
      <c r="B1319" s="63" t="s">
        <v>27</v>
      </c>
      <c r="C1319" s="79"/>
      <c r="D1319" s="80">
        <v>369843.0</v>
      </c>
      <c r="E1319" s="66" t="s">
        <v>28</v>
      </c>
      <c r="F1319" s="84" t="s">
        <v>941</v>
      </c>
      <c r="G1319" s="68">
        <v>0.0</v>
      </c>
      <c r="H1319" s="69">
        <f t="shared" si="82"/>
        <v>0</v>
      </c>
      <c r="I1319" s="76" t="s">
        <v>68</v>
      </c>
      <c r="J1319" s="87" t="s">
        <v>954</v>
      </c>
      <c r="K1319" s="95"/>
      <c r="L1319" s="95"/>
      <c r="M1319" s="95"/>
      <c r="N1319" s="72">
        <f t="shared" si="84"/>
        <v>0</v>
      </c>
      <c r="O1319" s="140" t="s">
        <v>1038</v>
      </c>
      <c r="P1319" s="74"/>
      <c r="Q1319" s="74"/>
      <c r="R1319" s="74"/>
      <c r="S1319" s="74"/>
      <c r="T1319" s="74"/>
      <c r="U1319" s="74"/>
      <c r="V1319" s="74"/>
      <c r="W1319" s="74"/>
      <c r="X1319" s="74"/>
      <c r="Y1319" s="74"/>
      <c r="Z1319" s="74"/>
      <c r="AA1319" s="74"/>
      <c r="AB1319" s="74"/>
      <c r="AC1319" s="74"/>
      <c r="AD1319" s="74"/>
      <c r="AE1319" s="74"/>
      <c r="AF1319" s="74"/>
      <c r="AG1319" s="74"/>
    </row>
    <row r="1320" ht="22.5" customHeight="1">
      <c r="A1320" s="86">
        <v>45880.0</v>
      </c>
      <c r="B1320" s="63" t="s">
        <v>27</v>
      </c>
      <c r="C1320" s="79"/>
      <c r="D1320" s="80">
        <v>95745.0</v>
      </c>
      <c r="E1320" s="66" t="s">
        <v>28</v>
      </c>
      <c r="F1320" s="84" t="s">
        <v>941</v>
      </c>
      <c r="G1320" s="68">
        <v>0.0</v>
      </c>
      <c r="H1320" s="69">
        <f t="shared" si="82"/>
        <v>0</v>
      </c>
      <c r="I1320" s="76" t="s">
        <v>61</v>
      </c>
      <c r="J1320" s="87" t="s">
        <v>901</v>
      </c>
      <c r="K1320" s="95"/>
      <c r="L1320" s="95"/>
      <c r="M1320" s="95"/>
      <c r="N1320" s="72">
        <f t="shared" si="84"/>
        <v>0</v>
      </c>
      <c r="O1320" s="83" t="s">
        <v>1039</v>
      </c>
      <c r="P1320" s="74"/>
      <c r="Q1320" s="74"/>
      <c r="R1320" s="74"/>
      <c r="S1320" s="74"/>
      <c r="T1320" s="74"/>
      <c r="U1320" s="74"/>
      <c r="V1320" s="74"/>
      <c r="W1320" s="74"/>
      <c r="X1320" s="74"/>
      <c r="Y1320" s="74"/>
      <c r="Z1320" s="74"/>
      <c r="AA1320" s="74"/>
      <c r="AB1320" s="74"/>
      <c r="AC1320" s="74"/>
      <c r="AD1320" s="74"/>
      <c r="AE1320" s="74"/>
      <c r="AF1320" s="74"/>
      <c r="AG1320" s="74"/>
    </row>
    <row r="1321" ht="22.5" customHeight="1">
      <c r="A1321" s="86">
        <v>45880.0</v>
      </c>
      <c r="B1321" s="63" t="s">
        <v>27</v>
      </c>
      <c r="C1321" s="79"/>
      <c r="D1321" s="80">
        <v>53191.0</v>
      </c>
      <c r="E1321" s="66" t="s">
        <v>28</v>
      </c>
      <c r="F1321" s="84" t="s">
        <v>941</v>
      </c>
      <c r="G1321" s="68">
        <v>0.0</v>
      </c>
      <c r="H1321" s="69">
        <f t="shared" si="82"/>
        <v>0</v>
      </c>
      <c r="I1321" s="76" t="s">
        <v>61</v>
      </c>
      <c r="J1321" s="87" t="s">
        <v>901</v>
      </c>
      <c r="K1321" s="95"/>
      <c r="L1321" s="95"/>
      <c r="M1321" s="95"/>
      <c r="N1321" s="72">
        <f t="shared" si="84"/>
        <v>0</v>
      </c>
      <c r="O1321" s="83" t="s">
        <v>1040</v>
      </c>
      <c r="P1321" s="74"/>
      <c r="Q1321" s="74"/>
      <c r="R1321" s="74"/>
      <c r="S1321" s="74"/>
      <c r="T1321" s="74"/>
      <c r="U1321" s="74"/>
      <c r="V1321" s="74"/>
      <c r="W1321" s="74"/>
      <c r="X1321" s="74"/>
      <c r="Y1321" s="74"/>
      <c r="Z1321" s="74"/>
      <c r="AA1321" s="74"/>
      <c r="AB1321" s="74"/>
      <c r="AC1321" s="74"/>
      <c r="AD1321" s="74"/>
      <c r="AE1321" s="74"/>
      <c r="AF1321" s="74"/>
      <c r="AG1321" s="74"/>
    </row>
    <row r="1322" ht="22.5" customHeight="1">
      <c r="A1322" s="86">
        <v>45880.0</v>
      </c>
      <c r="B1322" s="63" t="s">
        <v>27</v>
      </c>
      <c r="C1322" s="79"/>
      <c r="D1322" s="80">
        <v>22516.4</v>
      </c>
      <c r="E1322" s="66" t="s">
        <v>28</v>
      </c>
      <c r="F1322" s="84" t="s">
        <v>941</v>
      </c>
      <c r="G1322" s="68">
        <v>0.0</v>
      </c>
      <c r="H1322" s="69">
        <f t="shared" si="82"/>
        <v>0</v>
      </c>
      <c r="I1322" s="76" t="s">
        <v>495</v>
      </c>
      <c r="J1322" s="87" t="s">
        <v>745</v>
      </c>
      <c r="K1322" s="95"/>
      <c r="L1322" s="95"/>
      <c r="M1322" s="95"/>
      <c r="N1322" s="72">
        <f t="shared" si="84"/>
        <v>0</v>
      </c>
      <c r="O1322" s="140" t="s">
        <v>1041</v>
      </c>
      <c r="P1322" s="74"/>
      <c r="Q1322" s="74"/>
      <c r="R1322" s="74"/>
      <c r="S1322" s="74"/>
      <c r="T1322" s="74"/>
      <c r="U1322" s="74"/>
      <c r="V1322" s="74"/>
      <c r="W1322" s="74"/>
      <c r="X1322" s="74"/>
      <c r="Y1322" s="74"/>
      <c r="Z1322" s="74"/>
      <c r="AA1322" s="74"/>
      <c r="AB1322" s="74"/>
      <c r="AC1322" s="74"/>
      <c r="AD1322" s="74"/>
      <c r="AE1322" s="74"/>
      <c r="AF1322" s="74"/>
      <c r="AG1322" s="74"/>
    </row>
    <row r="1323" ht="22.5" customHeight="1">
      <c r="A1323" s="86">
        <v>45880.0</v>
      </c>
      <c r="B1323" s="63" t="s">
        <v>27</v>
      </c>
      <c r="C1323" s="79"/>
      <c r="D1323" s="80">
        <v>8513.03</v>
      </c>
      <c r="E1323" s="66" t="s">
        <v>28</v>
      </c>
      <c r="F1323" s="84" t="s">
        <v>941</v>
      </c>
      <c r="G1323" s="68">
        <v>0.0</v>
      </c>
      <c r="H1323" s="69">
        <f t="shared" si="82"/>
        <v>0</v>
      </c>
      <c r="I1323" s="76" t="s">
        <v>495</v>
      </c>
      <c r="J1323" s="87" t="s">
        <v>745</v>
      </c>
      <c r="K1323" s="95"/>
      <c r="L1323" s="95"/>
      <c r="M1323" s="95"/>
      <c r="N1323" s="72">
        <f t="shared" si="84"/>
        <v>0</v>
      </c>
      <c r="O1323" s="140" t="s">
        <v>1042</v>
      </c>
      <c r="P1323" s="74"/>
      <c r="Q1323" s="74"/>
      <c r="R1323" s="74"/>
      <c r="S1323" s="74"/>
      <c r="T1323" s="74"/>
      <c r="U1323" s="74"/>
      <c r="V1323" s="74"/>
      <c r="W1323" s="74"/>
      <c r="X1323" s="74"/>
      <c r="Y1323" s="74"/>
      <c r="Z1323" s="74"/>
      <c r="AA1323" s="74"/>
      <c r="AB1323" s="74"/>
      <c r="AC1323" s="74"/>
      <c r="AD1323" s="74"/>
      <c r="AE1323" s="74"/>
      <c r="AF1323" s="74"/>
      <c r="AG1323" s="74"/>
    </row>
    <row r="1324" ht="22.5" customHeight="1">
      <c r="A1324" s="86">
        <v>45880.0</v>
      </c>
      <c r="B1324" s="63" t="s">
        <v>27</v>
      </c>
      <c r="C1324" s="79"/>
      <c r="D1324" s="80">
        <v>217200.0</v>
      </c>
      <c r="E1324" s="66" t="s">
        <v>28</v>
      </c>
      <c r="F1324" s="84" t="s">
        <v>1002</v>
      </c>
      <c r="G1324" s="68">
        <v>0.0</v>
      </c>
      <c r="H1324" s="69">
        <f t="shared" si="82"/>
        <v>0</v>
      </c>
      <c r="I1324" s="76" t="s">
        <v>495</v>
      </c>
      <c r="J1324" s="87" t="s">
        <v>691</v>
      </c>
      <c r="K1324" s="95"/>
      <c r="L1324" s="95"/>
      <c r="M1324" s="95"/>
      <c r="N1324" s="72">
        <f t="shared" si="84"/>
        <v>0</v>
      </c>
      <c r="O1324" s="96"/>
      <c r="P1324" s="74"/>
      <c r="Q1324" s="74"/>
      <c r="R1324" s="74"/>
      <c r="S1324" s="74"/>
      <c r="T1324" s="74"/>
      <c r="U1324" s="74"/>
      <c r="V1324" s="74"/>
      <c r="W1324" s="74"/>
      <c r="X1324" s="74"/>
      <c r="Y1324" s="74"/>
      <c r="Z1324" s="74"/>
      <c r="AA1324" s="74"/>
      <c r="AB1324" s="74"/>
      <c r="AC1324" s="74"/>
      <c r="AD1324" s="74"/>
      <c r="AE1324" s="74"/>
      <c r="AF1324" s="74"/>
      <c r="AG1324" s="74"/>
    </row>
    <row r="1325" ht="22.5" customHeight="1">
      <c r="A1325" s="86">
        <v>45880.0</v>
      </c>
      <c r="B1325" s="63" t="s">
        <v>27</v>
      </c>
      <c r="C1325" s="79"/>
      <c r="D1325" s="79">
        <f>1802.41+1036.44</f>
        <v>2838.85</v>
      </c>
      <c r="E1325" s="66" t="s">
        <v>28</v>
      </c>
      <c r="F1325" s="84" t="s">
        <v>941</v>
      </c>
      <c r="G1325" s="68">
        <v>0.0</v>
      </c>
      <c r="H1325" s="69">
        <f t="shared" si="82"/>
        <v>0</v>
      </c>
      <c r="I1325" s="76" t="s">
        <v>61</v>
      </c>
      <c r="J1325" s="87" t="s">
        <v>901</v>
      </c>
      <c r="K1325" s="95"/>
      <c r="L1325" s="95"/>
      <c r="M1325" s="95"/>
      <c r="N1325" s="72">
        <f t="shared" si="84"/>
        <v>0</v>
      </c>
      <c r="O1325" s="83" t="s">
        <v>1043</v>
      </c>
      <c r="P1325" s="74"/>
      <c r="Q1325" s="74"/>
      <c r="R1325" s="74"/>
      <c r="S1325" s="74"/>
      <c r="T1325" s="74"/>
      <c r="U1325" s="74"/>
      <c r="V1325" s="74"/>
      <c r="W1325" s="74"/>
      <c r="X1325" s="74"/>
      <c r="Y1325" s="74"/>
      <c r="Z1325" s="74"/>
      <c r="AA1325" s="74"/>
      <c r="AB1325" s="74"/>
      <c r="AC1325" s="74"/>
      <c r="AD1325" s="74"/>
      <c r="AE1325" s="74"/>
      <c r="AF1325" s="74"/>
      <c r="AG1325" s="74"/>
    </row>
    <row r="1326" ht="22.5" customHeight="1">
      <c r="A1326" s="86">
        <v>45880.0</v>
      </c>
      <c r="B1326" s="63" t="s">
        <v>27</v>
      </c>
      <c r="C1326" s="80">
        <v>210185.22</v>
      </c>
      <c r="D1326" s="79"/>
      <c r="E1326" s="66" t="s">
        <v>28</v>
      </c>
      <c r="F1326" s="84" t="s">
        <v>674</v>
      </c>
      <c r="G1326" s="68">
        <v>20.0</v>
      </c>
      <c r="H1326" s="69">
        <f t="shared" si="82"/>
        <v>35030.87</v>
      </c>
      <c r="I1326" s="76" t="s">
        <v>37</v>
      </c>
      <c r="J1326" s="87" t="s">
        <v>539</v>
      </c>
      <c r="K1326" s="82" t="s">
        <v>858</v>
      </c>
      <c r="L1326" s="82">
        <v>137.0</v>
      </c>
      <c r="M1326" s="128">
        <v>45758.0</v>
      </c>
      <c r="N1326" s="72">
        <f t="shared" si="84"/>
        <v>122</v>
      </c>
      <c r="O1326" s="96"/>
      <c r="P1326" s="74"/>
      <c r="Q1326" s="74"/>
      <c r="R1326" s="74"/>
      <c r="S1326" s="74"/>
      <c r="T1326" s="74"/>
      <c r="U1326" s="74"/>
      <c r="V1326" s="74"/>
      <c r="W1326" s="74"/>
      <c r="X1326" s="74"/>
      <c r="Y1326" s="74"/>
      <c r="Z1326" s="74"/>
      <c r="AA1326" s="74"/>
      <c r="AB1326" s="74"/>
      <c r="AC1326" s="74"/>
      <c r="AD1326" s="74"/>
      <c r="AE1326" s="74"/>
      <c r="AF1326" s="74"/>
      <c r="AG1326" s="74"/>
    </row>
    <row r="1327" ht="22.5" customHeight="1">
      <c r="A1327" s="86">
        <v>45880.0</v>
      </c>
      <c r="B1327" s="63" t="s">
        <v>27</v>
      </c>
      <c r="C1327" s="79"/>
      <c r="D1327" s="80">
        <v>4804.8</v>
      </c>
      <c r="E1327" s="66" t="s">
        <v>28</v>
      </c>
      <c r="F1327" s="84" t="s">
        <v>800</v>
      </c>
      <c r="G1327" s="68">
        <v>20.0</v>
      </c>
      <c r="H1327" s="69">
        <f t="shared" si="82"/>
        <v>800.8</v>
      </c>
      <c r="I1327" s="89" t="s">
        <v>1044</v>
      </c>
      <c r="J1327" s="100" t="s">
        <v>1045</v>
      </c>
      <c r="K1327" s="95"/>
      <c r="L1327" s="95"/>
      <c r="M1327" s="95"/>
      <c r="N1327" s="72">
        <f t="shared" si="84"/>
        <v>0</v>
      </c>
      <c r="O1327" s="140" t="s">
        <v>1046</v>
      </c>
      <c r="P1327" s="74"/>
      <c r="Q1327" s="74"/>
      <c r="R1327" s="74"/>
      <c r="S1327" s="74"/>
      <c r="T1327" s="74"/>
      <c r="U1327" s="74"/>
      <c r="V1327" s="74"/>
      <c r="W1327" s="74"/>
      <c r="X1327" s="74"/>
      <c r="Y1327" s="74"/>
      <c r="Z1327" s="74"/>
      <c r="AA1327" s="74"/>
      <c r="AB1327" s="74"/>
      <c r="AC1327" s="74"/>
      <c r="AD1327" s="74"/>
      <c r="AE1327" s="74"/>
      <c r="AF1327" s="74"/>
      <c r="AG1327" s="74"/>
    </row>
    <row r="1328" ht="22.5" customHeight="1">
      <c r="A1328" s="86">
        <v>45880.0</v>
      </c>
      <c r="B1328" s="63" t="s">
        <v>27</v>
      </c>
      <c r="C1328" s="79"/>
      <c r="D1328" s="80">
        <v>9744.0</v>
      </c>
      <c r="E1328" s="66" t="s">
        <v>28</v>
      </c>
      <c r="F1328" s="84" t="s">
        <v>800</v>
      </c>
      <c r="G1328" s="68">
        <v>20.0</v>
      </c>
      <c r="H1328" s="69">
        <f t="shared" si="82"/>
        <v>1624</v>
      </c>
      <c r="I1328" s="89" t="s">
        <v>1044</v>
      </c>
      <c r="J1328" s="100" t="s">
        <v>1045</v>
      </c>
      <c r="K1328" s="95"/>
      <c r="L1328" s="95"/>
      <c r="M1328" s="95"/>
      <c r="N1328" s="72">
        <f t="shared" si="84"/>
        <v>0</v>
      </c>
      <c r="O1328" s="140" t="s">
        <v>1047</v>
      </c>
      <c r="P1328" s="74"/>
      <c r="Q1328" s="74"/>
      <c r="R1328" s="74"/>
      <c r="S1328" s="74"/>
      <c r="T1328" s="74"/>
      <c r="U1328" s="74"/>
      <c r="V1328" s="74"/>
      <c r="W1328" s="74"/>
      <c r="X1328" s="74"/>
      <c r="Y1328" s="74"/>
      <c r="Z1328" s="74"/>
      <c r="AA1328" s="74"/>
      <c r="AB1328" s="74"/>
      <c r="AC1328" s="74"/>
      <c r="AD1328" s="74"/>
      <c r="AE1328" s="74"/>
      <c r="AF1328" s="74"/>
      <c r="AG1328" s="74"/>
    </row>
    <row r="1329" ht="22.5" customHeight="1">
      <c r="A1329" s="86">
        <v>45880.0</v>
      </c>
      <c r="B1329" s="63" t="s">
        <v>27</v>
      </c>
      <c r="C1329" s="79"/>
      <c r="D1329" s="80">
        <v>20160.0</v>
      </c>
      <c r="E1329" s="66" t="s">
        <v>28</v>
      </c>
      <c r="F1329" s="84" t="s">
        <v>800</v>
      </c>
      <c r="G1329" s="68">
        <v>20.0</v>
      </c>
      <c r="H1329" s="69">
        <f t="shared" si="82"/>
        <v>3360</v>
      </c>
      <c r="I1329" s="89" t="s">
        <v>1044</v>
      </c>
      <c r="J1329" s="100" t="s">
        <v>1045</v>
      </c>
      <c r="K1329" s="95"/>
      <c r="L1329" s="95"/>
      <c r="M1329" s="95"/>
      <c r="N1329" s="72">
        <f t="shared" si="84"/>
        <v>0</v>
      </c>
      <c r="O1329" s="140" t="s">
        <v>1048</v>
      </c>
      <c r="P1329" s="74"/>
      <c r="Q1329" s="74"/>
      <c r="R1329" s="74"/>
      <c r="S1329" s="74"/>
      <c r="T1329" s="74"/>
      <c r="U1329" s="74"/>
      <c r="V1329" s="74"/>
      <c r="W1329" s="74"/>
      <c r="X1329" s="74"/>
      <c r="Y1329" s="74"/>
      <c r="Z1329" s="74"/>
      <c r="AA1329" s="74"/>
      <c r="AB1329" s="74"/>
      <c r="AC1329" s="74"/>
      <c r="AD1329" s="74"/>
      <c r="AE1329" s="74"/>
      <c r="AF1329" s="74"/>
      <c r="AG1329" s="74"/>
    </row>
    <row r="1330" ht="22.5" customHeight="1">
      <c r="A1330" s="86">
        <v>45880.0</v>
      </c>
      <c r="B1330" s="63" t="s">
        <v>27</v>
      </c>
      <c r="C1330" s="79"/>
      <c r="D1330" s="80">
        <v>9744.0</v>
      </c>
      <c r="E1330" s="66" t="s">
        <v>28</v>
      </c>
      <c r="F1330" s="84" t="s">
        <v>800</v>
      </c>
      <c r="G1330" s="68">
        <v>20.0</v>
      </c>
      <c r="H1330" s="69">
        <f t="shared" si="82"/>
        <v>1624</v>
      </c>
      <c r="I1330" s="89" t="s">
        <v>1044</v>
      </c>
      <c r="J1330" s="100" t="s">
        <v>1045</v>
      </c>
      <c r="K1330" s="95"/>
      <c r="L1330" s="95"/>
      <c r="M1330" s="95"/>
      <c r="N1330" s="72">
        <f t="shared" si="84"/>
        <v>0</v>
      </c>
      <c r="O1330" s="140" t="s">
        <v>1049</v>
      </c>
      <c r="P1330" s="74"/>
      <c r="Q1330" s="74"/>
      <c r="R1330" s="74"/>
      <c r="S1330" s="74"/>
      <c r="T1330" s="74"/>
      <c r="U1330" s="74"/>
      <c r="V1330" s="74"/>
      <c r="W1330" s="74"/>
      <c r="X1330" s="74"/>
      <c r="Y1330" s="74"/>
      <c r="Z1330" s="74"/>
      <c r="AA1330" s="74"/>
      <c r="AB1330" s="74"/>
      <c r="AC1330" s="74"/>
      <c r="AD1330" s="74"/>
      <c r="AE1330" s="74"/>
      <c r="AF1330" s="74"/>
      <c r="AG1330" s="74"/>
    </row>
    <row r="1331" ht="22.5" customHeight="1">
      <c r="A1331" s="86">
        <v>45880.0</v>
      </c>
      <c r="B1331" s="63" t="s">
        <v>27</v>
      </c>
      <c r="C1331" s="79"/>
      <c r="D1331" s="80">
        <v>10167.36</v>
      </c>
      <c r="E1331" s="66" t="s">
        <v>28</v>
      </c>
      <c r="F1331" s="84" t="s">
        <v>800</v>
      </c>
      <c r="G1331" s="68">
        <v>20.0</v>
      </c>
      <c r="H1331" s="69">
        <f t="shared" si="82"/>
        <v>1694.56</v>
      </c>
      <c r="I1331" s="89" t="s">
        <v>1044</v>
      </c>
      <c r="J1331" s="100" t="s">
        <v>1045</v>
      </c>
      <c r="K1331" s="95"/>
      <c r="L1331" s="95"/>
      <c r="M1331" s="95"/>
      <c r="N1331" s="72">
        <f t="shared" si="84"/>
        <v>0</v>
      </c>
      <c r="O1331" s="140" t="s">
        <v>1050</v>
      </c>
      <c r="P1331" s="74"/>
      <c r="Q1331" s="74"/>
      <c r="R1331" s="74"/>
      <c r="S1331" s="74"/>
      <c r="T1331" s="74"/>
      <c r="U1331" s="74"/>
      <c r="V1331" s="74"/>
      <c r="W1331" s="74"/>
      <c r="X1331" s="74"/>
      <c r="Y1331" s="74"/>
      <c r="Z1331" s="74"/>
      <c r="AA1331" s="74"/>
      <c r="AB1331" s="74"/>
      <c r="AC1331" s="74"/>
      <c r="AD1331" s="74"/>
      <c r="AE1331" s="74"/>
      <c r="AF1331" s="74"/>
      <c r="AG1331" s="74"/>
    </row>
    <row r="1332" ht="22.5" customHeight="1">
      <c r="A1332" s="86">
        <v>45880.0</v>
      </c>
      <c r="B1332" s="63" t="s">
        <v>27</v>
      </c>
      <c r="C1332" s="79"/>
      <c r="D1332" s="80">
        <v>19200.05</v>
      </c>
      <c r="E1332" s="66" t="s">
        <v>28</v>
      </c>
      <c r="F1332" s="84" t="s">
        <v>800</v>
      </c>
      <c r="G1332" s="68">
        <v>20.0</v>
      </c>
      <c r="H1332" s="69">
        <f t="shared" si="82"/>
        <v>3200.008333</v>
      </c>
      <c r="I1332" s="89" t="s">
        <v>1044</v>
      </c>
      <c r="J1332" s="100" t="s">
        <v>1045</v>
      </c>
      <c r="K1332" s="95"/>
      <c r="L1332" s="95"/>
      <c r="M1332" s="95"/>
      <c r="N1332" s="72">
        <f t="shared" si="84"/>
        <v>0</v>
      </c>
      <c r="O1332" s="140" t="s">
        <v>1051</v>
      </c>
      <c r="P1332" s="74"/>
      <c r="Q1332" s="74"/>
      <c r="R1332" s="74"/>
      <c r="S1332" s="74"/>
      <c r="T1332" s="74"/>
      <c r="U1332" s="74"/>
      <c r="V1332" s="74"/>
      <c r="W1332" s="74"/>
      <c r="X1332" s="74"/>
      <c r="Y1332" s="74"/>
      <c r="Z1332" s="74"/>
      <c r="AA1332" s="74"/>
      <c r="AB1332" s="74"/>
      <c r="AC1332" s="74"/>
      <c r="AD1332" s="74"/>
      <c r="AE1332" s="74"/>
      <c r="AF1332" s="74"/>
      <c r="AG1332" s="74"/>
    </row>
    <row r="1333" ht="22.5" customHeight="1">
      <c r="A1333" s="86">
        <v>45880.0</v>
      </c>
      <c r="B1333" s="63" t="s">
        <v>27</v>
      </c>
      <c r="C1333" s="79"/>
      <c r="D1333" s="80">
        <v>33600.0</v>
      </c>
      <c r="E1333" s="66" t="s">
        <v>28</v>
      </c>
      <c r="F1333" s="84" t="s">
        <v>800</v>
      </c>
      <c r="G1333" s="68">
        <v>20.0</v>
      </c>
      <c r="H1333" s="69">
        <f t="shared" si="82"/>
        <v>5600</v>
      </c>
      <c r="I1333" s="89" t="s">
        <v>1044</v>
      </c>
      <c r="J1333" s="100" t="s">
        <v>1045</v>
      </c>
      <c r="K1333" s="95"/>
      <c r="L1333" s="95"/>
      <c r="M1333" s="95"/>
      <c r="N1333" s="72">
        <f t="shared" si="84"/>
        <v>0</v>
      </c>
      <c r="O1333" s="140" t="s">
        <v>1052</v>
      </c>
      <c r="P1333" s="74"/>
      <c r="Q1333" s="74"/>
      <c r="R1333" s="74"/>
      <c r="S1333" s="74"/>
      <c r="T1333" s="74"/>
      <c r="U1333" s="74"/>
      <c r="V1333" s="74"/>
      <c r="W1333" s="74"/>
      <c r="X1333" s="74"/>
      <c r="Y1333" s="74"/>
      <c r="Z1333" s="74"/>
      <c r="AA1333" s="74"/>
      <c r="AB1333" s="74"/>
      <c r="AC1333" s="74"/>
      <c r="AD1333" s="74"/>
      <c r="AE1333" s="74"/>
      <c r="AF1333" s="74"/>
      <c r="AG1333" s="74"/>
    </row>
    <row r="1334" ht="22.5" customHeight="1">
      <c r="A1334" s="86">
        <v>45880.0</v>
      </c>
      <c r="B1334" s="63" t="s">
        <v>27</v>
      </c>
      <c r="C1334" s="79"/>
      <c r="D1334" s="80">
        <v>6720.0</v>
      </c>
      <c r="E1334" s="66" t="s">
        <v>28</v>
      </c>
      <c r="F1334" s="84" t="s">
        <v>800</v>
      </c>
      <c r="G1334" s="68">
        <v>20.0</v>
      </c>
      <c r="H1334" s="69">
        <f t="shared" si="82"/>
        <v>1120</v>
      </c>
      <c r="I1334" s="89" t="s">
        <v>1044</v>
      </c>
      <c r="J1334" s="100" t="s">
        <v>1045</v>
      </c>
      <c r="K1334" s="95"/>
      <c r="L1334" s="95"/>
      <c r="M1334" s="95"/>
      <c r="N1334" s="72">
        <f t="shared" si="84"/>
        <v>0</v>
      </c>
      <c r="O1334" s="140" t="s">
        <v>1053</v>
      </c>
      <c r="P1334" s="74"/>
      <c r="Q1334" s="74"/>
      <c r="R1334" s="74"/>
      <c r="S1334" s="74"/>
      <c r="T1334" s="74"/>
      <c r="U1334" s="74"/>
      <c r="V1334" s="74"/>
      <c r="W1334" s="74"/>
      <c r="X1334" s="74"/>
      <c r="Y1334" s="74"/>
      <c r="Z1334" s="74"/>
      <c r="AA1334" s="74"/>
      <c r="AB1334" s="74"/>
      <c r="AC1334" s="74"/>
      <c r="AD1334" s="74"/>
      <c r="AE1334" s="74"/>
      <c r="AF1334" s="74"/>
      <c r="AG1334" s="74"/>
    </row>
    <row r="1335" ht="22.5" customHeight="1">
      <c r="A1335" s="86">
        <v>45880.0</v>
      </c>
      <c r="B1335" s="63" t="s">
        <v>27</v>
      </c>
      <c r="C1335" s="79"/>
      <c r="D1335" s="80">
        <v>23690.69</v>
      </c>
      <c r="E1335" s="66" t="s">
        <v>28</v>
      </c>
      <c r="F1335" s="84" t="s">
        <v>800</v>
      </c>
      <c r="G1335" s="68">
        <v>20.0</v>
      </c>
      <c r="H1335" s="69">
        <f t="shared" si="82"/>
        <v>3948.448333</v>
      </c>
      <c r="I1335" s="89" t="s">
        <v>1044</v>
      </c>
      <c r="J1335" s="100" t="s">
        <v>1045</v>
      </c>
      <c r="K1335" s="95"/>
      <c r="L1335" s="95"/>
      <c r="M1335" s="95"/>
      <c r="N1335" s="72">
        <f t="shared" si="84"/>
        <v>0</v>
      </c>
      <c r="O1335" s="140" t="s">
        <v>1054</v>
      </c>
      <c r="P1335" s="74"/>
      <c r="Q1335" s="74"/>
      <c r="R1335" s="74"/>
      <c r="S1335" s="74"/>
      <c r="T1335" s="74"/>
      <c r="U1335" s="74"/>
      <c r="V1335" s="74"/>
      <c r="W1335" s="74"/>
      <c r="X1335" s="74"/>
      <c r="Y1335" s="74"/>
      <c r="Z1335" s="74"/>
      <c r="AA1335" s="74"/>
      <c r="AB1335" s="74"/>
      <c r="AC1335" s="74"/>
      <c r="AD1335" s="74"/>
      <c r="AE1335" s="74"/>
      <c r="AF1335" s="74"/>
      <c r="AG1335" s="74"/>
    </row>
    <row r="1336" ht="22.5" customHeight="1">
      <c r="A1336" s="86">
        <v>45880.0</v>
      </c>
      <c r="B1336" s="63" t="s">
        <v>27</v>
      </c>
      <c r="C1336" s="79"/>
      <c r="D1336" s="80">
        <v>8601.6</v>
      </c>
      <c r="E1336" s="66" t="s">
        <v>28</v>
      </c>
      <c r="F1336" s="84" t="s">
        <v>800</v>
      </c>
      <c r="G1336" s="68">
        <v>20.0</v>
      </c>
      <c r="H1336" s="69">
        <f t="shared" si="82"/>
        <v>1433.6</v>
      </c>
      <c r="I1336" s="89" t="s">
        <v>1044</v>
      </c>
      <c r="J1336" s="100" t="s">
        <v>1045</v>
      </c>
      <c r="K1336" s="95"/>
      <c r="L1336" s="95"/>
      <c r="M1336" s="95"/>
      <c r="N1336" s="72">
        <f t="shared" si="84"/>
        <v>0</v>
      </c>
      <c r="O1336" s="140" t="s">
        <v>1055</v>
      </c>
      <c r="P1336" s="74"/>
      <c r="Q1336" s="74"/>
      <c r="R1336" s="74"/>
      <c r="S1336" s="74"/>
      <c r="T1336" s="74"/>
      <c r="U1336" s="74"/>
      <c r="V1336" s="74"/>
      <c r="W1336" s="74"/>
      <c r="X1336" s="74"/>
      <c r="Y1336" s="74"/>
      <c r="Z1336" s="74"/>
      <c r="AA1336" s="74"/>
      <c r="AB1336" s="74"/>
      <c r="AC1336" s="74"/>
      <c r="AD1336" s="74"/>
      <c r="AE1336" s="74"/>
      <c r="AF1336" s="74"/>
      <c r="AG1336" s="74"/>
    </row>
    <row r="1337" ht="22.5" customHeight="1">
      <c r="A1337" s="86">
        <v>45880.0</v>
      </c>
      <c r="B1337" s="63" t="s">
        <v>27</v>
      </c>
      <c r="C1337" s="79"/>
      <c r="D1337" s="80">
        <v>1070000.0</v>
      </c>
      <c r="E1337" s="66" t="s">
        <v>33</v>
      </c>
      <c r="F1337" s="84" t="s">
        <v>941</v>
      </c>
      <c r="G1337" s="68">
        <v>0.0</v>
      </c>
      <c r="H1337" s="69">
        <f t="shared" si="82"/>
        <v>0</v>
      </c>
      <c r="I1337" s="76" t="s">
        <v>68</v>
      </c>
      <c r="J1337" s="87" t="s">
        <v>628</v>
      </c>
      <c r="K1337" s="95"/>
      <c r="L1337" s="95"/>
      <c r="M1337" s="95"/>
      <c r="N1337" s="72">
        <f t="shared" si="84"/>
        <v>0</v>
      </c>
      <c r="O1337" s="96"/>
      <c r="P1337" s="74"/>
      <c r="Q1337" s="74"/>
      <c r="R1337" s="74"/>
      <c r="S1337" s="74"/>
      <c r="T1337" s="74"/>
      <c r="U1337" s="74"/>
      <c r="V1337" s="74"/>
      <c r="W1337" s="74"/>
      <c r="X1337" s="74"/>
      <c r="Y1337" s="74"/>
      <c r="Z1337" s="74"/>
      <c r="AA1337" s="74"/>
      <c r="AB1337" s="74"/>
      <c r="AC1337" s="74"/>
      <c r="AD1337" s="74"/>
      <c r="AE1337" s="74"/>
      <c r="AF1337" s="74"/>
      <c r="AG1337" s="74"/>
    </row>
    <row r="1338" ht="22.5" customHeight="1">
      <c r="A1338" s="86">
        <v>45880.0</v>
      </c>
      <c r="B1338" s="63" t="s">
        <v>27</v>
      </c>
      <c r="C1338" s="79"/>
      <c r="D1338" s="80">
        <v>17000.0</v>
      </c>
      <c r="E1338" s="66" t="s">
        <v>33</v>
      </c>
      <c r="F1338" s="84" t="s">
        <v>941</v>
      </c>
      <c r="G1338" s="68">
        <v>0.0</v>
      </c>
      <c r="H1338" s="69">
        <f t="shared" si="82"/>
        <v>0</v>
      </c>
      <c r="I1338" s="76" t="s">
        <v>490</v>
      </c>
      <c r="J1338" s="87" t="s">
        <v>1056</v>
      </c>
      <c r="K1338" s="95"/>
      <c r="L1338" s="95"/>
      <c r="M1338" s="95"/>
      <c r="N1338" s="72">
        <f t="shared" si="84"/>
        <v>0</v>
      </c>
      <c r="O1338" s="96"/>
      <c r="P1338" s="74"/>
      <c r="Q1338" s="74"/>
      <c r="R1338" s="74"/>
      <c r="S1338" s="74"/>
      <c r="T1338" s="74"/>
      <c r="U1338" s="74"/>
      <c r="V1338" s="74"/>
      <c r="W1338" s="74"/>
      <c r="X1338" s="74"/>
      <c r="Y1338" s="74"/>
      <c r="Z1338" s="74"/>
      <c r="AA1338" s="74"/>
      <c r="AB1338" s="74"/>
      <c r="AC1338" s="74"/>
      <c r="AD1338" s="74"/>
      <c r="AE1338" s="74"/>
      <c r="AF1338" s="74"/>
      <c r="AG1338" s="74"/>
    </row>
    <row r="1339" ht="22.5" customHeight="1">
      <c r="A1339" s="86">
        <v>45880.0</v>
      </c>
      <c r="B1339" s="63" t="s">
        <v>27</v>
      </c>
      <c r="C1339" s="79"/>
      <c r="D1339" s="80">
        <v>60000.0</v>
      </c>
      <c r="E1339" s="66" t="s">
        <v>33</v>
      </c>
      <c r="F1339" s="67" t="s">
        <v>1002</v>
      </c>
      <c r="G1339" s="68">
        <v>0.0</v>
      </c>
      <c r="H1339" s="69">
        <f t="shared" si="82"/>
        <v>0</v>
      </c>
      <c r="I1339" s="76" t="s">
        <v>490</v>
      </c>
      <c r="J1339" s="87" t="s">
        <v>1057</v>
      </c>
      <c r="K1339" s="95"/>
      <c r="L1339" s="95"/>
      <c r="M1339" s="95"/>
      <c r="N1339" s="72">
        <f t="shared" si="84"/>
        <v>0</v>
      </c>
      <c r="O1339" s="96"/>
      <c r="P1339" s="74"/>
      <c r="Q1339" s="74"/>
      <c r="R1339" s="74"/>
      <c r="S1339" s="74"/>
      <c r="T1339" s="74"/>
      <c r="U1339" s="74"/>
      <c r="V1339" s="74"/>
      <c r="W1339" s="74"/>
      <c r="X1339" s="74"/>
      <c r="Y1339" s="74"/>
      <c r="Z1339" s="74"/>
      <c r="AA1339" s="74"/>
      <c r="AB1339" s="74"/>
      <c r="AC1339" s="74"/>
      <c r="AD1339" s="74"/>
      <c r="AE1339" s="74"/>
      <c r="AF1339" s="74"/>
      <c r="AG1339" s="74"/>
    </row>
    <row r="1340" ht="22.5" customHeight="1">
      <c r="A1340" s="86">
        <v>45880.0</v>
      </c>
      <c r="B1340" s="63" t="s">
        <v>27</v>
      </c>
      <c r="C1340" s="79"/>
      <c r="D1340" s="80">
        <v>1476510.0</v>
      </c>
      <c r="E1340" s="66" t="s">
        <v>28</v>
      </c>
      <c r="F1340" s="67" t="s">
        <v>1002</v>
      </c>
      <c r="G1340" s="68">
        <v>20.0</v>
      </c>
      <c r="H1340" s="69">
        <f t="shared" si="82"/>
        <v>246085</v>
      </c>
      <c r="I1340" s="76" t="s">
        <v>47</v>
      </c>
      <c r="J1340" s="81"/>
      <c r="K1340" s="95"/>
      <c r="L1340" s="95"/>
      <c r="M1340" s="95"/>
      <c r="N1340" s="72">
        <f t="shared" si="84"/>
        <v>0</v>
      </c>
      <c r="O1340" s="96"/>
      <c r="P1340" s="74"/>
      <c r="Q1340" s="74"/>
      <c r="R1340" s="74"/>
      <c r="S1340" s="74"/>
      <c r="T1340" s="74"/>
      <c r="U1340" s="74"/>
      <c r="V1340" s="74"/>
      <c r="W1340" s="74"/>
      <c r="X1340" s="74"/>
      <c r="Y1340" s="74"/>
      <c r="Z1340" s="74"/>
      <c r="AA1340" s="74"/>
      <c r="AB1340" s="74"/>
      <c r="AC1340" s="74"/>
      <c r="AD1340" s="74"/>
      <c r="AE1340" s="74"/>
      <c r="AF1340" s="74"/>
      <c r="AG1340" s="74"/>
    </row>
    <row r="1341" ht="22.5" customHeight="1">
      <c r="A1341" s="86">
        <v>45880.0</v>
      </c>
      <c r="B1341" s="63" t="s">
        <v>27</v>
      </c>
      <c r="C1341" s="79"/>
      <c r="D1341" s="80">
        <v>95377.0</v>
      </c>
      <c r="E1341" s="66" t="s">
        <v>376</v>
      </c>
      <c r="F1341" s="67" t="s">
        <v>1002</v>
      </c>
      <c r="G1341" s="68">
        <v>0.0</v>
      </c>
      <c r="H1341" s="69">
        <f t="shared" si="82"/>
        <v>0</v>
      </c>
      <c r="I1341" s="94" t="s">
        <v>599</v>
      </c>
      <c r="J1341" s="87" t="s">
        <v>72</v>
      </c>
      <c r="K1341" s="95"/>
      <c r="L1341" s="95"/>
      <c r="M1341" s="95"/>
      <c r="N1341" s="72">
        <f t="shared" si="84"/>
        <v>0</v>
      </c>
      <c r="O1341" s="83" t="s">
        <v>748</v>
      </c>
      <c r="P1341" s="74"/>
      <c r="Q1341" s="74"/>
      <c r="R1341" s="74"/>
      <c r="S1341" s="74"/>
      <c r="T1341" s="74"/>
      <c r="U1341" s="74"/>
      <c r="V1341" s="74"/>
      <c r="W1341" s="74"/>
      <c r="X1341" s="74"/>
      <c r="Y1341" s="74"/>
      <c r="Z1341" s="74"/>
      <c r="AA1341" s="74"/>
      <c r="AB1341" s="74"/>
      <c r="AC1341" s="74"/>
      <c r="AD1341" s="74"/>
      <c r="AE1341" s="74"/>
      <c r="AF1341" s="74"/>
      <c r="AG1341" s="74"/>
    </row>
    <row r="1342" ht="22.5" customHeight="1">
      <c r="A1342" s="86">
        <v>45880.0</v>
      </c>
      <c r="B1342" s="63" t="s">
        <v>27</v>
      </c>
      <c r="C1342" s="79"/>
      <c r="D1342" s="80">
        <v>15000.0</v>
      </c>
      <c r="E1342" s="66" t="s">
        <v>33</v>
      </c>
      <c r="F1342" s="67" t="s">
        <v>1002</v>
      </c>
      <c r="G1342" s="68">
        <v>0.0</v>
      </c>
      <c r="H1342" s="69">
        <f t="shared" si="82"/>
        <v>0</v>
      </c>
      <c r="I1342" s="70" t="s">
        <v>35</v>
      </c>
      <c r="J1342" s="87" t="s">
        <v>1058</v>
      </c>
      <c r="K1342" s="95"/>
      <c r="L1342" s="95"/>
      <c r="M1342" s="95"/>
      <c r="N1342" s="72">
        <f t="shared" si="84"/>
        <v>0</v>
      </c>
      <c r="O1342" s="96"/>
      <c r="P1342" s="74"/>
      <c r="Q1342" s="74"/>
      <c r="R1342" s="74"/>
      <c r="S1342" s="74"/>
      <c r="T1342" s="74"/>
      <c r="U1342" s="74"/>
      <c r="V1342" s="74"/>
      <c r="W1342" s="74"/>
      <c r="X1342" s="74"/>
      <c r="Y1342" s="74"/>
      <c r="Z1342" s="74"/>
      <c r="AA1342" s="74"/>
      <c r="AB1342" s="74"/>
      <c r="AC1342" s="74"/>
      <c r="AD1342" s="74"/>
      <c r="AE1342" s="74"/>
      <c r="AF1342" s="74"/>
      <c r="AG1342" s="74"/>
    </row>
    <row r="1343" ht="22.5" customHeight="1">
      <c r="A1343" s="86">
        <v>45880.0</v>
      </c>
      <c r="B1343" s="63" t="s">
        <v>27</v>
      </c>
      <c r="C1343" s="79"/>
      <c r="D1343" s="80">
        <v>20000.0</v>
      </c>
      <c r="E1343" s="66" t="s">
        <v>33</v>
      </c>
      <c r="F1343" s="84" t="s">
        <v>941</v>
      </c>
      <c r="G1343" s="68">
        <v>0.0</v>
      </c>
      <c r="H1343" s="69">
        <f t="shared" si="82"/>
        <v>0</v>
      </c>
      <c r="I1343" s="76" t="s">
        <v>495</v>
      </c>
      <c r="J1343" s="87" t="s">
        <v>1059</v>
      </c>
      <c r="K1343" s="95"/>
      <c r="L1343" s="95"/>
      <c r="M1343" s="95"/>
      <c r="N1343" s="72">
        <f t="shared" si="84"/>
        <v>0</v>
      </c>
      <c r="O1343" s="96"/>
      <c r="P1343" s="74"/>
      <c r="Q1343" s="74"/>
      <c r="R1343" s="74"/>
      <c r="S1343" s="74"/>
      <c r="T1343" s="74"/>
      <c r="U1343" s="74"/>
      <c r="V1343" s="74"/>
      <c r="W1343" s="74"/>
      <c r="X1343" s="74"/>
      <c r="Y1343" s="74"/>
      <c r="Z1343" s="74"/>
      <c r="AA1343" s="74"/>
      <c r="AB1343" s="74"/>
      <c r="AC1343" s="74"/>
      <c r="AD1343" s="74"/>
      <c r="AE1343" s="74"/>
      <c r="AF1343" s="74"/>
      <c r="AG1343" s="74"/>
    </row>
    <row r="1344" ht="22.5" customHeight="1">
      <c r="A1344" s="86">
        <v>45880.0</v>
      </c>
      <c r="B1344" s="63" t="s">
        <v>27</v>
      </c>
      <c r="C1344" s="80">
        <v>1100000.0</v>
      </c>
      <c r="D1344" s="79"/>
      <c r="E1344" s="66" t="s">
        <v>33</v>
      </c>
      <c r="F1344" s="67" t="s">
        <v>1002</v>
      </c>
      <c r="G1344" s="68">
        <v>0.0</v>
      </c>
      <c r="H1344" s="69">
        <f t="shared" si="82"/>
        <v>0</v>
      </c>
      <c r="I1344" s="76" t="s">
        <v>47</v>
      </c>
      <c r="J1344" s="98"/>
      <c r="K1344" s="95"/>
      <c r="L1344" s="95"/>
      <c r="M1344" s="95"/>
      <c r="N1344" s="72"/>
      <c r="O1344" s="96"/>
      <c r="P1344" s="74"/>
      <c r="Q1344" s="74"/>
      <c r="R1344" s="74"/>
      <c r="S1344" s="74"/>
      <c r="T1344" s="74"/>
      <c r="U1344" s="74"/>
      <c r="V1344" s="74"/>
      <c r="W1344" s="74"/>
      <c r="X1344" s="74"/>
      <c r="Y1344" s="74"/>
      <c r="Z1344" s="74"/>
      <c r="AA1344" s="74"/>
      <c r="AB1344" s="74"/>
      <c r="AC1344" s="74"/>
      <c r="AD1344" s="74"/>
      <c r="AE1344" s="74"/>
      <c r="AF1344" s="74"/>
      <c r="AG1344" s="74"/>
    </row>
    <row r="1345" ht="22.5" customHeight="1">
      <c r="A1345" s="86">
        <v>45883.0</v>
      </c>
      <c r="B1345" s="63" t="s">
        <v>27</v>
      </c>
      <c r="C1345" s="80">
        <v>977099.34</v>
      </c>
      <c r="D1345" s="80"/>
      <c r="E1345" s="66" t="s">
        <v>28</v>
      </c>
      <c r="F1345" s="84" t="s">
        <v>722</v>
      </c>
      <c r="G1345" s="68">
        <v>20.0</v>
      </c>
      <c r="H1345" s="69">
        <f t="shared" si="82"/>
        <v>162849.89</v>
      </c>
      <c r="I1345" s="76" t="s">
        <v>37</v>
      </c>
      <c r="J1345" s="87" t="s">
        <v>539</v>
      </c>
      <c r="K1345" s="82" t="s">
        <v>803</v>
      </c>
      <c r="L1345" s="82">
        <v>175.0</v>
      </c>
      <c r="M1345" s="128">
        <v>45790.0</v>
      </c>
      <c r="N1345" s="72">
        <f t="shared" ref="N1345:N1348" si="85">A1345-IF(M1345&gt;0,M1345,A1345)</f>
        <v>93</v>
      </c>
      <c r="O1345" s="96"/>
      <c r="P1345" s="74"/>
      <c r="Q1345" s="74"/>
      <c r="R1345" s="74"/>
      <c r="S1345" s="74"/>
      <c r="T1345" s="74"/>
      <c r="U1345" s="74"/>
      <c r="V1345" s="74"/>
      <c r="W1345" s="74"/>
      <c r="X1345" s="74"/>
      <c r="Y1345" s="74"/>
      <c r="Z1345" s="74"/>
      <c r="AA1345" s="74"/>
      <c r="AB1345" s="74"/>
      <c r="AC1345" s="74"/>
      <c r="AD1345" s="74"/>
      <c r="AE1345" s="74"/>
      <c r="AF1345" s="74"/>
      <c r="AG1345" s="74"/>
    </row>
    <row r="1346" ht="22.5" customHeight="1">
      <c r="A1346" s="86">
        <v>45884.0</v>
      </c>
      <c r="B1346" s="63" t="s">
        <v>27</v>
      </c>
      <c r="C1346" s="79"/>
      <c r="D1346" s="80">
        <v>20400.0</v>
      </c>
      <c r="E1346" s="66" t="s">
        <v>28</v>
      </c>
      <c r="F1346" s="67" t="s">
        <v>1002</v>
      </c>
      <c r="G1346" s="68">
        <v>20.0</v>
      </c>
      <c r="H1346" s="69">
        <f t="shared" si="82"/>
        <v>3400</v>
      </c>
      <c r="I1346" s="76" t="s">
        <v>495</v>
      </c>
      <c r="J1346" s="98" t="s">
        <v>910</v>
      </c>
      <c r="K1346" s="95"/>
      <c r="L1346" s="95"/>
      <c r="M1346" s="95"/>
      <c r="N1346" s="72">
        <f t="shared" si="85"/>
        <v>0</v>
      </c>
      <c r="O1346" s="96"/>
      <c r="P1346" s="74"/>
      <c r="Q1346" s="74"/>
      <c r="R1346" s="74"/>
      <c r="S1346" s="74"/>
      <c r="T1346" s="74"/>
      <c r="U1346" s="74"/>
      <c r="V1346" s="74"/>
      <c r="W1346" s="74"/>
      <c r="X1346" s="74"/>
      <c r="Y1346" s="74"/>
      <c r="Z1346" s="74"/>
      <c r="AA1346" s="74"/>
      <c r="AB1346" s="74"/>
      <c r="AC1346" s="74"/>
      <c r="AD1346" s="74"/>
      <c r="AE1346" s="74"/>
      <c r="AF1346" s="74"/>
      <c r="AG1346" s="74"/>
    </row>
    <row r="1347" ht="22.5" customHeight="1">
      <c r="A1347" s="86">
        <v>45884.0</v>
      </c>
      <c r="B1347" s="63" t="s">
        <v>27</v>
      </c>
      <c r="C1347" s="79"/>
      <c r="D1347" s="80">
        <v>20000.0</v>
      </c>
      <c r="E1347" s="66" t="s">
        <v>28</v>
      </c>
      <c r="F1347" s="67" t="s">
        <v>1002</v>
      </c>
      <c r="G1347" s="68">
        <v>20.0</v>
      </c>
      <c r="H1347" s="69">
        <f t="shared" si="82"/>
        <v>3333.333333</v>
      </c>
      <c r="I1347" s="76" t="s">
        <v>495</v>
      </c>
      <c r="J1347" s="87" t="s">
        <v>1060</v>
      </c>
      <c r="K1347" s="95"/>
      <c r="L1347" s="95"/>
      <c r="M1347" s="95"/>
      <c r="N1347" s="72">
        <f t="shared" si="85"/>
        <v>0</v>
      </c>
      <c r="O1347" s="96"/>
      <c r="P1347" s="74"/>
      <c r="Q1347" s="74"/>
      <c r="R1347" s="74"/>
      <c r="S1347" s="74"/>
      <c r="T1347" s="74"/>
      <c r="U1347" s="74"/>
      <c r="V1347" s="74"/>
      <c r="W1347" s="74"/>
      <c r="X1347" s="74"/>
      <c r="Y1347" s="74"/>
      <c r="Z1347" s="74"/>
      <c r="AA1347" s="74"/>
      <c r="AB1347" s="74"/>
      <c r="AC1347" s="74"/>
      <c r="AD1347" s="74"/>
      <c r="AE1347" s="74"/>
      <c r="AF1347" s="74"/>
      <c r="AG1347" s="74"/>
    </row>
    <row r="1348" ht="22.5" customHeight="1">
      <c r="A1348" s="86">
        <v>45884.0</v>
      </c>
      <c r="B1348" s="63" t="s">
        <v>27</v>
      </c>
      <c r="C1348" s="79"/>
      <c r="D1348" s="80">
        <v>96000.0</v>
      </c>
      <c r="E1348" s="66" t="s">
        <v>28</v>
      </c>
      <c r="F1348" s="67" t="s">
        <v>1002</v>
      </c>
      <c r="G1348" s="68">
        <v>20.0</v>
      </c>
      <c r="H1348" s="69">
        <f t="shared" si="82"/>
        <v>16000</v>
      </c>
      <c r="I1348" s="76" t="s">
        <v>61</v>
      </c>
      <c r="J1348" s="87" t="s">
        <v>942</v>
      </c>
      <c r="K1348" s="95"/>
      <c r="L1348" s="95"/>
      <c r="M1348" s="95"/>
      <c r="N1348" s="72">
        <f t="shared" si="85"/>
        <v>0</v>
      </c>
      <c r="O1348" s="83" t="s">
        <v>943</v>
      </c>
      <c r="P1348" s="74"/>
      <c r="Q1348" s="74"/>
      <c r="R1348" s="74"/>
      <c r="S1348" s="74"/>
      <c r="T1348" s="74"/>
      <c r="U1348" s="74"/>
      <c r="V1348" s="74"/>
      <c r="W1348" s="74"/>
      <c r="X1348" s="74"/>
      <c r="Y1348" s="74"/>
      <c r="Z1348" s="74"/>
      <c r="AA1348" s="74"/>
      <c r="AB1348" s="74"/>
      <c r="AC1348" s="74"/>
      <c r="AD1348" s="74"/>
      <c r="AE1348" s="74"/>
      <c r="AF1348" s="74"/>
      <c r="AG1348" s="74"/>
    </row>
    <row r="1349" ht="22.5" customHeight="1">
      <c r="A1349" s="86">
        <v>45884.0</v>
      </c>
      <c r="B1349" s="63" t="s">
        <v>27</v>
      </c>
      <c r="C1349" s="80">
        <v>955575.32</v>
      </c>
      <c r="D1349" s="79"/>
      <c r="E1349" s="66" t="s">
        <v>28</v>
      </c>
      <c r="F1349" s="84" t="s">
        <v>897</v>
      </c>
      <c r="G1349" s="68">
        <v>20.0</v>
      </c>
      <c r="H1349" s="69">
        <f t="shared" si="82"/>
        <v>159262.5533</v>
      </c>
      <c r="I1349" s="76" t="s">
        <v>37</v>
      </c>
      <c r="J1349" s="87" t="s">
        <v>539</v>
      </c>
      <c r="K1349" s="82" t="s">
        <v>1061</v>
      </c>
      <c r="L1349" s="82">
        <v>270.0</v>
      </c>
      <c r="M1349" s="128">
        <v>45846.0</v>
      </c>
      <c r="N1349" s="72">
        <f>TODAY()-M1349-60</f>
        <v>282</v>
      </c>
      <c r="O1349" s="96"/>
      <c r="P1349" s="74"/>
      <c r="Q1349" s="74"/>
      <c r="R1349" s="74"/>
      <c r="S1349" s="74"/>
      <c r="T1349" s="74"/>
      <c r="U1349" s="74"/>
      <c r="V1349" s="74"/>
      <c r="W1349" s="74"/>
      <c r="X1349" s="74"/>
      <c r="Y1349" s="74"/>
      <c r="Z1349" s="74"/>
      <c r="AA1349" s="74"/>
      <c r="AB1349" s="74"/>
      <c r="AC1349" s="74"/>
      <c r="AD1349" s="74"/>
      <c r="AE1349" s="74"/>
      <c r="AF1349" s="74"/>
      <c r="AG1349" s="74"/>
    </row>
    <row r="1350" ht="22.5" customHeight="1">
      <c r="A1350" s="86">
        <v>45887.0</v>
      </c>
      <c r="B1350" s="63" t="s">
        <v>27</v>
      </c>
      <c r="C1350" s="79"/>
      <c r="D1350" s="80">
        <v>5771.1</v>
      </c>
      <c r="E1350" s="66" t="s">
        <v>28</v>
      </c>
      <c r="F1350" s="84" t="s">
        <v>800</v>
      </c>
      <c r="G1350" s="69">
        <v>0.0</v>
      </c>
      <c r="H1350" s="69">
        <f t="shared" si="82"/>
        <v>0</v>
      </c>
      <c r="I1350" s="76" t="s">
        <v>101</v>
      </c>
      <c r="J1350" s="146" t="s">
        <v>1062</v>
      </c>
      <c r="K1350" s="95"/>
      <c r="L1350" s="95"/>
      <c r="M1350" s="95"/>
      <c r="N1350" s="72">
        <f t="shared" ref="N1350:N1358" si="86">A1350-IF(M1350&gt;0,M1350,A1350)</f>
        <v>0</v>
      </c>
      <c r="O1350" s="140" t="s">
        <v>1063</v>
      </c>
      <c r="P1350" s="74"/>
      <c r="Q1350" s="74"/>
      <c r="R1350" s="74"/>
      <c r="S1350" s="74"/>
      <c r="T1350" s="74"/>
      <c r="U1350" s="74"/>
      <c r="V1350" s="74"/>
      <c r="W1350" s="74"/>
      <c r="X1350" s="74"/>
      <c r="Y1350" s="74"/>
      <c r="Z1350" s="74"/>
      <c r="AA1350" s="74"/>
      <c r="AB1350" s="74"/>
      <c r="AC1350" s="74"/>
      <c r="AD1350" s="74"/>
      <c r="AE1350" s="74"/>
      <c r="AF1350" s="74"/>
      <c r="AG1350" s="74"/>
    </row>
    <row r="1351" ht="22.5" customHeight="1">
      <c r="A1351" s="86">
        <v>45887.0</v>
      </c>
      <c r="B1351" s="63" t="s">
        <v>27</v>
      </c>
      <c r="C1351" s="79"/>
      <c r="D1351" s="80">
        <v>200000.0</v>
      </c>
      <c r="E1351" s="66" t="s">
        <v>28</v>
      </c>
      <c r="F1351" s="67" t="s">
        <v>1002</v>
      </c>
      <c r="G1351" s="68">
        <v>20.0</v>
      </c>
      <c r="H1351" s="69">
        <f t="shared" si="82"/>
        <v>33333.33333</v>
      </c>
      <c r="I1351" s="76" t="s">
        <v>383</v>
      </c>
      <c r="J1351" s="87" t="s">
        <v>384</v>
      </c>
      <c r="K1351" s="95"/>
      <c r="L1351" s="95"/>
      <c r="M1351" s="95"/>
      <c r="N1351" s="72">
        <f t="shared" si="86"/>
        <v>0</v>
      </c>
      <c r="O1351" s="83" t="s">
        <v>1064</v>
      </c>
      <c r="P1351" s="74"/>
      <c r="Q1351" s="74"/>
      <c r="R1351" s="74"/>
      <c r="S1351" s="74"/>
      <c r="T1351" s="74"/>
      <c r="U1351" s="74"/>
      <c r="V1351" s="74"/>
      <c r="W1351" s="74"/>
      <c r="X1351" s="74"/>
      <c r="Y1351" s="74"/>
      <c r="Z1351" s="74"/>
      <c r="AA1351" s="74"/>
      <c r="AB1351" s="74"/>
      <c r="AC1351" s="74"/>
      <c r="AD1351" s="74"/>
      <c r="AE1351" s="74"/>
      <c r="AF1351" s="74"/>
      <c r="AG1351" s="74"/>
    </row>
    <row r="1352" ht="22.5" customHeight="1">
      <c r="A1352" s="86">
        <v>45887.0</v>
      </c>
      <c r="B1352" s="63" t="s">
        <v>27</v>
      </c>
      <c r="C1352" s="79"/>
      <c r="D1352" s="80">
        <v>300000.0</v>
      </c>
      <c r="E1352" s="66" t="s">
        <v>28</v>
      </c>
      <c r="F1352" s="67" t="s">
        <v>1002</v>
      </c>
      <c r="G1352" s="69">
        <v>0.0</v>
      </c>
      <c r="H1352" s="69">
        <f t="shared" si="82"/>
        <v>0</v>
      </c>
      <c r="I1352" s="76" t="s">
        <v>383</v>
      </c>
      <c r="J1352" s="87" t="s">
        <v>1065</v>
      </c>
      <c r="K1352" s="95"/>
      <c r="L1352" s="95"/>
      <c r="M1352" s="95"/>
      <c r="N1352" s="72">
        <f t="shared" si="86"/>
        <v>0</v>
      </c>
      <c r="O1352" s="83" t="s">
        <v>1066</v>
      </c>
      <c r="P1352" s="74"/>
      <c r="Q1352" s="74"/>
      <c r="R1352" s="74"/>
      <c r="S1352" s="74"/>
      <c r="T1352" s="74"/>
      <c r="U1352" s="74"/>
      <c r="V1352" s="74"/>
      <c r="W1352" s="74"/>
      <c r="X1352" s="74"/>
      <c r="Y1352" s="74"/>
      <c r="Z1352" s="74"/>
      <c r="AA1352" s="74"/>
      <c r="AB1352" s="74"/>
      <c r="AC1352" s="74"/>
      <c r="AD1352" s="74"/>
      <c r="AE1352" s="74"/>
      <c r="AF1352" s="74"/>
      <c r="AG1352" s="74"/>
    </row>
    <row r="1353" ht="22.5" customHeight="1">
      <c r="A1353" s="86">
        <v>45887.0</v>
      </c>
      <c r="B1353" s="63" t="s">
        <v>27</v>
      </c>
      <c r="C1353" s="79"/>
      <c r="D1353" s="80">
        <v>186879.0</v>
      </c>
      <c r="E1353" s="66" t="s">
        <v>28</v>
      </c>
      <c r="F1353" s="67" t="s">
        <v>1002</v>
      </c>
      <c r="G1353" s="68">
        <v>5.0</v>
      </c>
      <c r="H1353" s="69">
        <f t="shared" si="82"/>
        <v>8899</v>
      </c>
      <c r="I1353" s="104" t="s">
        <v>233</v>
      </c>
      <c r="J1353" s="87" t="s">
        <v>968</v>
      </c>
      <c r="K1353" s="95"/>
      <c r="L1353" s="95"/>
      <c r="M1353" s="95"/>
      <c r="N1353" s="72">
        <f t="shared" si="86"/>
        <v>0</v>
      </c>
      <c r="O1353" s="96"/>
      <c r="P1353" s="74"/>
      <c r="Q1353" s="74"/>
      <c r="R1353" s="74"/>
      <c r="S1353" s="74"/>
      <c r="T1353" s="74"/>
      <c r="U1353" s="74"/>
      <c r="V1353" s="74"/>
      <c r="W1353" s="74"/>
      <c r="X1353" s="74"/>
      <c r="Y1353" s="74"/>
      <c r="Z1353" s="74"/>
      <c r="AA1353" s="74"/>
      <c r="AB1353" s="74"/>
      <c r="AC1353" s="74"/>
      <c r="AD1353" s="74"/>
      <c r="AE1353" s="74"/>
      <c r="AF1353" s="74"/>
      <c r="AG1353" s="74"/>
    </row>
    <row r="1354" ht="22.5" customHeight="1">
      <c r="A1354" s="86">
        <v>45888.0</v>
      </c>
      <c r="B1354" s="63" t="s">
        <v>27</v>
      </c>
      <c r="C1354" s="79"/>
      <c r="D1354" s="80">
        <v>7000.0</v>
      </c>
      <c r="E1354" s="66" t="s">
        <v>33</v>
      </c>
      <c r="F1354" s="67" t="s">
        <v>1002</v>
      </c>
      <c r="G1354" s="68">
        <v>0.0</v>
      </c>
      <c r="H1354" s="69">
        <f t="shared" si="82"/>
        <v>0</v>
      </c>
      <c r="I1354" s="70" t="s">
        <v>35</v>
      </c>
      <c r="J1354" s="87" t="s">
        <v>1067</v>
      </c>
      <c r="K1354" s="95"/>
      <c r="L1354" s="95"/>
      <c r="M1354" s="95"/>
      <c r="N1354" s="72">
        <f t="shared" si="86"/>
        <v>0</v>
      </c>
      <c r="O1354" s="96"/>
      <c r="P1354" s="74"/>
      <c r="Q1354" s="74"/>
      <c r="R1354" s="74"/>
      <c r="S1354" s="74"/>
      <c r="T1354" s="74"/>
      <c r="U1354" s="74"/>
      <c r="V1354" s="74"/>
      <c r="W1354" s="74"/>
      <c r="X1354" s="74"/>
      <c r="Y1354" s="74"/>
      <c r="Z1354" s="74"/>
      <c r="AA1354" s="74"/>
      <c r="AB1354" s="74"/>
      <c r="AC1354" s="74"/>
      <c r="AD1354" s="74"/>
      <c r="AE1354" s="74"/>
      <c r="AF1354" s="74"/>
      <c r="AG1354" s="74"/>
    </row>
    <row r="1355" ht="22.5" customHeight="1">
      <c r="A1355" s="86">
        <v>45888.0</v>
      </c>
      <c r="B1355" s="63" t="s">
        <v>27</v>
      </c>
      <c r="C1355" s="79"/>
      <c r="D1355" s="80">
        <v>50400.0</v>
      </c>
      <c r="E1355" s="66" t="s">
        <v>28</v>
      </c>
      <c r="F1355" s="67" t="s">
        <v>1002</v>
      </c>
      <c r="G1355" s="68">
        <v>20.0</v>
      </c>
      <c r="H1355" s="69">
        <f t="shared" si="82"/>
        <v>8400</v>
      </c>
      <c r="I1355" s="76" t="s">
        <v>61</v>
      </c>
      <c r="J1355" s="87" t="s">
        <v>942</v>
      </c>
      <c r="K1355" s="95"/>
      <c r="L1355" s="95"/>
      <c r="M1355" s="95"/>
      <c r="N1355" s="72">
        <f t="shared" si="86"/>
        <v>0</v>
      </c>
      <c r="O1355" s="83" t="s">
        <v>943</v>
      </c>
      <c r="P1355" s="74"/>
      <c r="Q1355" s="74"/>
      <c r="R1355" s="74"/>
      <c r="S1355" s="74"/>
      <c r="T1355" s="74"/>
      <c r="U1355" s="74"/>
      <c r="V1355" s="74"/>
      <c r="W1355" s="74"/>
      <c r="X1355" s="74"/>
      <c r="Y1355" s="74"/>
      <c r="Z1355" s="74"/>
      <c r="AA1355" s="74"/>
      <c r="AB1355" s="74"/>
      <c r="AC1355" s="74"/>
      <c r="AD1355" s="74"/>
      <c r="AE1355" s="74"/>
      <c r="AF1355" s="74"/>
      <c r="AG1355" s="74"/>
    </row>
    <row r="1356" ht="22.5" customHeight="1">
      <c r="A1356" s="86">
        <v>45888.0</v>
      </c>
      <c r="B1356" s="63" t="s">
        <v>27</v>
      </c>
      <c r="C1356" s="79"/>
      <c r="D1356" s="80">
        <v>22000.0</v>
      </c>
      <c r="E1356" s="66" t="s">
        <v>33</v>
      </c>
      <c r="F1356" s="67" t="s">
        <v>1002</v>
      </c>
      <c r="G1356" s="68">
        <v>0.0</v>
      </c>
      <c r="H1356" s="69">
        <f t="shared" si="82"/>
        <v>0</v>
      </c>
      <c r="I1356" s="104" t="s">
        <v>233</v>
      </c>
      <c r="J1356" s="87" t="s">
        <v>1068</v>
      </c>
      <c r="K1356" s="95"/>
      <c r="L1356" s="95"/>
      <c r="M1356" s="95"/>
      <c r="N1356" s="72">
        <f t="shared" si="86"/>
        <v>0</v>
      </c>
      <c r="O1356" s="96"/>
      <c r="P1356" s="74"/>
      <c r="Q1356" s="74"/>
      <c r="R1356" s="74"/>
      <c r="S1356" s="74"/>
      <c r="T1356" s="74"/>
      <c r="U1356" s="74"/>
      <c r="V1356" s="74"/>
      <c r="W1356" s="74"/>
      <c r="X1356" s="74"/>
      <c r="Y1356" s="74"/>
      <c r="Z1356" s="74"/>
      <c r="AA1356" s="74"/>
      <c r="AB1356" s="74"/>
      <c r="AC1356" s="74"/>
      <c r="AD1356" s="74"/>
      <c r="AE1356" s="74"/>
      <c r="AF1356" s="74"/>
      <c r="AG1356" s="74"/>
    </row>
    <row r="1357" ht="22.5" customHeight="1">
      <c r="A1357" s="86">
        <v>45888.0</v>
      </c>
      <c r="B1357" s="63" t="s">
        <v>27</v>
      </c>
      <c r="C1357" s="79"/>
      <c r="D1357" s="80">
        <v>28000.0</v>
      </c>
      <c r="E1357" s="66" t="s">
        <v>33</v>
      </c>
      <c r="F1357" s="67" t="s">
        <v>1002</v>
      </c>
      <c r="G1357" s="68">
        <v>0.0</v>
      </c>
      <c r="H1357" s="69">
        <f t="shared" si="82"/>
        <v>0</v>
      </c>
      <c r="I1357" s="70" t="s">
        <v>35</v>
      </c>
      <c r="J1357" s="87" t="s">
        <v>1069</v>
      </c>
      <c r="K1357" s="95"/>
      <c r="L1357" s="95"/>
      <c r="M1357" s="95"/>
      <c r="N1357" s="72">
        <f t="shared" si="86"/>
        <v>0</v>
      </c>
      <c r="O1357" s="96"/>
      <c r="P1357" s="74"/>
      <c r="Q1357" s="74"/>
      <c r="R1357" s="74"/>
      <c r="S1357" s="74"/>
      <c r="T1357" s="74"/>
      <c r="U1357" s="74"/>
      <c r="V1357" s="74"/>
      <c r="W1357" s="74"/>
      <c r="X1357" s="74"/>
      <c r="Y1357" s="74"/>
      <c r="Z1357" s="74"/>
      <c r="AA1357" s="74"/>
      <c r="AB1357" s="74"/>
      <c r="AC1357" s="74"/>
      <c r="AD1357" s="74"/>
      <c r="AE1357" s="74"/>
      <c r="AF1357" s="74"/>
      <c r="AG1357" s="74"/>
    </row>
    <row r="1358" ht="22.5" customHeight="1">
      <c r="A1358" s="86">
        <v>45888.0</v>
      </c>
      <c r="B1358" s="63" t="s">
        <v>27</v>
      </c>
      <c r="C1358" s="79"/>
      <c r="D1358" s="80">
        <v>152000.0</v>
      </c>
      <c r="E1358" s="66" t="s">
        <v>33</v>
      </c>
      <c r="F1358" s="67" t="s">
        <v>1002</v>
      </c>
      <c r="G1358" s="68">
        <v>0.0</v>
      </c>
      <c r="H1358" s="69">
        <f t="shared" si="82"/>
        <v>0</v>
      </c>
      <c r="I1358" s="76" t="s">
        <v>53</v>
      </c>
      <c r="J1358" s="87" t="s">
        <v>1070</v>
      </c>
      <c r="K1358" s="95"/>
      <c r="L1358" s="95"/>
      <c r="M1358" s="95"/>
      <c r="N1358" s="72">
        <f t="shared" si="86"/>
        <v>0</v>
      </c>
      <c r="O1358" s="96"/>
      <c r="P1358" s="74"/>
      <c r="Q1358" s="74"/>
      <c r="R1358" s="74"/>
      <c r="S1358" s="74"/>
      <c r="T1358" s="74"/>
      <c r="U1358" s="74"/>
      <c r="V1358" s="74"/>
      <c r="W1358" s="74"/>
      <c r="X1358" s="74"/>
      <c r="Y1358" s="74"/>
      <c r="Z1358" s="74"/>
      <c r="AA1358" s="74"/>
      <c r="AB1358" s="74"/>
      <c r="AC1358" s="74"/>
      <c r="AD1358" s="74"/>
      <c r="AE1358" s="74"/>
      <c r="AF1358" s="74"/>
      <c r="AG1358" s="74"/>
    </row>
    <row r="1359" ht="22.5" customHeight="1">
      <c r="A1359" s="86">
        <v>45889.0</v>
      </c>
      <c r="B1359" s="63" t="s">
        <v>27</v>
      </c>
      <c r="C1359" s="79"/>
      <c r="D1359" s="80">
        <v>1755.0</v>
      </c>
      <c r="E1359" s="66" t="s">
        <v>28</v>
      </c>
      <c r="F1359" s="67" t="s">
        <v>1002</v>
      </c>
      <c r="G1359" s="68">
        <v>20.0</v>
      </c>
      <c r="H1359" s="69">
        <f t="shared" si="82"/>
        <v>292.5</v>
      </c>
      <c r="I1359" s="70" t="s">
        <v>35</v>
      </c>
      <c r="J1359" s="87" t="s">
        <v>500</v>
      </c>
      <c r="K1359" s="95"/>
      <c r="L1359" s="95"/>
      <c r="M1359" s="95"/>
      <c r="N1359" s="72"/>
      <c r="O1359" s="96"/>
      <c r="P1359" s="74"/>
      <c r="Q1359" s="74"/>
      <c r="R1359" s="74"/>
      <c r="S1359" s="74"/>
      <c r="T1359" s="74"/>
      <c r="U1359" s="74"/>
      <c r="V1359" s="74"/>
      <c r="W1359" s="74"/>
      <c r="X1359" s="74"/>
      <c r="Y1359" s="74"/>
      <c r="Z1359" s="74"/>
      <c r="AA1359" s="74"/>
      <c r="AB1359" s="74"/>
      <c r="AC1359" s="74"/>
      <c r="AD1359" s="74"/>
      <c r="AE1359" s="74"/>
      <c r="AF1359" s="74"/>
      <c r="AG1359" s="74"/>
    </row>
    <row r="1360" ht="22.5" customHeight="1">
      <c r="A1360" s="86">
        <v>45894.0</v>
      </c>
      <c r="B1360" s="63" t="s">
        <v>27</v>
      </c>
      <c r="C1360" s="79"/>
      <c r="D1360" s="80">
        <f>806246+16026+367</f>
        <v>822639</v>
      </c>
      <c r="E1360" s="66" t="s">
        <v>28</v>
      </c>
      <c r="F1360" s="67" t="s">
        <v>1002</v>
      </c>
      <c r="G1360" s="69">
        <v>0.0</v>
      </c>
      <c r="H1360" s="69">
        <f t="shared" si="82"/>
        <v>0</v>
      </c>
      <c r="I1360" s="76" t="s">
        <v>280</v>
      </c>
      <c r="J1360" s="98" t="s">
        <v>1071</v>
      </c>
      <c r="K1360" s="95"/>
      <c r="L1360" s="95"/>
      <c r="M1360" s="95"/>
      <c r="N1360" s="72">
        <f t="shared" ref="N1360:N1421" si="87">A1360-IF(M1360&gt;0,M1360,A1360)</f>
        <v>0</v>
      </c>
      <c r="O1360" s="96"/>
      <c r="P1360" s="74"/>
      <c r="Q1360" s="74"/>
      <c r="R1360" s="74"/>
      <c r="S1360" s="74"/>
      <c r="T1360" s="74"/>
      <c r="U1360" s="74"/>
      <c r="V1360" s="74"/>
      <c r="W1360" s="74"/>
      <c r="X1360" s="74"/>
      <c r="Y1360" s="74"/>
      <c r="Z1360" s="74"/>
      <c r="AA1360" s="74"/>
      <c r="AB1360" s="74"/>
      <c r="AC1360" s="74"/>
      <c r="AD1360" s="74"/>
      <c r="AE1360" s="74"/>
      <c r="AF1360" s="74"/>
      <c r="AG1360" s="74"/>
    </row>
    <row r="1361" ht="22.5" customHeight="1">
      <c r="A1361" s="86">
        <v>45895.0</v>
      </c>
      <c r="B1361" s="63" t="s">
        <v>27</v>
      </c>
      <c r="C1361" s="80">
        <v>750000.0</v>
      </c>
      <c r="D1361" s="79"/>
      <c r="E1361" s="66" t="s">
        <v>28</v>
      </c>
      <c r="F1361" s="84" t="s">
        <v>800</v>
      </c>
      <c r="G1361" s="68">
        <v>20.0</v>
      </c>
      <c r="H1361" s="69">
        <f t="shared" si="82"/>
        <v>125000</v>
      </c>
      <c r="I1361" s="76" t="s">
        <v>37</v>
      </c>
      <c r="J1361" s="87" t="s">
        <v>440</v>
      </c>
      <c r="K1361" s="82" t="s">
        <v>804</v>
      </c>
      <c r="L1361" s="82">
        <v>227.0</v>
      </c>
      <c r="M1361" s="128">
        <v>45818.0</v>
      </c>
      <c r="N1361" s="72">
        <f t="shared" si="87"/>
        <v>77</v>
      </c>
      <c r="O1361" s="96"/>
      <c r="P1361" s="74"/>
      <c r="Q1361" s="74"/>
      <c r="R1361" s="74"/>
      <c r="S1361" s="74"/>
      <c r="T1361" s="74"/>
      <c r="U1361" s="74"/>
      <c r="V1361" s="74"/>
      <c r="W1361" s="74"/>
      <c r="X1361" s="74"/>
      <c r="Y1361" s="74"/>
      <c r="Z1361" s="74"/>
      <c r="AA1361" s="74"/>
      <c r="AB1361" s="74"/>
      <c r="AC1361" s="74"/>
      <c r="AD1361" s="74"/>
      <c r="AE1361" s="74"/>
      <c r="AF1361" s="74"/>
      <c r="AG1361" s="74"/>
    </row>
    <row r="1362" ht="22.5" customHeight="1">
      <c r="A1362" s="86">
        <v>45895.0</v>
      </c>
      <c r="B1362" s="63" t="s">
        <v>27</v>
      </c>
      <c r="C1362" s="80">
        <v>1600000.08</v>
      </c>
      <c r="D1362" s="80"/>
      <c r="E1362" s="66" t="s">
        <v>28</v>
      </c>
      <c r="F1362" s="84" t="s">
        <v>722</v>
      </c>
      <c r="G1362" s="68">
        <v>20.0</v>
      </c>
      <c r="H1362" s="69">
        <f t="shared" si="82"/>
        <v>266666.68</v>
      </c>
      <c r="I1362" s="76" t="s">
        <v>37</v>
      </c>
      <c r="J1362" s="87" t="s">
        <v>474</v>
      </c>
      <c r="K1362" s="82" t="s">
        <v>758</v>
      </c>
      <c r="L1362" s="82">
        <v>161.0</v>
      </c>
      <c r="M1362" s="128">
        <v>45789.0</v>
      </c>
      <c r="N1362" s="72">
        <f t="shared" si="87"/>
        <v>106</v>
      </c>
      <c r="O1362" s="96"/>
      <c r="P1362" s="74"/>
      <c r="Q1362" s="74"/>
      <c r="R1362" s="74"/>
      <c r="S1362" s="74"/>
      <c r="T1362" s="74"/>
      <c r="U1362" s="74"/>
      <c r="V1362" s="74"/>
      <c r="W1362" s="74"/>
      <c r="X1362" s="74"/>
      <c r="Y1362" s="74"/>
      <c r="Z1362" s="74"/>
      <c r="AA1362" s="74"/>
      <c r="AB1362" s="74"/>
      <c r="AC1362" s="74"/>
      <c r="AD1362" s="74"/>
      <c r="AE1362" s="74"/>
      <c r="AF1362" s="74"/>
      <c r="AG1362" s="74"/>
    </row>
    <row r="1363" ht="22.5" customHeight="1">
      <c r="A1363" s="86">
        <v>45895.0</v>
      </c>
      <c r="B1363" s="63" t="s">
        <v>27</v>
      </c>
      <c r="C1363" s="80">
        <v>80000.0</v>
      </c>
      <c r="D1363" s="80"/>
      <c r="E1363" s="66" t="s">
        <v>28</v>
      </c>
      <c r="F1363" s="84" t="s">
        <v>722</v>
      </c>
      <c r="G1363" s="68">
        <v>20.0</v>
      </c>
      <c r="H1363" s="69">
        <f t="shared" si="82"/>
        <v>13333.33333</v>
      </c>
      <c r="I1363" s="76" t="s">
        <v>37</v>
      </c>
      <c r="J1363" s="87" t="s">
        <v>474</v>
      </c>
      <c r="K1363" s="82" t="s">
        <v>1072</v>
      </c>
      <c r="L1363" s="82">
        <v>162.0</v>
      </c>
      <c r="M1363" s="128">
        <v>45789.0</v>
      </c>
      <c r="N1363" s="72">
        <f t="shared" si="87"/>
        <v>106</v>
      </c>
      <c r="O1363" s="96"/>
      <c r="P1363" s="74"/>
      <c r="Q1363" s="74"/>
      <c r="R1363" s="74"/>
      <c r="S1363" s="74"/>
      <c r="T1363" s="74"/>
      <c r="U1363" s="74"/>
      <c r="V1363" s="74"/>
      <c r="W1363" s="74"/>
      <c r="X1363" s="74"/>
      <c r="Y1363" s="74"/>
      <c r="Z1363" s="74"/>
      <c r="AA1363" s="74"/>
      <c r="AB1363" s="74"/>
      <c r="AC1363" s="74"/>
      <c r="AD1363" s="74"/>
      <c r="AE1363" s="74"/>
      <c r="AF1363" s="74"/>
      <c r="AG1363" s="74"/>
    </row>
    <row r="1364" ht="22.5" customHeight="1">
      <c r="A1364" s="86">
        <v>45895.0</v>
      </c>
      <c r="B1364" s="63" t="s">
        <v>27</v>
      </c>
      <c r="C1364" s="80">
        <v>1200000.06</v>
      </c>
      <c r="D1364" s="80"/>
      <c r="E1364" s="66" t="s">
        <v>28</v>
      </c>
      <c r="F1364" s="84" t="s">
        <v>722</v>
      </c>
      <c r="G1364" s="68">
        <v>20.0</v>
      </c>
      <c r="H1364" s="69">
        <f t="shared" si="82"/>
        <v>200000.01</v>
      </c>
      <c r="I1364" s="76" t="s">
        <v>37</v>
      </c>
      <c r="J1364" s="87" t="s">
        <v>474</v>
      </c>
      <c r="K1364" s="82" t="s">
        <v>801</v>
      </c>
      <c r="L1364" s="82">
        <v>163.0</v>
      </c>
      <c r="M1364" s="128">
        <v>45789.0</v>
      </c>
      <c r="N1364" s="72">
        <f t="shared" si="87"/>
        <v>106</v>
      </c>
      <c r="O1364" s="96"/>
      <c r="P1364" s="74"/>
      <c r="Q1364" s="74"/>
      <c r="R1364" s="74"/>
      <c r="S1364" s="74"/>
      <c r="T1364" s="74"/>
      <c r="U1364" s="74"/>
      <c r="V1364" s="74"/>
      <c r="W1364" s="74"/>
      <c r="X1364" s="74"/>
      <c r="Y1364" s="74"/>
      <c r="Z1364" s="74"/>
      <c r="AA1364" s="74"/>
      <c r="AB1364" s="74"/>
      <c r="AC1364" s="74"/>
      <c r="AD1364" s="74"/>
      <c r="AE1364" s="74"/>
      <c r="AF1364" s="74"/>
      <c r="AG1364" s="74"/>
    </row>
    <row r="1365" ht="22.5" customHeight="1">
      <c r="A1365" s="86">
        <v>45895.0</v>
      </c>
      <c r="B1365" s="63" t="s">
        <v>27</v>
      </c>
      <c r="C1365" s="80">
        <v>60000.0</v>
      </c>
      <c r="D1365" s="80"/>
      <c r="E1365" s="66" t="s">
        <v>28</v>
      </c>
      <c r="F1365" s="84" t="s">
        <v>722</v>
      </c>
      <c r="G1365" s="68">
        <v>20.0</v>
      </c>
      <c r="H1365" s="69">
        <f t="shared" si="82"/>
        <v>10000</v>
      </c>
      <c r="I1365" s="76" t="s">
        <v>37</v>
      </c>
      <c r="J1365" s="87" t="s">
        <v>474</v>
      </c>
      <c r="K1365" s="82" t="s">
        <v>1073</v>
      </c>
      <c r="L1365" s="82">
        <v>164.0</v>
      </c>
      <c r="M1365" s="128">
        <v>45789.0</v>
      </c>
      <c r="N1365" s="72">
        <f t="shared" si="87"/>
        <v>106</v>
      </c>
      <c r="O1365" s="96"/>
      <c r="P1365" s="74"/>
      <c r="Q1365" s="74"/>
      <c r="R1365" s="74"/>
      <c r="S1365" s="74"/>
      <c r="T1365" s="74"/>
      <c r="U1365" s="74"/>
      <c r="V1365" s="74"/>
      <c r="W1365" s="74"/>
      <c r="X1365" s="74"/>
      <c r="Y1365" s="74"/>
      <c r="Z1365" s="74"/>
      <c r="AA1365" s="74"/>
      <c r="AB1365" s="74"/>
      <c r="AC1365" s="74"/>
      <c r="AD1365" s="74"/>
      <c r="AE1365" s="74"/>
      <c r="AF1365" s="74"/>
      <c r="AG1365" s="74"/>
    </row>
    <row r="1366" ht="22.5" customHeight="1">
      <c r="A1366" s="86">
        <v>45895.0</v>
      </c>
      <c r="B1366" s="63" t="s">
        <v>27</v>
      </c>
      <c r="C1366" s="80">
        <v>1200000.06</v>
      </c>
      <c r="D1366" s="80"/>
      <c r="E1366" s="66" t="s">
        <v>28</v>
      </c>
      <c r="F1366" s="84" t="s">
        <v>722</v>
      </c>
      <c r="G1366" s="68">
        <v>20.0</v>
      </c>
      <c r="H1366" s="69">
        <f t="shared" si="82"/>
        <v>200000.01</v>
      </c>
      <c r="I1366" s="76" t="s">
        <v>37</v>
      </c>
      <c r="J1366" s="87" t="s">
        <v>474</v>
      </c>
      <c r="K1366" s="82" t="s">
        <v>804</v>
      </c>
      <c r="L1366" s="82">
        <v>165.0</v>
      </c>
      <c r="M1366" s="128">
        <v>45789.0</v>
      </c>
      <c r="N1366" s="72">
        <f t="shared" si="87"/>
        <v>106</v>
      </c>
      <c r="O1366" s="96"/>
      <c r="P1366" s="74"/>
      <c r="Q1366" s="74"/>
      <c r="R1366" s="74"/>
      <c r="S1366" s="74"/>
      <c r="T1366" s="74"/>
      <c r="U1366" s="74"/>
      <c r="V1366" s="74"/>
      <c r="W1366" s="74"/>
      <c r="X1366" s="74"/>
      <c r="Y1366" s="74"/>
      <c r="Z1366" s="74"/>
      <c r="AA1366" s="74"/>
      <c r="AB1366" s="74"/>
      <c r="AC1366" s="74"/>
      <c r="AD1366" s="74"/>
      <c r="AE1366" s="74"/>
      <c r="AF1366" s="74"/>
      <c r="AG1366" s="74"/>
    </row>
    <row r="1367" ht="22.5" customHeight="1">
      <c r="A1367" s="86">
        <v>45895.0</v>
      </c>
      <c r="B1367" s="63" t="s">
        <v>27</v>
      </c>
      <c r="C1367" s="80">
        <v>60000.0</v>
      </c>
      <c r="D1367" s="80"/>
      <c r="E1367" s="66" t="s">
        <v>28</v>
      </c>
      <c r="F1367" s="84" t="s">
        <v>722</v>
      </c>
      <c r="G1367" s="68">
        <v>20.0</v>
      </c>
      <c r="H1367" s="69">
        <f t="shared" si="82"/>
        <v>10000</v>
      </c>
      <c r="I1367" s="76" t="s">
        <v>37</v>
      </c>
      <c r="J1367" s="87" t="s">
        <v>474</v>
      </c>
      <c r="K1367" s="82" t="s">
        <v>1074</v>
      </c>
      <c r="L1367" s="82">
        <v>166.0</v>
      </c>
      <c r="M1367" s="128">
        <v>45789.0</v>
      </c>
      <c r="N1367" s="72">
        <f t="shared" si="87"/>
        <v>106</v>
      </c>
      <c r="O1367" s="96"/>
      <c r="P1367" s="74"/>
      <c r="Q1367" s="74"/>
      <c r="R1367" s="74"/>
      <c r="S1367" s="74"/>
      <c r="T1367" s="74"/>
      <c r="U1367" s="74"/>
      <c r="V1367" s="74"/>
      <c r="W1367" s="74"/>
      <c r="X1367" s="74"/>
      <c r="Y1367" s="74"/>
      <c r="Z1367" s="74"/>
      <c r="AA1367" s="74"/>
      <c r="AB1367" s="74"/>
      <c r="AC1367" s="74"/>
      <c r="AD1367" s="74"/>
      <c r="AE1367" s="74"/>
      <c r="AF1367" s="74"/>
      <c r="AG1367" s="74"/>
    </row>
    <row r="1368" ht="22.5" customHeight="1">
      <c r="A1368" s="86">
        <v>45895.0</v>
      </c>
      <c r="B1368" s="63" t="s">
        <v>27</v>
      </c>
      <c r="C1368" s="80">
        <v>1200420.06</v>
      </c>
      <c r="D1368" s="80"/>
      <c r="E1368" s="66" t="s">
        <v>28</v>
      </c>
      <c r="F1368" s="84" t="s">
        <v>722</v>
      </c>
      <c r="G1368" s="68">
        <v>20.0</v>
      </c>
      <c r="H1368" s="69">
        <f t="shared" si="82"/>
        <v>200070.01</v>
      </c>
      <c r="I1368" s="76" t="s">
        <v>37</v>
      </c>
      <c r="J1368" s="87" t="s">
        <v>474</v>
      </c>
      <c r="K1368" s="82" t="s">
        <v>858</v>
      </c>
      <c r="L1368" s="82">
        <v>169.0</v>
      </c>
      <c r="M1368" s="128">
        <v>45789.0</v>
      </c>
      <c r="N1368" s="72">
        <f t="shared" si="87"/>
        <v>106</v>
      </c>
      <c r="O1368" s="96"/>
      <c r="P1368" s="74"/>
      <c r="Q1368" s="74"/>
      <c r="R1368" s="74"/>
      <c r="S1368" s="74"/>
      <c r="T1368" s="74"/>
      <c r="U1368" s="74"/>
      <c r="V1368" s="74"/>
      <c r="W1368" s="74"/>
      <c r="X1368" s="74"/>
      <c r="Y1368" s="74"/>
      <c r="Z1368" s="74"/>
      <c r="AA1368" s="74"/>
      <c r="AB1368" s="74"/>
      <c r="AC1368" s="74"/>
      <c r="AD1368" s="74"/>
      <c r="AE1368" s="74"/>
      <c r="AF1368" s="74"/>
      <c r="AG1368" s="74"/>
    </row>
    <row r="1369" ht="22.5" customHeight="1">
      <c r="A1369" s="86">
        <v>45895.0</v>
      </c>
      <c r="B1369" s="63" t="s">
        <v>27</v>
      </c>
      <c r="C1369" s="80">
        <v>600000.24</v>
      </c>
      <c r="D1369" s="80"/>
      <c r="E1369" s="66" t="s">
        <v>28</v>
      </c>
      <c r="F1369" s="84" t="s">
        <v>722</v>
      </c>
      <c r="G1369" s="68">
        <v>20.0</v>
      </c>
      <c r="H1369" s="69">
        <f t="shared" si="82"/>
        <v>100000.04</v>
      </c>
      <c r="I1369" s="76" t="s">
        <v>37</v>
      </c>
      <c r="J1369" s="87" t="s">
        <v>474</v>
      </c>
      <c r="K1369" s="82" t="s">
        <v>803</v>
      </c>
      <c r="L1369" s="82">
        <v>170.0</v>
      </c>
      <c r="M1369" s="128">
        <v>45789.0</v>
      </c>
      <c r="N1369" s="72">
        <f t="shared" si="87"/>
        <v>106</v>
      </c>
      <c r="O1369" s="96"/>
      <c r="P1369" s="74"/>
      <c r="Q1369" s="74"/>
      <c r="R1369" s="74"/>
      <c r="S1369" s="74"/>
      <c r="T1369" s="74"/>
      <c r="U1369" s="74"/>
      <c r="V1369" s="74"/>
      <c r="W1369" s="74"/>
      <c r="X1369" s="74"/>
      <c r="Y1369" s="74"/>
      <c r="Z1369" s="74"/>
      <c r="AA1369" s="74"/>
      <c r="AB1369" s="74"/>
      <c r="AC1369" s="74"/>
      <c r="AD1369" s="74"/>
      <c r="AE1369" s="74"/>
      <c r="AF1369" s="74"/>
      <c r="AG1369" s="74"/>
    </row>
    <row r="1370" ht="22.5" customHeight="1">
      <c r="A1370" s="86">
        <v>45895.0</v>
      </c>
      <c r="B1370" s="63" t="s">
        <v>27</v>
      </c>
      <c r="C1370" s="80">
        <v>1200420.06</v>
      </c>
      <c r="D1370" s="80"/>
      <c r="E1370" s="66" t="s">
        <v>28</v>
      </c>
      <c r="F1370" s="84" t="s">
        <v>722</v>
      </c>
      <c r="G1370" s="68">
        <v>20.0</v>
      </c>
      <c r="H1370" s="69">
        <f t="shared" si="82"/>
        <v>200070.01</v>
      </c>
      <c r="I1370" s="76" t="s">
        <v>37</v>
      </c>
      <c r="J1370" s="87" t="s">
        <v>474</v>
      </c>
      <c r="K1370" s="82" t="s">
        <v>802</v>
      </c>
      <c r="L1370" s="82">
        <v>171.0</v>
      </c>
      <c r="M1370" s="128">
        <v>45790.0</v>
      </c>
      <c r="N1370" s="72">
        <f t="shared" si="87"/>
        <v>105</v>
      </c>
      <c r="O1370" s="96"/>
      <c r="P1370" s="74"/>
      <c r="Q1370" s="74"/>
      <c r="R1370" s="74"/>
      <c r="S1370" s="74"/>
      <c r="T1370" s="74"/>
      <c r="U1370" s="74"/>
      <c r="V1370" s="74"/>
      <c r="W1370" s="74"/>
      <c r="X1370" s="74"/>
      <c r="Y1370" s="74"/>
      <c r="Z1370" s="74"/>
      <c r="AA1370" s="74"/>
      <c r="AB1370" s="74"/>
      <c r="AC1370" s="74"/>
      <c r="AD1370" s="74"/>
      <c r="AE1370" s="74"/>
      <c r="AF1370" s="74"/>
      <c r="AG1370" s="74"/>
    </row>
    <row r="1371" ht="22.5" customHeight="1">
      <c r="A1371" s="86">
        <v>45895.0</v>
      </c>
      <c r="B1371" s="63" t="s">
        <v>27</v>
      </c>
      <c r="C1371" s="79"/>
      <c r="D1371" s="80">
        <v>6897134.93</v>
      </c>
      <c r="E1371" s="66" t="s">
        <v>28</v>
      </c>
      <c r="F1371" s="84" t="s">
        <v>722</v>
      </c>
      <c r="G1371" s="68">
        <v>20.0</v>
      </c>
      <c r="H1371" s="69">
        <f t="shared" si="82"/>
        <v>1149522.488</v>
      </c>
      <c r="I1371" s="76" t="s">
        <v>101</v>
      </c>
      <c r="J1371" s="100" t="s">
        <v>102</v>
      </c>
      <c r="K1371" s="95"/>
      <c r="L1371" s="95"/>
      <c r="M1371" s="95"/>
      <c r="N1371" s="72">
        <f t="shared" si="87"/>
        <v>0</v>
      </c>
      <c r="O1371" s="140" t="s">
        <v>1075</v>
      </c>
      <c r="P1371" s="74"/>
      <c r="Q1371" s="74"/>
      <c r="R1371" s="74"/>
      <c r="S1371" s="74"/>
      <c r="T1371" s="74"/>
      <c r="U1371" s="74"/>
      <c r="V1371" s="74"/>
      <c r="W1371" s="74"/>
      <c r="X1371" s="74"/>
      <c r="Y1371" s="74"/>
      <c r="Z1371" s="74"/>
      <c r="AA1371" s="74"/>
      <c r="AB1371" s="74"/>
      <c r="AC1371" s="74"/>
      <c r="AD1371" s="74"/>
      <c r="AE1371" s="74"/>
      <c r="AF1371" s="74"/>
      <c r="AG1371" s="74"/>
    </row>
    <row r="1372" ht="22.5" customHeight="1">
      <c r="A1372" s="86">
        <v>45895.0</v>
      </c>
      <c r="B1372" s="63" t="s">
        <v>27</v>
      </c>
      <c r="C1372" s="80">
        <v>1372800.24</v>
      </c>
      <c r="D1372" s="79"/>
      <c r="E1372" s="66" t="s">
        <v>28</v>
      </c>
      <c r="F1372" s="84" t="s">
        <v>800</v>
      </c>
      <c r="G1372" s="68">
        <v>20.0</v>
      </c>
      <c r="H1372" s="69">
        <f t="shared" si="82"/>
        <v>228800.04</v>
      </c>
      <c r="I1372" s="76" t="s">
        <v>37</v>
      </c>
      <c r="J1372" s="87" t="s">
        <v>474</v>
      </c>
      <c r="K1372" s="82" t="s">
        <v>1076</v>
      </c>
      <c r="L1372" s="82">
        <v>211.0</v>
      </c>
      <c r="M1372" s="128">
        <v>45817.0</v>
      </c>
      <c r="N1372" s="72">
        <f t="shared" si="87"/>
        <v>78</v>
      </c>
      <c r="O1372" s="96"/>
      <c r="P1372" s="74"/>
      <c r="Q1372" s="74"/>
      <c r="R1372" s="74"/>
      <c r="S1372" s="74"/>
      <c r="T1372" s="74"/>
      <c r="U1372" s="74"/>
      <c r="V1372" s="74"/>
      <c r="W1372" s="74"/>
      <c r="X1372" s="74"/>
      <c r="Y1372" s="74"/>
      <c r="Z1372" s="74"/>
      <c r="AA1372" s="74"/>
      <c r="AB1372" s="74"/>
      <c r="AC1372" s="74"/>
      <c r="AD1372" s="74"/>
      <c r="AE1372" s="74"/>
      <c r="AF1372" s="74"/>
      <c r="AG1372" s="74"/>
    </row>
    <row r="1373" ht="22.5" customHeight="1">
      <c r="A1373" s="86">
        <v>45895.0</v>
      </c>
      <c r="B1373" s="63" t="s">
        <v>27</v>
      </c>
      <c r="C1373" s="80">
        <v>600000.24</v>
      </c>
      <c r="D1373" s="79"/>
      <c r="E1373" s="66" t="s">
        <v>28</v>
      </c>
      <c r="F1373" s="84" t="s">
        <v>800</v>
      </c>
      <c r="G1373" s="68">
        <v>20.0</v>
      </c>
      <c r="H1373" s="69">
        <f t="shared" si="82"/>
        <v>100000.04</v>
      </c>
      <c r="I1373" s="76" t="s">
        <v>37</v>
      </c>
      <c r="J1373" s="87" t="s">
        <v>474</v>
      </c>
      <c r="K1373" s="82" t="s">
        <v>1077</v>
      </c>
      <c r="L1373" s="82">
        <v>212.0</v>
      </c>
      <c r="M1373" s="128">
        <v>45817.0</v>
      </c>
      <c r="N1373" s="72">
        <f t="shared" si="87"/>
        <v>78</v>
      </c>
      <c r="O1373" s="96"/>
      <c r="P1373" s="74"/>
      <c r="Q1373" s="74"/>
      <c r="R1373" s="74"/>
      <c r="S1373" s="74"/>
      <c r="T1373" s="74"/>
      <c r="U1373" s="74"/>
      <c r="V1373" s="74"/>
      <c r="W1373" s="74"/>
      <c r="X1373" s="74"/>
      <c r="Y1373" s="74"/>
      <c r="Z1373" s="74"/>
      <c r="AA1373" s="74"/>
      <c r="AB1373" s="74"/>
      <c r="AC1373" s="74"/>
      <c r="AD1373" s="74"/>
      <c r="AE1373" s="74"/>
      <c r="AF1373" s="74"/>
      <c r="AG1373" s="74"/>
    </row>
    <row r="1374" ht="22.5" customHeight="1">
      <c r="A1374" s="86">
        <v>45895.0</v>
      </c>
      <c r="B1374" s="63" t="s">
        <v>27</v>
      </c>
      <c r="C1374" s="80">
        <v>600000.24</v>
      </c>
      <c r="D1374" s="79"/>
      <c r="E1374" s="66" t="s">
        <v>28</v>
      </c>
      <c r="F1374" s="84" t="s">
        <v>800</v>
      </c>
      <c r="G1374" s="68">
        <v>20.0</v>
      </c>
      <c r="H1374" s="69">
        <f t="shared" si="82"/>
        <v>100000.04</v>
      </c>
      <c r="I1374" s="76" t="s">
        <v>37</v>
      </c>
      <c r="J1374" s="87" t="s">
        <v>474</v>
      </c>
      <c r="K1374" s="82" t="s">
        <v>1013</v>
      </c>
      <c r="L1374" s="82">
        <v>213.0</v>
      </c>
      <c r="M1374" s="128">
        <v>45817.0</v>
      </c>
      <c r="N1374" s="72">
        <f t="shared" si="87"/>
        <v>78</v>
      </c>
      <c r="O1374" s="96"/>
      <c r="P1374" s="74"/>
      <c r="Q1374" s="74"/>
      <c r="R1374" s="74"/>
      <c r="S1374" s="74"/>
      <c r="T1374" s="74"/>
      <c r="U1374" s="74"/>
      <c r="V1374" s="74"/>
      <c r="W1374" s="74"/>
      <c r="X1374" s="74"/>
      <c r="Y1374" s="74"/>
      <c r="Z1374" s="74"/>
      <c r="AA1374" s="74"/>
      <c r="AB1374" s="74"/>
      <c r="AC1374" s="74"/>
      <c r="AD1374" s="74"/>
      <c r="AE1374" s="74"/>
      <c r="AF1374" s="74"/>
      <c r="AG1374" s="74"/>
    </row>
    <row r="1375" ht="22.5" customHeight="1">
      <c r="A1375" s="86">
        <v>45895.0</v>
      </c>
      <c r="B1375" s="63" t="s">
        <v>27</v>
      </c>
      <c r="C1375" s="80">
        <v>840000.0</v>
      </c>
      <c r="D1375" s="79"/>
      <c r="E1375" s="66" t="s">
        <v>28</v>
      </c>
      <c r="F1375" s="84" t="s">
        <v>800</v>
      </c>
      <c r="G1375" s="68">
        <v>20.0</v>
      </c>
      <c r="H1375" s="69">
        <f t="shared" si="82"/>
        <v>140000</v>
      </c>
      <c r="I1375" s="76" t="s">
        <v>37</v>
      </c>
      <c r="J1375" s="87" t="s">
        <v>474</v>
      </c>
      <c r="K1375" s="82" t="s">
        <v>1078</v>
      </c>
      <c r="L1375" s="82">
        <v>218.0</v>
      </c>
      <c r="M1375" s="128">
        <v>45818.0</v>
      </c>
      <c r="N1375" s="72">
        <f t="shared" si="87"/>
        <v>77</v>
      </c>
      <c r="O1375" s="96"/>
      <c r="P1375" s="74"/>
      <c r="Q1375" s="74"/>
      <c r="R1375" s="74"/>
      <c r="S1375" s="74"/>
      <c r="T1375" s="74"/>
      <c r="U1375" s="74"/>
      <c r="V1375" s="74"/>
      <c r="W1375" s="74"/>
      <c r="X1375" s="74"/>
      <c r="Y1375" s="74"/>
      <c r="Z1375" s="74"/>
      <c r="AA1375" s="74"/>
      <c r="AB1375" s="74"/>
      <c r="AC1375" s="74"/>
      <c r="AD1375" s="74"/>
      <c r="AE1375" s="74"/>
      <c r="AF1375" s="74"/>
      <c r="AG1375" s="74"/>
    </row>
    <row r="1376" ht="22.5" customHeight="1">
      <c r="A1376" s="86">
        <v>45895.0</v>
      </c>
      <c r="B1376" s="63" t="s">
        <v>27</v>
      </c>
      <c r="C1376" s="80">
        <v>60000.0</v>
      </c>
      <c r="D1376" s="79"/>
      <c r="E1376" s="66" t="s">
        <v>28</v>
      </c>
      <c r="F1376" s="84" t="s">
        <v>800</v>
      </c>
      <c r="G1376" s="68">
        <v>20.0</v>
      </c>
      <c r="H1376" s="69">
        <f t="shared" si="82"/>
        <v>10000</v>
      </c>
      <c r="I1376" s="76" t="s">
        <v>37</v>
      </c>
      <c r="J1376" s="87" t="s">
        <v>474</v>
      </c>
      <c r="K1376" s="82" t="s">
        <v>1079</v>
      </c>
      <c r="L1376" s="82">
        <v>231.0</v>
      </c>
      <c r="M1376" s="128">
        <v>45824.0</v>
      </c>
      <c r="N1376" s="72">
        <f t="shared" si="87"/>
        <v>71</v>
      </c>
      <c r="O1376" s="96"/>
      <c r="P1376" s="74"/>
      <c r="Q1376" s="74"/>
      <c r="R1376" s="74"/>
      <c r="S1376" s="74"/>
      <c r="T1376" s="74"/>
      <c r="U1376" s="74"/>
      <c r="V1376" s="74"/>
      <c r="W1376" s="74"/>
      <c r="X1376" s="74"/>
      <c r="Y1376" s="74"/>
      <c r="Z1376" s="74"/>
      <c r="AA1376" s="74"/>
      <c r="AB1376" s="74"/>
      <c r="AC1376" s="74"/>
      <c r="AD1376" s="74"/>
      <c r="AE1376" s="74"/>
      <c r="AF1376" s="74"/>
      <c r="AG1376" s="74"/>
    </row>
    <row r="1377" ht="22.5" customHeight="1">
      <c r="A1377" s="86">
        <v>45895.0</v>
      </c>
      <c r="B1377" s="63" t="s">
        <v>27</v>
      </c>
      <c r="C1377" s="80">
        <v>1200000.06</v>
      </c>
      <c r="D1377" s="79"/>
      <c r="E1377" s="66" t="s">
        <v>28</v>
      </c>
      <c r="F1377" s="84" t="s">
        <v>800</v>
      </c>
      <c r="G1377" s="68">
        <v>20.0</v>
      </c>
      <c r="H1377" s="69">
        <f t="shared" si="82"/>
        <v>200000.01</v>
      </c>
      <c r="I1377" s="76" t="s">
        <v>37</v>
      </c>
      <c r="J1377" s="87" t="s">
        <v>474</v>
      </c>
      <c r="K1377" s="82" t="s">
        <v>950</v>
      </c>
      <c r="L1377" s="82">
        <v>232.0</v>
      </c>
      <c r="M1377" s="128">
        <v>45824.0</v>
      </c>
      <c r="N1377" s="72">
        <f t="shared" si="87"/>
        <v>71</v>
      </c>
      <c r="O1377" s="96"/>
      <c r="P1377" s="74"/>
      <c r="Q1377" s="74"/>
      <c r="R1377" s="74"/>
      <c r="S1377" s="74"/>
      <c r="T1377" s="74"/>
      <c r="U1377" s="74"/>
      <c r="V1377" s="74"/>
      <c r="W1377" s="74"/>
      <c r="X1377" s="74"/>
      <c r="Y1377" s="74"/>
      <c r="Z1377" s="74"/>
      <c r="AA1377" s="74"/>
      <c r="AB1377" s="74"/>
      <c r="AC1377" s="74"/>
      <c r="AD1377" s="74"/>
      <c r="AE1377" s="74"/>
      <c r="AF1377" s="74"/>
      <c r="AG1377" s="74"/>
    </row>
    <row r="1378" ht="22.5" customHeight="1">
      <c r="A1378" s="86">
        <v>45895.0</v>
      </c>
      <c r="B1378" s="63" t="s">
        <v>27</v>
      </c>
      <c r="C1378" s="80">
        <v>1200000.06</v>
      </c>
      <c r="D1378" s="79"/>
      <c r="E1378" s="66" t="s">
        <v>28</v>
      </c>
      <c r="F1378" s="84" t="s">
        <v>800</v>
      </c>
      <c r="G1378" s="68">
        <v>20.0</v>
      </c>
      <c r="H1378" s="69">
        <f t="shared" si="82"/>
        <v>200000.01</v>
      </c>
      <c r="I1378" s="76" t="s">
        <v>37</v>
      </c>
      <c r="J1378" s="87" t="s">
        <v>474</v>
      </c>
      <c r="K1378" s="82" t="s">
        <v>856</v>
      </c>
      <c r="L1378" s="82">
        <v>233.0</v>
      </c>
      <c r="M1378" s="128">
        <v>45824.0</v>
      </c>
      <c r="N1378" s="72">
        <f t="shared" si="87"/>
        <v>71</v>
      </c>
      <c r="O1378" s="96"/>
      <c r="P1378" s="74"/>
      <c r="Q1378" s="74"/>
      <c r="R1378" s="74"/>
      <c r="S1378" s="74"/>
      <c r="T1378" s="74"/>
      <c r="U1378" s="74"/>
      <c r="V1378" s="74"/>
      <c r="W1378" s="74"/>
      <c r="X1378" s="74"/>
      <c r="Y1378" s="74"/>
      <c r="Z1378" s="74"/>
      <c r="AA1378" s="74"/>
      <c r="AB1378" s="74"/>
      <c r="AC1378" s="74"/>
      <c r="AD1378" s="74"/>
      <c r="AE1378" s="74"/>
      <c r="AF1378" s="74"/>
      <c r="AG1378" s="74"/>
    </row>
    <row r="1379" ht="22.5" customHeight="1">
      <c r="A1379" s="86">
        <v>45895.0</v>
      </c>
      <c r="B1379" s="63" t="s">
        <v>27</v>
      </c>
      <c r="C1379" s="80">
        <v>60000.0</v>
      </c>
      <c r="D1379" s="79"/>
      <c r="E1379" s="66" t="s">
        <v>28</v>
      </c>
      <c r="F1379" s="84" t="s">
        <v>800</v>
      </c>
      <c r="G1379" s="68">
        <v>20.0</v>
      </c>
      <c r="H1379" s="69">
        <f t="shared" si="82"/>
        <v>10000</v>
      </c>
      <c r="I1379" s="76" t="s">
        <v>37</v>
      </c>
      <c r="J1379" s="87" t="s">
        <v>474</v>
      </c>
      <c r="K1379" s="82" t="s">
        <v>1080</v>
      </c>
      <c r="L1379" s="82">
        <v>234.0</v>
      </c>
      <c r="M1379" s="128">
        <v>45824.0</v>
      </c>
      <c r="N1379" s="72">
        <f t="shared" si="87"/>
        <v>71</v>
      </c>
      <c r="O1379" s="96"/>
      <c r="P1379" s="74"/>
      <c r="Q1379" s="74"/>
      <c r="R1379" s="74"/>
      <c r="S1379" s="74"/>
      <c r="T1379" s="74"/>
      <c r="U1379" s="74"/>
      <c r="V1379" s="74"/>
      <c r="W1379" s="74"/>
      <c r="X1379" s="74"/>
      <c r="Y1379" s="74"/>
      <c r="Z1379" s="74"/>
      <c r="AA1379" s="74"/>
      <c r="AB1379" s="74"/>
      <c r="AC1379" s="74"/>
      <c r="AD1379" s="74"/>
      <c r="AE1379" s="74"/>
      <c r="AF1379" s="74"/>
      <c r="AG1379" s="74"/>
    </row>
    <row r="1380" ht="22.5" customHeight="1">
      <c r="A1380" s="86">
        <v>45895.0</v>
      </c>
      <c r="B1380" s="63" t="s">
        <v>27</v>
      </c>
      <c r="C1380" s="80">
        <v>1600000.08</v>
      </c>
      <c r="D1380" s="79"/>
      <c r="E1380" s="66" t="s">
        <v>28</v>
      </c>
      <c r="F1380" s="84" t="s">
        <v>800</v>
      </c>
      <c r="G1380" s="68">
        <v>20.0</v>
      </c>
      <c r="H1380" s="69">
        <f t="shared" si="82"/>
        <v>266666.68</v>
      </c>
      <c r="I1380" s="76" t="s">
        <v>37</v>
      </c>
      <c r="J1380" s="87" t="s">
        <v>474</v>
      </c>
      <c r="K1380" s="82" t="s">
        <v>857</v>
      </c>
      <c r="L1380" s="82">
        <v>235.0</v>
      </c>
      <c r="M1380" s="128">
        <v>45824.0</v>
      </c>
      <c r="N1380" s="72">
        <f t="shared" si="87"/>
        <v>71</v>
      </c>
      <c r="O1380" s="96"/>
      <c r="P1380" s="74"/>
      <c r="Q1380" s="74"/>
      <c r="R1380" s="74"/>
      <c r="S1380" s="74"/>
      <c r="T1380" s="74"/>
      <c r="U1380" s="74"/>
      <c r="V1380" s="74"/>
      <c r="W1380" s="74"/>
      <c r="X1380" s="74"/>
      <c r="Y1380" s="74"/>
      <c r="Z1380" s="74"/>
      <c r="AA1380" s="74"/>
      <c r="AB1380" s="74"/>
      <c r="AC1380" s="74"/>
      <c r="AD1380" s="74"/>
      <c r="AE1380" s="74"/>
      <c r="AF1380" s="74"/>
      <c r="AG1380" s="74"/>
    </row>
    <row r="1381" ht="22.5" customHeight="1">
      <c r="A1381" s="86">
        <v>45895.0</v>
      </c>
      <c r="B1381" s="63" t="s">
        <v>27</v>
      </c>
      <c r="C1381" s="80">
        <v>80000.0</v>
      </c>
      <c r="D1381" s="79"/>
      <c r="E1381" s="66" t="s">
        <v>28</v>
      </c>
      <c r="F1381" s="84" t="s">
        <v>800</v>
      </c>
      <c r="G1381" s="68">
        <v>20.0</v>
      </c>
      <c r="H1381" s="69">
        <f t="shared" si="82"/>
        <v>13333.33333</v>
      </c>
      <c r="I1381" s="76" t="s">
        <v>37</v>
      </c>
      <c r="J1381" s="87" t="s">
        <v>474</v>
      </c>
      <c r="K1381" s="82" t="s">
        <v>1081</v>
      </c>
      <c r="L1381" s="82">
        <v>236.0</v>
      </c>
      <c r="M1381" s="128">
        <v>45824.0</v>
      </c>
      <c r="N1381" s="72">
        <f t="shared" si="87"/>
        <v>71</v>
      </c>
      <c r="O1381" s="96"/>
      <c r="P1381" s="74"/>
      <c r="Q1381" s="74"/>
      <c r="R1381" s="74"/>
      <c r="S1381" s="74"/>
      <c r="T1381" s="74"/>
      <c r="U1381" s="74"/>
      <c r="V1381" s="74"/>
      <c r="W1381" s="74"/>
      <c r="X1381" s="74"/>
      <c r="Y1381" s="74"/>
      <c r="Z1381" s="74"/>
      <c r="AA1381" s="74"/>
      <c r="AB1381" s="74"/>
      <c r="AC1381" s="74"/>
      <c r="AD1381" s="74"/>
      <c r="AE1381" s="74"/>
      <c r="AF1381" s="74"/>
      <c r="AG1381" s="74"/>
    </row>
    <row r="1382" ht="22.5" customHeight="1">
      <c r="A1382" s="86">
        <v>45895.0</v>
      </c>
      <c r="B1382" s="63" t="s">
        <v>27</v>
      </c>
      <c r="C1382" s="79"/>
      <c r="D1382" s="80">
        <v>20383.56</v>
      </c>
      <c r="E1382" s="66" t="s">
        <v>28</v>
      </c>
      <c r="F1382" s="84" t="s">
        <v>1002</v>
      </c>
      <c r="G1382" s="69">
        <v>0.0</v>
      </c>
      <c r="H1382" s="69">
        <f t="shared" si="82"/>
        <v>0</v>
      </c>
      <c r="I1382" s="76" t="s">
        <v>294</v>
      </c>
      <c r="J1382" s="87" t="s">
        <v>719</v>
      </c>
      <c r="K1382" s="95"/>
      <c r="L1382" s="95"/>
      <c r="M1382" s="95"/>
      <c r="N1382" s="72">
        <f t="shared" si="87"/>
        <v>0</v>
      </c>
      <c r="O1382" s="83" t="s">
        <v>1082</v>
      </c>
      <c r="P1382" s="74"/>
      <c r="Q1382" s="74"/>
      <c r="R1382" s="74"/>
      <c r="S1382" s="74"/>
      <c r="T1382" s="74"/>
      <c r="U1382" s="74"/>
      <c r="V1382" s="74"/>
      <c r="W1382" s="74"/>
      <c r="X1382" s="74"/>
      <c r="Y1382" s="74"/>
      <c r="Z1382" s="74"/>
      <c r="AA1382" s="74"/>
      <c r="AB1382" s="74"/>
      <c r="AC1382" s="74"/>
      <c r="AD1382" s="74"/>
      <c r="AE1382" s="74"/>
      <c r="AF1382" s="74"/>
      <c r="AG1382" s="74"/>
    </row>
    <row r="1383" ht="22.5" customHeight="1">
      <c r="A1383" s="86">
        <v>45895.0</v>
      </c>
      <c r="B1383" s="63" t="s">
        <v>27</v>
      </c>
      <c r="C1383" s="79"/>
      <c r="D1383" s="80">
        <v>641928.0</v>
      </c>
      <c r="E1383" s="66" t="s">
        <v>28</v>
      </c>
      <c r="F1383" s="84" t="s">
        <v>722</v>
      </c>
      <c r="G1383" s="69">
        <v>0.0</v>
      </c>
      <c r="H1383" s="69">
        <f t="shared" si="82"/>
        <v>0</v>
      </c>
      <c r="I1383" s="76" t="s">
        <v>93</v>
      </c>
      <c r="J1383" s="133" t="s">
        <v>516</v>
      </c>
      <c r="K1383" s="95"/>
      <c r="L1383" s="95"/>
      <c r="M1383" s="95"/>
      <c r="N1383" s="72">
        <f t="shared" si="87"/>
        <v>0</v>
      </c>
      <c r="O1383" s="140" t="s">
        <v>1083</v>
      </c>
      <c r="P1383" s="74"/>
      <c r="Q1383" s="74"/>
      <c r="R1383" s="74"/>
      <c r="S1383" s="74"/>
      <c r="T1383" s="74"/>
      <c r="U1383" s="74"/>
      <c r="V1383" s="74"/>
      <c r="W1383" s="74"/>
      <c r="X1383" s="74"/>
      <c r="Y1383" s="74"/>
      <c r="Z1383" s="74"/>
      <c r="AA1383" s="74"/>
      <c r="AB1383" s="74"/>
      <c r="AC1383" s="74"/>
      <c r="AD1383" s="74"/>
      <c r="AE1383" s="74"/>
      <c r="AF1383" s="74"/>
      <c r="AG1383" s="74"/>
    </row>
    <row r="1384" ht="22.5" customHeight="1">
      <c r="A1384" s="86">
        <v>45895.0</v>
      </c>
      <c r="B1384" s="63" t="s">
        <v>27</v>
      </c>
      <c r="C1384" s="79"/>
      <c r="D1384" s="80">
        <v>693073.64</v>
      </c>
      <c r="E1384" s="66" t="s">
        <v>28</v>
      </c>
      <c r="F1384" s="84" t="s">
        <v>800</v>
      </c>
      <c r="G1384" s="68">
        <v>20.0</v>
      </c>
      <c r="H1384" s="69">
        <f t="shared" si="82"/>
        <v>115512.2733</v>
      </c>
      <c r="I1384" s="76" t="s">
        <v>61</v>
      </c>
      <c r="J1384" s="103" t="s">
        <v>228</v>
      </c>
      <c r="K1384" s="95"/>
      <c r="L1384" s="95"/>
      <c r="M1384" s="95"/>
      <c r="N1384" s="72">
        <f t="shared" si="87"/>
        <v>0</v>
      </c>
      <c r="O1384" s="140" t="s">
        <v>1084</v>
      </c>
      <c r="P1384" s="74"/>
      <c r="Q1384" s="74"/>
      <c r="R1384" s="74"/>
      <c r="S1384" s="74"/>
      <c r="T1384" s="74"/>
      <c r="U1384" s="74"/>
      <c r="V1384" s="74"/>
      <c r="W1384" s="74"/>
      <c r="X1384" s="74"/>
      <c r="Y1384" s="74"/>
      <c r="Z1384" s="74"/>
      <c r="AA1384" s="74"/>
      <c r="AB1384" s="74"/>
      <c r="AC1384" s="74"/>
      <c r="AD1384" s="74"/>
      <c r="AE1384" s="74"/>
      <c r="AF1384" s="74"/>
      <c r="AG1384" s="74"/>
    </row>
    <row r="1385" ht="22.5" customHeight="1">
      <c r="A1385" s="86">
        <v>45895.0</v>
      </c>
      <c r="B1385" s="63" t="s">
        <v>27</v>
      </c>
      <c r="C1385" s="79"/>
      <c r="D1385" s="80">
        <v>89590.0</v>
      </c>
      <c r="E1385" s="66" t="s">
        <v>28</v>
      </c>
      <c r="F1385" s="84" t="s">
        <v>897</v>
      </c>
      <c r="G1385" s="68">
        <v>20.0</v>
      </c>
      <c r="H1385" s="69">
        <f t="shared" si="82"/>
        <v>14931.66667</v>
      </c>
      <c r="I1385" s="76" t="s">
        <v>61</v>
      </c>
      <c r="J1385" s="98" t="s">
        <v>509</v>
      </c>
      <c r="K1385" s="95"/>
      <c r="L1385" s="95"/>
      <c r="M1385" s="95"/>
      <c r="N1385" s="72">
        <f t="shared" si="87"/>
        <v>0</v>
      </c>
      <c r="O1385" s="140" t="s">
        <v>1085</v>
      </c>
      <c r="P1385" s="74"/>
      <c r="Q1385" s="74"/>
      <c r="R1385" s="74"/>
      <c r="S1385" s="74"/>
      <c r="T1385" s="74"/>
      <c r="U1385" s="74"/>
      <c r="V1385" s="74"/>
      <c r="W1385" s="74"/>
      <c r="X1385" s="74"/>
      <c r="Y1385" s="74"/>
      <c r="Z1385" s="74"/>
      <c r="AA1385" s="74"/>
      <c r="AB1385" s="74"/>
      <c r="AC1385" s="74"/>
      <c r="AD1385" s="74"/>
      <c r="AE1385" s="74"/>
      <c r="AF1385" s="74"/>
      <c r="AG1385" s="74"/>
    </row>
    <row r="1386" ht="22.5" customHeight="1">
      <c r="A1386" s="86">
        <v>45895.0</v>
      </c>
      <c r="B1386" s="63" t="s">
        <v>27</v>
      </c>
      <c r="C1386" s="80"/>
      <c r="D1386" s="80">
        <v>237913.9</v>
      </c>
      <c r="E1386" s="66" t="s">
        <v>28</v>
      </c>
      <c r="F1386" s="84" t="s">
        <v>897</v>
      </c>
      <c r="G1386" s="68">
        <v>20.0</v>
      </c>
      <c r="H1386" s="69">
        <f t="shared" si="82"/>
        <v>39652.31667</v>
      </c>
      <c r="I1386" s="76" t="s">
        <v>44</v>
      </c>
      <c r="J1386" s="98" t="s">
        <v>134</v>
      </c>
      <c r="K1386" s="95"/>
      <c r="L1386" s="82"/>
      <c r="M1386" s="128"/>
      <c r="N1386" s="72">
        <f t="shared" si="87"/>
        <v>0</v>
      </c>
      <c r="O1386" s="140" t="s">
        <v>1086</v>
      </c>
      <c r="P1386" s="74"/>
      <c r="Q1386" s="74"/>
      <c r="R1386" s="74"/>
      <c r="S1386" s="74"/>
      <c r="T1386" s="74"/>
      <c r="U1386" s="74"/>
      <c r="V1386" s="74"/>
      <c r="W1386" s="74"/>
      <c r="X1386" s="74"/>
      <c r="Y1386" s="74"/>
      <c r="Z1386" s="74"/>
      <c r="AA1386" s="74"/>
      <c r="AB1386" s="74"/>
      <c r="AC1386" s="74"/>
      <c r="AD1386" s="74"/>
      <c r="AE1386" s="74"/>
      <c r="AF1386" s="74"/>
      <c r="AG1386" s="74"/>
    </row>
    <row r="1387" ht="22.5" customHeight="1">
      <c r="A1387" s="86">
        <v>45895.0</v>
      </c>
      <c r="B1387" s="63" t="s">
        <v>27</v>
      </c>
      <c r="C1387" s="79"/>
      <c r="D1387" s="80">
        <v>319500.0</v>
      </c>
      <c r="E1387" s="66" t="s">
        <v>28</v>
      </c>
      <c r="F1387" s="84" t="s">
        <v>941</v>
      </c>
      <c r="G1387" s="68">
        <v>20.0</v>
      </c>
      <c r="H1387" s="69">
        <f t="shared" si="82"/>
        <v>53250</v>
      </c>
      <c r="I1387" s="76" t="s">
        <v>61</v>
      </c>
      <c r="J1387" s="103" t="s">
        <v>228</v>
      </c>
      <c r="K1387" s="95"/>
      <c r="L1387" s="95"/>
      <c r="M1387" s="95"/>
      <c r="N1387" s="72">
        <f t="shared" si="87"/>
        <v>0</v>
      </c>
      <c r="O1387" s="140" t="s">
        <v>1087</v>
      </c>
      <c r="P1387" s="74"/>
      <c r="Q1387" s="74"/>
      <c r="R1387" s="74"/>
      <c r="S1387" s="74"/>
      <c r="T1387" s="74"/>
      <c r="U1387" s="74"/>
      <c r="V1387" s="74"/>
      <c r="W1387" s="74"/>
      <c r="X1387" s="74"/>
      <c r="Y1387" s="74"/>
      <c r="Z1387" s="74"/>
      <c r="AA1387" s="74"/>
      <c r="AB1387" s="74"/>
      <c r="AC1387" s="74"/>
      <c r="AD1387" s="74"/>
      <c r="AE1387" s="74"/>
      <c r="AF1387" s="74"/>
      <c r="AG1387" s="74"/>
    </row>
    <row r="1388" ht="22.5" customHeight="1">
      <c r="A1388" s="86">
        <v>45895.0</v>
      </c>
      <c r="B1388" s="63" t="s">
        <v>27</v>
      </c>
      <c r="C1388" s="79"/>
      <c r="D1388" s="80">
        <v>72000.0</v>
      </c>
      <c r="E1388" s="66" t="s">
        <v>28</v>
      </c>
      <c r="F1388" s="67" t="s">
        <v>1002</v>
      </c>
      <c r="G1388" s="68">
        <v>20.0</v>
      </c>
      <c r="H1388" s="69">
        <f t="shared" si="82"/>
        <v>12000</v>
      </c>
      <c r="I1388" s="76" t="s">
        <v>61</v>
      </c>
      <c r="J1388" s="87" t="s">
        <v>942</v>
      </c>
      <c r="K1388" s="95"/>
      <c r="L1388" s="95"/>
      <c r="M1388" s="95"/>
      <c r="N1388" s="72">
        <f t="shared" si="87"/>
        <v>0</v>
      </c>
      <c r="O1388" s="83" t="s">
        <v>943</v>
      </c>
      <c r="P1388" s="74"/>
      <c r="Q1388" s="74"/>
      <c r="R1388" s="74"/>
      <c r="S1388" s="74"/>
      <c r="T1388" s="74"/>
      <c r="U1388" s="74"/>
      <c r="V1388" s="74"/>
      <c r="W1388" s="74"/>
      <c r="X1388" s="74"/>
      <c r="Y1388" s="74"/>
      <c r="Z1388" s="74"/>
      <c r="AA1388" s="74"/>
      <c r="AB1388" s="74"/>
      <c r="AC1388" s="74"/>
      <c r="AD1388" s="74"/>
      <c r="AE1388" s="74"/>
      <c r="AF1388" s="74"/>
      <c r="AG1388" s="74"/>
    </row>
    <row r="1389" ht="22.5" customHeight="1">
      <c r="A1389" s="86">
        <v>45895.0</v>
      </c>
      <c r="B1389" s="63" t="s">
        <v>27</v>
      </c>
      <c r="C1389" s="79"/>
      <c r="D1389" s="80">
        <v>31200.0</v>
      </c>
      <c r="E1389" s="66" t="s">
        <v>28</v>
      </c>
      <c r="F1389" s="67" t="s">
        <v>1002</v>
      </c>
      <c r="G1389" s="68">
        <v>20.0</v>
      </c>
      <c r="H1389" s="69">
        <f t="shared" si="82"/>
        <v>5200</v>
      </c>
      <c r="I1389" s="76" t="s">
        <v>61</v>
      </c>
      <c r="J1389" s="87" t="s">
        <v>942</v>
      </c>
      <c r="K1389" s="95"/>
      <c r="L1389" s="95"/>
      <c r="M1389" s="95"/>
      <c r="N1389" s="72">
        <f t="shared" si="87"/>
        <v>0</v>
      </c>
      <c r="O1389" s="83" t="s">
        <v>943</v>
      </c>
      <c r="P1389" s="74"/>
      <c r="Q1389" s="74"/>
      <c r="R1389" s="74"/>
      <c r="S1389" s="74"/>
      <c r="T1389" s="74"/>
      <c r="U1389" s="74"/>
      <c r="V1389" s="74"/>
      <c r="W1389" s="74"/>
      <c r="X1389" s="74"/>
      <c r="Y1389" s="74"/>
      <c r="Z1389" s="74"/>
      <c r="AA1389" s="74"/>
      <c r="AB1389" s="74"/>
      <c r="AC1389" s="74"/>
      <c r="AD1389" s="74"/>
      <c r="AE1389" s="74"/>
      <c r="AF1389" s="74"/>
      <c r="AG1389" s="74"/>
    </row>
    <row r="1390" ht="22.5" customHeight="1">
      <c r="A1390" s="86">
        <v>45895.0</v>
      </c>
      <c r="B1390" s="63" t="s">
        <v>27</v>
      </c>
      <c r="C1390" s="79"/>
      <c r="D1390" s="80">
        <v>351000.0</v>
      </c>
      <c r="E1390" s="66" t="s">
        <v>28</v>
      </c>
      <c r="F1390" s="67" t="s">
        <v>1002</v>
      </c>
      <c r="G1390" s="68">
        <v>20.0</v>
      </c>
      <c r="H1390" s="69">
        <f t="shared" si="82"/>
        <v>58500</v>
      </c>
      <c r="I1390" s="76" t="s">
        <v>61</v>
      </c>
      <c r="J1390" s="87" t="s">
        <v>942</v>
      </c>
      <c r="K1390" s="95"/>
      <c r="L1390" s="95"/>
      <c r="M1390" s="95"/>
      <c r="N1390" s="72">
        <f t="shared" si="87"/>
        <v>0</v>
      </c>
      <c r="O1390" s="83" t="s">
        <v>943</v>
      </c>
      <c r="P1390" s="74"/>
      <c r="Q1390" s="74"/>
      <c r="R1390" s="74"/>
      <c r="S1390" s="74"/>
      <c r="T1390" s="74"/>
      <c r="U1390" s="74"/>
      <c r="V1390" s="74"/>
      <c r="W1390" s="74"/>
      <c r="X1390" s="74"/>
      <c r="Y1390" s="74"/>
      <c r="Z1390" s="74"/>
      <c r="AA1390" s="74"/>
      <c r="AB1390" s="74"/>
      <c r="AC1390" s="74"/>
      <c r="AD1390" s="74"/>
      <c r="AE1390" s="74"/>
      <c r="AF1390" s="74"/>
      <c r="AG1390" s="74"/>
    </row>
    <row r="1391" ht="22.5" customHeight="1">
      <c r="A1391" s="86">
        <v>45895.0</v>
      </c>
      <c r="B1391" s="63" t="s">
        <v>27</v>
      </c>
      <c r="C1391" s="79"/>
      <c r="D1391" s="80">
        <v>600.0</v>
      </c>
      <c r="E1391" s="66" t="s">
        <v>28</v>
      </c>
      <c r="F1391" s="67" t="s">
        <v>1002</v>
      </c>
      <c r="G1391" s="68">
        <v>20.0</v>
      </c>
      <c r="H1391" s="69">
        <f t="shared" si="82"/>
        <v>100</v>
      </c>
      <c r="I1391" s="76" t="s">
        <v>61</v>
      </c>
      <c r="J1391" s="87" t="s">
        <v>942</v>
      </c>
      <c r="K1391" s="95"/>
      <c r="L1391" s="95"/>
      <c r="M1391" s="95"/>
      <c r="N1391" s="72">
        <f t="shared" si="87"/>
        <v>0</v>
      </c>
      <c r="O1391" s="83" t="s">
        <v>943</v>
      </c>
      <c r="P1391" s="74"/>
      <c r="Q1391" s="74"/>
      <c r="R1391" s="74"/>
      <c r="S1391" s="74"/>
      <c r="T1391" s="74"/>
      <c r="U1391" s="74"/>
      <c r="V1391" s="74"/>
      <c r="W1391" s="74"/>
      <c r="X1391" s="74"/>
      <c r="Y1391" s="74"/>
      <c r="Z1391" s="74"/>
      <c r="AA1391" s="74"/>
      <c r="AB1391" s="74"/>
      <c r="AC1391" s="74"/>
      <c r="AD1391" s="74"/>
      <c r="AE1391" s="74"/>
      <c r="AF1391" s="74"/>
      <c r="AG1391" s="74"/>
    </row>
    <row r="1392" ht="22.5" customHeight="1">
      <c r="A1392" s="86">
        <v>45896.0</v>
      </c>
      <c r="B1392" s="63" t="s">
        <v>27</v>
      </c>
      <c r="C1392" s="80">
        <v>276000.18</v>
      </c>
      <c r="D1392" s="79"/>
      <c r="E1392" s="66" t="s">
        <v>28</v>
      </c>
      <c r="F1392" s="84" t="s">
        <v>897</v>
      </c>
      <c r="G1392" s="68">
        <v>20.0</v>
      </c>
      <c r="H1392" s="69">
        <f t="shared" si="82"/>
        <v>46000.03</v>
      </c>
      <c r="I1392" s="76" t="s">
        <v>37</v>
      </c>
      <c r="J1392" s="87" t="s">
        <v>1088</v>
      </c>
      <c r="K1392" s="82" t="s">
        <v>1089</v>
      </c>
      <c r="L1392" s="82">
        <v>259.0</v>
      </c>
      <c r="M1392" s="128">
        <v>45842.0</v>
      </c>
      <c r="N1392" s="72">
        <f t="shared" si="87"/>
        <v>54</v>
      </c>
      <c r="O1392" s="96"/>
      <c r="P1392" s="74"/>
      <c r="Q1392" s="74"/>
      <c r="R1392" s="74"/>
      <c r="S1392" s="74"/>
      <c r="T1392" s="74"/>
      <c r="U1392" s="74"/>
      <c r="V1392" s="74"/>
      <c r="W1392" s="74"/>
      <c r="X1392" s="74"/>
      <c r="Y1392" s="74"/>
      <c r="Z1392" s="74"/>
      <c r="AA1392" s="74"/>
      <c r="AB1392" s="74"/>
      <c r="AC1392" s="74"/>
      <c r="AD1392" s="74"/>
      <c r="AE1392" s="74"/>
      <c r="AF1392" s="74"/>
      <c r="AG1392" s="74"/>
    </row>
    <row r="1393" ht="22.5" customHeight="1">
      <c r="A1393" s="86">
        <v>45896.0</v>
      </c>
      <c r="B1393" s="63" t="s">
        <v>27</v>
      </c>
      <c r="C1393" s="80">
        <v>276000.18</v>
      </c>
      <c r="D1393" s="79"/>
      <c r="E1393" s="66" t="s">
        <v>28</v>
      </c>
      <c r="F1393" s="84" t="s">
        <v>897</v>
      </c>
      <c r="G1393" s="68">
        <v>20.0</v>
      </c>
      <c r="H1393" s="69">
        <f t="shared" si="82"/>
        <v>46000.03</v>
      </c>
      <c r="I1393" s="76" t="s">
        <v>37</v>
      </c>
      <c r="J1393" s="87" t="s">
        <v>1088</v>
      </c>
      <c r="K1393" s="82" t="s">
        <v>1090</v>
      </c>
      <c r="L1393" s="82">
        <v>260.0</v>
      </c>
      <c r="M1393" s="128">
        <v>45842.0</v>
      </c>
      <c r="N1393" s="72">
        <f t="shared" si="87"/>
        <v>54</v>
      </c>
      <c r="O1393" s="96"/>
      <c r="P1393" s="74"/>
      <c r="Q1393" s="74"/>
      <c r="R1393" s="74"/>
      <c r="S1393" s="74"/>
      <c r="T1393" s="74"/>
      <c r="U1393" s="74"/>
      <c r="V1393" s="74"/>
      <c r="W1393" s="74"/>
      <c r="X1393" s="74"/>
      <c r="Y1393" s="74"/>
      <c r="Z1393" s="74"/>
      <c r="AA1393" s="74"/>
      <c r="AB1393" s="74"/>
      <c r="AC1393" s="74"/>
      <c r="AD1393" s="74"/>
      <c r="AE1393" s="74"/>
      <c r="AF1393" s="74"/>
      <c r="AG1393" s="74"/>
    </row>
    <row r="1394" ht="22.5" customHeight="1">
      <c r="A1394" s="86">
        <v>45897.0</v>
      </c>
      <c r="B1394" s="63" t="s">
        <v>27</v>
      </c>
      <c r="C1394" s="80">
        <v>1020000.0</v>
      </c>
      <c r="D1394" s="79"/>
      <c r="E1394" s="66" t="s">
        <v>28</v>
      </c>
      <c r="F1394" s="84" t="s">
        <v>722</v>
      </c>
      <c r="G1394" s="68">
        <v>20.0</v>
      </c>
      <c r="H1394" s="69">
        <f t="shared" si="82"/>
        <v>170000</v>
      </c>
      <c r="I1394" s="76" t="s">
        <v>37</v>
      </c>
      <c r="J1394" s="87" t="s">
        <v>944</v>
      </c>
      <c r="K1394" s="82" t="s">
        <v>1091</v>
      </c>
      <c r="L1394" s="82">
        <v>201.0</v>
      </c>
      <c r="M1394" s="128">
        <v>45796.0</v>
      </c>
      <c r="N1394" s="72">
        <f t="shared" si="87"/>
        <v>101</v>
      </c>
      <c r="O1394" s="96"/>
      <c r="P1394" s="74"/>
      <c r="Q1394" s="74"/>
      <c r="R1394" s="74"/>
      <c r="S1394" s="74"/>
      <c r="T1394" s="74"/>
      <c r="U1394" s="74"/>
      <c r="V1394" s="74"/>
      <c r="W1394" s="74"/>
      <c r="X1394" s="74"/>
      <c r="Y1394" s="74"/>
      <c r="Z1394" s="74"/>
      <c r="AA1394" s="74"/>
      <c r="AB1394" s="74"/>
      <c r="AC1394" s="74"/>
      <c r="AD1394" s="74"/>
      <c r="AE1394" s="74"/>
      <c r="AF1394" s="74"/>
      <c r="AG1394" s="74"/>
    </row>
    <row r="1395" ht="22.5" customHeight="1">
      <c r="A1395" s="86">
        <v>45897.0</v>
      </c>
      <c r="B1395" s="63" t="s">
        <v>27</v>
      </c>
      <c r="C1395" s="79"/>
      <c r="D1395" s="80">
        <v>17500.0</v>
      </c>
      <c r="E1395" s="66" t="s">
        <v>28</v>
      </c>
      <c r="F1395" s="67" t="s">
        <v>1002</v>
      </c>
      <c r="G1395" s="68">
        <v>20.0</v>
      </c>
      <c r="H1395" s="69">
        <f t="shared" si="82"/>
        <v>2916.666667</v>
      </c>
      <c r="I1395" s="70" t="s">
        <v>35</v>
      </c>
      <c r="J1395" s="87" t="s">
        <v>266</v>
      </c>
      <c r="K1395" s="95"/>
      <c r="L1395" s="95"/>
      <c r="M1395" s="95"/>
      <c r="N1395" s="72">
        <f t="shared" si="87"/>
        <v>0</v>
      </c>
      <c r="O1395" s="83" t="s">
        <v>1092</v>
      </c>
      <c r="P1395" s="74"/>
      <c r="Q1395" s="74"/>
      <c r="R1395" s="74"/>
      <c r="S1395" s="74"/>
      <c r="T1395" s="74"/>
      <c r="U1395" s="74"/>
      <c r="V1395" s="74"/>
      <c r="W1395" s="74"/>
      <c r="X1395" s="74"/>
      <c r="Y1395" s="74"/>
      <c r="Z1395" s="74"/>
      <c r="AA1395" s="74"/>
      <c r="AB1395" s="74"/>
      <c r="AC1395" s="74"/>
      <c r="AD1395" s="74"/>
      <c r="AE1395" s="74"/>
      <c r="AF1395" s="74"/>
      <c r="AG1395" s="74"/>
    </row>
    <row r="1396" ht="22.5" customHeight="1">
      <c r="A1396" s="86">
        <v>45897.0</v>
      </c>
      <c r="B1396" s="63" t="s">
        <v>27</v>
      </c>
      <c r="C1396" s="79"/>
      <c r="D1396" s="80">
        <v>2632127.0</v>
      </c>
      <c r="E1396" s="66" t="s">
        <v>28</v>
      </c>
      <c r="F1396" s="67" t="s">
        <v>1002</v>
      </c>
      <c r="G1396" s="68">
        <v>0.0</v>
      </c>
      <c r="H1396" s="69">
        <f t="shared" si="82"/>
        <v>0</v>
      </c>
      <c r="I1396" s="94" t="s">
        <v>623</v>
      </c>
      <c r="J1396" s="87" t="s">
        <v>72</v>
      </c>
      <c r="K1396" s="95"/>
      <c r="L1396" s="95"/>
      <c r="M1396" s="95"/>
      <c r="N1396" s="72">
        <f t="shared" si="87"/>
        <v>0</v>
      </c>
      <c r="O1396" s="83" t="s">
        <v>221</v>
      </c>
      <c r="P1396" s="74"/>
      <c r="Q1396" s="74"/>
      <c r="R1396" s="74"/>
      <c r="S1396" s="74"/>
      <c r="T1396" s="74"/>
      <c r="U1396" s="74"/>
      <c r="V1396" s="74"/>
      <c r="W1396" s="74"/>
      <c r="X1396" s="74"/>
      <c r="Y1396" s="74"/>
      <c r="Z1396" s="74"/>
      <c r="AA1396" s="74"/>
      <c r="AB1396" s="74"/>
      <c r="AC1396" s="74"/>
      <c r="AD1396" s="74"/>
      <c r="AE1396" s="74"/>
      <c r="AF1396" s="74"/>
      <c r="AG1396" s="74"/>
    </row>
    <row r="1397" ht="22.5" customHeight="1">
      <c r="A1397" s="86">
        <v>45897.0</v>
      </c>
      <c r="B1397" s="63" t="s">
        <v>27</v>
      </c>
      <c r="C1397" s="79"/>
      <c r="D1397" s="80">
        <v>345808.0</v>
      </c>
      <c r="E1397" s="66" t="s">
        <v>28</v>
      </c>
      <c r="F1397" s="67" t="s">
        <v>1002</v>
      </c>
      <c r="G1397" s="68">
        <v>0.0</v>
      </c>
      <c r="H1397" s="69">
        <f t="shared" si="82"/>
        <v>0</v>
      </c>
      <c r="I1397" s="94" t="s">
        <v>622</v>
      </c>
      <c r="J1397" s="87" t="s">
        <v>72</v>
      </c>
      <c r="K1397" s="95"/>
      <c r="L1397" s="95"/>
      <c r="M1397" s="95"/>
      <c r="N1397" s="72">
        <f t="shared" si="87"/>
        <v>0</v>
      </c>
      <c r="O1397" s="83" t="s">
        <v>798</v>
      </c>
      <c r="P1397" s="74"/>
      <c r="Q1397" s="74"/>
      <c r="R1397" s="74"/>
      <c r="S1397" s="74"/>
      <c r="T1397" s="74"/>
      <c r="U1397" s="74"/>
      <c r="V1397" s="74"/>
      <c r="W1397" s="74"/>
      <c r="X1397" s="74"/>
      <c r="Y1397" s="74"/>
      <c r="Z1397" s="74"/>
      <c r="AA1397" s="74"/>
      <c r="AB1397" s="74"/>
      <c r="AC1397" s="74"/>
      <c r="AD1397" s="74"/>
      <c r="AE1397" s="74"/>
      <c r="AF1397" s="74"/>
      <c r="AG1397" s="74"/>
    </row>
    <row r="1398" ht="22.5" customHeight="1">
      <c r="A1398" s="86">
        <v>45897.0</v>
      </c>
      <c r="B1398" s="63" t="s">
        <v>27</v>
      </c>
      <c r="C1398" s="79"/>
      <c r="D1398" s="80">
        <v>143064.0</v>
      </c>
      <c r="E1398" s="66" t="s">
        <v>28</v>
      </c>
      <c r="F1398" s="67" t="s">
        <v>1002</v>
      </c>
      <c r="G1398" s="68">
        <v>0.0</v>
      </c>
      <c r="H1398" s="69">
        <f t="shared" si="82"/>
        <v>0</v>
      </c>
      <c r="I1398" s="94" t="s">
        <v>599</v>
      </c>
      <c r="J1398" s="87" t="s">
        <v>72</v>
      </c>
      <c r="K1398" s="95"/>
      <c r="L1398" s="95"/>
      <c r="M1398" s="95"/>
      <c r="N1398" s="72">
        <f t="shared" si="87"/>
        <v>0</v>
      </c>
      <c r="O1398" s="83" t="s">
        <v>1011</v>
      </c>
      <c r="P1398" s="74"/>
      <c r="Q1398" s="74"/>
      <c r="R1398" s="74"/>
      <c r="S1398" s="74"/>
      <c r="T1398" s="74"/>
      <c r="U1398" s="74"/>
      <c r="V1398" s="74"/>
      <c r="W1398" s="74"/>
      <c r="X1398" s="74"/>
      <c r="Y1398" s="74"/>
      <c r="Z1398" s="74"/>
      <c r="AA1398" s="74"/>
      <c r="AB1398" s="74"/>
      <c r="AC1398" s="74"/>
      <c r="AD1398" s="74"/>
      <c r="AE1398" s="74"/>
      <c r="AF1398" s="74"/>
      <c r="AG1398" s="74"/>
    </row>
    <row r="1399" ht="22.5" customHeight="1">
      <c r="A1399" s="86">
        <v>45898.0</v>
      </c>
      <c r="B1399" s="63" t="s">
        <v>27</v>
      </c>
      <c r="C1399" s="80">
        <v>420000.0</v>
      </c>
      <c r="D1399" s="80"/>
      <c r="E1399" s="66" t="s">
        <v>376</v>
      </c>
      <c r="F1399" s="84" t="s">
        <v>722</v>
      </c>
      <c r="G1399" s="68">
        <v>20.0</v>
      </c>
      <c r="H1399" s="69">
        <f t="shared" si="82"/>
        <v>70000</v>
      </c>
      <c r="I1399" s="76" t="s">
        <v>37</v>
      </c>
      <c r="J1399" s="87" t="s">
        <v>677</v>
      </c>
      <c r="K1399" s="82" t="s">
        <v>1093</v>
      </c>
      <c r="L1399" s="82">
        <v>157.0</v>
      </c>
      <c r="M1399" s="128">
        <v>45783.0</v>
      </c>
      <c r="N1399" s="72">
        <f t="shared" si="87"/>
        <v>115</v>
      </c>
      <c r="O1399" s="96"/>
      <c r="P1399" s="74"/>
      <c r="Q1399" s="74"/>
      <c r="R1399" s="74"/>
      <c r="S1399" s="74"/>
      <c r="T1399" s="74"/>
      <c r="U1399" s="74"/>
      <c r="V1399" s="74"/>
      <c r="W1399" s="74"/>
      <c r="X1399" s="74"/>
      <c r="Y1399" s="74"/>
      <c r="Z1399" s="74"/>
      <c r="AA1399" s="74"/>
      <c r="AB1399" s="74"/>
      <c r="AC1399" s="74"/>
      <c r="AD1399" s="74"/>
      <c r="AE1399" s="74"/>
      <c r="AF1399" s="74"/>
      <c r="AG1399" s="74"/>
    </row>
    <row r="1400" ht="22.5" customHeight="1">
      <c r="A1400" s="86">
        <v>45901.0</v>
      </c>
      <c r="B1400" s="63" t="s">
        <v>27</v>
      </c>
      <c r="C1400" s="80">
        <v>1260000.0</v>
      </c>
      <c r="D1400" s="80"/>
      <c r="E1400" s="66" t="s">
        <v>28</v>
      </c>
      <c r="F1400" s="84" t="s">
        <v>674</v>
      </c>
      <c r="G1400" s="68">
        <v>20.0</v>
      </c>
      <c r="H1400" s="69">
        <f t="shared" si="82"/>
        <v>210000</v>
      </c>
      <c r="I1400" s="76" t="s">
        <v>37</v>
      </c>
      <c r="J1400" s="87" t="s">
        <v>1094</v>
      </c>
      <c r="K1400" s="82" t="s">
        <v>1095</v>
      </c>
      <c r="L1400" s="82">
        <v>155.0</v>
      </c>
      <c r="M1400" s="128">
        <v>45769.0</v>
      </c>
      <c r="N1400" s="72">
        <f t="shared" si="87"/>
        <v>132</v>
      </c>
      <c r="O1400" s="96"/>
      <c r="P1400" s="74"/>
      <c r="Q1400" s="74"/>
      <c r="R1400" s="74"/>
      <c r="S1400" s="74"/>
      <c r="T1400" s="74"/>
      <c r="U1400" s="74"/>
      <c r="V1400" s="74"/>
      <c r="W1400" s="74"/>
      <c r="X1400" s="74"/>
      <c r="Y1400" s="74"/>
      <c r="Z1400" s="74"/>
      <c r="AA1400" s="74"/>
      <c r="AB1400" s="74"/>
      <c r="AC1400" s="74"/>
      <c r="AD1400" s="74"/>
      <c r="AE1400" s="74"/>
      <c r="AF1400" s="74"/>
      <c r="AG1400" s="74"/>
    </row>
    <row r="1401" ht="22.5" customHeight="1">
      <c r="A1401" s="86">
        <v>45901.0</v>
      </c>
      <c r="B1401" s="63" t="s">
        <v>27</v>
      </c>
      <c r="C1401" s="79"/>
      <c r="D1401" s="80">
        <v>137582.69</v>
      </c>
      <c r="E1401" s="66" t="s">
        <v>28</v>
      </c>
      <c r="F1401" s="84" t="s">
        <v>941</v>
      </c>
      <c r="G1401" s="68">
        <v>20.0</v>
      </c>
      <c r="H1401" s="69">
        <f t="shared" si="82"/>
        <v>22930.44833</v>
      </c>
      <c r="I1401" s="76" t="s">
        <v>30</v>
      </c>
      <c r="J1401" s="98" t="s">
        <v>1096</v>
      </c>
      <c r="K1401" s="95"/>
      <c r="L1401" s="95"/>
      <c r="M1401" s="95"/>
      <c r="N1401" s="72">
        <f t="shared" si="87"/>
        <v>0</v>
      </c>
      <c r="O1401" s="96"/>
      <c r="P1401" s="74"/>
      <c r="Q1401" s="74"/>
      <c r="R1401" s="74"/>
      <c r="S1401" s="74"/>
      <c r="T1401" s="74"/>
      <c r="U1401" s="74"/>
      <c r="V1401" s="74"/>
      <c r="W1401" s="74"/>
      <c r="X1401" s="74"/>
      <c r="Y1401" s="74"/>
      <c r="Z1401" s="74"/>
      <c r="AA1401" s="74"/>
      <c r="AB1401" s="74"/>
      <c r="AC1401" s="74"/>
      <c r="AD1401" s="74"/>
      <c r="AE1401" s="74"/>
      <c r="AF1401" s="74"/>
      <c r="AG1401" s="74"/>
    </row>
    <row r="1402" ht="22.5" customHeight="1">
      <c r="A1402" s="86">
        <v>45902.0</v>
      </c>
      <c r="B1402" s="63" t="s">
        <v>27</v>
      </c>
      <c r="C1402" s="80">
        <v>600000.0</v>
      </c>
      <c r="D1402" s="79"/>
      <c r="E1402" s="66" t="s">
        <v>28</v>
      </c>
      <c r="F1402" s="84" t="s">
        <v>800</v>
      </c>
      <c r="G1402" s="68">
        <v>20.0</v>
      </c>
      <c r="H1402" s="69">
        <f t="shared" si="82"/>
        <v>100000</v>
      </c>
      <c r="I1402" s="76" t="s">
        <v>37</v>
      </c>
      <c r="J1402" s="87" t="s">
        <v>440</v>
      </c>
      <c r="K1402" s="82" t="s">
        <v>757</v>
      </c>
      <c r="L1402" s="82">
        <v>226.0</v>
      </c>
      <c r="M1402" s="128">
        <v>45818.0</v>
      </c>
      <c r="N1402" s="72">
        <f t="shared" si="87"/>
        <v>84</v>
      </c>
      <c r="O1402" s="96"/>
      <c r="P1402" s="74"/>
      <c r="Q1402" s="74"/>
      <c r="R1402" s="74"/>
      <c r="S1402" s="74"/>
      <c r="T1402" s="74"/>
      <c r="U1402" s="74"/>
      <c r="V1402" s="74"/>
      <c r="W1402" s="74"/>
      <c r="X1402" s="74"/>
      <c r="Y1402" s="74"/>
      <c r="Z1402" s="74"/>
      <c r="AA1402" s="74"/>
      <c r="AB1402" s="74"/>
      <c r="AC1402" s="74"/>
      <c r="AD1402" s="74"/>
      <c r="AE1402" s="74"/>
      <c r="AF1402" s="74"/>
      <c r="AG1402" s="74"/>
    </row>
    <row r="1403" ht="22.5" customHeight="1">
      <c r="A1403" s="86">
        <v>45903.0</v>
      </c>
      <c r="B1403" s="63" t="s">
        <v>27</v>
      </c>
      <c r="C1403" s="79"/>
      <c r="D1403" s="80">
        <v>1401269.77</v>
      </c>
      <c r="E1403" s="66" t="s">
        <v>28</v>
      </c>
      <c r="F1403" s="67" t="s">
        <v>1002</v>
      </c>
      <c r="G1403" s="68">
        <v>0.0</v>
      </c>
      <c r="H1403" s="69">
        <f t="shared" si="82"/>
        <v>0</v>
      </c>
      <c r="I1403" s="94" t="s">
        <v>1097</v>
      </c>
      <c r="J1403" s="87" t="s">
        <v>1098</v>
      </c>
      <c r="K1403" s="95"/>
      <c r="L1403" s="95"/>
      <c r="M1403" s="95"/>
      <c r="N1403" s="72">
        <f t="shared" si="87"/>
        <v>0</v>
      </c>
      <c r="O1403" s="93">
        <v>0.03</v>
      </c>
      <c r="P1403" s="74"/>
      <c r="Q1403" s="74"/>
      <c r="R1403" s="74"/>
      <c r="S1403" s="74"/>
      <c r="T1403" s="74"/>
      <c r="U1403" s="74"/>
      <c r="V1403" s="74"/>
      <c r="W1403" s="74"/>
      <c r="X1403" s="74"/>
      <c r="Y1403" s="74"/>
      <c r="Z1403" s="74"/>
      <c r="AA1403" s="74"/>
      <c r="AB1403" s="74"/>
      <c r="AC1403" s="74"/>
      <c r="AD1403" s="74"/>
      <c r="AE1403" s="74"/>
      <c r="AF1403" s="74"/>
      <c r="AG1403" s="74"/>
    </row>
    <row r="1404" ht="22.5" customHeight="1">
      <c r="A1404" s="86">
        <v>45904.0</v>
      </c>
      <c r="B1404" s="63" t="s">
        <v>27</v>
      </c>
      <c r="C1404" s="80">
        <v>1200000.0</v>
      </c>
      <c r="D1404" s="79"/>
      <c r="E1404" s="66" t="s">
        <v>28</v>
      </c>
      <c r="F1404" s="84" t="s">
        <v>800</v>
      </c>
      <c r="G1404" s="68">
        <v>20.0</v>
      </c>
      <c r="H1404" s="69">
        <f t="shared" si="82"/>
        <v>200000</v>
      </c>
      <c r="I1404" s="76" t="s">
        <v>37</v>
      </c>
      <c r="J1404" s="87" t="s">
        <v>675</v>
      </c>
      <c r="K1404" s="82" t="s">
        <v>851</v>
      </c>
      <c r="L1404" s="82">
        <v>216.0</v>
      </c>
      <c r="M1404" s="128">
        <v>45817.0</v>
      </c>
      <c r="N1404" s="72">
        <f t="shared" si="87"/>
        <v>87</v>
      </c>
      <c r="O1404" s="96"/>
      <c r="P1404" s="74"/>
      <c r="Q1404" s="74"/>
      <c r="R1404" s="74"/>
      <c r="S1404" s="74"/>
      <c r="T1404" s="74"/>
      <c r="U1404" s="74"/>
      <c r="V1404" s="74"/>
      <c r="W1404" s="74"/>
      <c r="X1404" s="74"/>
      <c r="Y1404" s="74"/>
      <c r="Z1404" s="74"/>
      <c r="AA1404" s="74"/>
      <c r="AB1404" s="74"/>
      <c r="AC1404" s="74"/>
      <c r="AD1404" s="74"/>
      <c r="AE1404" s="74"/>
      <c r="AF1404" s="74"/>
      <c r="AG1404" s="74"/>
    </row>
    <row r="1405" ht="22.5" customHeight="1">
      <c r="A1405" s="86">
        <v>45904.0</v>
      </c>
      <c r="B1405" s="63" t="s">
        <v>27</v>
      </c>
      <c r="C1405" s="79"/>
      <c r="D1405" s="80">
        <v>50000.0</v>
      </c>
      <c r="E1405" s="66" t="s">
        <v>28</v>
      </c>
      <c r="F1405" s="67" t="s">
        <v>1099</v>
      </c>
      <c r="G1405" s="68">
        <v>0.0</v>
      </c>
      <c r="H1405" s="69">
        <f t="shared" si="82"/>
        <v>0</v>
      </c>
      <c r="I1405" s="70" t="s">
        <v>35</v>
      </c>
      <c r="J1405" s="87" t="s">
        <v>1100</v>
      </c>
      <c r="K1405" s="95"/>
      <c r="L1405" s="95"/>
      <c r="M1405" s="95"/>
      <c r="N1405" s="72">
        <f t="shared" si="87"/>
        <v>0</v>
      </c>
      <c r="O1405" s="83" t="s">
        <v>1101</v>
      </c>
      <c r="P1405" s="74"/>
      <c r="Q1405" s="74"/>
      <c r="R1405" s="74"/>
      <c r="S1405" s="74"/>
      <c r="T1405" s="74"/>
      <c r="U1405" s="74"/>
      <c r="V1405" s="74"/>
      <c r="W1405" s="74"/>
      <c r="X1405" s="74"/>
      <c r="Y1405" s="74"/>
      <c r="Z1405" s="74"/>
      <c r="AA1405" s="74"/>
      <c r="AB1405" s="74"/>
      <c r="AC1405" s="74"/>
      <c r="AD1405" s="74"/>
      <c r="AE1405" s="74"/>
      <c r="AF1405" s="74"/>
      <c r="AG1405" s="74"/>
    </row>
    <row r="1406" ht="22.5" customHeight="1">
      <c r="A1406" s="86">
        <v>45904.0</v>
      </c>
      <c r="B1406" s="63" t="s">
        <v>27</v>
      </c>
      <c r="C1406" s="79"/>
      <c r="D1406" s="80">
        <v>7880.0</v>
      </c>
      <c r="E1406" s="66" t="s">
        <v>28</v>
      </c>
      <c r="F1406" s="67" t="s">
        <v>1099</v>
      </c>
      <c r="G1406" s="68">
        <v>20.0</v>
      </c>
      <c r="H1406" s="69">
        <f t="shared" si="82"/>
        <v>1313.333333</v>
      </c>
      <c r="I1406" s="104" t="s">
        <v>233</v>
      </c>
      <c r="J1406" s="87" t="s">
        <v>1102</v>
      </c>
      <c r="K1406" s="95"/>
      <c r="L1406" s="95"/>
      <c r="M1406" s="95"/>
      <c r="N1406" s="72">
        <f t="shared" si="87"/>
        <v>0</v>
      </c>
      <c r="O1406" s="96"/>
      <c r="P1406" s="74"/>
      <c r="Q1406" s="74"/>
      <c r="R1406" s="74"/>
      <c r="S1406" s="74"/>
      <c r="T1406" s="74"/>
      <c r="U1406" s="74"/>
      <c r="V1406" s="74"/>
      <c r="W1406" s="74"/>
      <c r="X1406" s="74"/>
      <c r="Y1406" s="74"/>
      <c r="Z1406" s="74"/>
      <c r="AA1406" s="74"/>
      <c r="AB1406" s="74"/>
      <c r="AC1406" s="74"/>
      <c r="AD1406" s="74"/>
      <c r="AE1406" s="74"/>
      <c r="AF1406" s="74"/>
      <c r="AG1406" s="74"/>
    </row>
    <row r="1407" ht="22.5" customHeight="1">
      <c r="A1407" s="86">
        <v>45904.0</v>
      </c>
      <c r="B1407" s="63" t="s">
        <v>27</v>
      </c>
      <c r="C1407" s="79"/>
      <c r="D1407" s="80">
        <v>48000.0</v>
      </c>
      <c r="E1407" s="66" t="s">
        <v>28</v>
      </c>
      <c r="F1407" s="67" t="s">
        <v>1099</v>
      </c>
      <c r="G1407" s="68">
        <v>20.0</v>
      </c>
      <c r="H1407" s="69">
        <f t="shared" si="82"/>
        <v>8000</v>
      </c>
      <c r="I1407" s="76" t="s">
        <v>61</v>
      </c>
      <c r="J1407" s="87" t="s">
        <v>942</v>
      </c>
      <c r="K1407" s="95"/>
      <c r="L1407" s="95"/>
      <c r="M1407" s="95"/>
      <c r="N1407" s="72">
        <f t="shared" si="87"/>
        <v>0</v>
      </c>
      <c r="O1407" s="83" t="s">
        <v>943</v>
      </c>
      <c r="P1407" s="74"/>
      <c r="Q1407" s="74"/>
      <c r="R1407" s="74"/>
      <c r="S1407" s="74"/>
      <c r="T1407" s="74"/>
      <c r="U1407" s="74"/>
      <c r="V1407" s="74"/>
      <c r="W1407" s="74"/>
      <c r="X1407" s="74"/>
      <c r="Y1407" s="74"/>
      <c r="Z1407" s="74"/>
      <c r="AA1407" s="74"/>
      <c r="AB1407" s="74"/>
      <c r="AC1407" s="74"/>
      <c r="AD1407" s="74"/>
      <c r="AE1407" s="74"/>
      <c r="AF1407" s="74"/>
      <c r="AG1407" s="74"/>
    </row>
    <row r="1408" ht="22.5" customHeight="1">
      <c r="A1408" s="86">
        <v>45904.0</v>
      </c>
      <c r="B1408" s="63" t="s">
        <v>27</v>
      </c>
      <c r="C1408" s="79"/>
      <c r="D1408" s="80">
        <v>48000.0</v>
      </c>
      <c r="E1408" s="66" t="s">
        <v>28</v>
      </c>
      <c r="F1408" s="67" t="s">
        <v>1099</v>
      </c>
      <c r="G1408" s="68">
        <v>20.0</v>
      </c>
      <c r="H1408" s="69">
        <f t="shared" si="82"/>
        <v>8000</v>
      </c>
      <c r="I1408" s="76" t="s">
        <v>61</v>
      </c>
      <c r="J1408" s="87" t="s">
        <v>942</v>
      </c>
      <c r="K1408" s="95"/>
      <c r="L1408" s="95"/>
      <c r="M1408" s="95"/>
      <c r="N1408" s="72">
        <f t="shared" si="87"/>
        <v>0</v>
      </c>
      <c r="O1408" s="83" t="s">
        <v>943</v>
      </c>
      <c r="P1408" s="74"/>
      <c r="Q1408" s="74"/>
      <c r="R1408" s="74"/>
      <c r="S1408" s="74"/>
      <c r="T1408" s="74"/>
      <c r="U1408" s="74"/>
      <c r="V1408" s="74"/>
      <c r="W1408" s="74"/>
      <c r="X1408" s="74"/>
      <c r="Y1408" s="74"/>
      <c r="Z1408" s="74"/>
      <c r="AA1408" s="74"/>
      <c r="AB1408" s="74"/>
      <c r="AC1408" s="74"/>
      <c r="AD1408" s="74"/>
      <c r="AE1408" s="74"/>
      <c r="AF1408" s="74"/>
      <c r="AG1408" s="74"/>
    </row>
    <row r="1409" ht="22.5" customHeight="1">
      <c r="A1409" s="86">
        <v>45904.0</v>
      </c>
      <c r="B1409" s="63" t="s">
        <v>27</v>
      </c>
      <c r="C1409" s="79"/>
      <c r="D1409" s="80">
        <v>6500.0</v>
      </c>
      <c r="E1409" s="66" t="s">
        <v>28</v>
      </c>
      <c r="F1409" s="67" t="s">
        <v>1099</v>
      </c>
      <c r="G1409" s="68">
        <v>0.0</v>
      </c>
      <c r="H1409" s="69">
        <f t="shared" si="82"/>
        <v>0</v>
      </c>
      <c r="I1409" s="76" t="s">
        <v>383</v>
      </c>
      <c r="J1409" s="87" t="s">
        <v>1020</v>
      </c>
      <c r="K1409" s="95"/>
      <c r="L1409" s="95"/>
      <c r="M1409" s="95"/>
      <c r="N1409" s="72">
        <f t="shared" si="87"/>
        <v>0</v>
      </c>
      <c r="O1409" s="96"/>
      <c r="P1409" s="74"/>
      <c r="Q1409" s="74"/>
      <c r="R1409" s="74"/>
      <c r="S1409" s="74"/>
      <c r="T1409" s="74"/>
      <c r="U1409" s="74"/>
      <c r="V1409" s="74"/>
      <c r="W1409" s="74"/>
      <c r="X1409" s="74"/>
      <c r="Y1409" s="74"/>
      <c r="Z1409" s="74"/>
      <c r="AA1409" s="74"/>
      <c r="AB1409" s="74"/>
      <c r="AC1409" s="74"/>
      <c r="AD1409" s="74"/>
      <c r="AE1409" s="74"/>
      <c r="AF1409" s="74"/>
      <c r="AG1409" s="74"/>
    </row>
    <row r="1410" ht="22.5" customHeight="1">
      <c r="A1410" s="86">
        <v>45905.0</v>
      </c>
      <c r="B1410" s="63" t="s">
        <v>27</v>
      </c>
      <c r="C1410" s="80">
        <v>388500.0</v>
      </c>
      <c r="D1410" s="80"/>
      <c r="E1410" s="66" t="s">
        <v>28</v>
      </c>
      <c r="F1410" s="84" t="s">
        <v>722</v>
      </c>
      <c r="G1410" s="68">
        <v>20.0</v>
      </c>
      <c r="H1410" s="69">
        <f t="shared" si="82"/>
        <v>64750</v>
      </c>
      <c r="I1410" s="76" t="s">
        <v>37</v>
      </c>
      <c r="J1410" s="87" t="s">
        <v>539</v>
      </c>
      <c r="K1410" s="82" t="s">
        <v>802</v>
      </c>
      <c r="L1410" s="82">
        <v>172.0</v>
      </c>
      <c r="M1410" s="128">
        <v>45790.0</v>
      </c>
      <c r="N1410" s="72">
        <f t="shared" si="87"/>
        <v>115</v>
      </c>
      <c r="O1410" s="96"/>
      <c r="P1410" s="74"/>
      <c r="Q1410" s="74"/>
      <c r="R1410" s="74"/>
      <c r="S1410" s="74"/>
      <c r="T1410" s="74"/>
      <c r="U1410" s="74"/>
      <c r="V1410" s="74"/>
      <c r="W1410" s="74"/>
      <c r="X1410" s="74"/>
      <c r="Y1410" s="74"/>
      <c r="Z1410" s="74"/>
      <c r="AA1410" s="74"/>
      <c r="AB1410" s="74"/>
      <c r="AC1410" s="74"/>
      <c r="AD1410" s="74"/>
      <c r="AE1410" s="74"/>
      <c r="AF1410" s="74"/>
      <c r="AG1410" s="74"/>
    </row>
    <row r="1411" ht="22.5" customHeight="1">
      <c r="A1411" s="86">
        <v>45905.0</v>
      </c>
      <c r="B1411" s="63" t="s">
        <v>27</v>
      </c>
      <c r="C1411" s="80">
        <v>336000.0</v>
      </c>
      <c r="D1411" s="80"/>
      <c r="E1411" s="66" t="s">
        <v>28</v>
      </c>
      <c r="F1411" s="84" t="s">
        <v>722</v>
      </c>
      <c r="G1411" s="68">
        <v>20.0</v>
      </c>
      <c r="H1411" s="69">
        <f t="shared" si="82"/>
        <v>56000</v>
      </c>
      <c r="I1411" s="76" t="s">
        <v>37</v>
      </c>
      <c r="J1411" s="87" t="s">
        <v>539</v>
      </c>
      <c r="K1411" s="82" t="s">
        <v>857</v>
      </c>
      <c r="L1411" s="82">
        <v>173.0</v>
      </c>
      <c r="M1411" s="128">
        <v>45790.0</v>
      </c>
      <c r="N1411" s="72">
        <f t="shared" si="87"/>
        <v>115</v>
      </c>
      <c r="O1411" s="96"/>
      <c r="P1411" s="74"/>
      <c r="Q1411" s="74"/>
      <c r="R1411" s="74"/>
      <c r="S1411" s="74"/>
      <c r="T1411" s="74"/>
      <c r="U1411" s="74"/>
      <c r="V1411" s="74"/>
      <c r="W1411" s="74"/>
      <c r="X1411" s="74"/>
      <c r="Y1411" s="74"/>
      <c r="Z1411" s="74"/>
      <c r="AA1411" s="74"/>
      <c r="AB1411" s="74"/>
      <c r="AC1411" s="74"/>
      <c r="AD1411" s="74"/>
      <c r="AE1411" s="74"/>
      <c r="AF1411" s="74"/>
      <c r="AG1411" s="74"/>
    </row>
    <row r="1412" ht="22.5" customHeight="1">
      <c r="A1412" s="86">
        <v>45905.0</v>
      </c>
      <c r="B1412" s="63" t="s">
        <v>27</v>
      </c>
      <c r="C1412" s="80">
        <v>225120.0</v>
      </c>
      <c r="D1412" s="80"/>
      <c r="E1412" s="66" t="s">
        <v>28</v>
      </c>
      <c r="F1412" s="84" t="s">
        <v>722</v>
      </c>
      <c r="G1412" s="68">
        <v>20.0</v>
      </c>
      <c r="H1412" s="69">
        <f t="shared" si="82"/>
        <v>37520</v>
      </c>
      <c r="I1412" s="76" t="s">
        <v>37</v>
      </c>
      <c r="J1412" s="87" t="s">
        <v>539</v>
      </c>
      <c r="K1412" s="82" t="s">
        <v>856</v>
      </c>
      <c r="L1412" s="82">
        <v>174.0</v>
      </c>
      <c r="M1412" s="128">
        <v>45790.0</v>
      </c>
      <c r="N1412" s="72">
        <f t="shared" si="87"/>
        <v>115</v>
      </c>
      <c r="O1412" s="96"/>
      <c r="P1412" s="74"/>
      <c r="Q1412" s="74"/>
      <c r="R1412" s="74"/>
      <c r="S1412" s="74"/>
      <c r="T1412" s="74"/>
      <c r="U1412" s="74"/>
      <c r="V1412" s="74"/>
      <c r="W1412" s="74"/>
      <c r="X1412" s="74"/>
      <c r="Y1412" s="74"/>
      <c r="Z1412" s="74"/>
      <c r="AA1412" s="74"/>
      <c r="AB1412" s="74"/>
      <c r="AC1412" s="74"/>
      <c r="AD1412" s="74"/>
      <c r="AE1412" s="74"/>
      <c r="AF1412" s="74"/>
      <c r="AG1412" s="74"/>
    </row>
    <row r="1413" ht="22.5" customHeight="1">
      <c r="A1413" s="86">
        <v>45905.0</v>
      </c>
      <c r="B1413" s="63" t="s">
        <v>27</v>
      </c>
      <c r="C1413" s="80">
        <v>600600.0</v>
      </c>
      <c r="D1413" s="80"/>
      <c r="E1413" s="66" t="s">
        <v>28</v>
      </c>
      <c r="F1413" s="84" t="s">
        <v>722</v>
      </c>
      <c r="G1413" s="68">
        <v>20.0</v>
      </c>
      <c r="H1413" s="69">
        <f t="shared" si="82"/>
        <v>100100</v>
      </c>
      <c r="I1413" s="76" t="s">
        <v>37</v>
      </c>
      <c r="J1413" s="87" t="s">
        <v>1014</v>
      </c>
      <c r="K1413" s="82" t="s">
        <v>808</v>
      </c>
      <c r="L1413" s="82">
        <v>183.0</v>
      </c>
      <c r="M1413" s="128">
        <v>45790.0</v>
      </c>
      <c r="N1413" s="72">
        <f t="shared" si="87"/>
        <v>115</v>
      </c>
      <c r="O1413" s="96"/>
      <c r="P1413" s="74"/>
      <c r="Q1413" s="74"/>
      <c r="R1413" s="74"/>
      <c r="S1413" s="74"/>
      <c r="T1413" s="74"/>
      <c r="U1413" s="74"/>
      <c r="V1413" s="74"/>
      <c r="W1413" s="74"/>
      <c r="X1413" s="74"/>
      <c r="Y1413" s="74"/>
      <c r="Z1413" s="74"/>
      <c r="AA1413" s="74"/>
      <c r="AB1413" s="74"/>
      <c r="AC1413" s="74"/>
      <c r="AD1413" s="74"/>
      <c r="AE1413" s="74"/>
      <c r="AF1413" s="74"/>
      <c r="AG1413" s="74"/>
    </row>
    <row r="1414" ht="22.5" customHeight="1">
      <c r="A1414" s="86">
        <v>45905.0</v>
      </c>
      <c r="B1414" s="63" t="s">
        <v>27</v>
      </c>
      <c r="C1414" s="80">
        <v>600600.0</v>
      </c>
      <c r="D1414" s="80"/>
      <c r="E1414" s="66" t="s">
        <v>28</v>
      </c>
      <c r="F1414" s="84" t="s">
        <v>722</v>
      </c>
      <c r="G1414" s="68">
        <v>20.0</v>
      </c>
      <c r="H1414" s="69">
        <f t="shared" si="82"/>
        <v>100100</v>
      </c>
      <c r="I1414" s="76" t="s">
        <v>37</v>
      </c>
      <c r="J1414" s="87" t="s">
        <v>1014</v>
      </c>
      <c r="K1414" s="82" t="s">
        <v>1093</v>
      </c>
      <c r="L1414" s="82">
        <v>184.0</v>
      </c>
      <c r="M1414" s="128">
        <v>45790.0</v>
      </c>
      <c r="N1414" s="72">
        <f t="shared" si="87"/>
        <v>115</v>
      </c>
      <c r="O1414" s="96"/>
      <c r="P1414" s="74"/>
      <c r="Q1414" s="74"/>
      <c r="R1414" s="74"/>
      <c r="S1414" s="74"/>
      <c r="T1414" s="74"/>
      <c r="U1414" s="74"/>
      <c r="V1414" s="74"/>
      <c r="W1414" s="74"/>
      <c r="X1414" s="74"/>
      <c r="Y1414" s="74"/>
      <c r="Z1414" s="74"/>
      <c r="AA1414" s="74"/>
      <c r="AB1414" s="74"/>
      <c r="AC1414" s="74"/>
      <c r="AD1414" s="74"/>
      <c r="AE1414" s="74"/>
      <c r="AF1414" s="74"/>
      <c r="AG1414" s="74"/>
    </row>
    <row r="1415" ht="22.5" customHeight="1">
      <c r="A1415" s="86">
        <v>45905.0</v>
      </c>
      <c r="B1415" s="63" t="s">
        <v>27</v>
      </c>
      <c r="C1415" s="80">
        <v>636048.0</v>
      </c>
      <c r="D1415" s="79"/>
      <c r="E1415" s="66" t="s">
        <v>28</v>
      </c>
      <c r="F1415" s="84" t="s">
        <v>800</v>
      </c>
      <c r="G1415" s="68">
        <v>20.0</v>
      </c>
      <c r="H1415" s="69">
        <f t="shared" si="82"/>
        <v>106008</v>
      </c>
      <c r="I1415" s="76" t="s">
        <v>37</v>
      </c>
      <c r="J1415" s="87" t="s">
        <v>539</v>
      </c>
      <c r="K1415" s="82" t="s">
        <v>1013</v>
      </c>
      <c r="L1415" s="82">
        <v>208.0</v>
      </c>
      <c r="M1415" s="128">
        <v>45817.0</v>
      </c>
      <c r="N1415" s="72">
        <f t="shared" si="87"/>
        <v>88</v>
      </c>
      <c r="O1415" s="96"/>
      <c r="P1415" s="74"/>
      <c r="Q1415" s="74"/>
      <c r="R1415" s="74"/>
      <c r="S1415" s="74"/>
      <c r="T1415" s="74"/>
      <c r="U1415" s="74"/>
      <c r="V1415" s="74"/>
      <c r="W1415" s="74"/>
      <c r="X1415" s="74"/>
      <c r="Y1415" s="74"/>
      <c r="Z1415" s="74"/>
      <c r="AA1415" s="74"/>
      <c r="AB1415" s="74"/>
      <c r="AC1415" s="74"/>
      <c r="AD1415" s="74"/>
      <c r="AE1415" s="74"/>
      <c r="AF1415" s="74"/>
      <c r="AG1415" s="74"/>
    </row>
    <row r="1416" ht="22.5" customHeight="1">
      <c r="A1416" s="86">
        <v>45905.0</v>
      </c>
      <c r="B1416" s="63" t="s">
        <v>27</v>
      </c>
      <c r="C1416" s="80">
        <v>261660.0</v>
      </c>
      <c r="D1416" s="79"/>
      <c r="E1416" s="66" t="s">
        <v>28</v>
      </c>
      <c r="F1416" s="84" t="s">
        <v>800</v>
      </c>
      <c r="G1416" s="68">
        <v>20.0</v>
      </c>
      <c r="H1416" s="69">
        <f t="shared" si="82"/>
        <v>43610</v>
      </c>
      <c r="I1416" s="76" t="s">
        <v>37</v>
      </c>
      <c r="J1416" s="87" t="s">
        <v>539</v>
      </c>
      <c r="K1416" s="82" t="s">
        <v>950</v>
      </c>
      <c r="L1416" s="82">
        <v>209.0</v>
      </c>
      <c r="M1416" s="128">
        <v>45817.0</v>
      </c>
      <c r="N1416" s="72">
        <f t="shared" si="87"/>
        <v>88</v>
      </c>
      <c r="O1416" s="96"/>
      <c r="P1416" s="74"/>
      <c r="Q1416" s="74"/>
      <c r="R1416" s="74"/>
      <c r="S1416" s="74"/>
      <c r="T1416" s="74"/>
      <c r="U1416" s="74"/>
      <c r="V1416" s="74"/>
      <c r="W1416" s="74"/>
      <c r="X1416" s="74"/>
      <c r="Y1416" s="74"/>
      <c r="Z1416" s="74"/>
      <c r="AA1416" s="74"/>
      <c r="AB1416" s="74"/>
      <c r="AC1416" s="74"/>
      <c r="AD1416" s="74"/>
      <c r="AE1416" s="74"/>
      <c r="AF1416" s="74"/>
      <c r="AG1416" s="74"/>
    </row>
    <row r="1417" ht="22.5" customHeight="1">
      <c r="A1417" s="86">
        <v>45905.0</v>
      </c>
      <c r="B1417" s="63" t="s">
        <v>27</v>
      </c>
      <c r="C1417" s="80">
        <v>336000.0</v>
      </c>
      <c r="D1417" s="79"/>
      <c r="E1417" s="66" t="s">
        <v>28</v>
      </c>
      <c r="F1417" s="84" t="s">
        <v>800</v>
      </c>
      <c r="G1417" s="68">
        <v>20.0</v>
      </c>
      <c r="H1417" s="69">
        <f t="shared" si="82"/>
        <v>56000</v>
      </c>
      <c r="I1417" s="76" t="s">
        <v>37</v>
      </c>
      <c r="J1417" s="87" t="s">
        <v>539</v>
      </c>
      <c r="K1417" s="82" t="s">
        <v>1076</v>
      </c>
      <c r="L1417" s="82">
        <v>219.0</v>
      </c>
      <c r="M1417" s="128">
        <v>45818.0</v>
      </c>
      <c r="N1417" s="72">
        <f t="shared" si="87"/>
        <v>87</v>
      </c>
      <c r="O1417" s="96"/>
      <c r="P1417" s="74"/>
      <c r="Q1417" s="74"/>
      <c r="R1417" s="74"/>
      <c r="S1417" s="74"/>
      <c r="T1417" s="74"/>
      <c r="U1417" s="74"/>
      <c r="V1417" s="74"/>
      <c r="W1417" s="74"/>
      <c r="X1417" s="74"/>
      <c r="Y1417" s="74"/>
      <c r="Z1417" s="74"/>
      <c r="AA1417" s="74"/>
      <c r="AB1417" s="74"/>
      <c r="AC1417" s="74"/>
      <c r="AD1417" s="74"/>
      <c r="AE1417" s="74"/>
      <c r="AF1417" s="74"/>
      <c r="AG1417" s="74"/>
    </row>
    <row r="1418" ht="22.5" customHeight="1">
      <c r="A1418" s="86">
        <v>45908.0</v>
      </c>
      <c r="B1418" s="63" t="s">
        <v>27</v>
      </c>
      <c r="C1418" s="79"/>
      <c r="D1418" s="80">
        <v>20000.0</v>
      </c>
      <c r="E1418" s="66" t="s">
        <v>33</v>
      </c>
      <c r="F1418" s="67" t="s">
        <v>1002</v>
      </c>
      <c r="G1418" s="68">
        <v>0.0</v>
      </c>
      <c r="H1418" s="69">
        <f t="shared" si="82"/>
        <v>0</v>
      </c>
      <c r="I1418" s="76" t="s">
        <v>495</v>
      </c>
      <c r="J1418" s="87" t="s">
        <v>1103</v>
      </c>
      <c r="K1418" s="95"/>
      <c r="L1418" s="95"/>
      <c r="M1418" s="95"/>
      <c r="N1418" s="72">
        <f t="shared" si="87"/>
        <v>0</v>
      </c>
      <c r="O1418" s="96"/>
      <c r="P1418" s="74"/>
      <c r="Q1418" s="74"/>
      <c r="R1418" s="74"/>
      <c r="S1418" s="74"/>
      <c r="T1418" s="74"/>
      <c r="U1418" s="74"/>
      <c r="V1418" s="74"/>
      <c r="W1418" s="74"/>
      <c r="X1418" s="74"/>
      <c r="Y1418" s="74"/>
      <c r="Z1418" s="74"/>
      <c r="AA1418" s="74"/>
      <c r="AB1418" s="74"/>
      <c r="AC1418" s="74"/>
      <c r="AD1418" s="74"/>
      <c r="AE1418" s="74"/>
      <c r="AF1418" s="74"/>
      <c r="AG1418" s="74"/>
    </row>
    <row r="1419" ht="22.5" customHeight="1">
      <c r="A1419" s="86">
        <v>45908.0</v>
      </c>
      <c r="B1419" s="63" t="s">
        <v>27</v>
      </c>
      <c r="C1419" s="79"/>
      <c r="D1419" s="79">
        <v>16000.0</v>
      </c>
      <c r="E1419" s="66" t="s">
        <v>33</v>
      </c>
      <c r="F1419" s="67" t="s">
        <v>1099</v>
      </c>
      <c r="G1419" s="68">
        <v>0.0</v>
      </c>
      <c r="H1419" s="69">
        <f t="shared" si="82"/>
        <v>0</v>
      </c>
      <c r="I1419" s="104" t="s">
        <v>233</v>
      </c>
      <c r="J1419" s="81"/>
      <c r="K1419" s="95"/>
      <c r="L1419" s="95"/>
      <c r="M1419" s="95"/>
      <c r="N1419" s="72">
        <f t="shared" si="87"/>
        <v>0</v>
      </c>
      <c r="O1419" s="96"/>
      <c r="P1419" s="74"/>
      <c r="Q1419" s="74"/>
      <c r="R1419" s="74"/>
      <c r="S1419" s="74"/>
      <c r="T1419" s="74"/>
      <c r="U1419" s="74"/>
      <c r="V1419" s="74"/>
      <c r="W1419" s="74"/>
      <c r="X1419" s="74"/>
      <c r="Y1419" s="74"/>
      <c r="Z1419" s="74"/>
      <c r="AA1419" s="74"/>
      <c r="AB1419" s="74"/>
      <c r="AC1419" s="74"/>
      <c r="AD1419" s="74"/>
      <c r="AE1419" s="74"/>
      <c r="AF1419" s="74"/>
      <c r="AG1419" s="74"/>
    </row>
    <row r="1420" ht="22.5" customHeight="1">
      <c r="A1420" s="86">
        <v>45908.0</v>
      </c>
      <c r="B1420" s="63" t="s">
        <v>27</v>
      </c>
      <c r="C1420" s="79"/>
      <c r="D1420" s="80">
        <v>535910.0</v>
      </c>
      <c r="E1420" s="66" t="s">
        <v>28</v>
      </c>
      <c r="F1420" s="67" t="s">
        <v>1099</v>
      </c>
      <c r="G1420" s="68">
        <v>0.0</v>
      </c>
      <c r="H1420" s="69">
        <f t="shared" si="82"/>
        <v>0</v>
      </c>
      <c r="I1420" s="76" t="s">
        <v>93</v>
      </c>
      <c r="J1420" s="87" t="s">
        <v>1104</v>
      </c>
      <c r="K1420" s="95"/>
      <c r="L1420" s="95"/>
      <c r="M1420" s="95"/>
      <c r="N1420" s="72">
        <f t="shared" si="87"/>
        <v>0</v>
      </c>
      <c r="O1420" s="96"/>
      <c r="P1420" s="74"/>
      <c r="Q1420" s="74"/>
      <c r="R1420" s="74"/>
      <c r="S1420" s="74"/>
      <c r="T1420" s="74"/>
      <c r="U1420" s="74"/>
      <c r="V1420" s="74"/>
      <c r="W1420" s="74"/>
      <c r="X1420" s="74"/>
      <c r="Y1420" s="74"/>
      <c r="Z1420" s="74"/>
      <c r="AA1420" s="74"/>
      <c r="AB1420" s="74"/>
      <c r="AC1420" s="74"/>
      <c r="AD1420" s="74"/>
      <c r="AE1420" s="74"/>
      <c r="AF1420" s="74"/>
      <c r="AG1420" s="74"/>
    </row>
    <row r="1421" ht="22.5" customHeight="1">
      <c r="A1421" s="86">
        <v>45908.0</v>
      </c>
      <c r="B1421" s="63" t="s">
        <v>27</v>
      </c>
      <c r="C1421" s="79"/>
      <c r="D1421" s="80">
        <v>23700.0</v>
      </c>
      <c r="E1421" s="66" t="s">
        <v>28</v>
      </c>
      <c r="F1421" s="67" t="s">
        <v>1099</v>
      </c>
      <c r="G1421" s="68">
        <v>0.0</v>
      </c>
      <c r="H1421" s="69">
        <f t="shared" si="82"/>
        <v>0</v>
      </c>
      <c r="I1421" s="76" t="s">
        <v>383</v>
      </c>
      <c r="J1421" s="87" t="s">
        <v>1020</v>
      </c>
      <c r="K1421" s="95"/>
      <c r="L1421" s="95"/>
      <c r="M1421" s="95"/>
      <c r="N1421" s="72">
        <f t="shared" si="87"/>
        <v>0</v>
      </c>
      <c r="O1421" s="96"/>
      <c r="P1421" s="74"/>
      <c r="Q1421" s="74"/>
      <c r="R1421" s="74"/>
      <c r="S1421" s="74"/>
      <c r="T1421" s="74"/>
      <c r="U1421" s="74"/>
      <c r="V1421" s="74"/>
      <c r="W1421" s="74"/>
      <c r="X1421" s="74"/>
      <c r="Y1421" s="74"/>
      <c r="Z1421" s="74"/>
      <c r="AA1421" s="74"/>
      <c r="AB1421" s="74"/>
      <c r="AC1421" s="74"/>
      <c r="AD1421" s="74"/>
      <c r="AE1421" s="74"/>
      <c r="AF1421" s="74"/>
      <c r="AG1421" s="74"/>
    </row>
    <row r="1422" ht="22.5" customHeight="1">
      <c r="A1422" s="86">
        <v>45909.0</v>
      </c>
      <c r="B1422" s="63" t="s">
        <v>27</v>
      </c>
      <c r="C1422" s="79"/>
      <c r="D1422" s="80">
        <v>114000.0</v>
      </c>
      <c r="E1422" s="66" t="s">
        <v>28</v>
      </c>
      <c r="F1422" s="84" t="s">
        <v>897</v>
      </c>
      <c r="G1422" s="69">
        <v>0.0</v>
      </c>
      <c r="H1422" s="69">
        <f t="shared" si="82"/>
        <v>0</v>
      </c>
      <c r="I1422" s="76" t="s">
        <v>286</v>
      </c>
      <c r="J1422" s="100" t="s">
        <v>454</v>
      </c>
      <c r="K1422" s="95"/>
      <c r="L1422" s="95"/>
      <c r="M1422" s="95"/>
      <c r="N1422" s="72"/>
      <c r="O1422" s="140" t="s">
        <v>1105</v>
      </c>
      <c r="P1422" s="74"/>
      <c r="Q1422" s="74"/>
      <c r="R1422" s="74"/>
      <c r="S1422" s="74"/>
      <c r="T1422" s="74"/>
      <c r="U1422" s="74"/>
      <c r="V1422" s="74"/>
      <c r="W1422" s="74"/>
      <c r="X1422" s="74"/>
      <c r="Y1422" s="74"/>
      <c r="Z1422" s="74"/>
      <c r="AA1422" s="74"/>
      <c r="AB1422" s="74"/>
      <c r="AC1422" s="74"/>
      <c r="AD1422" s="74"/>
      <c r="AE1422" s="74"/>
      <c r="AF1422" s="74"/>
      <c r="AG1422" s="74"/>
    </row>
    <row r="1423" ht="22.5" customHeight="1">
      <c r="A1423" s="86">
        <v>45909.0</v>
      </c>
      <c r="B1423" s="63" t="s">
        <v>27</v>
      </c>
      <c r="C1423" s="79"/>
      <c r="D1423" s="80">
        <v>323583.3</v>
      </c>
      <c r="E1423" s="66" t="s">
        <v>28</v>
      </c>
      <c r="F1423" s="84" t="s">
        <v>897</v>
      </c>
      <c r="G1423" s="68">
        <v>20.0</v>
      </c>
      <c r="H1423" s="69">
        <f t="shared" si="82"/>
        <v>53930.55</v>
      </c>
      <c r="I1423" s="76" t="s">
        <v>101</v>
      </c>
      <c r="J1423" s="136" t="s">
        <v>670</v>
      </c>
      <c r="K1423" s="95"/>
      <c r="L1423" s="95"/>
      <c r="M1423" s="95"/>
      <c r="N1423" s="72"/>
      <c r="O1423" s="140" t="s">
        <v>1106</v>
      </c>
      <c r="P1423" s="74"/>
      <c r="Q1423" s="74"/>
      <c r="R1423" s="74"/>
      <c r="S1423" s="74"/>
      <c r="T1423" s="74"/>
      <c r="U1423" s="74"/>
      <c r="V1423" s="74"/>
      <c r="W1423" s="74"/>
      <c r="X1423" s="74"/>
      <c r="Y1423" s="74"/>
      <c r="Z1423" s="74"/>
      <c r="AA1423" s="74"/>
      <c r="AB1423" s="74"/>
      <c r="AC1423" s="74"/>
      <c r="AD1423" s="74"/>
      <c r="AE1423" s="74"/>
      <c r="AF1423" s="74"/>
      <c r="AG1423" s="74"/>
    </row>
    <row r="1424" ht="22.5" customHeight="1">
      <c r="A1424" s="86">
        <v>45909.0</v>
      </c>
      <c r="B1424" s="63" t="s">
        <v>27</v>
      </c>
      <c r="C1424" s="79"/>
      <c r="D1424" s="80">
        <v>53506.74</v>
      </c>
      <c r="E1424" s="66" t="s">
        <v>28</v>
      </c>
      <c r="F1424" s="84" t="s">
        <v>897</v>
      </c>
      <c r="G1424" s="68">
        <v>5.0</v>
      </c>
      <c r="H1424" s="69">
        <f t="shared" si="82"/>
        <v>2547.94</v>
      </c>
      <c r="I1424" s="76" t="s">
        <v>101</v>
      </c>
      <c r="J1424" s="146" t="s">
        <v>1032</v>
      </c>
      <c r="K1424" s="95"/>
      <c r="L1424" s="95"/>
      <c r="M1424" s="95"/>
      <c r="N1424" s="72">
        <f t="shared" ref="N1424:N1434" si="88">A1424-IF(M1424&gt;0,M1424,A1424)</f>
        <v>0</v>
      </c>
      <c r="O1424" s="140" t="s">
        <v>1107</v>
      </c>
      <c r="P1424" s="74"/>
      <c r="Q1424" s="74"/>
      <c r="R1424" s="74"/>
      <c r="S1424" s="74"/>
      <c r="T1424" s="74"/>
      <c r="U1424" s="74"/>
      <c r="V1424" s="74"/>
      <c r="W1424" s="74"/>
      <c r="X1424" s="74"/>
      <c r="Y1424" s="74"/>
      <c r="Z1424" s="74"/>
      <c r="AA1424" s="74"/>
      <c r="AB1424" s="74"/>
      <c r="AC1424" s="74"/>
      <c r="AD1424" s="74"/>
      <c r="AE1424" s="74"/>
      <c r="AF1424" s="74"/>
      <c r="AG1424" s="74"/>
    </row>
    <row r="1425" ht="22.5" customHeight="1">
      <c r="A1425" s="86">
        <v>45909.0</v>
      </c>
      <c r="B1425" s="63" t="s">
        <v>27</v>
      </c>
      <c r="C1425" s="79"/>
      <c r="D1425" s="80">
        <v>151042.9</v>
      </c>
      <c r="E1425" s="66" t="s">
        <v>28</v>
      </c>
      <c r="F1425" s="84" t="s">
        <v>897</v>
      </c>
      <c r="G1425" s="69">
        <v>0.0</v>
      </c>
      <c r="H1425" s="69">
        <f t="shared" si="82"/>
        <v>0</v>
      </c>
      <c r="I1425" s="76" t="s">
        <v>101</v>
      </c>
      <c r="J1425" s="136" t="s">
        <v>631</v>
      </c>
      <c r="K1425" s="95"/>
      <c r="L1425" s="95"/>
      <c r="M1425" s="95"/>
      <c r="N1425" s="72">
        <f t="shared" si="88"/>
        <v>0</v>
      </c>
      <c r="O1425" s="140" t="s">
        <v>1108</v>
      </c>
      <c r="P1425" s="74"/>
      <c r="Q1425" s="74"/>
      <c r="R1425" s="74"/>
      <c r="S1425" s="74"/>
      <c r="T1425" s="74"/>
      <c r="U1425" s="74"/>
      <c r="V1425" s="74"/>
      <c r="W1425" s="74"/>
      <c r="X1425" s="74"/>
      <c r="Y1425" s="74"/>
      <c r="Z1425" s="74"/>
      <c r="AA1425" s="74"/>
      <c r="AB1425" s="74"/>
      <c r="AC1425" s="74"/>
      <c r="AD1425" s="74"/>
      <c r="AE1425" s="74"/>
      <c r="AF1425" s="74"/>
      <c r="AG1425" s="74"/>
    </row>
    <row r="1426" ht="22.5" customHeight="1">
      <c r="A1426" s="86">
        <v>45909.0</v>
      </c>
      <c r="B1426" s="63" t="s">
        <v>27</v>
      </c>
      <c r="C1426" s="79"/>
      <c r="D1426" s="80">
        <v>34605.84</v>
      </c>
      <c r="E1426" s="66" t="s">
        <v>28</v>
      </c>
      <c r="F1426" s="84" t="s">
        <v>897</v>
      </c>
      <c r="G1426" s="68">
        <v>20.0</v>
      </c>
      <c r="H1426" s="69">
        <f t="shared" si="82"/>
        <v>5767.64</v>
      </c>
      <c r="I1426" s="76" t="s">
        <v>101</v>
      </c>
      <c r="J1426" s="146" t="s">
        <v>1030</v>
      </c>
      <c r="K1426" s="95"/>
      <c r="L1426" s="95"/>
      <c r="M1426" s="95"/>
      <c r="N1426" s="72">
        <f t="shared" si="88"/>
        <v>0</v>
      </c>
      <c r="O1426" s="140" t="s">
        <v>1109</v>
      </c>
      <c r="P1426" s="74"/>
      <c r="Q1426" s="74"/>
      <c r="R1426" s="74"/>
      <c r="S1426" s="74"/>
      <c r="T1426" s="74"/>
      <c r="U1426" s="74"/>
      <c r="V1426" s="74"/>
      <c r="W1426" s="74"/>
      <c r="X1426" s="74"/>
      <c r="Y1426" s="74"/>
      <c r="Z1426" s="74"/>
      <c r="AA1426" s="74"/>
      <c r="AB1426" s="74"/>
      <c r="AC1426" s="74"/>
      <c r="AD1426" s="74"/>
      <c r="AE1426" s="74"/>
      <c r="AF1426" s="74"/>
      <c r="AG1426" s="74"/>
    </row>
    <row r="1427" ht="22.5" customHeight="1">
      <c r="A1427" s="86">
        <v>45909.0</v>
      </c>
      <c r="B1427" s="63" t="s">
        <v>27</v>
      </c>
      <c r="C1427" s="79"/>
      <c r="D1427" s="80">
        <v>47627.9</v>
      </c>
      <c r="E1427" s="66" t="s">
        <v>28</v>
      </c>
      <c r="F1427" s="84" t="s">
        <v>897</v>
      </c>
      <c r="G1427" s="69">
        <v>0.0</v>
      </c>
      <c r="H1427" s="69">
        <f t="shared" si="82"/>
        <v>0</v>
      </c>
      <c r="I1427" s="76" t="s">
        <v>101</v>
      </c>
      <c r="J1427" s="146" t="s">
        <v>818</v>
      </c>
      <c r="K1427" s="95"/>
      <c r="L1427" s="95"/>
      <c r="M1427" s="95"/>
      <c r="N1427" s="72">
        <f t="shared" si="88"/>
        <v>0</v>
      </c>
      <c r="O1427" s="140" t="s">
        <v>1110</v>
      </c>
      <c r="P1427" s="74"/>
      <c r="Q1427" s="74"/>
      <c r="R1427" s="74"/>
      <c r="S1427" s="74"/>
      <c r="T1427" s="74"/>
      <c r="U1427" s="74"/>
      <c r="V1427" s="74"/>
      <c r="W1427" s="74"/>
      <c r="X1427" s="74"/>
      <c r="Y1427" s="74"/>
      <c r="Z1427" s="74"/>
      <c r="AA1427" s="74"/>
      <c r="AB1427" s="74"/>
      <c r="AC1427" s="74"/>
      <c r="AD1427" s="74"/>
      <c r="AE1427" s="74"/>
      <c r="AF1427" s="74"/>
      <c r="AG1427" s="74"/>
    </row>
    <row r="1428" ht="22.5" customHeight="1">
      <c r="A1428" s="86">
        <v>45909.0</v>
      </c>
      <c r="B1428" s="63" t="s">
        <v>27</v>
      </c>
      <c r="C1428" s="79"/>
      <c r="D1428" s="80">
        <v>217515.9</v>
      </c>
      <c r="E1428" s="66" t="s">
        <v>28</v>
      </c>
      <c r="F1428" s="84" t="s">
        <v>897</v>
      </c>
      <c r="G1428" s="68">
        <v>20.0</v>
      </c>
      <c r="H1428" s="69">
        <f t="shared" si="82"/>
        <v>36252.65</v>
      </c>
      <c r="I1428" s="76" t="s">
        <v>101</v>
      </c>
      <c r="J1428" s="146" t="s">
        <v>820</v>
      </c>
      <c r="K1428" s="95"/>
      <c r="L1428" s="95"/>
      <c r="M1428" s="95"/>
      <c r="N1428" s="72">
        <f t="shared" si="88"/>
        <v>0</v>
      </c>
      <c r="O1428" s="140" t="s">
        <v>1111</v>
      </c>
      <c r="P1428" s="74"/>
      <c r="Q1428" s="74"/>
      <c r="R1428" s="74"/>
      <c r="S1428" s="74"/>
      <c r="T1428" s="74"/>
      <c r="U1428" s="74"/>
      <c r="V1428" s="74"/>
      <c r="W1428" s="74"/>
      <c r="X1428" s="74"/>
      <c r="Y1428" s="74"/>
      <c r="Z1428" s="74"/>
      <c r="AA1428" s="74"/>
      <c r="AB1428" s="74"/>
      <c r="AC1428" s="74"/>
      <c r="AD1428" s="74"/>
      <c r="AE1428" s="74"/>
      <c r="AF1428" s="74"/>
      <c r="AG1428" s="74"/>
    </row>
    <row r="1429" ht="22.5" customHeight="1">
      <c r="A1429" s="86">
        <v>45909.0</v>
      </c>
      <c r="B1429" s="63" t="s">
        <v>27</v>
      </c>
      <c r="C1429" s="79"/>
      <c r="D1429" s="80">
        <v>98943.38</v>
      </c>
      <c r="E1429" s="66" t="s">
        <v>28</v>
      </c>
      <c r="F1429" s="84" t="s">
        <v>897</v>
      </c>
      <c r="G1429" s="68">
        <v>5.0</v>
      </c>
      <c r="H1429" s="69">
        <f t="shared" si="82"/>
        <v>4711.589524</v>
      </c>
      <c r="I1429" s="76" t="s">
        <v>101</v>
      </c>
      <c r="J1429" s="146" t="s">
        <v>671</v>
      </c>
      <c r="K1429" s="95"/>
      <c r="L1429" s="95"/>
      <c r="M1429" s="95"/>
      <c r="N1429" s="72">
        <f t="shared" si="88"/>
        <v>0</v>
      </c>
      <c r="O1429" s="140" t="s">
        <v>1112</v>
      </c>
      <c r="P1429" s="74"/>
      <c r="Q1429" s="74"/>
      <c r="R1429" s="74"/>
      <c r="S1429" s="74"/>
      <c r="T1429" s="74"/>
      <c r="U1429" s="74"/>
      <c r="V1429" s="74"/>
      <c r="W1429" s="74"/>
      <c r="X1429" s="74"/>
      <c r="Y1429" s="74"/>
      <c r="Z1429" s="74"/>
      <c r="AA1429" s="74"/>
      <c r="AB1429" s="74"/>
      <c r="AC1429" s="74"/>
      <c r="AD1429" s="74"/>
      <c r="AE1429" s="74"/>
      <c r="AF1429" s="74"/>
      <c r="AG1429" s="74"/>
    </row>
    <row r="1430" ht="22.5" customHeight="1">
      <c r="A1430" s="86">
        <v>45909.0</v>
      </c>
      <c r="B1430" s="63" t="s">
        <v>27</v>
      </c>
      <c r="C1430" s="79"/>
      <c r="D1430" s="80">
        <v>33821.28</v>
      </c>
      <c r="E1430" s="66" t="s">
        <v>28</v>
      </c>
      <c r="F1430" s="84" t="s">
        <v>897</v>
      </c>
      <c r="G1430" s="68">
        <v>20.0</v>
      </c>
      <c r="H1430" s="69">
        <f t="shared" si="82"/>
        <v>5636.88</v>
      </c>
      <c r="I1430" s="76" t="s">
        <v>101</v>
      </c>
      <c r="J1430" s="136" t="s">
        <v>973</v>
      </c>
      <c r="K1430" s="95"/>
      <c r="L1430" s="95"/>
      <c r="M1430" s="95"/>
      <c r="N1430" s="72">
        <f t="shared" si="88"/>
        <v>0</v>
      </c>
      <c r="O1430" s="140" t="s">
        <v>1113</v>
      </c>
      <c r="P1430" s="74"/>
      <c r="Q1430" s="74"/>
      <c r="R1430" s="74"/>
      <c r="S1430" s="74"/>
      <c r="T1430" s="74"/>
      <c r="U1430" s="74"/>
      <c r="V1430" s="74"/>
      <c r="W1430" s="74"/>
      <c r="X1430" s="74"/>
      <c r="Y1430" s="74"/>
      <c r="Z1430" s="74"/>
      <c r="AA1430" s="74"/>
      <c r="AB1430" s="74"/>
      <c r="AC1430" s="74"/>
      <c r="AD1430" s="74"/>
      <c r="AE1430" s="74"/>
      <c r="AF1430" s="74"/>
      <c r="AG1430" s="74"/>
    </row>
    <row r="1431" ht="22.5" customHeight="1">
      <c r="A1431" s="86">
        <v>45909.0</v>
      </c>
      <c r="B1431" s="63" t="s">
        <v>27</v>
      </c>
      <c r="C1431" s="79"/>
      <c r="D1431" s="80">
        <v>581992.66</v>
      </c>
      <c r="E1431" s="66" t="s">
        <v>28</v>
      </c>
      <c r="F1431" s="84" t="s">
        <v>897</v>
      </c>
      <c r="G1431" s="68">
        <v>20.0</v>
      </c>
      <c r="H1431" s="69">
        <f t="shared" si="82"/>
        <v>96998.77667</v>
      </c>
      <c r="I1431" s="76" t="s">
        <v>101</v>
      </c>
      <c r="J1431" s="136" t="s">
        <v>597</v>
      </c>
      <c r="K1431" s="95"/>
      <c r="L1431" s="95"/>
      <c r="M1431" s="95"/>
      <c r="N1431" s="72">
        <f t="shared" si="88"/>
        <v>0</v>
      </c>
      <c r="O1431" s="140" t="s">
        <v>1114</v>
      </c>
      <c r="P1431" s="74"/>
      <c r="Q1431" s="74"/>
      <c r="R1431" s="74"/>
      <c r="S1431" s="74"/>
      <c r="T1431" s="74"/>
      <c r="U1431" s="74"/>
      <c r="V1431" s="74"/>
      <c r="W1431" s="74"/>
      <c r="X1431" s="74"/>
      <c r="Y1431" s="74"/>
      <c r="Z1431" s="74"/>
      <c r="AA1431" s="74"/>
      <c r="AB1431" s="74"/>
      <c r="AC1431" s="74"/>
      <c r="AD1431" s="74"/>
      <c r="AE1431" s="74"/>
      <c r="AF1431" s="74"/>
      <c r="AG1431" s="74"/>
    </row>
    <row r="1432" ht="22.5" customHeight="1">
      <c r="A1432" s="86">
        <v>45909.0</v>
      </c>
      <c r="B1432" s="63" t="s">
        <v>27</v>
      </c>
      <c r="C1432" s="79"/>
      <c r="D1432" s="80">
        <v>132943.36</v>
      </c>
      <c r="E1432" s="66" t="s">
        <v>28</v>
      </c>
      <c r="F1432" s="84" t="s">
        <v>897</v>
      </c>
      <c r="G1432" s="68">
        <v>20.0</v>
      </c>
      <c r="H1432" s="69">
        <f t="shared" si="82"/>
        <v>22157.22667</v>
      </c>
      <c r="I1432" s="76" t="s">
        <v>101</v>
      </c>
      <c r="J1432" s="146" t="s">
        <v>643</v>
      </c>
      <c r="K1432" s="95"/>
      <c r="L1432" s="95"/>
      <c r="M1432" s="95"/>
      <c r="N1432" s="72">
        <f t="shared" si="88"/>
        <v>0</v>
      </c>
      <c r="O1432" s="140" t="s">
        <v>1115</v>
      </c>
      <c r="P1432" s="74"/>
      <c r="Q1432" s="74"/>
      <c r="R1432" s="74"/>
      <c r="S1432" s="74"/>
      <c r="T1432" s="74"/>
      <c r="U1432" s="74"/>
      <c r="V1432" s="74"/>
      <c r="W1432" s="74"/>
      <c r="X1432" s="74"/>
      <c r="Y1432" s="74"/>
      <c r="Z1432" s="74"/>
      <c r="AA1432" s="74"/>
      <c r="AB1432" s="74"/>
      <c r="AC1432" s="74"/>
      <c r="AD1432" s="74"/>
      <c r="AE1432" s="74"/>
      <c r="AF1432" s="74"/>
      <c r="AG1432" s="74"/>
    </row>
    <row r="1433" ht="22.5" customHeight="1">
      <c r="A1433" s="86">
        <v>45909.0</v>
      </c>
      <c r="B1433" s="63" t="s">
        <v>27</v>
      </c>
      <c r="C1433" s="79"/>
      <c r="D1433" s="80">
        <v>14506.92</v>
      </c>
      <c r="E1433" s="66" t="s">
        <v>28</v>
      </c>
      <c r="F1433" s="84" t="s">
        <v>897</v>
      </c>
      <c r="G1433" s="68">
        <v>20.0</v>
      </c>
      <c r="H1433" s="69">
        <f t="shared" si="82"/>
        <v>2417.82</v>
      </c>
      <c r="I1433" s="76" t="s">
        <v>101</v>
      </c>
      <c r="J1433" s="146" t="s">
        <v>976</v>
      </c>
      <c r="K1433" s="95"/>
      <c r="L1433" s="95"/>
      <c r="M1433" s="95"/>
      <c r="N1433" s="72">
        <f t="shared" si="88"/>
        <v>0</v>
      </c>
      <c r="O1433" s="140" t="s">
        <v>1116</v>
      </c>
      <c r="P1433" s="74"/>
      <c r="Q1433" s="74"/>
      <c r="R1433" s="74"/>
      <c r="S1433" s="74"/>
      <c r="T1433" s="74"/>
      <c r="U1433" s="74"/>
      <c r="V1433" s="74"/>
      <c r="W1433" s="74"/>
      <c r="X1433" s="74"/>
      <c r="Y1433" s="74"/>
      <c r="Z1433" s="74"/>
      <c r="AA1433" s="74"/>
      <c r="AB1433" s="74"/>
      <c r="AC1433" s="74"/>
      <c r="AD1433" s="74"/>
      <c r="AE1433" s="74"/>
      <c r="AF1433" s="74"/>
      <c r="AG1433" s="74"/>
    </row>
    <row r="1434" ht="22.5" customHeight="1">
      <c r="A1434" s="86">
        <v>45909.0</v>
      </c>
      <c r="B1434" s="63" t="s">
        <v>27</v>
      </c>
      <c r="C1434" s="79"/>
      <c r="D1434" s="80">
        <v>14097.7</v>
      </c>
      <c r="E1434" s="66" t="s">
        <v>28</v>
      </c>
      <c r="F1434" s="84" t="s">
        <v>897</v>
      </c>
      <c r="G1434" s="69">
        <v>0.0</v>
      </c>
      <c r="H1434" s="69">
        <f t="shared" si="82"/>
        <v>0</v>
      </c>
      <c r="I1434" s="76" t="s">
        <v>101</v>
      </c>
      <c r="J1434" s="146" t="s">
        <v>1062</v>
      </c>
      <c r="K1434" s="95"/>
      <c r="L1434" s="95"/>
      <c r="M1434" s="95"/>
      <c r="N1434" s="72">
        <f t="shared" si="88"/>
        <v>0</v>
      </c>
      <c r="O1434" s="140" t="s">
        <v>1117</v>
      </c>
      <c r="P1434" s="74"/>
      <c r="Q1434" s="74"/>
      <c r="R1434" s="74"/>
      <c r="S1434" s="74"/>
      <c r="T1434" s="74"/>
      <c r="U1434" s="74"/>
      <c r="V1434" s="74"/>
      <c r="W1434" s="74"/>
      <c r="X1434" s="74"/>
      <c r="Y1434" s="74"/>
      <c r="Z1434" s="74"/>
      <c r="AA1434" s="74"/>
      <c r="AB1434" s="74"/>
      <c r="AC1434" s="74"/>
      <c r="AD1434" s="74"/>
      <c r="AE1434" s="74"/>
      <c r="AF1434" s="74"/>
      <c r="AG1434" s="74"/>
    </row>
    <row r="1435" ht="22.5" customHeight="1">
      <c r="A1435" s="86">
        <v>45909.0</v>
      </c>
      <c r="B1435" s="63" t="s">
        <v>27</v>
      </c>
      <c r="C1435" s="79"/>
      <c r="D1435" s="80">
        <v>387650.38</v>
      </c>
      <c r="E1435" s="66" t="s">
        <v>28</v>
      </c>
      <c r="F1435" s="84" t="s">
        <v>674</v>
      </c>
      <c r="G1435" s="68">
        <v>20.0</v>
      </c>
      <c r="H1435" s="69">
        <f t="shared" si="82"/>
        <v>64608.39667</v>
      </c>
      <c r="I1435" s="76" t="s">
        <v>101</v>
      </c>
      <c r="J1435" s="151" t="s">
        <v>1118</v>
      </c>
      <c r="K1435" s="95"/>
      <c r="L1435" s="95"/>
      <c r="M1435" s="95"/>
      <c r="N1435" s="72"/>
      <c r="O1435" s="140" t="s">
        <v>1119</v>
      </c>
      <c r="P1435" s="74"/>
      <c r="Q1435" s="74"/>
      <c r="R1435" s="74"/>
      <c r="S1435" s="74"/>
      <c r="T1435" s="74"/>
      <c r="U1435" s="74"/>
      <c r="V1435" s="74"/>
      <c r="W1435" s="74"/>
      <c r="X1435" s="74"/>
      <c r="Y1435" s="74"/>
      <c r="Z1435" s="74"/>
      <c r="AA1435" s="74"/>
      <c r="AB1435" s="74"/>
      <c r="AC1435" s="74"/>
      <c r="AD1435" s="74"/>
      <c r="AE1435" s="74"/>
      <c r="AF1435" s="74"/>
      <c r="AG1435" s="74"/>
    </row>
    <row r="1436" ht="22.5" customHeight="1">
      <c r="A1436" s="86">
        <v>45909.0</v>
      </c>
      <c r="B1436" s="63" t="s">
        <v>27</v>
      </c>
      <c r="C1436" s="79"/>
      <c r="D1436" s="80">
        <v>295802.38</v>
      </c>
      <c r="E1436" s="66" t="s">
        <v>28</v>
      </c>
      <c r="F1436" s="84" t="s">
        <v>722</v>
      </c>
      <c r="G1436" s="68">
        <v>20.0</v>
      </c>
      <c r="H1436" s="69">
        <f t="shared" si="82"/>
        <v>49300.39667</v>
      </c>
      <c r="I1436" s="76" t="s">
        <v>101</v>
      </c>
      <c r="J1436" s="151" t="s">
        <v>1118</v>
      </c>
      <c r="K1436" s="95"/>
      <c r="L1436" s="95"/>
      <c r="M1436" s="95"/>
      <c r="N1436" s="72"/>
      <c r="O1436" s="140" t="s">
        <v>1120</v>
      </c>
      <c r="P1436" s="74"/>
      <c r="Q1436" s="74"/>
      <c r="R1436" s="74"/>
      <c r="S1436" s="74"/>
      <c r="T1436" s="74"/>
      <c r="U1436" s="74"/>
      <c r="V1436" s="74"/>
      <c r="W1436" s="74"/>
      <c r="X1436" s="74"/>
      <c r="Y1436" s="74"/>
      <c r="Z1436" s="74"/>
      <c r="AA1436" s="74"/>
      <c r="AB1436" s="74"/>
      <c r="AC1436" s="74"/>
      <c r="AD1436" s="74"/>
      <c r="AE1436" s="74"/>
      <c r="AF1436" s="74"/>
      <c r="AG1436" s="74"/>
    </row>
    <row r="1437" ht="22.5" customHeight="1">
      <c r="A1437" s="86">
        <v>45909.0</v>
      </c>
      <c r="B1437" s="63" t="s">
        <v>27</v>
      </c>
      <c r="C1437" s="79"/>
      <c r="D1437" s="80">
        <v>278103.75</v>
      </c>
      <c r="E1437" s="66" t="s">
        <v>28</v>
      </c>
      <c r="F1437" s="84" t="s">
        <v>800</v>
      </c>
      <c r="G1437" s="68">
        <v>20.0</v>
      </c>
      <c r="H1437" s="69">
        <f t="shared" si="82"/>
        <v>46350.625</v>
      </c>
      <c r="I1437" s="76" t="s">
        <v>101</v>
      </c>
      <c r="J1437" s="151" t="s">
        <v>1118</v>
      </c>
      <c r="K1437" s="95"/>
      <c r="L1437" s="95"/>
      <c r="M1437" s="95"/>
      <c r="N1437" s="72"/>
      <c r="O1437" s="140" t="s">
        <v>1121</v>
      </c>
      <c r="P1437" s="74"/>
      <c r="Q1437" s="74"/>
      <c r="R1437" s="74"/>
      <c r="S1437" s="74"/>
      <c r="T1437" s="74"/>
      <c r="U1437" s="74"/>
      <c r="V1437" s="74"/>
      <c r="W1437" s="74"/>
      <c r="X1437" s="74"/>
      <c r="Y1437" s="74"/>
      <c r="Z1437" s="74"/>
      <c r="AA1437" s="74"/>
      <c r="AB1437" s="74"/>
      <c r="AC1437" s="74"/>
      <c r="AD1437" s="74"/>
      <c r="AE1437" s="74"/>
      <c r="AF1437" s="74"/>
      <c r="AG1437" s="74"/>
    </row>
    <row r="1438" ht="22.5" customHeight="1">
      <c r="A1438" s="86">
        <v>45909.0</v>
      </c>
      <c r="B1438" s="63" t="s">
        <v>27</v>
      </c>
      <c r="C1438" s="79"/>
      <c r="D1438" s="80">
        <v>36000.0</v>
      </c>
      <c r="E1438" s="66" t="s">
        <v>28</v>
      </c>
      <c r="F1438" s="67" t="s">
        <v>1099</v>
      </c>
      <c r="G1438" s="68">
        <v>20.0</v>
      </c>
      <c r="H1438" s="69">
        <f t="shared" si="82"/>
        <v>6000</v>
      </c>
      <c r="I1438" s="76" t="s">
        <v>61</v>
      </c>
      <c r="J1438" s="87" t="s">
        <v>942</v>
      </c>
      <c r="K1438" s="95"/>
      <c r="L1438" s="95"/>
      <c r="M1438" s="95"/>
      <c r="N1438" s="72"/>
      <c r="O1438" s="83" t="s">
        <v>943</v>
      </c>
      <c r="P1438" s="74"/>
      <c r="Q1438" s="74"/>
      <c r="R1438" s="74"/>
      <c r="S1438" s="74"/>
      <c r="T1438" s="74"/>
      <c r="U1438" s="74"/>
      <c r="V1438" s="74"/>
      <c r="W1438" s="74"/>
      <c r="X1438" s="74"/>
      <c r="Y1438" s="74"/>
      <c r="Z1438" s="74"/>
      <c r="AA1438" s="74"/>
      <c r="AB1438" s="74"/>
      <c r="AC1438" s="74"/>
      <c r="AD1438" s="74"/>
      <c r="AE1438" s="74"/>
      <c r="AF1438" s="74"/>
      <c r="AG1438" s="74"/>
    </row>
    <row r="1439" ht="22.5" customHeight="1">
      <c r="A1439" s="86">
        <v>45909.0</v>
      </c>
      <c r="B1439" s="63" t="s">
        <v>27</v>
      </c>
      <c r="C1439" s="79"/>
      <c r="D1439" s="80">
        <v>1930000.0</v>
      </c>
      <c r="E1439" s="66" t="s">
        <v>28</v>
      </c>
      <c r="F1439" s="67" t="s">
        <v>1099</v>
      </c>
      <c r="G1439" s="68">
        <v>0.0</v>
      </c>
      <c r="H1439" s="69">
        <f t="shared" si="82"/>
        <v>0</v>
      </c>
      <c r="I1439" s="94" t="s">
        <v>598</v>
      </c>
      <c r="J1439" s="87" t="s">
        <v>72</v>
      </c>
      <c r="K1439" s="95"/>
      <c r="L1439" s="95"/>
      <c r="M1439" s="95"/>
      <c r="N1439" s="72"/>
      <c r="O1439" s="96"/>
      <c r="P1439" s="74"/>
      <c r="Q1439" s="74"/>
      <c r="R1439" s="74"/>
      <c r="S1439" s="74"/>
      <c r="T1439" s="74"/>
      <c r="U1439" s="74"/>
      <c r="V1439" s="74"/>
      <c r="W1439" s="74"/>
      <c r="X1439" s="74"/>
      <c r="Y1439" s="74"/>
      <c r="Z1439" s="74"/>
      <c r="AA1439" s="74"/>
      <c r="AB1439" s="74"/>
      <c r="AC1439" s="74"/>
      <c r="AD1439" s="74"/>
      <c r="AE1439" s="74"/>
      <c r="AF1439" s="74"/>
      <c r="AG1439" s="74"/>
    </row>
    <row r="1440" ht="22.5" customHeight="1">
      <c r="A1440" s="86">
        <v>45909.0</v>
      </c>
      <c r="B1440" s="63" t="s">
        <v>27</v>
      </c>
      <c r="C1440" s="79"/>
      <c r="D1440" s="80">
        <v>122868.0</v>
      </c>
      <c r="E1440" s="66" t="s">
        <v>28</v>
      </c>
      <c r="F1440" s="67" t="s">
        <v>1099</v>
      </c>
      <c r="G1440" s="68">
        <v>0.0</v>
      </c>
      <c r="H1440" s="69">
        <f t="shared" si="82"/>
        <v>0</v>
      </c>
      <c r="I1440" s="94" t="s">
        <v>622</v>
      </c>
      <c r="J1440" s="87" t="s">
        <v>72</v>
      </c>
      <c r="K1440" s="95"/>
      <c r="L1440" s="95"/>
      <c r="M1440" s="95"/>
      <c r="N1440" s="72"/>
      <c r="O1440" s="83" t="s">
        <v>1122</v>
      </c>
      <c r="P1440" s="74"/>
      <c r="Q1440" s="74"/>
      <c r="R1440" s="74"/>
      <c r="S1440" s="74"/>
      <c r="T1440" s="74"/>
      <c r="U1440" s="74"/>
      <c r="V1440" s="74"/>
      <c r="W1440" s="74"/>
      <c r="X1440" s="74"/>
      <c r="Y1440" s="74"/>
      <c r="Z1440" s="74"/>
      <c r="AA1440" s="74"/>
      <c r="AB1440" s="74"/>
      <c r="AC1440" s="74"/>
      <c r="AD1440" s="74"/>
      <c r="AE1440" s="74"/>
      <c r="AF1440" s="74"/>
      <c r="AG1440" s="74"/>
    </row>
    <row r="1441" ht="22.5" customHeight="1">
      <c r="A1441" s="86">
        <v>45909.0</v>
      </c>
      <c r="B1441" s="63" t="s">
        <v>27</v>
      </c>
      <c r="C1441" s="79"/>
      <c r="D1441" s="80">
        <v>1200.0</v>
      </c>
      <c r="E1441" s="66" t="s">
        <v>28</v>
      </c>
      <c r="F1441" s="84" t="s">
        <v>594</v>
      </c>
      <c r="G1441" s="68">
        <v>20.0</v>
      </c>
      <c r="H1441" s="69">
        <f t="shared" si="82"/>
        <v>200</v>
      </c>
      <c r="I1441" s="76" t="s">
        <v>44</v>
      </c>
      <c r="J1441" s="98" t="s">
        <v>134</v>
      </c>
      <c r="K1441" s="95"/>
      <c r="L1441" s="95"/>
      <c r="M1441" s="95"/>
      <c r="N1441" s="72"/>
      <c r="O1441" s="96"/>
      <c r="P1441" s="74"/>
      <c r="Q1441" s="74"/>
      <c r="R1441" s="74"/>
      <c r="S1441" s="74"/>
      <c r="T1441" s="74"/>
      <c r="U1441" s="74"/>
      <c r="V1441" s="74"/>
      <c r="W1441" s="74"/>
      <c r="X1441" s="74"/>
      <c r="Y1441" s="74"/>
      <c r="Z1441" s="74"/>
      <c r="AA1441" s="74"/>
      <c r="AB1441" s="74"/>
      <c r="AC1441" s="74"/>
      <c r="AD1441" s="74"/>
      <c r="AE1441" s="74"/>
      <c r="AF1441" s="74"/>
      <c r="AG1441" s="74"/>
    </row>
    <row r="1442" ht="22.5" customHeight="1">
      <c r="A1442" s="86">
        <v>45909.0</v>
      </c>
      <c r="B1442" s="63" t="s">
        <v>27</v>
      </c>
      <c r="C1442" s="79"/>
      <c r="D1442" s="80">
        <v>8400.0</v>
      </c>
      <c r="E1442" s="66" t="s">
        <v>28</v>
      </c>
      <c r="F1442" s="84" t="s">
        <v>897</v>
      </c>
      <c r="G1442" s="68">
        <v>20.0</v>
      </c>
      <c r="H1442" s="69">
        <f t="shared" si="82"/>
        <v>1400</v>
      </c>
      <c r="I1442" s="89" t="s">
        <v>1044</v>
      </c>
      <c r="J1442" s="87" t="s">
        <v>1045</v>
      </c>
      <c r="K1442" s="95"/>
      <c r="L1442" s="95"/>
      <c r="M1442" s="95"/>
      <c r="N1442" s="72"/>
      <c r="O1442" s="140" t="s">
        <v>1123</v>
      </c>
      <c r="P1442" s="74"/>
      <c r="Q1442" s="74"/>
      <c r="R1442" s="74"/>
      <c r="S1442" s="74"/>
      <c r="T1442" s="74"/>
      <c r="U1442" s="74"/>
      <c r="V1442" s="74"/>
      <c r="W1442" s="74"/>
      <c r="X1442" s="74"/>
      <c r="Y1442" s="74"/>
      <c r="Z1442" s="74"/>
      <c r="AA1442" s="74"/>
      <c r="AB1442" s="74"/>
      <c r="AC1442" s="74"/>
      <c r="AD1442" s="74"/>
      <c r="AE1442" s="74"/>
      <c r="AF1442" s="74"/>
      <c r="AG1442" s="74"/>
    </row>
    <row r="1443" ht="22.5" customHeight="1">
      <c r="A1443" s="86">
        <v>45909.0</v>
      </c>
      <c r="B1443" s="63" t="s">
        <v>27</v>
      </c>
      <c r="C1443" s="79"/>
      <c r="D1443" s="80">
        <v>10167.36</v>
      </c>
      <c r="E1443" s="66" t="s">
        <v>28</v>
      </c>
      <c r="F1443" s="84" t="s">
        <v>897</v>
      </c>
      <c r="G1443" s="68">
        <v>20.0</v>
      </c>
      <c r="H1443" s="69">
        <f t="shared" si="82"/>
        <v>1694.56</v>
      </c>
      <c r="I1443" s="89" t="s">
        <v>1044</v>
      </c>
      <c r="J1443" s="87" t="s">
        <v>1045</v>
      </c>
      <c r="K1443" s="95"/>
      <c r="L1443" s="95"/>
      <c r="M1443" s="95"/>
      <c r="N1443" s="72">
        <f t="shared" ref="N1443:N1448" si="89">A1443-IF(M1443&gt;0,M1443,A1443)</f>
        <v>0</v>
      </c>
      <c r="O1443" s="140" t="s">
        <v>1124</v>
      </c>
      <c r="P1443" s="74"/>
      <c r="Q1443" s="74"/>
      <c r="R1443" s="74"/>
      <c r="S1443" s="74"/>
      <c r="T1443" s="74"/>
      <c r="U1443" s="74"/>
      <c r="V1443" s="74"/>
      <c r="W1443" s="74"/>
      <c r="X1443" s="74"/>
      <c r="Y1443" s="74"/>
      <c r="Z1443" s="74"/>
      <c r="AA1443" s="74"/>
      <c r="AB1443" s="74"/>
      <c r="AC1443" s="74"/>
      <c r="AD1443" s="74"/>
      <c r="AE1443" s="74"/>
      <c r="AF1443" s="74"/>
      <c r="AG1443" s="74"/>
    </row>
    <row r="1444" ht="22.5" customHeight="1">
      <c r="A1444" s="86">
        <v>45909.0</v>
      </c>
      <c r="B1444" s="63" t="s">
        <v>27</v>
      </c>
      <c r="C1444" s="79"/>
      <c r="D1444" s="80">
        <v>3360.0</v>
      </c>
      <c r="E1444" s="66" t="s">
        <v>28</v>
      </c>
      <c r="F1444" s="84" t="s">
        <v>897</v>
      </c>
      <c r="G1444" s="68">
        <v>20.0</v>
      </c>
      <c r="H1444" s="69">
        <f t="shared" si="82"/>
        <v>560</v>
      </c>
      <c r="I1444" s="89" t="s">
        <v>1044</v>
      </c>
      <c r="J1444" s="87" t="s">
        <v>1045</v>
      </c>
      <c r="K1444" s="95"/>
      <c r="L1444" s="95"/>
      <c r="M1444" s="95"/>
      <c r="N1444" s="72">
        <f t="shared" si="89"/>
        <v>0</v>
      </c>
      <c r="O1444" s="140" t="s">
        <v>1125</v>
      </c>
      <c r="P1444" s="74"/>
      <c r="Q1444" s="74"/>
      <c r="R1444" s="74"/>
      <c r="S1444" s="74"/>
      <c r="T1444" s="74"/>
      <c r="U1444" s="74"/>
      <c r="V1444" s="74"/>
      <c r="W1444" s="74"/>
      <c r="X1444" s="74"/>
      <c r="Y1444" s="74"/>
      <c r="Z1444" s="74"/>
      <c r="AA1444" s="74"/>
      <c r="AB1444" s="74"/>
      <c r="AC1444" s="74"/>
      <c r="AD1444" s="74"/>
      <c r="AE1444" s="74"/>
      <c r="AF1444" s="74"/>
      <c r="AG1444" s="74"/>
    </row>
    <row r="1445" ht="22.5" customHeight="1">
      <c r="A1445" s="86">
        <v>45909.0</v>
      </c>
      <c r="B1445" s="63" t="s">
        <v>27</v>
      </c>
      <c r="C1445" s="79"/>
      <c r="D1445" s="80">
        <v>3360.0</v>
      </c>
      <c r="E1445" s="66" t="s">
        <v>28</v>
      </c>
      <c r="F1445" s="84" t="s">
        <v>897</v>
      </c>
      <c r="G1445" s="68">
        <v>20.0</v>
      </c>
      <c r="H1445" s="69">
        <f t="shared" si="82"/>
        <v>560</v>
      </c>
      <c r="I1445" s="89" t="s">
        <v>1044</v>
      </c>
      <c r="J1445" s="87" t="s">
        <v>1045</v>
      </c>
      <c r="K1445" s="95"/>
      <c r="L1445" s="95"/>
      <c r="M1445" s="95"/>
      <c r="N1445" s="72">
        <f t="shared" si="89"/>
        <v>0</v>
      </c>
      <c r="O1445" s="140" t="s">
        <v>1126</v>
      </c>
      <c r="P1445" s="74"/>
      <c r="Q1445" s="74"/>
      <c r="R1445" s="74"/>
      <c r="S1445" s="74"/>
      <c r="T1445" s="74"/>
      <c r="U1445" s="74"/>
      <c r="V1445" s="74"/>
      <c r="W1445" s="74"/>
      <c r="X1445" s="74"/>
      <c r="Y1445" s="74"/>
      <c r="Z1445" s="74"/>
      <c r="AA1445" s="74"/>
      <c r="AB1445" s="74"/>
      <c r="AC1445" s="74"/>
      <c r="AD1445" s="74"/>
      <c r="AE1445" s="74"/>
      <c r="AF1445" s="74"/>
      <c r="AG1445" s="74"/>
    </row>
    <row r="1446" ht="22.5" customHeight="1">
      <c r="A1446" s="86">
        <v>45909.0</v>
      </c>
      <c r="B1446" s="63" t="s">
        <v>27</v>
      </c>
      <c r="C1446" s="79"/>
      <c r="D1446" s="80">
        <v>9744.0</v>
      </c>
      <c r="E1446" s="66" t="s">
        <v>28</v>
      </c>
      <c r="F1446" s="84" t="s">
        <v>897</v>
      </c>
      <c r="G1446" s="68">
        <v>20.0</v>
      </c>
      <c r="H1446" s="69">
        <f t="shared" si="82"/>
        <v>1624</v>
      </c>
      <c r="I1446" s="89" t="s">
        <v>1044</v>
      </c>
      <c r="J1446" s="87" t="s">
        <v>1045</v>
      </c>
      <c r="K1446" s="95"/>
      <c r="L1446" s="95"/>
      <c r="M1446" s="95"/>
      <c r="N1446" s="72">
        <f t="shared" si="89"/>
        <v>0</v>
      </c>
      <c r="O1446" s="140" t="s">
        <v>1127</v>
      </c>
      <c r="P1446" s="74"/>
      <c r="Q1446" s="74"/>
      <c r="R1446" s="74"/>
      <c r="S1446" s="74"/>
      <c r="T1446" s="74"/>
      <c r="U1446" s="74"/>
      <c r="V1446" s="74"/>
      <c r="W1446" s="74"/>
      <c r="X1446" s="74"/>
      <c r="Y1446" s="74"/>
      <c r="Z1446" s="74"/>
      <c r="AA1446" s="74"/>
      <c r="AB1446" s="74"/>
      <c r="AC1446" s="74"/>
      <c r="AD1446" s="74"/>
      <c r="AE1446" s="74"/>
      <c r="AF1446" s="74"/>
      <c r="AG1446" s="74"/>
    </row>
    <row r="1447" ht="22.5" customHeight="1">
      <c r="A1447" s="86">
        <v>45909.0</v>
      </c>
      <c r="B1447" s="63" t="s">
        <v>27</v>
      </c>
      <c r="C1447" s="79"/>
      <c r="D1447" s="80">
        <v>16800.0</v>
      </c>
      <c r="E1447" s="66" t="s">
        <v>28</v>
      </c>
      <c r="F1447" s="84" t="s">
        <v>897</v>
      </c>
      <c r="G1447" s="68">
        <v>20.0</v>
      </c>
      <c r="H1447" s="69">
        <f t="shared" si="82"/>
        <v>2800</v>
      </c>
      <c r="I1447" s="89" t="s">
        <v>1044</v>
      </c>
      <c r="J1447" s="87" t="s">
        <v>1045</v>
      </c>
      <c r="K1447" s="95"/>
      <c r="L1447" s="95"/>
      <c r="M1447" s="95"/>
      <c r="N1447" s="72">
        <f t="shared" si="89"/>
        <v>0</v>
      </c>
      <c r="O1447" s="140" t="s">
        <v>1128</v>
      </c>
      <c r="P1447" s="74"/>
      <c r="Q1447" s="74"/>
      <c r="R1447" s="74"/>
      <c r="S1447" s="74"/>
      <c r="T1447" s="74"/>
      <c r="U1447" s="74"/>
      <c r="V1447" s="74"/>
      <c r="W1447" s="74"/>
      <c r="X1447" s="74"/>
      <c r="Y1447" s="74"/>
      <c r="Z1447" s="74"/>
      <c r="AA1447" s="74"/>
      <c r="AB1447" s="74"/>
      <c r="AC1447" s="74"/>
      <c r="AD1447" s="74"/>
      <c r="AE1447" s="74"/>
      <c r="AF1447" s="74"/>
      <c r="AG1447" s="74"/>
    </row>
    <row r="1448" ht="22.5" customHeight="1">
      <c r="A1448" s="86">
        <v>45909.0</v>
      </c>
      <c r="B1448" s="63" t="s">
        <v>27</v>
      </c>
      <c r="C1448" s="79"/>
      <c r="D1448" s="80">
        <v>42000.0</v>
      </c>
      <c r="E1448" s="66" t="s">
        <v>28</v>
      </c>
      <c r="F1448" s="84" t="s">
        <v>897</v>
      </c>
      <c r="G1448" s="68">
        <v>20.0</v>
      </c>
      <c r="H1448" s="69">
        <f t="shared" si="82"/>
        <v>7000</v>
      </c>
      <c r="I1448" s="89" t="s">
        <v>1044</v>
      </c>
      <c r="J1448" s="87" t="s">
        <v>1045</v>
      </c>
      <c r="K1448" s="95"/>
      <c r="L1448" s="95"/>
      <c r="M1448" s="95"/>
      <c r="N1448" s="72">
        <f t="shared" si="89"/>
        <v>0</v>
      </c>
      <c r="O1448" s="140" t="s">
        <v>1129</v>
      </c>
      <c r="P1448" s="74"/>
      <c r="Q1448" s="74"/>
      <c r="R1448" s="74"/>
      <c r="S1448" s="74"/>
      <c r="T1448" s="74"/>
      <c r="U1448" s="74"/>
      <c r="V1448" s="74"/>
      <c r="W1448" s="74"/>
      <c r="X1448" s="74"/>
      <c r="Y1448" s="74"/>
      <c r="Z1448" s="74"/>
      <c r="AA1448" s="74"/>
      <c r="AB1448" s="74"/>
      <c r="AC1448" s="74"/>
      <c r="AD1448" s="74"/>
      <c r="AE1448" s="74"/>
      <c r="AF1448" s="74"/>
      <c r="AG1448" s="74"/>
    </row>
    <row r="1449" ht="22.5" customHeight="1">
      <c r="A1449" s="86">
        <v>45909.0</v>
      </c>
      <c r="B1449" s="63" t="s">
        <v>27</v>
      </c>
      <c r="C1449" s="80">
        <v>600600.0</v>
      </c>
      <c r="D1449" s="80"/>
      <c r="E1449" s="66" t="s">
        <v>28</v>
      </c>
      <c r="F1449" s="84" t="s">
        <v>722</v>
      </c>
      <c r="G1449" s="68">
        <v>20.0</v>
      </c>
      <c r="H1449" s="69">
        <f t="shared" si="82"/>
        <v>100100</v>
      </c>
      <c r="I1449" s="76" t="s">
        <v>37</v>
      </c>
      <c r="J1449" s="87" t="s">
        <v>1014</v>
      </c>
      <c r="K1449" s="82" t="s">
        <v>844</v>
      </c>
      <c r="L1449" s="82">
        <v>185.0</v>
      </c>
      <c r="M1449" s="128">
        <v>45790.0</v>
      </c>
      <c r="N1449" s="72"/>
      <c r="O1449" s="96"/>
      <c r="P1449" s="74"/>
      <c r="Q1449" s="74"/>
      <c r="R1449" s="74"/>
      <c r="S1449" s="74"/>
      <c r="T1449" s="74"/>
      <c r="U1449" s="74"/>
      <c r="V1449" s="74"/>
      <c r="W1449" s="74"/>
      <c r="X1449" s="74"/>
      <c r="Y1449" s="74"/>
      <c r="Z1449" s="74"/>
      <c r="AA1449" s="74"/>
      <c r="AB1449" s="74"/>
      <c r="AC1449" s="74"/>
      <c r="AD1449" s="74"/>
      <c r="AE1449" s="74"/>
      <c r="AF1449" s="74"/>
      <c r="AG1449" s="74"/>
    </row>
    <row r="1450" ht="22.5" customHeight="1">
      <c r="A1450" s="86">
        <v>45909.0</v>
      </c>
      <c r="B1450" s="63" t="s">
        <v>27</v>
      </c>
      <c r="C1450" s="80">
        <v>630000.0</v>
      </c>
      <c r="D1450" s="80"/>
      <c r="E1450" s="66" t="s">
        <v>28</v>
      </c>
      <c r="F1450" s="84" t="s">
        <v>722</v>
      </c>
      <c r="G1450" s="68">
        <v>20.0</v>
      </c>
      <c r="H1450" s="69">
        <f t="shared" si="82"/>
        <v>105000</v>
      </c>
      <c r="I1450" s="76" t="s">
        <v>37</v>
      </c>
      <c r="J1450" s="87" t="s">
        <v>1014</v>
      </c>
      <c r="K1450" s="82" t="s">
        <v>888</v>
      </c>
      <c r="L1450" s="82">
        <v>186.0</v>
      </c>
      <c r="M1450" s="128">
        <v>45790.0</v>
      </c>
      <c r="N1450" s="72"/>
      <c r="O1450" s="96"/>
      <c r="P1450" s="74"/>
      <c r="Q1450" s="74"/>
      <c r="R1450" s="74"/>
      <c r="S1450" s="74"/>
      <c r="T1450" s="74"/>
      <c r="U1450" s="74"/>
      <c r="V1450" s="74"/>
      <c r="W1450" s="74"/>
      <c r="X1450" s="74"/>
      <c r="Y1450" s="74"/>
      <c r="Z1450" s="74"/>
      <c r="AA1450" s="74"/>
      <c r="AB1450" s="74"/>
      <c r="AC1450" s="74"/>
      <c r="AD1450" s="74"/>
      <c r="AE1450" s="74"/>
      <c r="AF1450" s="74"/>
      <c r="AG1450" s="74"/>
    </row>
    <row r="1451" ht="22.5" customHeight="1">
      <c r="A1451" s="86">
        <v>45909.0</v>
      </c>
      <c r="B1451" s="63" t="s">
        <v>27</v>
      </c>
      <c r="C1451" s="80">
        <v>588000.0</v>
      </c>
      <c r="D1451" s="80"/>
      <c r="E1451" s="66" t="s">
        <v>28</v>
      </c>
      <c r="F1451" s="84" t="s">
        <v>722</v>
      </c>
      <c r="G1451" s="68">
        <v>20.0</v>
      </c>
      <c r="H1451" s="69">
        <f t="shared" si="82"/>
        <v>98000</v>
      </c>
      <c r="I1451" s="76" t="s">
        <v>37</v>
      </c>
      <c r="J1451" s="87" t="s">
        <v>1014</v>
      </c>
      <c r="K1451" s="82" t="s">
        <v>1130</v>
      </c>
      <c r="L1451" s="82">
        <v>187.0</v>
      </c>
      <c r="M1451" s="128">
        <v>45790.0</v>
      </c>
      <c r="N1451" s="72"/>
      <c r="O1451" s="96"/>
      <c r="P1451" s="74"/>
      <c r="Q1451" s="74"/>
      <c r="R1451" s="74"/>
      <c r="S1451" s="74"/>
      <c r="T1451" s="74"/>
      <c r="U1451" s="74"/>
      <c r="V1451" s="74"/>
      <c r="W1451" s="74"/>
      <c r="X1451" s="74"/>
      <c r="Y1451" s="74"/>
      <c r="Z1451" s="74"/>
      <c r="AA1451" s="74"/>
      <c r="AB1451" s="74"/>
      <c r="AC1451" s="74"/>
      <c r="AD1451" s="74"/>
      <c r="AE1451" s="74"/>
      <c r="AF1451" s="74"/>
      <c r="AG1451" s="74"/>
    </row>
    <row r="1452" ht="22.5" customHeight="1">
      <c r="A1452" s="86">
        <v>45909.0</v>
      </c>
      <c r="B1452" s="63" t="s">
        <v>27</v>
      </c>
      <c r="C1452" s="80">
        <v>600432.0</v>
      </c>
      <c r="D1452" s="80"/>
      <c r="E1452" s="66" t="s">
        <v>28</v>
      </c>
      <c r="F1452" s="84" t="s">
        <v>722</v>
      </c>
      <c r="G1452" s="68">
        <v>20.0</v>
      </c>
      <c r="H1452" s="69">
        <f t="shared" si="82"/>
        <v>100072</v>
      </c>
      <c r="I1452" s="76" t="s">
        <v>37</v>
      </c>
      <c r="J1452" s="87" t="s">
        <v>1014</v>
      </c>
      <c r="K1452" s="82" t="s">
        <v>1131</v>
      </c>
      <c r="L1452" s="82">
        <v>188.0</v>
      </c>
      <c r="M1452" s="128">
        <v>45790.0</v>
      </c>
      <c r="N1452" s="72"/>
      <c r="O1452" s="96"/>
      <c r="P1452" s="74"/>
      <c r="Q1452" s="74"/>
      <c r="R1452" s="74"/>
      <c r="S1452" s="74"/>
      <c r="T1452" s="74"/>
      <c r="U1452" s="74"/>
      <c r="V1452" s="74"/>
      <c r="W1452" s="74"/>
      <c r="X1452" s="74"/>
      <c r="Y1452" s="74"/>
      <c r="Z1452" s="74"/>
      <c r="AA1452" s="74"/>
      <c r="AB1452" s="74"/>
      <c r="AC1452" s="74"/>
      <c r="AD1452" s="74"/>
      <c r="AE1452" s="74"/>
      <c r="AF1452" s="74"/>
      <c r="AG1452" s="74"/>
    </row>
    <row r="1453" ht="22.5" customHeight="1">
      <c r="A1453" s="86">
        <v>45909.0</v>
      </c>
      <c r="B1453" s="63" t="s">
        <v>27</v>
      </c>
      <c r="C1453" s="80">
        <v>907200.0</v>
      </c>
      <c r="D1453" s="80"/>
      <c r="E1453" s="66" t="s">
        <v>28</v>
      </c>
      <c r="F1453" s="84" t="s">
        <v>722</v>
      </c>
      <c r="G1453" s="68">
        <v>20.0</v>
      </c>
      <c r="H1453" s="69">
        <f t="shared" si="82"/>
        <v>151200</v>
      </c>
      <c r="I1453" s="76" t="s">
        <v>37</v>
      </c>
      <c r="J1453" s="87" t="s">
        <v>1014</v>
      </c>
      <c r="K1453" s="82" t="s">
        <v>889</v>
      </c>
      <c r="L1453" s="82">
        <v>189.0</v>
      </c>
      <c r="M1453" s="128">
        <v>45790.0</v>
      </c>
      <c r="N1453" s="72"/>
      <c r="O1453" s="96"/>
      <c r="P1453" s="74"/>
      <c r="Q1453" s="74"/>
      <c r="R1453" s="74"/>
      <c r="S1453" s="74"/>
      <c r="T1453" s="74"/>
      <c r="U1453" s="74"/>
      <c r="V1453" s="74"/>
      <c r="W1453" s="74"/>
      <c r="X1453" s="74"/>
      <c r="Y1453" s="74"/>
      <c r="Z1453" s="74"/>
      <c r="AA1453" s="74"/>
      <c r="AB1453" s="74"/>
      <c r="AC1453" s="74"/>
      <c r="AD1453" s="74"/>
      <c r="AE1453" s="74"/>
      <c r="AF1453" s="74"/>
      <c r="AG1453" s="74"/>
    </row>
    <row r="1454" ht="22.5" customHeight="1">
      <c r="A1454" s="86">
        <v>45909.0</v>
      </c>
      <c r="B1454" s="63" t="s">
        <v>27</v>
      </c>
      <c r="C1454" s="80">
        <v>36000.0</v>
      </c>
      <c r="D1454" s="79"/>
      <c r="E1454" s="66" t="s">
        <v>28</v>
      </c>
      <c r="F1454" s="84" t="s">
        <v>722</v>
      </c>
      <c r="G1454" s="68">
        <v>20.0</v>
      </c>
      <c r="H1454" s="69">
        <f t="shared" si="82"/>
        <v>6000</v>
      </c>
      <c r="I1454" s="76" t="s">
        <v>37</v>
      </c>
      <c r="J1454" s="87" t="s">
        <v>1014</v>
      </c>
      <c r="K1454" s="82" t="s">
        <v>949</v>
      </c>
      <c r="L1454" s="82">
        <v>198.0</v>
      </c>
      <c r="M1454" s="128">
        <v>45792.0</v>
      </c>
      <c r="N1454" s="72"/>
      <c r="O1454" s="96"/>
      <c r="P1454" s="74"/>
      <c r="Q1454" s="74"/>
      <c r="R1454" s="74"/>
      <c r="S1454" s="74"/>
      <c r="T1454" s="74"/>
      <c r="U1454" s="74"/>
      <c r="V1454" s="74"/>
      <c r="W1454" s="74"/>
      <c r="X1454" s="74"/>
      <c r="Y1454" s="74"/>
      <c r="Z1454" s="74"/>
      <c r="AA1454" s="74"/>
      <c r="AB1454" s="74"/>
      <c r="AC1454" s="74"/>
      <c r="AD1454" s="74"/>
      <c r="AE1454" s="74"/>
      <c r="AF1454" s="74"/>
      <c r="AG1454" s="74"/>
    </row>
    <row r="1455" ht="22.5" customHeight="1">
      <c r="A1455" s="86">
        <v>45909.0</v>
      </c>
      <c r="B1455" s="63" t="s">
        <v>27</v>
      </c>
      <c r="C1455" s="79"/>
      <c r="D1455" s="80">
        <v>550000.0</v>
      </c>
      <c r="E1455" s="66" t="s">
        <v>28</v>
      </c>
      <c r="F1455" s="67" t="s">
        <v>1002</v>
      </c>
      <c r="G1455" s="68">
        <v>0.0</v>
      </c>
      <c r="H1455" s="69">
        <f t="shared" si="82"/>
        <v>0</v>
      </c>
      <c r="I1455" s="76" t="s">
        <v>504</v>
      </c>
      <c r="J1455" s="87" t="s">
        <v>1132</v>
      </c>
      <c r="K1455" s="95"/>
      <c r="L1455" s="95"/>
      <c r="M1455" s="95"/>
      <c r="N1455" s="72"/>
      <c r="O1455" s="140" t="s">
        <v>1133</v>
      </c>
      <c r="P1455" s="74"/>
      <c r="Q1455" s="74"/>
      <c r="R1455" s="74"/>
      <c r="S1455" s="74"/>
      <c r="T1455" s="74"/>
      <c r="U1455" s="74"/>
      <c r="V1455" s="74"/>
      <c r="W1455" s="74"/>
      <c r="X1455" s="74"/>
      <c r="Y1455" s="74"/>
      <c r="Z1455" s="74"/>
      <c r="AA1455" s="74"/>
      <c r="AB1455" s="74"/>
      <c r="AC1455" s="74"/>
      <c r="AD1455" s="74"/>
      <c r="AE1455" s="74"/>
      <c r="AF1455" s="74"/>
      <c r="AG1455" s="74"/>
    </row>
    <row r="1456" ht="22.5" customHeight="1">
      <c r="A1456" s="86">
        <v>45909.0</v>
      </c>
      <c r="B1456" s="63" t="s">
        <v>27</v>
      </c>
      <c r="C1456" s="79"/>
      <c r="D1456" s="80">
        <f>273647+2951.8</f>
        <v>276598.8</v>
      </c>
      <c r="E1456" s="66" t="s">
        <v>28</v>
      </c>
      <c r="F1456" s="84" t="s">
        <v>1002</v>
      </c>
      <c r="G1456" s="68">
        <v>0.0</v>
      </c>
      <c r="H1456" s="69">
        <f t="shared" si="82"/>
        <v>0</v>
      </c>
      <c r="I1456" s="76" t="s">
        <v>68</v>
      </c>
      <c r="J1456" s="87" t="s">
        <v>954</v>
      </c>
      <c r="K1456" s="95"/>
      <c r="L1456" s="95"/>
      <c r="M1456" s="95"/>
      <c r="N1456" s="72"/>
      <c r="O1456" s="140" t="s">
        <v>1134</v>
      </c>
      <c r="P1456" s="74"/>
      <c r="Q1456" s="74"/>
      <c r="R1456" s="74"/>
      <c r="S1456" s="74"/>
      <c r="T1456" s="74"/>
      <c r="U1456" s="74"/>
      <c r="V1456" s="74"/>
      <c r="W1456" s="74"/>
      <c r="X1456" s="74"/>
      <c r="Y1456" s="74"/>
      <c r="Z1456" s="74"/>
      <c r="AA1456" s="74"/>
      <c r="AB1456" s="74"/>
      <c r="AC1456" s="74"/>
      <c r="AD1456" s="74"/>
      <c r="AE1456" s="74"/>
      <c r="AF1456" s="74"/>
      <c r="AG1456" s="74"/>
    </row>
    <row r="1457" ht="22.5" customHeight="1">
      <c r="A1457" s="86">
        <v>45909.0</v>
      </c>
      <c r="B1457" s="63" t="s">
        <v>27</v>
      </c>
      <c r="C1457" s="79"/>
      <c r="D1457" s="80">
        <v>53192.0</v>
      </c>
      <c r="E1457" s="66" t="s">
        <v>28</v>
      </c>
      <c r="F1457" s="67" t="s">
        <v>1002</v>
      </c>
      <c r="G1457" s="69">
        <v>0.0</v>
      </c>
      <c r="H1457" s="69">
        <f t="shared" si="82"/>
        <v>0</v>
      </c>
      <c r="I1457" s="76" t="s">
        <v>61</v>
      </c>
      <c r="J1457" s="87" t="s">
        <v>901</v>
      </c>
      <c r="K1457" s="95"/>
      <c r="L1457" s="95"/>
      <c r="M1457" s="95"/>
      <c r="N1457" s="72"/>
      <c r="O1457" s="96"/>
      <c r="P1457" s="74"/>
      <c r="Q1457" s="74"/>
      <c r="R1457" s="74"/>
      <c r="S1457" s="74"/>
      <c r="T1457" s="74"/>
      <c r="U1457" s="74"/>
      <c r="V1457" s="74"/>
      <c r="W1457" s="74"/>
      <c r="X1457" s="74"/>
      <c r="Y1457" s="74"/>
      <c r="Z1457" s="74"/>
      <c r="AA1457" s="74"/>
      <c r="AB1457" s="74"/>
      <c r="AC1457" s="74"/>
      <c r="AD1457" s="74"/>
      <c r="AE1457" s="74"/>
      <c r="AF1457" s="74"/>
      <c r="AG1457" s="74"/>
    </row>
    <row r="1458" ht="22.5" customHeight="1">
      <c r="A1458" s="86">
        <v>45909.0</v>
      </c>
      <c r="B1458" s="63" t="s">
        <v>27</v>
      </c>
      <c r="C1458" s="79"/>
      <c r="D1458" s="80">
        <f>159600+1036.46</f>
        <v>160636.46</v>
      </c>
      <c r="E1458" s="66" t="s">
        <v>28</v>
      </c>
      <c r="F1458" s="67" t="s">
        <v>1002</v>
      </c>
      <c r="G1458" s="69">
        <v>0.0</v>
      </c>
      <c r="H1458" s="69">
        <f t="shared" si="82"/>
        <v>0</v>
      </c>
      <c r="I1458" s="76" t="s">
        <v>61</v>
      </c>
      <c r="J1458" s="87" t="s">
        <v>901</v>
      </c>
      <c r="K1458" s="95"/>
      <c r="L1458" s="95"/>
      <c r="M1458" s="95"/>
      <c r="N1458" s="72"/>
      <c r="O1458" s="83" t="s">
        <v>1135</v>
      </c>
      <c r="P1458" s="74"/>
      <c r="Q1458" s="74"/>
      <c r="R1458" s="74"/>
      <c r="S1458" s="74"/>
      <c r="T1458" s="74"/>
      <c r="U1458" s="74"/>
      <c r="V1458" s="74"/>
      <c r="W1458" s="74"/>
      <c r="X1458" s="74"/>
      <c r="Y1458" s="74"/>
      <c r="Z1458" s="74"/>
      <c r="AA1458" s="74"/>
      <c r="AB1458" s="74"/>
      <c r="AC1458" s="74"/>
      <c r="AD1458" s="74"/>
      <c r="AE1458" s="74"/>
      <c r="AF1458" s="74"/>
      <c r="AG1458" s="74"/>
    </row>
    <row r="1459" ht="22.5" customHeight="1">
      <c r="A1459" s="86">
        <v>45910.0</v>
      </c>
      <c r="B1459" s="63" t="s">
        <v>27</v>
      </c>
      <c r="C1459" s="79"/>
      <c r="D1459" s="80">
        <v>1278000.0</v>
      </c>
      <c r="E1459" s="66" t="s">
        <v>28</v>
      </c>
      <c r="F1459" s="67" t="s">
        <v>1099</v>
      </c>
      <c r="G1459" s="68">
        <v>20.0</v>
      </c>
      <c r="H1459" s="69">
        <f t="shared" si="82"/>
        <v>213000</v>
      </c>
      <c r="I1459" s="76" t="s">
        <v>47</v>
      </c>
      <c r="J1459" s="81"/>
      <c r="K1459" s="95"/>
      <c r="L1459" s="95"/>
      <c r="M1459" s="95"/>
      <c r="N1459" s="72"/>
      <c r="O1459" s="96"/>
      <c r="P1459" s="74"/>
      <c r="Q1459" s="74"/>
      <c r="R1459" s="74"/>
      <c r="S1459" s="74"/>
      <c r="T1459" s="74"/>
      <c r="U1459" s="74"/>
      <c r="V1459" s="74"/>
      <c r="W1459" s="74"/>
      <c r="X1459" s="74"/>
      <c r="Y1459" s="74"/>
      <c r="Z1459" s="74"/>
      <c r="AA1459" s="74"/>
      <c r="AB1459" s="74"/>
      <c r="AC1459" s="74"/>
      <c r="AD1459" s="74"/>
      <c r="AE1459" s="74"/>
      <c r="AF1459" s="74"/>
      <c r="AG1459" s="74"/>
    </row>
    <row r="1460" ht="22.5" customHeight="1">
      <c r="A1460" s="86">
        <v>45910.0</v>
      </c>
      <c r="B1460" s="63" t="s">
        <v>27</v>
      </c>
      <c r="C1460" s="80">
        <v>600000.0</v>
      </c>
      <c r="D1460" s="79"/>
      <c r="E1460" s="66" t="s">
        <v>33</v>
      </c>
      <c r="F1460" s="67" t="s">
        <v>1099</v>
      </c>
      <c r="G1460" s="68">
        <v>0.0</v>
      </c>
      <c r="H1460" s="69">
        <f t="shared" si="82"/>
        <v>0</v>
      </c>
      <c r="I1460" s="76" t="s">
        <v>47</v>
      </c>
      <c r="J1460" s="98"/>
      <c r="K1460" s="95"/>
      <c r="L1460" s="95"/>
      <c r="M1460" s="95"/>
      <c r="N1460" s="72"/>
      <c r="O1460" s="96"/>
      <c r="P1460" s="74"/>
      <c r="Q1460" s="74"/>
      <c r="R1460" s="74"/>
      <c r="S1460" s="74"/>
      <c r="T1460" s="74"/>
      <c r="U1460" s="74"/>
      <c r="V1460" s="74"/>
      <c r="W1460" s="74"/>
      <c r="X1460" s="74"/>
      <c r="Y1460" s="74"/>
      <c r="Z1460" s="74"/>
      <c r="AA1460" s="74"/>
      <c r="AB1460" s="74"/>
      <c r="AC1460" s="74"/>
      <c r="AD1460" s="74"/>
      <c r="AE1460" s="74"/>
      <c r="AF1460" s="74"/>
      <c r="AG1460" s="74"/>
    </row>
    <row r="1461" ht="22.5" customHeight="1">
      <c r="A1461" s="86">
        <v>45910.0</v>
      </c>
      <c r="B1461" s="63" t="s">
        <v>27</v>
      </c>
      <c r="C1461" s="79"/>
      <c r="D1461" s="80">
        <v>30000.0</v>
      </c>
      <c r="E1461" s="66" t="s">
        <v>33</v>
      </c>
      <c r="F1461" s="67" t="s">
        <v>1002</v>
      </c>
      <c r="G1461" s="68">
        <v>0.0</v>
      </c>
      <c r="H1461" s="69">
        <f t="shared" si="82"/>
        <v>0</v>
      </c>
      <c r="I1461" s="76" t="s">
        <v>53</v>
      </c>
      <c r="J1461" s="98" t="s">
        <v>1136</v>
      </c>
      <c r="K1461" s="95"/>
      <c r="L1461" s="95"/>
      <c r="M1461" s="95"/>
      <c r="N1461" s="72"/>
      <c r="O1461" s="96"/>
      <c r="P1461" s="74"/>
      <c r="Q1461" s="74"/>
      <c r="R1461" s="74"/>
      <c r="S1461" s="74"/>
      <c r="T1461" s="74"/>
      <c r="U1461" s="74"/>
      <c r="V1461" s="74"/>
      <c r="W1461" s="74"/>
      <c r="X1461" s="74"/>
      <c r="Y1461" s="74"/>
      <c r="Z1461" s="74"/>
      <c r="AA1461" s="74"/>
      <c r="AB1461" s="74"/>
      <c r="AC1461" s="74"/>
      <c r="AD1461" s="74"/>
      <c r="AE1461" s="74"/>
      <c r="AF1461" s="74"/>
      <c r="AG1461" s="74"/>
    </row>
    <row r="1462" ht="22.5" customHeight="1">
      <c r="A1462" s="86">
        <v>45910.0</v>
      </c>
      <c r="B1462" s="63" t="s">
        <v>27</v>
      </c>
      <c r="C1462" s="79"/>
      <c r="D1462" s="80">
        <v>150000.0</v>
      </c>
      <c r="E1462" s="66" t="s">
        <v>33</v>
      </c>
      <c r="F1462" s="67" t="s">
        <v>1002</v>
      </c>
      <c r="G1462" s="68">
        <v>0.0</v>
      </c>
      <c r="H1462" s="69">
        <f t="shared" si="82"/>
        <v>0</v>
      </c>
      <c r="I1462" s="76" t="s">
        <v>53</v>
      </c>
      <c r="J1462" s="98" t="s">
        <v>1137</v>
      </c>
      <c r="K1462" s="95"/>
      <c r="L1462" s="95"/>
      <c r="M1462" s="95"/>
      <c r="N1462" s="72"/>
      <c r="O1462" s="96"/>
      <c r="P1462" s="74"/>
      <c r="Q1462" s="74"/>
      <c r="R1462" s="74"/>
      <c r="S1462" s="74"/>
      <c r="T1462" s="74"/>
      <c r="U1462" s="74"/>
      <c r="V1462" s="74"/>
      <c r="W1462" s="74"/>
      <c r="X1462" s="74"/>
      <c r="Y1462" s="74"/>
      <c r="Z1462" s="74"/>
      <c r="AA1462" s="74"/>
      <c r="AB1462" s="74"/>
      <c r="AC1462" s="74"/>
      <c r="AD1462" s="74"/>
      <c r="AE1462" s="74"/>
      <c r="AF1462" s="74"/>
      <c r="AG1462" s="74"/>
    </row>
    <row r="1463" ht="22.5" customHeight="1">
      <c r="A1463" s="86">
        <v>45910.0</v>
      </c>
      <c r="B1463" s="63" t="s">
        <v>27</v>
      </c>
      <c r="C1463" s="79"/>
      <c r="D1463" s="80">
        <v>30000.0</v>
      </c>
      <c r="E1463" s="66" t="s">
        <v>28</v>
      </c>
      <c r="F1463" s="67" t="s">
        <v>1099</v>
      </c>
      <c r="G1463" s="68">
        <v>20.0</v>
      </c>
      <c r="H1463" s="69">
        <f t="shared" si="82"/>
        <v>5000</v>
      </c>
      <c r="I1463" s="76" t="s">
        <v>61</v>
      </c>
      <c r="J1463" s="87" t="s">
        <v>942</v>
      </c>
      <c r="K1463" s="95"/>
      <c r="L1463" s="95"/>
      <c r="M1463" s="95"/>
      <c r="N1463" s="72"/>
      <c r="O1463" s="83" t="s">
        <v>943</v>
      </c>
      <c r="P1463" s="74"/>
      <c r="Q1463" s="74"/>
      <c r="R1463" s="74"/>
      <c r="S1463" s="74"/>
      <c r="T1463" s="74"/>
      <c r="U1463" s="74"/>
      <c r="V1463" s="74"/>
      <c r="W1463" s="74"/>
      <c r="X1463" s="74"/>
      <c r="Y1463" s="74"/>
      <c r="Z1463" s="74"/>
      <c r="AA1463" s="74"/>
      <c r="AB1463" s="74"/>
      <c r="AC1463" s="74"/>
      <c r="AD1463" s="74"/>
      <c r="AE1463" s="74"/>
      <c r="AF1463" s="74"/>
      <c r="AG1463" s="74"/>
    </row>
    <row r="1464" ht="22.5" customHeight="1">
      <c r="A1464" s="86">
        <v>45910.0</v>
      </c>
      <c r="B1464" s="63" t="s">
        <v>27</v>
      </c>
      <c r="C1464" s="79"/>
      <c r="D1464" s="79">
        <f>867.74+43818.7+1156982.71</f>
        <v>1201669.15</v>
      </c>
      <c r="E1464" s="66" t="s">
        <v>28</v>
      </c>
      <c r="F1464" s="67" t="s">
        <v>203</v>
      </c>
      <c r="G1464" s="68">
        <v>0.0</v>
      </c>
      <c r="H1464" s="69">
        <f t="shared" si="82"/>
        <v>0</v>
      </c>
      <c r="I1464" s="76" t="s">
        <v>68</v>
      </c>
      <c r="J1464" s="98" t="s">
        <v>1138</v>
      </c>
      <c r="K1464" s="95"/>
      <c r="L1464" s="95"/>
      <c r="M1464" s="95"/>
      <c r="N1464" s="72"/>
      <c r="O1464" s="96"/>
      <c r="P1464" s="74"/>
      <c r="Q1464" s="74"/>
      <c r="R1464" s="74"/>
      <c r="S1464" s="74"/>
      <c r="T1464" s="74"/>
      <c r="U1464" s="74"/>
      <c r="V1464" s="74"/>
      <c r="W1464" s="74"/>
      <c r="X1464" s="74"/>
      <c r="Y1464" s="74"/>
      <c r="Z1464" s="74"/>
      <c r="AA1464" s="74"/>
      <c r="AB1464" s="74"/>
      <c r="AC1464" s="74"/>
      <c r="AD1464" s="74"/>
      <c r="AE1464" s="74"/>
      <c r="AF1464" s="74"/>
      <c r="AG1464" s="74"/>
    </row>
    <row r="1465" ht="22.5" customHeight="1">
      <c r="A1465" s="86">
        <v>45910.0</v>
      </c>
      <c r="B1465" s="63" t="s">
        <v>27</v>
      </c>
      <c r="C1465" s="80">
        <v>103200.0</v>
      </c>
      <c r="D1465" s="79"/>
      <c r="E1465" s="66" t="s">
        <v>28</v>
      </c>
      <c r="F1465" s="84" t="s">
        <v>897</v>
      </c>
      <c r="G1465" s="68">
        <v>20.0</v>
      </c>
      <c r="H1465" s="69">
        <f t="shared" si="82"/>
        <v>17200</v>
      </c>
      <c r="I1465" s="76" t="s">
        <v>37</v>
      </c>
      <c r="J1465" s="87" t="s">
        <v>1139</v>
      </c>
      <c r="K1465" s="95"/>
      <c r="L1465" s="82">
        <v>246.0</v>
      </c>
      <c r="M1465" s="128">
        <v>45842.0</v>
      </c>
      <c r="N1465" s="72"/>
      <c r="O1465" s="96"/>
      <c r="P1465" s="74"/>
      <c r="Q1465" s="74"/>
      <c r="R1465" s="74"/>
      <c r="S1465" s="74"/>
      <c r="T1465" s="74"/>
      <c r="U1465" s="74"/>
      <c r="V1465" s="74"/>
      <c r="W1465" s="74"/>
      <c r="X1465" s="74"/>
      <c r="Y1465" s="74"/>
      <c r="Z1465" s="74"/>
      <c r="AA1465" s="74"/>
      <c r="AB1465" s="74"/>
      <c r="AC1465" s="74"/>
      <c r="AD1465" s="74"/>
      <c r="AE1465" s="74"/>
      <c r="AF1465" s="74"/>
      <c r="AG1465" s="74"/>
    </row>
    <row r="1466" ht="22.5" customHeight="1">
      <c r="A1466" s="86">
        <v>45912.0</v>
      </c>
      <c r="B1466" s="63" t="s">
        <v>27</v>
      </c>
      <c r="C1466" s="79"/>
      <c r="D1466" s="80">
        <v>50000.0</v>
      </c>
      <c r="E1466" s="66" t="s">
        <v>33</v>
      </c>
      <c r="F1466" s="67" t="s">
        <v>203</v>
      </c>
      <c r="G1466" s="68">
        <v>0.0</v>
      </c>
      <c r="H1466" s="69">
        <f t="shared" si="82"/>
        <v>0</v>
      </c>
      <c r="I1466" s="76" t="s">
        <v>53</v>
      </c>
      <c r="J1466" s="98" t="s">
        <v>1140</v>
      </c>
      <c r="K1466" s="95"/>
      <c r="L1466" s="95"/>
      <c r="M1466" s="95"/>
      <c r="N1466" s="72"/>
      <c r="O1466" s="96"/>
      <c r="P1466" s="74"/>
      <c r="Q1466" s="74"/>
      <c r="R1466" s="74"/>
      <c r="S1466" s="74"/>
      <c r="T1466" s="74"/>
      <c r="U1466" s="74"/>
      <c r="V1466" s="74"/>
      <c r="W1466" s="74"/>
      <c r="X1466" s="74"/>
      <c r="Y1466" s="74"/>
      <c r="Z1466" s="74"/>
      <c r="AA1466" s="74"/>
      <c r="AB1466" s="74"/>
      <c r="AC1466" s="74"/>
      <c r="AD1466" s="74"/>
      <c r="AE1466" s="74"/>
      <c r="AF1466" s="74"/>
      <c r="AG1466" s="74"/>
    </row>
    <row r="1467" ht="22.5" customHeight="1">
      <c r="A1467" s="86">
        <v>45912.0</v>
      </c>
      <c r="B1467" s="63" t="s">
        <v>27</v>
      </c>
      <c r="C1467" s="79"/>
      <c r="D1467" s="80">
        <v>30000.0</v>
      </c>
      <c r="E1467" s="66" t="s">
        <v>33</v>
      </c>
      <c r="F1467" s="67" t="s">
        <v>203</v>
      </c>
      <c r="G1467" s="68">
        <v>0.0</v>
      </c>
      <c r="H1467" s="69">
        <f t="shared" si="82"/>
        <v>0</v>
      </c>
      <c r="I1467" s="76" t="s">
        <v>53</v>
      </c>
      <c r="J1467" s="98" t="s">
        <v>1141</v>
      </c>
      <c r="K1467" s="95"/>
      <c r="L1467" s="95"/>
      <c r="M1467" s="95"/>
      <c r="N1467" s="72"/>
      <c r="O1467" s="96"/>
      <c r="P1467" s="74"/>
      <c r="Q1467" s="74"/>
      <c r="R1467" s="74"/>
      <c r="S1467" s="74"/>
      <c r="T1467" s="74"/>
      <c r="U1467" s="74"/>
      <c r="V1467" s="74"/>
      <c r="W1467" s="74"/>
      <c r="X1467" s="74"/>
      <c r="Y1467" s="74"/>
      <c r="Z1467" s="74"/>
      <c r="AA1467" s="74"/>
      <c r="AB1467" s="74"/>
      <c r="AC1467" s="74"/>
      <c r="AD1467" s="74"/>
      <c r="AE1467" s="74"/>
      <c r="AF1467" s="74"/>
      <c r="AG1467" s="74"/>
    </row>
    <row r="1468" ht="22.5" customHeight="1">
      <c r="A1468" s="86">
        <v>45912.0</v>
      </c>
      <c r="B1468" s="63" t="s">
        <v>27</v>
      </c>
      <c r="C1468" s="79"/>
      <c r="D1468" s="80">
        <v>15000.0</v>
      </c>
      <c r="E1468" s="66" t="s">
        <v>33</v>
      </c>
      <c r="F1468" s="67" t="s">
        <v>203</v>
      </c>
      <c r="G1468" s="68">
        <v>0.0</v>
      </c>
      <c r="H1468" s="69">
        <f t="shared" si="82"/>
        <v>0</v>
      </c>
      <c r="I1468" s="76" t="s">
        <v>53</v>
      </c>
      <c r="J1468" s="98" t="s">
        <v>1142</v>
      </c>
      <c r="K1468" s="95"/>
      <c r="L1468" s="95"/>
      <c r="M1468" s="95"/>
      <c r="N1468" s="72"/>
      <c r="O1468" s="96"/>
      <c r="P1468" s="74"/>
      <c r="Q1468" s="74"/>
      <c r="R1468" s="74"/>
      <c r="S1468" s="74"/>
      <c r="T1468" s="74"/>
      <c r="U1468" s="74"/>
      <c r="V1468" s="74"/>
      <c r="W1468" s="74"/>
      <c r="X1468" s="74"/>
      <c r="Y1468" s="74"/>
      <c r="Z1468" s="74"/>
      <c r="AA1468" s="74"/>
      <c r="AB1468" s="74"/>
      <c r="AC1468" s="74"/>
      <c r="AD1468" s="74"/>
      <c r="AE1468" s="74"/>
      <c r="AF1468" s="74"/>
      <c r="AG1468" s="74"/>
    </row>
    <row r="1469" ht="22.5" customHeight="1">
      <c r="A1469" s="86">
        <v>45912.0</v>
      </c>
      <c r="B1469" s="63" t="s">
        <v>27</v>
      </c>
      <c r="C1469" s="79"/>
      <c r="D1469" s="80">
        <v>30000.0</v>
      </c>
      <c r="E1469" s="66" t="s">
        <v>33</v>
      </c>
      <c r="F1469" s="67" t="s">
        <v>1099</v>
      </c>
      <c r="G1469" s="68">
        <v>0.0</v>
      </c>
      <c r="H1469" s="69">
        <f t="shared" si="82"/>
        <v>0</v>
      </c>
      <c r="I1469" s="76" t="s">
        <v>53</v>
      </c>
      <c r="J1469" s="98" t="s">
        <v>1143</v>
      </c>
      <c r="K1469" s="95"/>
      <c r="L1469" s="95"/>
      <c r="M1469" s="95"/>
      <c r="N1469" s="72"/>
      <c r="O1469" s="96"/>
      <c r="P1469" s="74"/>
      <c r="Q1469" s="74"/>
      <c r="R1469" s="74"/>
      <c r="S1469" s="74"/>
      <c r="T1469" s="74"/>
      <c r="U1469" s="74"/>
      <c r="V1469" s="74"/>
      <c r="W1469" s="74"/>
      <c r="X1469" s="74"/>
      <c r="Y1469" s="74"/>
      <c r="Z1469" s="74"/>
      <c r="AA1469" s="74"/>
      <c r="AB1469" s="74"/>
      <c r="AC1469" s="74"/>
      <c r="AD1469" s="74"/>
      <c r="AE1469" s="74"/>
      <c r="AF1469" s="74"/>
      <c r="AG1469" s="74"/>
    </row>
    <row r="1470" ht="22.5" customHeight="1">
      <c r="A1470" s="86">
        <v>45912.0</v>
      </c>
      <c r="B1470" s="63" t="s">
        <v>27</v>
      </c>
      <c r="C1470" s="79"/>
      <c r="D1470" s="80">
        <v>100768.06</v>
      </c>
      <c r="E1470" s="66" t="s">
        <v>28</v>
      </c>
      <c r="F1470" s="67" t="s">
        <v>1002</v>
      </c>
      <c r="G1470" s="68">
        <v>20.0</v>
      </c>
      <c r="H1470" s="69">
        <f t="shared" si="82"/>
        <v>16794.67667</v>
      </c>
      <c r="I1470" s="76" t="s">
        <v>30</v>
      </c>
      <c r="J1470" s="98" t="s">
        <v>1096</v>
      </c>
      <c r="K1470" s="95"/>
      <c r="L1470" s="95"/>
      <c r="M1470" s="95"/>
      <c r="N1470" s="72"/>
      <c r="O1470" s="96"/>
      <c r="P1470" s="74"/>
      <c r="Q1470" s="74"/>
      <c r="R1470" s="74"/>
      <c r="S1470" s="74"/>
      <c r="T1470" s="74"/>
      <c r="U1470" s="74"/>
      <c r="V1470" s="74"/>
      <c r="W1470" s="74"/>
      <c r="X1470" s="74"/>
      <c r="Y1470" s="74"/>
      <c r="Z1470" s="74"/>
      <c r="AA1470" s="74"/>
      <c r="AB1470" s="74"/>
      <c r="AC1470" s="74"/>
      <c r="AD1470" s="74"/>
      <c r="AE1470" s="74"/>
      <c r="AF1470" s="74"/>
      <c r="AG1470" s="74"/>
    </row>
    <row r="1471" ht="22.5" customHeight="1">
      <c r="A1471" s="86">
        <v>45912.0</v>
      </c>
      <c r="B1471" s="63" t="s">
        <v>27</v>
      </c>
      <c r="C1471" s="79"/>
      <c r="D1471" s="80">
        <v>1221.0</v>
      </c>
      <c r="E1471" s="66" t="s">
        <v>28</v>
      </c>
      <c r="F1471" s="67" t="s">
        <v>1099</v>
      </c>
      <c r="G1471" s="68">
        <v>20.0</v>
      </c>
      <c r="H1471" s="69">
        <f t="shared" si="82"/>
        <v>203.5</v>
      </c>
      <c r="I1471" s="76" t="s">
        <v>30</v>
      </c>
      <c r="J1471" s="87" t="s">
        <v>500</v>
      </c>
      <c r="K1471" s="95"/>
      <c r="L1471" s="95"/>
      <c r="M1471" s="95"/>
      <c r="N1471" s="72"/>
      <c r="O1471" s="96"/>
      <c r="P1471" s="74"/>
      <c r="Q1471" s="74"/>
      <c r="R1471" s="74"/>
      <c r="S1471" s="74"/>
      <c r="T1471" s="74"/>
      <c r="U1471" s="74"/>
      <c r="V1471" s="74"/>
      <c r="W1471" s="74"/>
      <c r="X1471" s="74"/>
      <c r="Y1471" s="74"/>
      <c r="Z1471" s="74"/>
      <c r="AA1471" s="74"/>
      <c r="AB1471" s="74"/>
      <c r="AC1471" s="74"/>
      <c r="AD1471" s="74"/>
      <c r="AE1471" s="74"/>
      <c r="AF1471" s="74"/>
      <c r="AG1471" s="74"/>
    </row>
    <row r="1472" ht="22.5" customHeight="1">
      <c r="A1472" s="86">
        <v>45915.0</v>
      </c>
      <c r="B1472" s="63" t="s">
        <v>27</v>
      </c>
      <c r="C1472" s="79"/>
      <c r="D1472" s="80">
        <v>569671.31</v>
      </c>
      <c r="E1472" s="66" t="s">
        <v>28</v>
      </c>
      <c r="F1472" s="84" t="s">
        <v>839</v>
      </c>
      <c r="G1472" s="68">
        <v>0.0</v>
      </c>
      <c r="H1472" s="69">
        <f t="shared" si="82"/>
        <v>0</v>
      </c>
      <c r="I1472" s="76" t="s">
        <v>322</v>
      </c>
      <c r="J1472" s="87" t="s">
        <v>539</v>
      </c>
      <c r="K1472" s="95"/>
      <c r="L1472" s="95"/>
      <c r="M1472" s="95"/>
      <c r="N1472" s="72"/>
      <c r="O1472" s="140" t="s">
        <v>1144</v>
      </c>
      <c r="P1472" s="74"/>
      <c r="Q1472" s="74"/>
      <c r="R1472" s="74"/>
      <c r="S1472" s="74"/>
      <c r="T1472" s="74"/>
      <c r="U1472" s="74"/>
      <c r="V1472" s="74"/>
      <c r="W1472" s="74"/>
      <c r="X1472" s="74"/>
      <c r="Y1472" s="74"/>
      <c r="Z1472" s="74"/>
      <c r="AA1472" s="74"/>
      <c r="AB1472" s="74"/>
      <c r="AC1472" s="74"/>
      <c r="AD1472" s="74"/>
      <c r="AE1472" s="74"/>
      <c r="AF1472" s="74"/>
      <c r="AG1472" s="74"/>
    </row>
    <row r="1473" ht="22.5" customHeight="1">
      <c r="A1473" s="86">
        <v>45915.0</v>
      </c>
      <c r="B1473" s="63" t="s">
        <v>27</v>
      </c>
      <c r="C1473" s="79"/>
      <c r="D1473" s="80">
        <v>124560.0</v>
      </c>
      <c r="E1473" s="66" t="s">
        <v>28</v>
      </c>
      <c r="F1473" s="84" t="s">
        <v>951</v>
      </c>
      <c r="G1473" s="68">
        <v>0.0</v>
      </c>
      <c r="H1473" s="69">
        <f t="shared" si="82"/>
        <v>0</v>
      </c>
      <c r="I1473" s="76" t="s">
        <v>322</v>
      </c>
      <c r="J1473" s="152" t="s">
        <v>157</v>
      </c>
      <c r="K1473" s="95"/>
      <c r="L1473" s="95"/>
      <c r="M1473" s="95"/>
      <c r="N1473" s="72"/>
      <c r="O1473" s="140" t="s">
        <v>1145</v>
      </c>
      <c r="P1473" s="74"/>
      <c r="Q1473" s="74"/>
      <c r="R1473" s="74"/>
      <c r="S1473" s="74"/>
      <c r="T1473" s="74"/>
      <c r="U1473" s="74"/>
      <c r="V1473" s="74"/>
      <c r="W1473" s="74"/>
      <c r="X1473" s="74"/>
      <c r="Y1473" s="74"/>
      <c r="Z1473" s="74"/>
      <c r="AA1473" s="74"/>
      <c r="AB1473" s="74"/>
      <c r="AC1473" s="74"/>
      <c r="AD1473" s="74"/>
      <c r="AE1473" s="74"/>
      <c r="AF1473" s="74"/>
      <c r="AG1473" s="74"/>
    </row>
    <row r="1474" ht="22.5" customHeight="1">
      <c r="A1474" s="86">
        <v>45915.0</v>
      </c>
      <c r="B1474" s="63" t="s">
        <v>27</v>
      </c>
      <c r="C1474" s="79"/>
      <c r="D1474" s="80">
        <v>217543.6</v>
      </c>
      <c r="E1474" s="66" t="s">
        <v>28</v>
      </c>
      <c r="F1474" s="84" t="s">
        <v>951</v>
      </c>
      <c r="G1474" s="68">
        <v>0.0</v>
      </c>
      <c r="H1474" s="69">
        <f t="shared" si="82"/>
        <v>0</v>
      </c>
      <c r="I1474" s="76" t="s">
        <v>322</v>
      </c>
      <c r="J1474" s="98" t="s">
        <v>641</v>
      </c>
      <c r="K1474" s="95"/>
      <c r="L1474" s="95"/>
      <c r="M1474" s="95"/>
      <c r="N1474" s="72"/>
      <c r="O1474" s="140" t="s">
        <v>1146</v>
      </c>
      <c r="P1474" s="74"/>
      <c r="Q1474" s="74"/>
      <c r="R1474" s="74"/>
      <c r="S1474" s="74"/>
      <c r="T1474" s="74"/>
      <c r="U1474" s="74"/>
      <c r="V1474" s="74"/>
      <c r="W1474" s="74"/>
      <c r="X1474" s="74"/>
      <c r="Y1474" s="74"/>
      <c r="Z1474" s="74"/>
      <c r="AA1474" s="74"/>
      <c r="AB1474" s="74"/>
      <c r="AC1474" s="74"/>
      <c r="AD1474" s="74"/>
      <c r="AE1474" s="74"/>
      <c r="AF1474" s="74"/>
      <c r="AG1474" s="74"/>
    </row>
    <row r="1475" ht="22.5" customHeight="1">
      <c r="A1475" s="86">
        <v>45915.0</v>
      </c>
      <c r="B1475" s="63" t="s">
        <v>27</v>
      </c>
      <c r="C1475" s="79"/>
      <c r="D1475" s="80">
        <v>320000.0</v>
      </c>
      <c r="E1475" s="66" t="s">
        <v>28</v>
      </c>
      <c r="F1475" s="84" t="s">
        <v>951</v>
      </c>
      <c r="G1475" s="68">
        <v>0.0</v>
      </c>
      <c r="H1475" s="69">
        <f t="shared" si="82"/>
        <v>0</v>
      </c>
      <c r="I1475" s="76" t="s">
        <v>322</v>
      </c>
      <c r="J1475" s="149" t="s">
        <v>624</v>
      </c>
      <c r="K1475" s="95"/>
      <c r="L1475" s="95"/>
      <c r="M1475" s="95"/>
      <c r="N1475" s="72"/>
      <c r="O1475" s="140" t="s">
        <v>1147</v>
      </c>
      <c r="P1475" s="74"/>
      <c r="Q1475" s="74"/>
      <c r="R1475" s="74"/>
      <c r="S1475" s="74"/>
      <c r="T1475" s="74"/>
      <c r="U1475" s="74"/>
      <c r="V1475" s="74"/>
      <c r="W1475" s="74"/>
      <c r="X1475" s="74"/>
      <c r="Y1475" s="74"/>
      <c r="Z1475" s="74"/>
      <c r="AA1475" s="74"/>
      <c r="AB1475" s="74"/>
      <c r="AC1475" s="74"/>
      <c r="AD1475" s="74"/>
      <c r="AE1475" s="74"/>
      <c r="AF1475" s="74"/>
      <c r="AG1475" s="74"/>
    </row>
    <row r="1476" ht="22.5" customHeight="1">
      <c r="A1476" s="86">
        <v>45915.0</v>
      </c>
      <c r="B1476" s="63" t="s">
        <v>27</v>
      </c>
      <c r="C1476" s="79"/>
      <c r="D1476" s="80">
        <f>8703.97+59.46</f>
        <v>8763.43</v>
      </c>
      <c r="E1476" s="66" t="s">
        <v>28</v>
      </c>
      <c r="F1476" s="67" t="s">
        <v>1099</v>
      </c>
      <c r="G1476" s="69"/>
      <c r="H1476" s="69">
        <f t="shared" si="82"/>
        <v>0</v>
      </c>
      <c r="I1476" s="94" t="s">
        <v>622</v>
      </c>
      <c r="J1476" s="98" t="s">
        <v>309</v>
      </c>
      <c r="K1476" s="95"/>
      <c r="L1476" s="95"/>
      <c r="M1476" s="95"/>
      <c r="N1476" s="72"/>
      <c r="O1476" s="96"/>
      <c r="P1476" s="74"/>
      <c r="Q1476" s="74"/>
      <c r="R1476" s="74"/>
      <c r="S1476" s="74"/>
      <c r="T1476" s="74"/>
      <c r="U1476" s="74"/>
      <c r="V1476" s="74"/>
      <c r="W1476" s="74"/>
      <c r="X1476" s="74"/>
      <c r="Y1476" s="74"/>
      <c r="Z1476" s="74"/>
      <c r="AA1476" s="74"/>
      <c r="AB1476" s="74"/>
      <c r="AC1476" s="74"/>
      <c r="AD1476" s="74"/>
      <c r="AE1476" s="74"/>
      <c r="AF1476" s="74"/>
      <c r="AG1476" s="74"/>
    </row>
    <row r="1477" ht="22.5" customHeight="1">
      <c r="A1477" s="86">
        <v>45916.0</v>
      </c>
      <c r="B1477" s="63" t="s">
        <v>27</v>
      </c>
      <c r="C1477" s="79"/>
      <c r="D1477" s="80">
        <v>20000.0</v>
      </c>
      <c r="E1477" s="66" t="s">
        <v>33</v>
      </c>
      <c r="F1477" s="67" t="s">
        <v>203</v>
      </c>
      <c r="G1477" s="68">
        <v>0.0</v>
      </c>
      <c r="H1477" s="69">
        <f t="shared" si="82"/>
        <v>0</v>
      </c>
      <c r="I1477" s="76" t="s">
        <v>53</v>
      </c>
      <c r="J1477" s="98" t="s">
        <v>1148</v>
      </c>
      <c r="K1477" s="95"/>
      <c r="L1477" s="95"/>
      <c r="M1477" s="95"/>
      <c r="N1477" s="72"/>
      <c r="O1477" s="96"/>
      <c r="P1477" s="74"/>
      <c r="Q1477" s="74"/>
      <c r="R1477" s="74"/>
      <c r="S1477" s="74"/>
      <c r="T1477" s="74"/>
      <c r="U1477" s="74"/>
      <c r="V1477" s="74"/>
      <c r="W1477" s="74"/>
      <c r="X1477" s="74"/>
      <c r="Y1477" s="74"/>
      <c r="Z1477" s="74"/>
      <c r="AA1477" s="74"/>
      <c r="AB1477" s="74"/>
      <c r="AC1477" s="74"/>
      <c r="AD1477" s="74"/>
      <c r="AE1477" s="74"/>
      <c r="AF1477" s="74"/>
      <c r="AG1477" s="74"/>
    </row>
    <row r="1478" ht="22.5" customHeight="1">
      <c r="A1478" s="86">
        <v>45916.0</v>
      </c>
      <c r="B1478" s="63" t="s">
        <v>27</v>
      </c>
      <c r="C1478" s="79"/>
      <c r="D1478" s="80">
        <v>30000.0</v>
      </c>
      <c r="E1478" s="66" t="s">
        <v>33</v>
      </c>
      <c r="F1478" s="67" t="s">
        <v>203</v>
      </c>
      <c r="G1478" s="68">
        <v>0.0</v>
      </c>
      <c r="H1478" s="69">
        <f t="shared" si="82"/>
        <v>0</v>
      </c>
      <c r="I1478" s="76" t="s">
        <v>53</v>
      </c>
      <c r="J1478" s="98" t="s">
        <v>1149</v>
      </c>
      <c r="K1478" s="95"/>
      <c r="L1478" s="95"/>
      <c r="M1478" s="95"/>
      <c r="N1478" s="72"/>
      <c r="O1478" s="96"/>
      <c r="P1478" s="74"/>
      <c r="Q1478" s="74"/>
      <c r="R1478" s="74"/>
      <c r="S1478" s="74"/>
      <c r="T1478" s="74"/>
      <c r="U1478" s="74"/>
      <c r="V1478" s="74"/>
      <c r="W1478" s="74"/>
      <c r="X1478" s="74"/>
      <c r="Y1478" s="74"/>
      <c r="Z1478" s="74"/>
      <c r="AA1478" s="74"/>
      <c r="AB1478" s="74"/>
      <c r="AC1478" s="74"/>
      <c r="AD1478" s="74"/>
      <c r="AE1478" s="74"/>
      <c r="AF1478" s="74"/>
      <c r="AG1478" s="74"/>
    </row>
    <row r="1479" ht="22.5" customHeight="1">
      <c r="A1479" s="86">
        <v>45916.0</v>
      </c>
      <c r="B1479" s="63" t="s">
        <v>27</v>
      </c>
      <c r="C1479" s="79"/>
      <c r="D1479" s="80">
        <v>40000.0</v>
      </c>
      <c r="E1479" s="66" t="s">
        <v>33</v>
      </c>
      <c r="F1479" s="84" t="s">
        <v>722</v>
      </c>
      <c r="G1479" s="68">
        <v>0.0</v>
      </c>
      <c r="H1479" s="69">
        <f t="shared" si="82"/>
        <v>0</v>
      </c>
      <c r="I1479" s="76" t="s">
        <v>383</v>
      </c>
      <c r="J1479" s="98" t="s">
        <v>1150</v>
      </c>
      <c r="K1479" s="95"/>
      <c r="L1479" s="95"/>
      <c r="M1479" s="95"/>
      <c r="N1479" s="72"/>
      <c r="O1479" s="96"/>
      <c r="P1479" s="74"/>
      <c r="Q1479" s="74"/>
      <c r="R1479" s="74"/>
      <c r="S1479" s="74"/>
      <c r="T1479" s="74"/>
      <c r="U1479" s="74"/>
      <c r="V1479" s="74"/>
      <c r="W1479" s="74"/>
      <c r="X1479" s="74"/>
      <c r="Y1479" s="74"/>
      <c r="Z1479" s="74"/>
      <c r="AA1479" s="74"/>
      <c r="AB1479" s="74"/>
      <c r="AC1479" s="74"/>
      <c r="AD1479" s="74"/>
      <c r="AE1479" s="74"/>
      <c r="AF1479" s="74"/>
      <c r="AG1479" s="74"/>
    </row>
    <row r="1480" ht="22.5" customHeight="1">
      <c r="A1480" s="86">
        <v>45916.0</v>
      </c>
      <c r="B1480" s="63" t="s">
        <v>27</v>
      </c>
      <c r="C1480" s="79"/>
      <c r="D1480" s="80">
        <v>50000.0</v>
      </c>
      <c r="E1480" s="66" t="s">
        <v>33</v>
      </c>
      <c r="F1480" s="67" t="s">
        <v>203</v>
      </c>
      <c r="G1480" s="68">
        <v>0.0</v>
      </c>
      <c r="H1480" s="69">
        <f t="shared" si="82"/>
        <v>0</v>
      </c>
      <c r="I1480" s="76" t="s">
        <v>53</v>
      </c>
      <c r="J1480" s="98" t="s">
        <v>1151</v>
      </c>
      <c r="K1480" s="95"/>
      <c r="L1480" s="95"/>
      <c r="M1480" s="95"/>
      <c r="N1480" s="72"/>
      <c r="O1480" s="96"/>
      <c r="P1480" s="74"/>
      <c r="Q1480" s="74"/>
      <c r="R1480" s="74"/>
      <c r="S1480" s="74"/>
      <c r="T1480" s="74"/>
      <c r="U1480" s="74"/>
      <c r="V1480" s="74"/>
      <c r="W1480" s="74"/>
      <c r="X1480" s="74"/>
      <c r="Y1480" s="74"/>
      <c r="Z1480" s="74"/>
      <c r="AA1480" s="74"/>
      <c r="AB1480" s="74"/>
      <c r="AC1480" s="74"/>
      <c r="AD1480" s="74"/>
      <c r="AE1480" s="74"/>
      <c r="AF1480" s="74"/>
      <c r="AG1480" s="74"/>
    </row>
    <row r="1481" ht="22.5" customHeight="1">
      <c r="A1481" s="86">
        <v>45916.0</v>
      </c>
      <c r="B1481" s="63" t="s">
        <v>27</v>
      </c>
      <c r="C1481" s="79"/>
      <c r="D1481" s="80">
        <v>20000.0</v>
      </c>
      <c r="E1481" s="66" t="s">
        <v>33</v>
      </c>
      <c r="F1481" s="67" t="s">
        <v>203</v>
      </c>
      <c r="G1481" s="68">
        <v>0.0</v>
      </c>
      <c r="H1481" s="69">
        <f t="shared" si="82"/>
        <v>0</v>
      </c>
      <c r="I1481" s="76" t="s">
        <v>53</v>
      </c>
      <c r="J1481" s="98" t="s">
        <v>1152</v>
      </c>
      <c r="K1481" s="95"/>
      <c r="L1481" s="95"/>
      <c r="M1481" s="95"/>
      <c r="N1481" s="72"/>
      <c r="O1481" s="96"/>
      <c r="P1481" s="74"/>
      <c r="Q1481" s="74"/>
      <c r="R1481" s="74"/>
      <c r="S1481" s="74"/>
      <c r="T1481" s="74"/>
      <c r="U1481" s="74"/>
      <c r="V1481" s="74"/>
      <c r="W1481" s="74"/>
      <c r="X1481" s="74"/>
      <c r="Y1481" s="74"/>
      <c r="Z1481" s="74"/>
      <c r="AA1481" s="74"/>
      <c r="AB1481" s="74"/>
      <c r="AC1481" s="74"/>
      <c r="AD1481" s="74"/>
      <c r="AE1481" s="74"/>
      <c r="AF1481" s="74"/>
      <c r="AG1481" s="74"/>
    </row>
    <row r="1482" ht="22.5" customHeight="1">
      <c r="A1482" s="86">
        <v>45916.0</v>
      </c>
      <c r="B1482" s="63" t="s">
        <v>27</v>
      </c>
      <c r="C1482" s="79"/>
      <c r="D1482" s="80">
        <v>150000.0</v>
      </c>
      <c r="E1482" s="66" t="s">
        <v>33</v>
      </c>
      <c r="F1482" s="67" t="s">
        <v>203</v>
      </c>
      <c r="G1482" s="68">
        <v>0.0</v>
      </c>
      <c r="H1482" s="69">
        <f t="shared" si="82"/>
        <v>0</v>
      </c>
      <c r="I1482" s="76" t="s">
        <v>53</v>
      </c>
      <c r="J1482" s="98" t="s">
        <v>1153</v>
      </c>
      <c r="K1482" s="95"/>
      <c r="L1482" s="95"/>
      <c r="M1482" s="95"/>
      <c r="N1482" s="72"/>
      <c r="O1482" s="96"/>
      <c r="P1482" s="74"/>
      <c r="Q1482" s="74"/>
      <c r="R1482" s="74"/>
      <c r="S1482" s="74"/>
      <c r="T1482" s="74"/>
      <c r="U1482" s="74"/>
      <c r="V1482" s="74"/>
      <c r="W1482" s="74"/>
      <c r="X1482" s="74"/>
      <c r="Y1482" s="74"/>
      <c r="Z1482" s="74"/>
      <c r="AA1482" s="74"/>
      <c r="AB1482" s="74"/>
      <c r="AC1482" s="74"/>
      <c r="AD1482" s="74"/>
      <c r="AE1482" s="74"/>
      <c r="AF1482" s="74"/>
      <c r="AG1482" s="74"/>
    </row>
    <row r="1483" ht="22.5" customHeight="1">
      <c r="A1483" s="86">
        <v>45916.0</v>
      </c>
      <c r="B1483" s="63" t="s">
        <v>27</v>
      </c>
      <c r="C1483" s="79"/>
      <c r="D1483" s="80">
        <v>7763.38</v>
      </c>
      <c r="E1483" s="66" t="s">
        <v>28</v>
      </c>
      <c r="F1483" s="67" t="s">
        <v>1099</v>
      </c>
      <c r="G1483" s="68">
        <v>20.0</v>
      </c>
      <c r="H1483" s="69">
        <f t="shared" si="82"/>
        <v>1293.896667</v>
      </c>
      <c r="I1483" s="76" t="s">
        <v>495</v>
      </c>
      <c r="J1483" s="87" t="s">
        <v>745</v>
      </c>
      <c r="K1483" s="95"/>
      <c r="L1483" s="95"/>
      <c r="M1483" s="95"/>
      <c r="N1483" s="72"/>
      <c r="O1483" s="140" t="s">
        <v>1154</v>
      </c>
      <c r="P1483" s="74"/>
      <c r="Q1483" s="74"/>
      <c r="R1483" s="74"/>
      <c r="S1483" s="74"/>
      <c r="T1483" s="74"/>
      <c r="U1483" s="74"/>
      <c r="V1483" s="74"/>
      <c r="W1483" s="74"/>
      <c r="X1483" s="74"/>
      <c r="Y1483" s="74"/>
      <c r="Z1483" s="74"/>
      <c r="AA1483" s="74"/>
      <c r="AB1483" s="74"/>
      <c r="AC1483" s="74"/>
      <c r="AD1483" s="74"/>
      <c r="AE1483" s="74"/>
      <c r="AF1483" s="74"/>
      <c r="AG1483" s="74"/>
    </row>
    <row r="1484" ht="22.5" customHeight="1">
      <c r="A1484" s="86">
        <v>45916.0</v>
      </c>
      <c r="B1484" s="63" t="s">
        <v>27</v>
      </c>
      <c r="C1484" s="79"/>
      <c r="D1484" s="80">
        <v>20400.0</v>
      </c>
      <c r="E1484" s="66" t="s">
        <v>28</v>
      </c>
      <c r="F1484" s="67" t="s">
        <v>1099</v>
      </c>
      <c r="G1484" s="68">
        <v>20.0</v>
      </c>
      <c r="H1484" s="69">
        <f t="shared" si="82"/>
        <v>3400</v>
      </c>
      <c r="I1484" s="76" t="s">
        <v>495</v>
      </c>
      <c r="J1484" s="98" t="s">
        <v>910</v>
      </c>
      <c r="K1484" s="95"/>
      <c r="L1484" s="95"/>
      <c r="M1484" s="95"/>
      <c r="N1484" s="72"/>
      <c r="O1484" s="140" t="s">
        <v>1155</v>
      </c>
      <c r="P1484" s="74"/>
      <c r="Q1484" s="74"/>
      <c r="R1484" s="74"/>
      <c r="S1484" s="74"/>
      <c r="T1484" s="74"/>
      <c r="U1484" s="74"/>
      <c r="V1484" s="74"/>
      <c r="W1484" s="74"/>
      <c r="X1484" s="74"/>
      <c r="Y1484" s="74"/>
      <c r="Z1484" s="74"/>
      <c r="AA1484" s="74"/>
      <c r="AB1484" s="74"/>
      <c r="AC1484" s="74"/>
      <c r="AD1484" s="74"/>
      <c r="AE1484" s="74"/>
      <c r="AF1484" s="74"/>
      <c r="AG1484" s="74"/>
    </row>
    <row r="1485" ht="22.5" customHeight="1">
      <c r="A1485" s="86">
        <v>45916.0</v>
      </c>
      <c r="B1485" s="63" t="s">
        <v>27</v>
      </c>
      <c r="C1485" s="79"/>
      <c r="D1485" s="80">
        <v>217200.0</v>
      </c>
      <c r="E1485" s="66" t="s">
        <v>28</v>
      </c>
      <c r="F1485" s="67" t="s">
        <v>1099</v>
      </c>
      <c r="G1485" s="68">
        <v>0.0</v>
      </c>
      <c r="H1485" s="69">
        <f t="shared" si="82"/>
        <v>0</v>
      </c>
      <c r="I1485" s="76" t="s">
        <v>495</v>
      </c>
      <c r="J1485" s="98" t="s">
        <v>691</v>
      </c>
      <c r="K1485" s="95"/>
      <c r="L1485" s="95"/>
      <c r="M1485" s="95"/>
      <c r="N1485" s="72"/>
      <c r="O1485" s="96"/>
      <c r="P1485" s="74"/>
      <c r="Q1485" s="74"/>
      <c r="R1485" s="74"/>
      <c r="S1485" s="74"/>
      <c r="T1485" s="74"/>
      <c r="U1485" s="74"/>
      <c r="V1485" s="74"/>
      <c r="W1485" s="74"/>
      <c r="X1485" s="74"/>
      <c r="Y1485" s="74"/>
      <c r="Z1485" s="74"/>
      <c r="AA1485" s="74"/>
      <c r="AB1485" s="74"/>
      <c r="AC1485" s="74"/>
      <c r="AD1485" s="74"/>
      <c r="AE1485" s="74"/>
      <c r="AF1485" s="74"/>
      <c r="AG1485" s="74"/>
    </row>
    <row r="1486" ht="22.5" customHeight="1">
      <c r="A1486" s="86">
        <v>45916.0</v>
      </c>
      <c r="B1486" s="63" t="s">
        <v>27</v>
      </c>
      <c r="C1486" s="79"/>
      <c r="D1486" s="80">
        <v>8674.0</v>
      </c>
      <c r="E1486" s="66" t="s">
        <v>28</v>
      </c>
      <c r="F1486" s="67" t="s">
        <v>1099</v>
      </c>
      <c r="G1486" s="68">
        <v>20.0</v>
      </c>
      <c r="H1486" s="69">
        <f t="shared" si="82"/>
        <v>1445.666667</v>
      </c>
      <c r="I1486" s="76" t="s">
        <v>383</v>
      </c>
      <c r="J1486" s="98" t="s">
        <v>1156</v>
      </c>
      <c r="K1486" s="95"/>
      <c r="L1486" s="95"/>
      <c r="M1486" s="95"/>
      <c r="N1486" s="72"/>
      <c r="O1486" s="96"/>
      <c r="P1486" s="74"/>
      <c r="Q1486" s="74"/>
      <c r="R1486" s="74"/>
      <c r="S1486" s="74"/>
      <c r="T1486" s="74"/>
      <c r="U1486" s="74"/>
      <c r="V1486" s="74"/>
      <c r="W1486" s="74"/>
      <c r="X1486" s="74"/>
      <c r="Y1486" s="74"/>
      <c r="Z1486" s="74"/>
      <c r="AA1486" s="74"/>
      <c r="AB1486" s="74"/>
      <c r="AC1486" s="74"/>
      <c r="AD1486" s="74"/>
      <c r="AE1486" s="74"/>
      <c r="AF1486" s="74"/>
      <c r="AG1486" s="74"/>
    </row>
    <row r="1487" ht="22.5" customHeight="1">
      <c r="A1487" s="86">
        <v>45917.0</v>
      </c>
      <c r="B1487" s="63" t="s">
        <v>27</v>
      </c>
      <c r="C1487" s="79"/>
      <c r="D1487" s="80">
        <v>8500.0</v>
      </c>
      <c r="E1487" s="66" t="s">
        <v>33</v>
      </c>
      <c r="F1487" s="67" t="s">
        <v>1099</v>
      </c>
      <c r="G1487" s="68">
        <v>0.0</v>
      </c>
      <c r="H1487" s="69">
        <f t="shared" si="82"/>
        <v>0</v>
      </c>
      <c r="I1487" s="76" t="s">
        <v>383</v>
      </c>
      <c r="J1487" s="98" t="s">
        <v>1157</v>
      </c>
      <c r="K1487" s="95"/>
      <c r="L1487" s="95"/>
      <c r="M1487" s="95"/>
      <c r="N1487" s="72"/>
      <c r="O1487" s="96"/>
      <c r="P1487" s="74"/>
      <c r="Q1487" s="74"/>
      <c r="R1487" s="74"/>
      <c r="S1487" s="74"/>
      <c r="T1487" s="74"/>
      <c r="U1487" s="74"/>
      <c r="V1487" s="74"/>
      <c r="W1487" s="74"/>
      <c r="X1487" s="74"/>
      <c r="Y1487" s="74"/>
      <c r="Z1487" s="74"/>
      <c r="AA1487" s="74"/>
      <c r="AB1487" s="74"/>
      <c r="AC1487" s="74"/>
      <c r="AD1487" s="74"/>
      <c r="AE1487" s="74"/>
      <c r="AF1487" s="74"/>
      <c r="AG1487" s="74"/>
    </row>
    <row r="1488" ht="22.5" customHeight="1">
      <c r="A1488" s="86">
        <v>45917.0</v>
      </c>
      <c r="B1488" s="63" t="s">
        <v>27</v>
      </c>
      <c r="C1488" s="80">
        <v>373680.0</v>
      </c>
      <c r="D1488" s="79"/>
      <c r="E1488" s="66" t="s">
        <v>28</v>
      </c>
      <c r="F1488" s="84" t="s">
        <v>897</v>
      </c>
      <c r="G1488" s="68">
        <v>20.0</v>
      </c>
      <c r="H1488" s="69">
        <f t="shared" si="82"/>
        <v>62280</v>
      </c>
      <c r="I1488" s="76" t="s">
        <v>37</v>
      </c>
      <c r="J1488" s="87" t="s">
        <v>920</v>
      </c>
      <c r="K1488" s="82" t="s">
        <v>1158</v>
      </c>
      <c r="L1488" s="82">
        <v>251.0</v>
      </c>
      <c r="M1488" s="128">
        <v>45842.0</v>
      </c>
      <c r="N1488" s="72"/>
      <c r="O1488" s="96"/>
      <c r="P1488" s="74"/>
      <c r="Q1488" s="74"/>
      <c r="R1488" s="74"/>
      <c r="S1488" s="74"/>
      <c r="T1488" s="74"/>
      <c r="U1488" s="74"/>
      <c r="V1488" s="74"/>
      <c r="W1488" s="74"/>
      <c r="X1488" s="74"/>
      <c r="Y1488" s="74"/>
      <c r="Z1488" s="74"/>
      <c r="AA1488" s="74"/>
      <c r="AB1488" s="74"/>
      <c r="AC1488" s="74"/>
      <c r="AD1488" s="74"/>
      <c r="AE1488" s="74"/>
      <c r="AF1488" s="74"/>
      <c r="AG1488" s="74"/>
    </row>
    <row r="1489" ht="22.5" customHeight="1">
      <c r="A1489" s="86">
        <v>45917.0</v>
      </c>
      <c r="B1489" s="63" t="s">
        <v>27</v>
      </c>
      <c r="C1489" s="80">
        <v>705030.4</v>
      </c>
      <c r="D1489" s="79"/>
      <c r="E1489" s="66" t="s">
        <v>28</v>
      </c>
      <c r="F1489" s="84" t="s">
        <v>897</v>
      </c>
      <c r="G1489" s="68">
        <v>20.0</v>
      </c>
      <c r="H1489" s="69">
        <f t="shared" si="82"/>
        <v>117505.0667</v>
      </c>
      <c r="I1489" s="76" t="s">
        <v>37</v>
      </c>
      <c r="J1489" s="87" t="s">
        <v>440</v>
      </c>
      <c r="K1489" s="82" t="s">
        <v>858</v>
      </c>
      <c r="L1489" s="82">
        <v>262.0</v>
      </c>
      <c r="M1489" s="128">
        <v>45846.0</v>
      </c>
      <c r="N1489" s="72"/>
      <c r="O1489" s="96"/>
      <c r="P1489" s="74"/>
      <c r="Q1489" s="74"/>
      <c r="R1489" s="74"/>
      <c r="S1489" s="74"/>
      <c r="T1489" s="74"/>
      <c r="U1489" s="74"/>
      <c r="V1489" s="74"/>
      <c r="W1489" s="74"/>
      <c r="X1489" s="74"/>
      <c r="Y1489" s="74"/>
      <c r="Z1489" s="74"/>
      <c r="AA1489" s="74"/>
      <c r="AB1489" s="74"/>
      <c r="AC1489" s="74"/>
      <c r="AD1489" s="74"/>
      <c r="AE1489" s="74"/>
      <c r="AF1489" s="74"/>
      <c r="AG1489" s="74"/>
    </row>
    <row r="1490" ht="22.5" customHeight="1">
      <c r="A1490" s="86">
        <v>45917.0</v>
      </c>
      <c r="B1490" s="63" t="s">
        <v>27</v>
      </c>
      <c r="C1490" s="80">
        <v>350000.11</v>
      </c>
      <c r="D1490" s="80"/>
      <c r="E1490" s="66" t="s">
        <v>28</v>
      </c>
      <c r="F1490" s="67" t="s">
        <v>1002</v>
      </c>
      <c r="G1490" s="68">
        <v>20.0</v>
      </c>
      <c r="H1490" s="69">
        <f t="shared" si="82"/>
        <v>58333.35167</v>
      </c>
      <c r="I1490" s="76" t="s">
        <v>37</v>
      </c>
      <c r="J1490" s="98" t="s">
        <v>1159</v>
      </c>
      <c r="K1490" s="82" t="s">
        <v>1093</v>
      </c>
      <c r="L1490" s="82">
        <v>325.0</v>
      </c>
      <c r="M1490" s="128">
        <v>45912.0</v>
      </c>
      <c r="N1490" s="72"/>
      <c r="O1490" s="96"/>
      <c r="P1490" s="74"/>
      <c r="Q1490" s="74"/>
      <c r="R1490" s="74"/>
      <c r="S1490" s="74"/>
      <c r="T1490" s="74"/>
      <c r="U1490" s="74"/>
      <c r="V1490" s="74"/>
      <c r="W1490" s="74"/>
      <c r="X1490" s="74"/>
      <c r="Y1490" s="74"/>
      <c r="Z1490" s="74"/>
      <c r="AA1490" s="74"/>
      <c r="AB1490" s="74"/>
      <c r="AC1490" s="74"/>
      <c r="AD1490" s="74"/>
      <c r="AE1490" s="74"/>
      <c r="AF1490" s="74"/>
      <c r="AG1490" s="74"/>
    </row>
    <row r="1491" ht="22.5" customHeight="1">
      <c r="A1491" s="86">
        <v>45917.0</v>
      </c>
      <c r="B1491" s="63" t="s">
        <v>27</v>
      </c>
      <c r="C1491" s="80">
        <v>150000.11</v>
      </c>
      <c r="D1491" s="80"/>
      <c r="E1491" s="66" t="s">
        <v>28</v>
      </c>
      <c r="F1491" s="67" t="s">
        <v>1002</v>
      </c>
      <c r="G1491" s="68">
        <v>20.0</v>
      </c>
      <c r="H1491" s="69">
        <f t="shared" si="82"/>
        <v>25000.01833</v>
      </c>
      <c r="I1491" s="76" t="s">
        <v>37</v>
      </c>
      <c r="J1491" s="98" t="s">
        <v>1159</v>
      </c>
      <c r="K1491" s="82" t="s">
        <v>754</v>
      </c>
      <c r="L1491" s="82">
        <v>326.0</v>
      </c>
      <c r="M1491" s="128">
        <v>45912.0</v>
      </c>
      <c r="N1491" s="153"/>
      <c r="O1491" s="96"/>
      <c r="P1491" s="74"/>
      <c r="Q1491" s="74"/>
      <c r="R1491" s="74"/>
      <c r="S1491" s="74"/>
      <c r="T1491" s="74"/>
      <c r="U1491" s="74"/>
      <c r="V1491" s="74"/>
      <c r="W1491" s="74"/>
      <c r="X1491" s="74"/>
      <c r="Y1491" s="74"/>
      <c r="Z1491" s="74"/>
      <c r="AA1491" s="74"/>
      <c r="AB1491" s="74"/>
      <c r="AC1491" s="74"/>
      <c r="AD1491" s="74"/>
      <c r="AE1491" s="74"/>
      <c r="AF1491" s="74"/>
      <c r="AG1491" s="74"/>
    </row>
    <row r="1492" ht="22.5" customHeight="1">
      <c r="A1492" s="86">
        <v>45917.0</v>
      </c>
      <c r="B1492" s="63" t="s">
        <v>27</v>
      </c>
      <c r="C1492" s="80">
        <v>600000.24</v>
      </c>
      <c r="D1492" s="79"/>
      <c r="E1492" s="66" t="s">
        <v>28</v>
      </c>
      <c r="F1492" s="84" t="s">
        <v>897</v>
      </c>
      <c r="G1492" s="68">
        <v>20.0</v>
      </c>
      <c r="H1492" s="69">
        <f t="shared" si="82"/>
        <v>100000.04</v>
      </c>
      <c r="I1492" s="76" t="s">
        <v>37</v>
      </c>
      <c r="J1492" s="87" t="s">
        <v>440</v>
      </c>
      <c r="K1492" s="82" t="s">
        <v>801</v>
      </c>
      <c r="L1492" s="82">
        <v>263.0</v>
      </c>
      <c r="M1492" s="128">
        <v>45846.0</v>
      </c>
      <c r="N1492" s="153"/>
      <c r="O1492" s="96"/>
      <c r="P1492" s="74"/>
      <c r="Q1492" s="74"/>
      <c r="R1492" s="74"/>
      <c r="S1492" s="74"/>
      <c r="T1492" s="74"/>
      <c r="U1492" s="74"/>
      <c r="V1492" s="74"/>
      <c r="W1492" s="74"/>
      <c r="X1492" s="74"/>
      <c r="Y1492" s="74"/>
      <c r="Z1492" s="74"/>
      <c r="AA1492" s="74"/>
      <c r="AB1492" s="74"/>
      <c r="AC1492" s="74"/>
      <c r="AD1492" s="74"/>
      <c r="AE1492" s="74"/>
      <c r="AF1492" s="74"/>
      <c r="AG1492" s="74"/>
    </row>
    <row r="1493" ht="22.5" customHeight="1">
      <c r="A1493" s="86">
        <v>45917.0</v>
      </c>
      <c r="B1493" s="63" t="s">
        <v>27</v>
      </c>
      <c r="C1493" s="79"/>
      <c r="D1493" s="80">
        <v>1530441.24</v>
      </c>
      <c r="E1493" s="66" t="s">
        <v>28</v>
      </c>
      <c r="F1493" s="84" t="s">
        <v>951</v>
      </c>
      <c r="G1493" s="68">
        <v>0.0</v>
      </c>
      <c r="H1493" s="69">
        <f t="shared" si="82"/>
        <v>0</v>
      </c>
      <c r="I1493" s="76" t="s">
        <v>322</v>
      </c>
      <c r="J1493" s="87" t="s">
        <v>440</v>
      </c>
      <c r="K1493" s="95"/>
      <c r="L1493" s="95"/>
      <c r="M1493" s="95"/>
      <c r="N1493" s="153"/>
      <c r="O1493" s="96"/>
      <c r="P1493" s="74"/>
      <c r="Q1493" s="74"/>
      <c r="R1493" s="74"/>
      <c r="S1493" s="74"/>
      <c r="T1493" s="74"/>
      <c r="U1493" s="74"/>
      <c r="V1493" s="74"/>
      <c r="W1493" s="74"/>
      <c r="X1493" s="74"/>
      <c r="Y1493" s="74"/>
      <c r="Z1493" s="74"/>
      <c r="AA1493" s="74"/>
      <c r="AB1493" s="74"/>
      <c r="AC1493" s="74"/>
      <c r="AD1493" s="74"/>
      <c r="AE1493" s="74"/>
      <c r="AF1493" s="74"/>
      <c r="AG1493" s="74"/>
    </row>
    <row r="1494" ht="22.5" customHeight="1">
      <c r="A1494" s="86">
        <v>45917.0</v>
      </c>
      <c r="B1494" s="63" t="s">
        <v>27</v>
      </c>
      <c r="C1494" s="80">
        <v>600000.24</v>
      </c>
      <c r="D1494" s="79"/>
      <c r="E1494" s="66" t="s">
        <v>28</v>
      </c>
      <c r="F1494" s="84" t="s">
        <v>941</v>
      </c>
      <c r="G1494" s="68">
        <v>20.0</v>
      </c>
      <c r="H1494" s="69">
        <f t="shared" si="82"/>
        <v>100000.04</v>
      </c>
      <c r="I1494" s="76" t="s">
        <v>37</v>
      </c>
      <c r="J1494" s="87" t="s">
        <v>440</v>
      </c>
      <c r="K1494" s="82" t="s">
        <v>803</v>
      </c>
      <c r="L1494" s="82">
        <v>283.0</v>
      </c>
      <c r="M1494" s="128">
        <v>45876.0</v>
      </c>
      <c r="N1494" s="72"/>
      <c r="O1494" s="96"/>
      <c r="P1494" s="74"/>
      <c r="Q1494" s="74"/>
      <c r="R1494" s="74"/>
      <c r="S1494" s="74"/>
      <c r="T1494" s="74"/>
      <c r="U1494" s="74"/>
      <c r="V1494" s="74"/>
      <c r="W1494" s="74"/>
      <c r="X1494" s="74"/>
      <c r="Y1494" s="74"/>
      <c r="Z1494" s="74"/>
      <c r="AA1494" s="74"/>
      <c r="AB1494" s="74"/>
      <c r="AC1494" s="74"/>
      <c r="AD1494" s="74"/>
      <c r="AE1494" s="74"/>
      <c r="AF1494" s="74"/>
      <c r="AG1494" s="74"/>
    </row>
    <row r="1495" ht="22.5" customHeight="1">
      <c r="A1495" s="86">
        <v>45917.0</v>
      </c>
      <c r="B1495" s="63" t="s">
        <v>27</v>
      </c>
      <c r="C1495" s="79"/>
      <c r="D1495" s="80">
        <v>150000.0</v>
      </c>
      <c r="E1495" s="66" t="s">
        <v>28</v>
      </c>
      <c r="F1495" s="84" t="s">
        <v>1160</v>
      </c>
      <c r="G1495" s="68">
        <v>20.0</v>
      </c>
      <c r="H1495" s="69">
        <f t="shared" si="82"/>
        <v>25000</v>
      </c>
      <c r="I1495" s="76" t="s">
        <v>322</v>
      </c>
      <c r="J1495" s="98" t="s">
        <v>1161</v>
      </c>
      <c r="K1495" s="95"/>
      <c r="L1495" s="95"/>
      <c r="M1495" s="95"/>
      <c r="N1495" s="153"/>
      <c r="O1495" s="140" t="s">
        <v>1162</v>
      </c>
      <c r="P1495" s="74"/>
      <c r="Q1495" s="74"/>
      <c r="R1495" s="74"/>
      <c r="S1495" s="74"/>
      <c r="T1495" s="74"/>
      <c r="U1495" s="74"/>
      <c r="V1495" s="74"/>
      <c r="W1495" s="74"/>
      <c r="X1495" s="74"/>
      <c r="Y1495" s="74"/>
      <c r="Z1495" s="74"/>
      <c r="AA1495" s="74"/>
      <c r="AB1495" s="74"/>
      <c r="AC1495" s="74"/>
      <c r="AD1495" s="74"/>
      <c r="AE1495" s="74"/>
      <c r="AF1495" s="74"/>
      <c r="AG1495" s="74"/>
    </row>
    <row r="1496" ht="22.5" customHeight="1">
      <c r="A1496" s="86">
        <v>45917.0</v>
      </c>
      <c r="B1496" s="63" t="s">
        <v>27</v>
      </c>
      <c r="C1496" s="80">
        <v>300000.12</v>
      </c>
      <c r="D1496" s="80"/>
      <c r="E1496" s="66" t="s">
        <v>376</v>
      </c>
      <c r="F1496" s="67" t="s">
        <v>1002</v>
      </c>
      <c r="G1496" s="68">
        <v>20.0</v>
      </c>
      <c r="H1496" s="69">
        <f t="shared" si="82"/>
        <v>50000.02</v>
      </c>
      <c r="I1496" s="76" t="s">
        <v>37</v>
      </c>
      <c r="J1496" s="98" t="s">
        <v>807</v>
      </c>
      <c r="K1496" s="82" t="s">
        <v>844</v>
      </c>
      <c r="L1496" s="82">
        <v>306.0</v>
      </c>
      <c r="M1496" s="128">
        <v>45909.0</v>
      </c>
      <c r="N1496" s="153"/>
      <c r="O1496" s="96"/>
      <c r="P1496" s="74"/>
      <c r="Q1496" s="74"/>
      <c r="R1496" s="74"/>
      <c r="S1496" s="74"/>
      <c r="T1496" s="74"/>
      <c r="U1496" s="74"/>
      <c r="V1496" s="74"/>
      <c r="W1496" s="74"/>
      <c r="X1496" s="74"/>
      <c r="Y1496" s="74"/>
      <c r="Z1496" s="74"/>
      <c r="AA1496" s="74"/>
      <c r="AB1496" s="74"/>
      <c r="AC1496" s="74"/>
      <c r="AD1496" s="74"/>
      <c r="AE1496" s="74"/>
      <c r="AF1496" s="74"/>
      <c r="AG1496" s="74"/>
    </row>
    <row r="1497" ht="22.5" customHeight="1">
      <c r="A1497" s="86">
        <v>45918.0</v>
      </c>
      <c r="B1497" s="63" t="s">
        <v>27</v>
      </c>
      <c r="C1497" s="80">
        <v>1200000.0</v>
      </c>
      <c r="D1497" s="79"/>
      <c r="E1497" s="66" t="s">
        <v>28</v>
      </c>
      <c r="F1497" s="84" t="s">
        <v>897</v>
      </c>
      <c r="G1497" s="68">
        <v>20.0</v>
      </c>
      <c r="H1497" s="69">
        <f t="shared" si="82"/>
        <v>200000</v>
      </c>
      <c r="I1497" s="76" t="s">
        <v>37</v>
      </c>
      <c r="J1497" s="87" t="s">
        <v>675</v>
      </c>
      <c r="K1497" s="82" t="s">
        <v>854</v>
      </c>
      <c r="L1497" s="82">
        <v>271.0</v>
      </c>
      <c r="M1497" s="128">
        <v>45846.0</v>
      </c>
      <c r="N1497" s="153">
        <f t="shared" ref="N1497:N1499" si="90">TODAY()-M1497-60</f>
        <v>282</v>
      </c>
      <c r="O1497" s="96"/>
      <c r="P1497" s="74"/>
      <c r="Q1497" s="74"/>
      <c r="R1497" s="74"/>
      <c r="S1497" s="74"/>
      <c r="T1497" s="74"/>
      <c r="U1497" s="74"/>
      <c r="V1497" s="74"/>
      <c r="W1497" s="74"/>
      <c r="X1497" s="74"/>
      <c r="Y1497" s="74"/>
      <c r="Z1497" s="74"/>
      <c r="AA1497" s="74"/>
      <c r="AB1497" s="74"/>
      <c r="AC1497" s="74"/>
      <c r="AD1497" s="74"/>
      <c r="AE1497" s="74"/>
      <c r="AF1497" s="74"/>
      <c r="AG1497" s="74"/>
    </row>
    <row r="1498" ht="22.5" customHeight="1">
      <c r="A1498" s="86">
        <v>45918.0</v>
      </c>
      <c r="B1498" s="63" t="s">
        <v>27</v>
      </c>
      <c r="C1498" s="80">
        <v>842000.44</v>
      </c>
      <c r="D1498" s="79"/>
      <c r="E1498" s="66" t="s">
        <v>28</v>
      </c>
      <c r="F1498" s="84" t="s">
        <v>941</v>
      </c>
      <c r="G1498" s="68">
        <v>20.0</v>
      </c>
      <c r="H1498" s="69">
        <f t="shared" si="82"/>
        <v>140333.4067</v>
      </c>
      <c r="I1498" s="76" t="s">
        <v>37</v>
      </c>
      <c r="J1498" s="87" t="s">
        <v>539</v>
      </c>
      <c r="K1498" s="82" t="s">
        <v>1163</v>
      </c>
      <c r="L1498" s="82">
        <v>301.0</v>
      </c>
      <c r="M1498" s="128">
        <v>45880.0</v>
      </c>
      <c r="N1498" s="72">
        <f t="shared" si="90"/>
        <v>248</v>
      </c>
      <c r="O1498" s="96"/>
      <c r="P1498" s="74"/>
      <c r="Q1498" s="74"/>
      <c r="R1498" s="74"/>
      <c r="S1498" s="74"/>
      <c r="T1498" s="74"/>
      <c r="U1498" s="74"/>
      <c r="V1498" s="74"/>
      <c r="W1498" s="74"/>
      <c r="X1498" s="74"/>
      <c r="Y1498" s="74"/>
      <c r="Z1498" s="74"/>
      <c r="AA1498" s="74"/>
      <c r="AB1498" s="74"/>
      <c r="AC1498" s="74"/>
      <c r="AD1498" s="74"/>
      <c r="AE1498" s="74"/>
      <c r="AF1498" s="74"/>
      <c r="AG1498" s="74"/>
    </row>
    <row r="1499" ht="22.5" customHeight="1">
      <c r="A1499" s="86">
        <v>45918.0</v>
      </c>
      <c r="B1499" s="63" t="s">
        <v>27</v>
      </c>
      <c r="C1499" s="80">
        <v>360000.06</v>
      </c>
      <c r="D1499" s="79"/>
      <c r="E1499" s="66" t="s">
        <v>28</v>
      </c>
      <c r="F1499" s="84" t="s">
        <v>941</v>
      </c>
      <c r="G1499" s="68">
        <v>20.0</v>
      </c>
      <c r="H1499" s="69">
        <f t="shared" si="82"/>
        <v>60000.01</v>
      </c>
      <c r="I1499" s="76" t="s">
        <v>37</v>
      </c>
      <c r="J1499" s="87" t="s">
        <v>1088</v>
      </c>
      <c r="K1499" s="82" t="s">
        <v>1164</v>
      </c>
      <c r="L1499" s="82">
        <v>282.0</v>
      </c>
      <c r="M1499" s="128">
        <v>45875.0</v>
      </c>
      <c r="N1499" s="72">
        <f t="shared" si="90"/>
        <v>253</v>
      </c>
      <c r="O1499" s="96"/>
      <c r="P1499" s="74"/>
      <c r="Q1499" s="74"/>
      <c r="R1499" s="74"/>
      <c r="S1499" s="74"/>
      <c r="T1499" s="74"/>
      <c r="U1499" s="74"/>
      <c r="V1499" s="74"/>
      <c r="W1499" s="74"/>
      <c r="X1499" s="74"/>
      <c r="Y1499" s="74"/>
      <c r="Z1499" s="74"/>
      <c r="AA1499" s="74"/>
      <c r="AB1499" s="74"/>
      <c r="AC1499" s="74"/>
      <c r="AD1499" s="74"/>
      <c r="AE1499" s="74"/>
      <c r="AF1499" s="74"/>
      <c r="AG1499" s="74"/>
    </row>
    <row r="1500" ht="22.5" customHeight="1">
      <c r="A1500" s="86">
        <v>45918.0</v>
      </c>
      <c r="B1500" s="63" t="s">
        <v>27</v>
      </c>
      <c r="C1500" s="79"/>
      <c r="D1500" s="80">
        <v>4200.0</v>
      </c>
      <c r="E1500" s="66" t="s">
        <v>28</v>
      </c>
      <c r="F1500" s="67" t="s">
        <v>1099</v>
      </c>
      <c r="G1500" s="68">
        <v>20.0</v>
      </c>
      <c r="H1500" s="69">
        <f t="shared" si="82"/>
        <v>700</v>
      </c>
      <c r="I1500" s="76" t="s">
        <v>383</v>
      </c>
      <c r="J1500" s="98" t="s">
        <v>1165</v>
      </c>
      <c r="K1500" s="95"/>
      <c r="L1500" s="95"/>
      <c r="M1500" s="95"/>
      <c r="N1500" s="72"/>
      <c r="O1500" s="96"/>
      <c r="P1500" s="74"/>
      <c r="Q1500" s="74"/>
      <c r="R1500" s="74"/>
      <c r="S1500" s="74"/>
      <c r="T1500" s="74"/>
      <c r="U1500" s="74"/>
      <c r="V1500" s="74"/>
      <c r="W1500" s="74"/>
      <c r="X1500" s="74"/>
      <c r="Y1500" s="74"/>
      <c r="Z1500" s="74"/>
      <c r="AA1500" s="74"/>
      <c r="AB1500" s="74"/>
      <c r="AC1500" s="74"/>
      <c r="AD1500" s="74"/>
      <c r="AE1500" s="74"/>
      <c r="AF1500" s="74"/>
      <c r="AG1500" s="74"/>
    </row>
    <row r="1501" ht="22.5" customHeight="1">
      <c r="A1501" s="86">
        <v>45918.0</v>
      </c>
      <c r="B1501" s="63" t="s">
        <v>27</v>
      </c>
      <c r="C1501" s="80">
        <v>360000.06</v>
      </c>
      <c r="D1501" s="79"/>
      <c r="E1501" s="66" t="s">
        <v>28</v>
      </c>
      <c r="F1501" s="84" t="s">
        <v>941</v>
      </c>
      <c r="G1501" s="68">
        <v>20.0</v>
      </c>
      <c r="H1501" s="69">
        <f t="shared" si="82"/>
        <v>60000.01</v>
      </c>
      <c r="I1501" s="76" t="s">
        <v>37</v>
      </c>
      <c r="J1501" s="87" t="s">
        <v>1088</v>
      </c>
      <c r="K1501" s="82" t="s">
        <v>1166</v>
      </c>
      <c r="L1501" s="82">
        <v>281.0</v>
      </c>
      <c r="M1501" s="128">
        <v>45875.0</v>
      </c>
      <c r="N1501" s="72">
        <f t="shared" ref="N1501:N1502" si="91">TODAY()-M1501-60</f>
        <v>253</v>
      </c>
      <c r="O1501" s="96"/>
      <c r="P1501" s="74"/>
      <c r="Q1501" s="74"/>
      <c r="R1501" s="74"/>
      <c r="S1501" s="74"/>
      <c r="T1501" s="74"/>
      <c r="U1501" s="74"/>
      <c r="V1501" s="74"/>
      <c r="W1501" s="74"/>
      <c r="X1501" s="74"/>
      <c r="Y1501" s="74"/>
      <c r="Z1501" s="74"/>
      <c r="AA1501" s="74"/>
      <c r="AB1501" s="74"/>
      <c r="AC1501" s="74"/>
      <c r="AD1501" s="74"/>
      <c r="AE1501" s="74"/>
      <c r="AF1501" s="74"/>
      <c r="AG1501" s="74"/>
    </row>
    <row r="1502" ht="22.5" customHeight="1">
      <c r="A1502" s="86">
        <v>45919.0</v>
      </c>
      <c r="B1502" s="63" t="s">
        <v>27</v>
      </c>
      <c r="C1502" s="80">
        <v>1200000.14</v>
      </c>
      <c r="D1502" s="79"/>
      <c r="E1502" s="66" t="s">
        <v>28</v>
      </c>
      <c r="F1502" s="84" t="s">
        <v>722</v>
      </c>
      <c r="G1502" s="68">
        <v>20.0</v>
      </c>
      <c r="H1502" s="69">
        <f t="shared" si="82"/>
        <v>200000.0233</v>
      </c>
      <c r="I1502" s="76" t="s">
        <v>37</v>
      </c>
      <c r="J1502" s="87" t="s">
        <v>1167</v>
      </c>
      <c r="K1502" s="82" t="s">
        <v>1168</v>
      </c>
      <c r="L1502" s="82">
        <v>199.0</v>
      </c>
      <c r="M1502" s="128">
        <v>45796.0</v>
      </c>
      <c r="N1502" s="72">
        <f t="shared" si="91"/>
        <v>332</v>
      </c>
      <c r="O1502" s="96"/>
      <c r="P1502" s="74"/>
      <c r="Q1502" s="74"/>
      <c r="R1502" s="74"/>
      <c r="S1502" s="74"/>
      <c r="T1502" s="74"/>
      <c r="U1502" s="74"/>
      <c r="V1502" s="74"/>
      <c r="W1502" s="74"/>
      <c r="X1502" s="74"/>
      <c r="Y1502" s="74"/>
      <c r="Z1502" s="74"/>
      <c r="AA1502" s="74"/>
      <c r="AB1502" s="74"/>
      <c r="AC1502" s="74"/>
      <c r="AD1502" s="74"/>
      <c r="AE1502" s="74"/>
      <c r="AF1502" s="74"/>
      <c r="AG1502" s="74"/>
    </row>
    <row r="1503" ht="22.5" customHeight="1">
      <c r="A1503" s="86">
        <v>45919.0</v>
      </c>
      <c r="B1503" s="63" t="s">
        <v>27</v>
      </c>
      <c r="C1503" s="80">
        <v>1200000.48</v>
      </c>
      <c r="D1503" s="79"/>
      <c r="E1503" s="66" t="s">
        <v>28</v>
      </c>
      <c r="F1503" s="84" t="s">
        <v>800</v>
      </c>
      <c r="G1503" s="68">
        <v>20.0</v>
      </c>
      <c r="H1503" s="69">
        <f t="shared" si="82"/>
        <v>200000.08</v>
      </c>
      <c r="I1503" s="76" t="s">
        <v>37</v>
      </c>
      <c r="J1503" s="87" t="s">
        <v>1167</v>
      </c>
      <c r="K1503" s="82" t="s">
        <v>1169</v>
      </c>
      <c r="L1503" s="82">
        <v>210.0</v>
      </c>
      <c r="M1503" s="128">
        <v>45817.0</v>
      </c>
      <c r="N1503" s="72">
        <f>TODAY()-M1503-90</f>
        <v>281</v>
      </c>
      <c r="O1503" s="96"/>
      <c r="P1503" s="74"/>
      <c r="Q1503" s="74"/>
      <c r="R1503" s="74"/>
      <c r="S1503" s="74"/>
      <c r="T1503" s="74"/>
      <c r="U1503" s="74"/>
      <c r="V1503" s="74"/>
      <c r="W1503" s="74"/>
      <c r="X1503" s="74"/>
      <c r="Y1503" s="74"/>
      <c r="Z1503" s="74"/>
      <c r="AA1503" s="74"/>
      <c r="AB1503" s="74"/>
      <c r="AC1503" s="74"/>
      <c r="AD1503" s="74"/>
      <c r="AE1503" s="74"/>
      <c r="AF1503" s="74"/>
      <c r="AG1503" s="74"/>
    </row>
    <row r="1504" ht="22.5" customHeight="1">
      <c r="A1504" s="86">
        <v>45920.0</v>
      </c>
      <c r="B1504" s="63" t="s">
        <v>27</v>
      </c>
      <c r="C1504" s="79"/>
      <c r="D1504" s="80">
        <v>30000.0</v>
      </c>
      <c r="E1504" s="66" t="s">
        <v>33</v>
      </c>
      <c r="F1504" s="67" t="s">
        <v>591</v>
      </c>
      <c r="G1504" s="68">
        <v>0.0</v>
      </c>
      <c r="H1504" s="69">
        <f t="shared" si="82"/>
        <v>0</v>
      </c>
      <c r="I1504" s="76" t="s">
        <v>68</v>
      </c>
      <c r="J1504" s="98" t="s">
        <v>1170</v>
      </c>
      <c r="K1504" s="95"/>
      <c r="L1504" s="95"/>
      <c r="M1504" s="95"/>
      <c r="N1504" s="72"/>
      <c r="O1504" s="96"/>
      <c r="P1504" s="74"/>
      <c r="Q1504" s="74"/>
      <c r="R1504" s="74"/>
      <c r="S1504" s="74"/>
      <c r="T1504" s="74"/>
      <c r="U1504" s="74"/>
      <c r="V1504" s="74"/>
      <c r="W1504" s="74"/>
      <c r="X1504" s="74"/>
      <c r="Y1504" s="74"/>
      <c r="Z1504" s="74"/>
      <c r="AA1504" s="74"/>
      <c r="AB1504" s="74"/>
      <c r="AC1504" s="74"/>
      <c r="AD1504" s="74"/>
      <c r="AE1504" s="74"/>
      <c r="AF1504" s="74"/>
      <c r="AG1504" s="74"/>
    </row>
    <row r="1505" ht="22.5" customHeight="1">
      <c r="A1505" s="86">
        <v>45922.0</v>
      </c>
      <c r="B1505" s="63" t="s">
        <v>27</v>
      </c>
      <c r="C1505" s="79"/>
      <c r="D1505" s="80">
        <v>378000.0</v>
      </c>
      <c r="E1505" s="66" t="s">
        <v>28</v>
      </c>
      <c r="F1505" s="67" t="s">
        <v>1099</v>
      </c>
      <c r="G1505" s="68">
        <v>20.0</v>
      </c>
      <c r="H1505" s="69">
        <f t="shared" si="82"/>
        <v>63000</v>
      </c>
      <c r="I1505" s="76" t="s">
        <v>383</v>
      </c>
      <c r="J1505" s="87" t="s">
        <v>384</v>
      </c>
      <c r="K1505" s="95"/>
      <c r="L1505" s="95"/>
      <c r="M1505" s="95"/>
      <c r="N1505" s="72"/>
      <c r="O1505" s="96"/>
      <c r="P1505" s="74"/>
      <c r="Q1505" s="74"/>
      <c r="R1505" s="74"/>
      <c r="S1505" s="74"/>
      <c r="T1505" s="74"/>
      <c r="U1505" s="74"/>
      <c r="V1505" s="74"/>
      <c r="W1505" s="74"/>
      <c r="X1505" s="74"/>
      <c r="Y1505" s="74"/>
      <c r="Z1505" s="74"/>
      <c r="AA1505" s="74"/>
      <c r="AB1505" s="74"/>
      <c r="AC1505" s="74"/>
      <c r="AD1505" s="74"/>
      <c r="AE1505" s="74"/>
      <c r="AF1505" s="74"/>
      <c r="AG1505" s="74"/>
    </row>
    <row r="1506" ht="22.5" customHeight="1">
      <c r="A1506" s="86">
        <v>45922.0</v>
      </c>
      <c r="B1506" s="63" t="s">
        <v>27</v>
      </c>
      <c r="C1506" s="79"/>
      <c r="D1506" s="80">
        <v>199200.0</v>
      </c>
      <c r="E1506" s="66" t="s">
        <v>28</v>
      </c>
      <c r="F1506" s="67" t="s">
        <v>1099</v>
      </c>
      <c r="G1506" s="68">
        <v>20.0</v>
      </c>
      <c r="H1506" s="69">
        <f t="shared" si="82"/>
        <v>33200</v>
      </c>
      <c r="I1506" s="76" t="s">
        <v>61</v>
      </c>
      <c r="J1506" s="87" t="s">
        <v>942</v>
      </c>
      <c r="K1506" s="95"/>
      <c r="L1506" s="95"/>
      <c r="M1506" s="95"/>
      <c r="N1506" s="72"/>
      <c r="O1506" s="83" t="s">
        <v>943</v>
      </c>
      <c r="P1506" s="74"/>
      <c r="Q1506" s="74"/>
      <c r="R1506" s="74"/>
      <c r="S1506" s="74"/>
      <c r="T1506" s="74"/>
      <c r="U1506" s="74"/>
      <c r="V1506" s="74"/>
      <c r="W1506" s="74"/>
      <c r="X1506" s="74"/>
      <c r="Y1506" s="74"/>
      <c r="Z1506" s="74"/>
      <c r="AA1506" s="74"/>
      <c r="AB1506" s="74"/>
      <c r="AC1506" s="74"/>
      <c r="AD1506" s="74"/>
      <c r="AE1506" s="74"/>
      <c r="AF1506" s="74"/>
      <c r="AG1506" s="74"/>
    </row>
    <row r="1507" ht="22.5" customHeight="1">
      <c r="A1507" s="86">
        <v>45922.0</v>
      </c>
      <c r="B1507" s="63" t="s">
        <v>27</v>
      </c>
      <c r="C1507" s="79"/>
      <c r="D1507" s="80">
        <v>600.0</v>
      </c>
      <c r="E1507" s="66" t="s">
        <v>28</v>
      </c>
      <c r="F1507" s="67" t="s">
        <v>1002</v>
      </c>
      <c r="G1507" s="68">
        <v>20.0</v>
      </c>
      <c r="H1507" s="69">
        <f t="shared" si="82"/>
        <v>100</v>
      </c>
      <c r="I1507" s="76" t="s">
        <v>61</v>
      </c>
      <c r="J1507" s="87" t="s">
        <v>942</v>
      </c>
      <c r="K1507" s="95"/>
      <c r="L1507" s="95"/>
      <c r="M1507" s="95"/>
      <c r="N1507" s="72"/>
      <c r="O1507" s="83" t="s">
        <v>943</v>
      </c>
      <c r="P1507" s="74"/>
      <c r="Q1507" s="74"/>
      <c r="R1507" s="74"/>
      <c r="S1507" s="74"/>
      <c r="T1507" s="74"/>
      <c r="U1507" s="74"/>
      <c r="V1507" s="74"/>
      <c r="W1507" s="74"/>
      <c r="X1507" s="74"/>
      <c r="Y1507" s="74"/>
      <c r="Z1507" s="74"/>
      <c r="AA1507" s="74"/>
      <c r="AB1507" s="74"/>
      <c r="AC1507" s="74"/>
      <c r="AD1507" s="74"/>
      <c r="AE1507" s="74"/>
      <c r="AF1507" s="74"/>
      <c r="AG1507" s="74"/>
    </row>
    <row r="1508" ht="22.5" customHeight="1">
      <c r="A1508" s="86">
        <v>45922.0</v>
      </c>
      <c r="B1508" s="63" t="s">
        <v>27</v>
      </c>
      <c r="C1508" s="79"/>
      <c r="D1508" s="80">
        <v>60000.0</v>
      </c>
      <c r="E1508" s="66" t="s">
        <v>28</v>
      </c>
      <c r="F1508" s="67" t="s">
        <v>1002</v>
      </c>
      <c r="G1508" s="68">
        <v>20.0</v>
      </c>
      <c r="H1508" s="69">
        <f t="shared" si="82"/>
        <v>10000</v>
      </c>
      <c r="I1508" s="76" t="s">
        <v>61</v>
      </c>
      <c r="J1508" s="87" t="s">
        <v>942</v>
      </c>
      <c r="K1508" s="95"/>
      <c r="L1508" s="95"/>
      <c r="M1508" s="95"/>
      <c r="N1508" s="153"/>
      <c r="O1508" s="83" t="s">
        <v>943</v>
      </c>
      <c r="P1508" s="74"/>
      <c r="Q1508" s="74"/>
      <c r="R1508" s="74"/>
      <c r="S1508" s="74"/>
      <c r="T1508" s="74"/>
      <c r="U1508" s="74"/>
      <c r="V1508" s="74"/>
      <c r="W1508" s="74"/>
      <c r="X1508" s="74"/>
      <c r="Y1508" s="74"/>
      <c r="Z1508" s="74"/>
      <c r="AA1508" s="74"/>
      <c r="AB1508" s="74"/>
      <c r="AC1508" s="74"/>
      <c r="AD1508" s="74"/>
      <c r="AE1508" s="74"/>
      <c r="AF1508" s="74"/>
      <c r="AG1508" s="74"/>
    </row>
    <row r="1509" ht="22.5" customHeight="1">
      <c r="A1509" s="86">
        <v>45922.0</v>
      </c>
      <c r="B1509" s="63" t="s">
        <v>27</v>
      </c>
      <c r="C1509" s="79"/>
      <c r="D1509" s="80">
        <v>5272215.63</v>
      </c>
      <c r="E1509" s="66" t="s">
        <v>28</v>
      </c>
      <c r="F1509" s="84" t="s">
        <v>800</v>
      </c>
      <c r="G1509" s="68">
        <v>20.0</v>
      </c>
      <c r="H1509" s="69">
        <f t="shared" si="82"/>
        <v>878702.605</v>
      </c>
      <c r="I1509" s="76" t="s">
        <v>101</v>
      </c>
      <c r="J1509" s="100" t="s">
        <v>102</v>
      </c>
      <c r="K1509" s="95"/>
      <c r="L1509" s="95"/>
      <c r="M1509" s="95"/>
      <c r="N1509" s="72"/>
      <c r="O1509" s="140" t="s">
        <v>1171</v>
      </c>
      <c r="P1509" s="74"/>
      <c r="Q1509" s="74"/>
      <c r="R1509" s="74"/>
      <c r="S1509" s="74"/>
      <c r="T1509" s="74"/>
      <c r="U1509" s="74"/>
      <c r="V1509" s="74"/>
      <c r="W1509" s="74"/>
      <c r="X1509" s="74"/>
      <c r="Y1509" s="74"/>
      <c r="Z1509" s="74"/>
      <c r="AA1509" s="74"/>
      <c r="AB1509" s="74"/>
      <c r="AC1509" s="74"/>
      <c r="AD1509" s="74"/>
      <c r="AE1509" s="74"/>
      <c r="AF1509" s="74"/>
      <c r="AG1509" s="74"/>
    </row>
    <row r="1510" ht="22.5" customHeight="1">
      <c r="A1510" s="86">
        <v>45922.0</v>
      </c>
      <c r="B1510" s="63" t="s">
        <v>27</v>
      </c>
      <c r="C1510" s="79"/>
      <c r="D1510" s="80">
        <v>8500.0</v>
      </c>
      <c r="E1510" s="66" t="s">
        <v>33</v>
      </c>
      <c r="F1510" s="67" t="s">
        <v>494</v>
      </c>
      <c r="G1510" s="68">
        <v>0.0</v>
      </c>
      <c r="H1510" s="69">
        <f t="shared" si="82"/>
        <v>0</v>
      </c>
      <c r="I1510" s="76" t="s">
        <v>495</v>
      </c>
      <c r="J1510" s="98" t="s">
        <v>848</v>
      </c>
      <c r="K1510" s="95"/>
      <c r="L1510" s="95"/>
      <c r="M1510" s="95"/>
      <c r="N1510" s="72"/>
      <c r="O1510" s="96"/>
      <c r="P1510" s="74"/>
      <c r="Q1510" s="74"/>
      <c r="R1510" s="74"/>
      <c r="S1510" s="74"/>
      <c r="T1510" s="74"/>
      <c r="U1510" s="74"/>
      <c r="V1510" s="74"/>
      <c r="W1510" s="74"/>
      <c r="X1510" s="74"/>
      <c r="Y1510" s="74"/>
      <c r="Z1510" s="74"/>
      <c r="AA1510" s="74"/>
      <c r="AB1510" s="74"/>
      <c r="AC1510" s="74"/>
      <c r="AD1510" s="74"/>
      <c r="AE1510" s="74"/>
      <c r="AF1510" s="74"/>
      <c r="AG1510" s="74"/>
    </row>
    <row r="1511" ht="22.5" customHeight="1">
      <c r="A1511" s="86">
        <v>45923.0</v>
      </c>
      <c r="B1511" s="63" t="s">
        <v>27</v>
      </c>
      <c r="C1511" s="79"/>
      <c r="D1511" s="80">
        <v>33000.0</v>
      </c>
      <c r="E1511" s="66" t="s">
        <v>28</v>
      </c>
      <c r="F1511" s="67" t="s">
        <v>1099</v>
      </c>
      <c r="G1511" s="68">
        <v>20.0</v>
      </c>
      <c r="H1511" s="69">
        <f t="shared" si="82"/>
        <v>5500</v>
      </c>
      <c r="I1511" s="76" t="s">
        <v>61</v>
      </c>
      <c r="J1511" s="87" t="s">
        <v>942</v>
      </c>
      <c r="K1511" s="95"/>
      <c r="L1511" s="95"/>
      <c r="M1511" s="95"/>
      <c r="N1511" s="72"/>
      <c r="O1511" s="83" t="s">
        <v>943</v>
      </c>
      <c r="P1511" s="74"/>
      <c r="Q1511" s="74"/>
      <c r="R1511" s="74"/>
      <c r="S1511" s="74"/>
      <c r="T1511" s="74"/>
      <c r="U1511" s="74"/>
      <c r="V1511" s="74"/>
      <c r="W1511" s="74"/>
      <c r="X1511" s="74"/>
      <c r="Y1511" s="74"/>
      <c r="Z1511" s="74"/>
      <c r="AA1511" s="74"/>
      <c r="AB1511" s="74"/>
      <c r="AC1511" s="74"/>
      <c r="AD1511" s="74"/>
      <c r="AE1511" s="74"/>
      <c r="AF1511" s="74"/>
      <c r="AG1511" s="74"/>
    </row>
    <row r="1512" ht="22.5" customHeight="1">
      <c r="A1512" s="86">
        <v>45923.0</v>
      </c>
      <c r="B1512" s="63" t="s">
        <v>27</v>
      </c>
      <c r="C1512" s="79"/>
      <c r="D1512" s="80">
        <v>28800.0</v>
      </c>
      <c r="E1512" s="66" t="s">
        <v>28</v>
      </c>
      <c r="F1512" s="67" t="s">
        <v>1099</v>
      </c>
      <c r="G1512" s="68">
        <v>20.0</v>
      </c>
      <c r="H1512" s="69">
        <f t="shared" si="82"/>
        <v>4800</v>
      </c>
      <c r="I1512" s="76" t="s">
        <v>61</v>
      </c>
      <c r="J1512" s="87" t="s">
        <v>942</v>
      </c>
      <c r="K1512" s="95"/>
      <c r="L1512" s="95"/>
      <c r="M1512" s="95"/>
      <c r="N1512" s="153"/>
      <c r="O1512" s="83" t="s">
        <v>943</v>
      </c>
      <c r="P1512" s="74"/>
      <c r="Q1512" s="74"/>
      <c r="R1512" s="74"/>
      <c r="S1512" s="74"/>
      <c r="T1512" s="74"/>
      <c r="U1512" s="74"/>
      <c r="V1512" s="74"/>
      <c r="W1512" s="74"/>
      <c r="X1512" s="74"/>
      <c r="Y1512" s="74"/>
      <c r="Z1512" s="74"/>
      <c r="AA1512" s="74"/>
      <c r="AB1512" s="74"/>
      <c r="AC1512" s="74"/>
      <c r="AD1512" s="74"/>
      <c r="AE1512" s="74"/>
      <c r="AF1512" s="74"/>
      <c r="AG1512" s="74"/>
    </row>
    <row r="1513" ht="22.5" customHeight="1">
      <c r="A1513" s="86">
        <v>45923.0</v>
      </c>
      <c r="B1513" s="63" t="s">
        <v>27</v>
      </c>
      <c r="C1513" s="79"/>
      <c r="D1513" s="80">
        <v>18600.0</v>
      </c>
      <c r="E1513" s="66" t="s">
        <v>28</v>
      </c>
      <c r="F1513" s="67" t="s">
        <v>1099</v>
      </c>
      <c r="G1513" s="68">
        <v>20.0</v>
      </c>
      <c r="H1513" s="69">
        <f t="shared" si="82"/>
        <v>3100</v>
      </c>
      <c r="I1513" s="76" t="s">
        <v>61</v>
      </c>
      <c r="J1513" s="87" t="s">
        <v>942</v>
      </c>
      <c r="K1513" s="95"/>
      <c r="L1513" s="95"/>
      <c r="M1513" s="95"/>
      <c r="N1513" s="153"/>
      <c r="O1513" s="83" t="s">
        <v>943</v>
      </c>
      <c r="P1513" s="74"/>
      <c r="Q1513" s="74"/>
      <c r="R1513" s="74"/>
      <c r="S1513" s="74"/>
      <c r="T1513" s="74"/>
      <c r="U1513" s="74"/>
      <c r="V1513" s="74"/>
      <c r="W1513" s="74"/>
      <c r="X1513" s="74"/>
      <c r="Y1513" s="74"/>
      <c r="Z1513" s="74"/>
      <c r="AA1513" s="74"/>
      <c r="AB1513" s="74"/>
      <c r="AC1513" s="74"/>
      <c r="AD1513" s="74"/>
      <c r="AE1513" s="74"/>
      <c r="AF1513" s="74"/>
      <c r="AG1513" s="74"/>
    </row>
    <row r="1514" ht="22.5" customHeight="1">
      <c r="A1514" s="86">
        <v>45924.0</v>
      </c>
      <c r="B1514" s="63" t="s">
        <v>27</v>
      </c>
      <c r="C1514" s="80">
        <v>348000.0</v>
      </c>
      <c r="D1514" s="80"/>
      <c r="E1514" s="66" t="s">
        <v>28</v>
      </c>
      <c r="F1514" s="84" t="s">
        <v>897</v>
      </c>
      <c r="G1514" s="68">
        <v>20.0</v>
      </c>
      <c r="H1514" s="69">
        <f t="shared" si="82"/>
        <v>58000</v>
      </c>
      <c r="I1514" s="76" t="s">
        <v>37</v>
      </c>
      <c r="J1514" s="87" t="s">
        <v>1139</v>
      </c>
      <c r="K1514" s="82" t="s">
        <v>1172</v>
      </c>
      <c r="L1514" s="82">
        <v>280.0</v>
      </c>
      <c r="M1514" s="128">
        <v>45853.0</v>
      </c>
      <c r="N1514" s="153">
        <f>TODAY()-M1514-60</f>
        <v>275</v>
      </c>
      <c r="O1514" s="96"/>
      <c r="P1514" s="74"/>
      <c r="Q1514" s="74"/>
      <c r="R1514" s="74"/>
      <c r="S1514" s="74"/>
      <c r="T1514" s="74"/>
      <c r="U1514" s="74"/>
      <c r="V1514" s="74"/>
      <c r="W1514" s="74"/>
      <c r="X1514" s="74"/>
      <c r="Y1514" s="74"/>
      <c r="Z1514" s="74"/>
      <c r="AA1514" s="74"/>
      <c r="AB1514" s="74"/>
      <c r="AC1514" s="74"/>
      <c r="AD1514" s="74"/>
      <c r="AE1514" s="74"/>
      <c r="AF1514" s="74"/>
      <c r="AG1514" s="74"/>
    </row>
    <row r="1515" ht="22.5" customHeight="1">
      <c r="A1515" s="86">
        <v>45925.0</v>
      </c>
      <c r="B1515" s="63" t="s">
        <v>27</v>
      </c>
      <c r="C1515" s="79"/>
      <c r="D1515" s="80">
        <v>8500.0</v>
      </c>
      <c r="E1515" s="66" t="s">
        <v>33</v>
      </c>
      <c r="F1515" s="67" t="s">
        <v>1099</v>
      </c>
      <c r="G1515" s="68">
        <v>0.0</v>
      </c>
      <c r="H1515" s="69">
        <f t="shared" si="82"/>
        <v>0</v>
      </c>
      <c r="I1515" s="76" t="s">
        <v>383</v>
      </c>
      <c r="J1515" s="81"/>
      <c r="K1515" s="95"/>
      <c r="L1515" s="95"/>
      <c r="M1515" s="95"/>
      <c r="N1515" s="153"/>
      <c r="O1515" s="96"/>
      <c r="P1515" s="74"/>
      <c r="Q1515" s="74"/>
      <c r="R1515" s="74"/>
      <c r="S1515" s="74"/>
      <c r="T1515" s="74"/>
      <c r="U1515" s="74"/>
      <c r="V1515" s="74"/>
      <c r="W1515" s="74"/>
      <c r="X1515" s="74"/>
      <c r="Y1515" s="74"/>
      <c r="Z1515" s="74"/>
      <c r="AA1515" s="74"/>
      <c r="AB1515" s="74"/>
      <c r="AC1515" s="74"/>
      <c r="AD1515" s="74"/>
      <c r="AE1515" s="74"/>
      <c r="AF1515" s="74"/>
      <c r="AG1515" s="74"/>
    </row>
    <row r="1516" ht="22.5" customHeight="1">
      <c r="A1516" s="86">
        <v>45925.0</v>
      </c>
      <c r="B1516" s="63" t="s">
        <v>27</v>
      </c>
      <c r="C1516" s="79"/>
      <c r="D1516" s="80">
        <f>71554.53+11655.36+288.8+772229.18</f>
        <v>855727.87</v>
      </c>
      <c r="E1516" s="66" t="s">
        <v>28</v>
      </c>
      <c r="F1516" s="67" t="s">
        <v>203</v>
      </c>
      <c r="G1516" s="68">
        <v>0.0</v>
      </c>
      <c r="H1516" s="69">
        <f t="shared" si="82"/>
        <v>0</v>
      </c>
      <c r="I1516" s="76" t="s">
        <v>280</v>
      </c>
      <c r="J1516" s="98" t="s">
        <v>427</v>
      </c>
      <c r="K1516" s="95"/>
      <c r="L1516" s="95"/>
      <c r="M1516" s="95"/>
      <c r="N1516" s="72"/>
      <c r="O1516" s="96"/>
      <c r="P1516" s="74"/>
      <c r="Q1516" s="74"/>
      <c r="R1516" s="74"/>
      <c r="S1516" s="74"/>
      <c r="T1516" s="74"/>
      <c r="U1516" s="74"/>
      <c r="V1516" s="74"/>
      <c r="W1516" s="74"/>
      <c r="X1516" s="74"/>
      <c r="Y1516" s="74"/>
      <c r="Z1516" s="74"/>
      <c r="AA1516" s="74"/>
      <c r="AB1516" s="74"/>
      <c r="AC1516" s="74"/>
      <c r="AD1516" s="74"/>
      <c r="AE1516" s="74"/>
      <c r="AF1516" s="74"/>
      <c r="AG1516" s="74"/>
    </row>
    <row r="1517" ht="22.5" customHeight="1">
      <c r="A1517" s="86">
        <v>45925.0</v>
      </c>
      <c r="B1517" s="63" t="s">
        <v>27</v>
      </c>
      <c r="C1517" s="79"/>
      <c r="D1517" s="80">
        <v>100000.0</v>
      </c>
      <c r="E1517" s="66" t="s">
        <v>28</v>
      </c>
      <c r="F1517" s="67" t="s">
        <v>1099</v>
      </c>
      <c r="G1517" s="68">
        <v>0.0</v>
      </c>
      <c r="H1517" s="69">
        <f t="shared" si="82"/>
        <v>0</v>
      </c>
      <c r="I1517" s="76" t="s">
        <v>504</v>
      </c>
      <c r="J1517" s="98" t="s">
        <v>505</v>
      </c>
      <c r="K1517" s="95"/>
      <c r="L1517" s="95"/>
      <c r="M1517" s="95"/>
      <c r="N1517" s="72"/>
      <c r="O1517" s="9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</row>
    <row r="1518" ht="22.5" customHeight="1">
      <c r="A1518" s="86">
        <v>45929.0</v>
      </c>
      <c r="B1518" s="63" t="s">
        <v>27</v>
      </c>
      <c r="C1518" s="80">
        <v>263999.97</v>
      </c>
      <c r="D1518" s="79"/>
      <c r="E1518" s="66" t="s">
        <v>28</v>
      </c>
      <c r="F1518" s="84" t="s">
        <v>722</v>
      </c>
      <c r="G1518" s="68">
        <v>20.0</v>
      </c>
      <c r="H1518" s="69">
        <f t="shared" si="82"/>
        <v>43999.995</v>
      </c>
      <c r="I1518" s="76" t="s">
        <v>37</v>
      </c>
      <c r="J1518" s="87" t="s">
        <v>944</v>
      </c>
      <c r="K1518" s="82" t="s">
        <v>888</v>
      </c>
      <c r="L1518" s="82">
        <v>202.0</v>
      </c>
      <c r="M1518" s="128">
        <v>45797.0</v>
      </c>
      <c r="N1518" s="72">
        <f t="shared" ref="N1518:N1520" si="92">TODAY()-M1518-120</f>
        <v>271</v>
      </c>
      <c r="O1518" s="96"/>
      <c r="P1518" s="74"/>
      <c r="Q1518" s="74"/>
      <c r="R1518" s="74"/>
      <c r="S1518" s="74"/>
      <c r="T1518" s="74"/>
      <c r="U1518" s="74"/>
      <c r="V1518" s="74"/>
      <c r="W1518" s="74"/>
      <c r="X1518" s="74"/>
      <c r="Y1518" s="74"/>
      <c r="Z1518" s="74"/>
      <c r="AA1518" s="74"/>
      <c r="AB1518" s="74"/>
      <c r="AC1518" s="74"/>
      <c r="AD1518" s="74"/>
      <c r="AE1518" s="74"/>
      <c r="AF1518" s="74"/>
      <c r="AG1518" s="74"/>
    </row>
    <row r="1519" ht="22.5" customHeight="1">
      <c r="A1519" s="86">
        <v>45929.0</v>
      </c>
      <c r="B1519" s="63" t="s">
        <v>27</v>
      </c>
      <c r="C1519" s="80">
        <v>329999.9</v>
      </c>
      <c r="D1519" s="79"/>
      <c r="E1519" s="66" t="s">
        <v>28</v>
      </c>
      <c r="F1519" s="84" t="s">
        <v>722</v>
      </c>
      <c r="G1519" s="68">
        <v>20.0</v>
      </c>
      <c r="H1519" s="69">
        <f t="shared" si="82"/>
        <v>54999.98333</v>
      </c>
      <c r="I1519" s="76" t="s">
        <v>37</v>
      </c>
      <c r="J1519" s="87" t="s">
        <v>944</v>
      </c>
      <c r="K1519" s="82" t="s">
        <v>888</v>
      </c>
      <c r="L1519" s="82">
        <v>203.0</v>
      </c>
      <c r="M1519" s="128">
        <v>45797.0</v>
      </c>
      <c r="N1519" s="72">
        <f t="shared" si="92"/>
        <v>271</v>
      </c>
      <c r="O1519" s="96"/>
      <c r="P1519" s="74"/>
      <c r="Q1519" s="74"/>
      <c r="R1519" s="74"/>
      <c r="S1519" s="74"/>
      <c r="T1519" s="74"/>
      <c r="U1519" s="74"/>
      <c r="V1519" s="74"/>
      <c r="W1519" s="74"/>
      <c r="X1519" s="74"/>
      <c r="Y1519" s="74"/>
      <c r="Z1519" s="74"/>
      <c r="AA1519" s="74"/>
      <c r="AB1519" s="74"/>
      <c r="AC1519" s="74"/>
      <c r="AD1519" s="74"/>
      <c r="AE1519" s="74"/>
      <c r="AF1519" s="74"/>
      <c r="AG1519" s="74"/>
    </row>
    <row r="1520" ht="22.5" customHeight="1">
      <c r="A1520" s="86">
        <v>45929.0</v>
      </c>
      <c r="B1520" s="63" t="s">
        <v>27</v>
      </c>
      <c r="C1520" s="80">
        <v>133320.0</v>
      </c>
      <c r="D1520" s="79"/>
      <c r="E1520" s="66" t="s">
        <v>28</v>
      </c>
      <c r="F1520" s="84" t="s">
        <v>722</v>
      </c>
      <c r="G1520" s="68">
        <v>20.0</v>
      </c>
      <c r="H1520" s="69">
        <f t="shared" si="82"/>
        <v>22220</v>
      </c>
      <c r="I1520" s="76" t="s">
        <v>37</v>
      </c>
      <c r="J1520" s="87" t="s">
        <v>944</v>
      </c>
      <c r="K1520" s="82" t="s">
        <v>888</v>
      </c>
      <c r="L1520" s="82">
        <v>204.0</v>
      </c>
      <c r="M1520" s="128">
        <v>45797.0</v>
      </c>
      <c r="N1520" s="72">
        <f t="shared" si="92"/>
        <v>271</v>
      </c>
      <c r="O1520" s="96"/>
      <c r="P1520" s="74"/>
      <c r="Q1520" s="74"/>
      <c r="R1520" s="74"/>
      <c r="S1520" s="74"/>
      <c r="T1520" s="74"/>
      <c r="U1520" s="74"/>
      <c r="V1520" s="74"/>
      <c r="W1520" s="74"/>
      <c r="X1520" s="74"/>
      <c r="Y1520" s="74"/>
      <c r="Z1520" s="74"/>
      <c r="AA1520" s="74"/>
      <c r="AB1520" s="74"/>
      <c r="AC1520" s="74"/>
      <c r="AD1520" s="74"/>
      <c r="AE1520" s="74"/>
      <c r="AF1520" s="74"/>
      <c r="AG1520" s="74"/>
    </row>
    <row r="1521" ht="22.5" customHeight="1">
      <c r="A1521" s="86">
        <v>45929.0</v>
      </c>
      <c r="B1521" s="63" t="s">
        <v>27</v>
      </c>
      <c r="C1521" s="79"/>
      <c r="D1521" s="79">
        <f>1560133</f>
        <v>1560133</v>
      </c>
      <c r="E1521" s="66" t="s">
        <v>28</v>
      </c>
      <c r="F1521" s="67" t="s">
        <v>1099</v>
      </c>
      <c r="G1521" s="68">
        <v>0.0</v>
      </c>
      <c r="H1521" s="69">
        <f t="shared" si="82"/>
        <v>0</v>
      </c>
      <c r="I1521" s="94" t="s">
        <v>598</v>
      </c>
      <c r="J1521" s="98" t="s">
        <v>1173</v>
      </c>
      <c r="K1521" s="95"/>
      <c r="L1521" s="95"/>
      <c r="M1521" s="95"/>
      <c r="N1521" s="72"/>
      <c r="O1521" s="96"/>
      <c r="P1521" s="74"/>
      <c r="Q1521" s="74"/>
      <c r="R1521" s="74"/>
      <c r="S1521" s="74"/>
      <c r="T1521" s="74"/>
      <c r="U1521" s="74"/>
      <c r="V1521" s="74"/>
      <c r="W1521" s="74"/>
      <c r="X1521" s="74"/>
      <c r="Y1521" s="74"/>
      <c r="Z1521" s="74"/>
      <c r="AA1521" s="74"/>
      <c r="AB1521" s="74"/>
      <c r="AC1521" s="74"/>
      <c r="AD1521" s="74"/>
      <c r="AE1521" s="74"/>
      <c r="AF1521" s="74"/>
      <c r="AG1521" s="74"/>
    </row>
    <row r="1522" ht="22.5" customHeight="1">
      <c r="A1522" s="86">
        <v>45929.0</v>
      </c>
      <c r="B1522" s="63" t="s">
        <v>27</v>
      </c>
      <c r="C1522" s="79"/>
      <c r="D1522" s="80">
        <v>2632127.0</v>
      </c>
      <c r="E1522" s="66" t="s">
        <v>28</v>
      </c>
      <c r="F1522" s="67" t="s">
        <v>1099</v>
      </c>
      <c r="G1522" s="68">
        <v>0.0</v>
      </c>
      <c r="H1522" s="69">
        <f t="shared" si="82"/>
        <v>0</v>
      </c>
      <c r="I1522" s="94" t="s">
        <v>623</v>
      </c>
      <c r="J1522" s="98" t="s">
        <v>18</v>
      </c>
      <c r="K1522" s="95"/>
      <c r="L1522" s="95"/>
      <c r="M1522" s="95"/>
      <c r="N1522" s="72"/>
      <c r="O1522" s="96"/>
      <c r="P1522" s="74"/>
      <c r="Q1522" s="74"/>
      <c r="R1522" s="74"/>
      <c r="S1522" s="74"/>
      <c r="T1522" s="74"/>
      <c r="U1522" s="74"/>
      <c r="V1522" s="74"/>
      <c r="W1522" s="74"/>
      <c r="X1522" s="74"/>
      <c r="Y1522" s="74"/>
      <c r="Z1522" s="74"/>
      <c r="AA1522" s="74"/>
      <c r="AB1522" s="74"/>
      <c r="AC1522" s="74"/>
      <c r="AD1522" s="74"/>
      <c r="AE1522" s="74"/>
      <c r="AF1522" s="74"/>
      <c r="AG1522" s="74"/>
    </row>
    <row r="1523" ht="22.5" customHeight="1">
      <c r="A1523" s="86">
        <v>45929.0</v>
      </c>
      <c r="B1523" s="63" t="s">
        <v>27</v>
      </c>
      <c r="C1523" s="79"/>
      <c r="D1523" s="80">
        <v>179431.0</v>
      </c>
      <c r="E1523" s="66" t="s">
        <v>28</v>
      </c>
      <c r="F1523" s="67" t="s">
        <v>1099</v>
      </c>
      <c r="G1523" s="68">
        <v>0.0</v>
      </c>
      <c r="H1523" s="69">
        <f t="shared" si="82"/>
        <v>0</v>
      </c>
      <c r="I1523" s="94" t="s">
        <v>599</v>
      </c>
      <c r="J1523" s="98" t="s">
        <v>1011</v>
      </c>
      <c r="K1523" s="95"/>
      <c r="L1523" s="95"/>
      <c r="M1523" s="95"/>
      <c r="N1523" s="72"/>
      <c r="O1523" s="96"/>
      <c r="P1523" s="74"/>
      <c r="Q1523" s="74"/>
      <c r="R1523" s="74"/>
      <c r="S1523" s="74"/>
      <c r="T1523" s="74"/>
      <c r="U1523" s="74"/>
      <c r="V1523" s="74"/>
      <c r="W1523" s="74"/>
      <c r="X1523" s="74"/>
      <c r="Y1523" s="74"/>
      <c r="Z1523" s="74"/>
      <c r="AA1523" s="74"/>
      <c r="AB1523" s="74"/>
      <c r="AC1523" s="74"/>
      <c r="AD1523" s="74"/>
      <c r="AE1523" s="74"/>
      <c r="AF1523" s="74"/>
      <c r="AG1523" s="74"/>
    </row>
    <row r="1524" ht="22.5" customHeight="1">
      <c r="A1524" s="86">
        <v>45929.0</v>
      </c>
      <c r="B1524" s="63" t="s">
        <v>27</v>
      </c>
      <c r="C1524" s="79"/>
      <c r="D1524" s="80">
        <v>425861.14</v>
      </c>
      <c r="E1524" s="66" t="s">
        <v>28</v>
      </c>
      <c r="F1524" s="67" t="s">
        <v>1099</v>
      </c>
      <c r="G1524" s="68">
        <v>0.0</v>
      </c>
      <c r="H1524" s="69">
        <f t="shared" si="82"/>
        <v>0</v>
      </c>
      <c r="I1524" s="94" t="s">
        <v>622</v>
      </c>
      <c r="J1524" s="98" t="s">
        <v>1010</v>
      </c>
      <c r="K1524" s="95"/>
      <c r="L1524" s="95"/>
      <c r="M1524" s="95"/>
      <c r="N1524" s="72"/>
      <c r="O1524" s="96"/>
      <c r="P1524" s="74"/>
      <c r="Q1524" s="74"/>
      <c r="R1524" s="74"/>
      <c r="S1524" s="74"/>
      <c r="T1524" s="74"/>
      <c r="U1524" s="74"/>
      <c r="V1524" s="74"/>
      <c r="W1524" s="74"/>
      <c r="X1524" s="74"/>
      <c r="Y1524" s="74"/>
      <c r="Z1524" s="74"/>
      <c r="AA1524" s="74"/>
      <c r="AB1524" s="74"/>
      <c r="AC1524" s="74"/>
      <c r="AD1524" s="74"/>
      <c r="AE1524" s="74"/>
      <c r="AF1524" s="74"/>
      <c r="AG1524" s="74"/>
    </row>
    <row r="1525" ht="22.5" customHeight="1">
      <c r="A1525" s="86">
        <v>45929.0</v>
      </c>
      <c r="B1525" s="63" t="s">
        <v>27</v>
      </c>
      <c r="C1525" s="79"/>
      <c r="D1525" s="80">
        <v>50000.0</v>
      </c>
      <c r="E1525" s="66" t="s">
        <v>33</v>
      </c>
      <c r="F1525" s="67" t="s">
        <v>1099</v>
      </c>
      <c r="G1525" s="68">
        <v>0.0</v>
      </c>
      <c r="H1525" s="69">
        <f t="shared" si="82"/>
        <v>0</v>
      </c>
      <c r="I1525" s="76" t="s">
        <v>53</v>
      </c>
      <c r="J1525" s="98" t="s">
        <v>128</v>
      </c>
      <c r="K1525" s="95"/>
      <c r="L1525" s="95"/>
      <c r="M1525" s="95"/>
      <c r="N1525" s="72"/>
      <c r="O1525" s="96"/>
      <c r="P1525" s="74"/>
      <c r="Q1525" s="74"/>
      <c r="R1525" s="74"/>
      <c r="S1525" s="74"/>
      <c r="T1525" s="74"/>
      <c r="U1525" s="74"/>
      <c r="V1525" s="74"/>
      <c r="W1525" s="74"/>
      <c r="X1525" s="74"/>
      <c r="Y1525" s="74"/>
      <c r="Z1525" s="74"/>
      <c r="AA1525" s="74"/>
      <c r="AB1525" s="74"/>
      <c r="AC1525" s="74"/>
      <c r="AD1525" s="74"/>
      <c r="AE1525" s="74"/>
      <c r="AF1525" s="74"/>
      <c r="AG1525" s="74"/>
    </row>
    <row r="1526" ht="22.5" customHeight="1">
      <c r="A1526" s="86">
        <v>45929.0</v>
      </c>
      <c r="B1526" s="63" t="s">
        <v>27</v>
      </c>
      <c r="C1526" s="79"/>
      <c r="D1526" s="80">
        <v>1150000.0</v>
      </c>
      <c r="E1526" s="66" t="s">
        <v>376</v>
      </c>
      <c r="F1526" s="67" t="s">
        <v>1099</v>
      </c>
      <c r="G1526" s="68">
        <v>0.0</v>
      </c>
      <c r="H1526" s="69">
        <f t="shared" si="82"/>
        <v>0</v>
      </c>
      <c r="I1526" s="76" t="s">
        <v>47</v>
      </c>
      <c r="J1526" s="81"/>
      <c r="K1526" s="95"/>
      <c r="L1526" s="95"/>
      <c r="M1526" s="95"/>
      <c r="N1526" s="72"/>
      <c r="O1526" s="9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</row>
    <row r="1527" ht="22.5" customHeight="1">
      <c r="A1527" s="86">
        <v>45929.0</v>
      </c>
      <c r="B1527" s="63" t="s">
        <v>27</v>
      </c>
      <c r="C1527" s="80">
        <v>1150000.0</v>
      </c>
      <c r="D1527" s="79"/>
      <c r="E1527" s="66" t="s">
        <v>28</v>
      </c>
      <c r="F1527" s="67" t="s">
        <v>1099</v>
      </c>
      <c r="G1527" s="68">
        <v>0.0</v>
      </c>
      <c r="H1527" s="69">
        <f t="shared" si="82"/>
        <v>0</v>
      </c>
      <c r="I1527" s="76" t="s">
        <v>47</v>
      </c>
      <c r="J1527" s="81"/>
      <c r="K1527" s="95"/>
      <c r="L1527" s="95"/>
      <c r="M1527" s="95"/>
      <c r="N1527" s="72"/>
      <c r="O1527" s="96"/>
      <c r="P1527" s="74"/>
      <c r="Q1527" s="74"/>
      <c r="R1527" s="74"/>
      <c r="S1527" s="74"/>
      <c r="T1527" s="74"/>
      <c r="U1527" s="74"/>
      <c r="V1527" s="74"/>
      <c r="W1527" s="74"/>
      <c r="X1527" s="74"/>
      <c r="Y1527" s="74"/>
      <c r="Z1527" s="74"/>
      <c r="AA1527" s="74"/>
      <c r="AB1527" s="74"/>
      <c r="AC1527" s="74"/>
      <c r="AD1527" s="74"/>
      <c r="AE1527" s="74"/>
      <c r="AF1527" s="74"/>
      <c r="AG1527" s="74"/>
    </row>
    <row r="1528" ht="22.5" customHeight="1">
      <c r="A1528" s="86">
        <v>45931.0</v>
      </c>
      <c r="B1528" s="63" t="s">
        <v>27</v>
      </c>
      <c r="C1528" s="79"/>
      <c r="D1528" s="79">
        <f>79*96</f>
        <v>7584</v>
      </c>
      <c r="E1528" s="66" t="s">
        <v>28</v>
      </c>
      <c r="F1528" s="84" t="s">
        <v>1160</v>
      </c>
      <c r="G1528" s="69">
        <v>0.0</v>
      </c>
      <c r="H1528" s="69">
        <f t="shared" si="82"/>
        <v>0</v>
      </c>
      <c r="I1528" s="76" t="s">
        <v>294</v>
      </c>
      <c r="J1528" s="87" t="s">
        <v>719</v>
      </c>
      <c r="K1528" s="95"/>
      <c r="L1528" s="95"/>
      <c r="M1528" s="95"/>
      <c r="N1528" s="72"/>
      <c r="O1528" s="83" t="s">
        <v>1174</v>
      </c>
      <c r="P1528" s="74"/>
      <c r="Q1528" s="74"/>
      <c r="R1528" s="74"/>
      <c r="S1528" s="74"/>
      <c r="T1528" s="74"/>
      <c r="U1528" s="74"/>
      <c r="V1528" s="74"/>
      <c r="W1528" s="74"/>
      <c r="X1528" s="74"/>
      <c r="Y1528" s="74"/>
      <c r="Z1528" s="74"/>
      <c r="AA1528" s="74"/>
      <c r="AB1528" s="74"/>
      <c r="AC1528" s="74"/>
      <c r="AD1528" s="74"/>
      <c r="AE1528" s="74"/>
      <c r="AF1528" s="74"/>
      <c r="AG1528" s="74"/>
    </row>
    <row r="1529" ht="22.5" customHeight="1">
      <c r="A1529" s="86">
        <v>45933.0</v>
      </c>
      <c r="B1529" s="63" t="s">
        <v>27</v>
      </c>
      <c r="C1529" s="79"/>
      <c r="D1529" s="80">
        <v>15000.0</v>
      </c>
      <c r="E1529" s="66" t="s">
        <v>33</v>
      </c>
      <c r="F1529" s="67" t="s">
        <v>591</v>
      </c>
      <c r="G1529" s="68">
        <v>0.0</v>
      </c>
      <c r="H1529" s="69">
        <f t="shared" si="82"/>
        <v>0</v>
      </c>
      <c r="I1529" s="76" t="s">
        <v>53</v>
      </c>
      <c r="J1529" s="98" t="s">
        <v>1175</v>
      </c>
      <c r="K1529" s="95"/>
      <c r="L1529" s="95"/>
      <c r="M1529" s="95"/>
      <c r="N1529" s="72"/>
      <c r="O1529" s="96"/>
      <c r="P1529" s="74"/>
      <c r="Q1529" s="74"/>
      <c r="R1529" s="74"/>
      <c r="S1529" s="74"/>
      <c r="T1529" s="74"/>
      <c r="U1529" s="74"/>
      <c r="V1529" s="74"/>
      <c r="W1529" s="74"/>
      <c r="X1529" s="74"/>
      <c r="Y1529" s="74"/>
      <c r="Z1529" s="74"/>
      <c r="AA1529" s="74"/>
      <c r="AB1529" s="74"/>
      <c r="AC1529" s="74"/>
      <c r="AD1529" s="74"/>
      <c r="AE1529" s="74"/>
      <c r="AF1529" s="74"/>
      <c r="AG1529" s="74"/>
    </row>
    <row r="1530" ht="22.5" customHeight="1">
      <c r="A1530" s="86">
        <v>45933.0</v>
      </c>
      <c r="B1530" s="63" t="s">
        <v>27</v>
      </c>
      <c r="C1530" s="79"/>
      <c r="D1530" s="80">
        <v>30000.0</v>
      </c>
      <c r="E1530" s="66" t="s">
        <v>33</v>
      </c>
      <c r="F1530" s="67" t="s">
        <v>591</v>
      </c>
      <c r="G1530" s="68">
        <v>0.0</v>
      </c>
      <c r="H1530" s="69">
        <f t="shared" si="82"/>
        <v>0</v>
      </c>
      <c r="I1530" s="76" t="s">
        <v>53</v>
      </c>
      <c r="J1530" s="98" t="s">
        <v>1176</v>
      </c>
      <c r="K1530" s="95"/>
      <c r="L1530" s="95"/>
      <c r="M1530" s="95"/>
      <c r="N1530" s="72"/>
      <c r="O1530" s="96"/>
      <c r="P1530" s="74"/>
      <c r="Q1530" s="74"/>
      <c r="R1530" s="74"/>
      <c r="S1530" s="74"/>
      <c r="T1530" s="74"/>
      <c r="U1530" s="74"/>
      <c r="V1530" s="74"/>
      <c r="W1530" s="74"/>
      <c r="X1530" s="74"/>
      <c r="Y1530" s="74"/>
      <c r="Z1530" s="74"/>
      <c r="AA1530" s="74"/>
      <c r="AB1530" s="74"/>
      <c r="AC1530" s="74"/>
      <c r="AD1530" s="74"/>
      <c r="AE1530" s="74"/>
      <c r="AF1530" s="74"/>
      <c r="AG1530" s="74"/>
    </row>
    <row r="1531" ht="22.5" customHeight="1">
      <c r="A1531" s="86">
        <v>45935.0</v>
      </c>
      <c r="B1531" s="63" t="s">
        <v>27</v>
      </c>
      <c r="C1531" s="79"/>
      <c r="D1531" s="80">
        <v>30000.0</v>
      </c>
      <c r="E1531" s="66" t="s">
        <v>33</v>
      </c>
      <c r="F1531" s="67" t="s">
        <v>68</v>
      </c>
      <c r="G1531" s="68">
        <v>0.0</v>
      </c>
      <c r="H1531" s="69">
        <f t="shared" si="82"/>
        <v>0</v>
      </c>
      <c r="I1531" s="70" t="s">
        <v>35</v>
      </c>
      <c r="J1531" s="98" t="s">
        <v>1177</v>
      </c>
      <c r="K1531" s="95"/>
      <c r="L1531" s="95"/>
      <c r="M1531" s="95"/>
      <c r="N1531" s="72"/>
      <c r="O1531" s="96"/>
      <c r="P1531" s="74"/>
      <c r="Q1531" s="74"/>
      <c r="R1531" s="74"/>
      <c r="S1531" s="74"/>
      <c r="T1531" s="74"/>
      <c r="U1531" s="74"/>
      <c r="V1531" s="74"/>
      <c r="W1531" s="74"/>
      <c r="X1531" s="74"/>
      <c r="Y1531" s="74"/>
      <c r="Z1531" s="74"/>
      <c r="AA1531" s="74"/>
      <c r="AB1531" s="74"/>
      <c r="AC1531" s="74"/>
      <c r="AD1531" s="74"/>
      <c r="AE1531" s="74"/>
      <c r="AF1531" s="74"/>
      <c r="AG1531" s="74"/>
    </row>
    <row r="1532" ht="22.5" customHeight="1">
      <c r="A1532" s="86">
        <v>45935.0</v>
      </c>
      <c r="B1532" s="63" t="s">
        <v>27</v>
      </c>
      <c r="C1532" s="79"/>
      <c r="D1532" s="80">
        <v>20000.0</v>
      </c>
      <c r="E1532" s="66" t="s">
        <v>33</v>
      </c>
      <c r="F1532" s="67" t="s">
        <v>1099</v>
      </c>
      <c r="G1532" s="68">
        <v>0.0</v>
      </c>
      <c r="H1532" s="69">
        <f t="shared" si="82"/>
        <v>0</v>
      </c>
      <c r="I1532" s="76" t="s">
        <v>53</v>
      </c>
      <c r="J1532" s="98" t="s">
        <v>1178</v>
      </c>
      <c r="K1532" s="95"/>
      <c r="L1532" s="95"/>
      <c r="M1532" s="95"/>
      <c r="N1532" s="153"/>
      <c r="O1532" s="96"/>
      <c r="P1532" s="74"/>
      <c r="Q1532" s="74"/>
      <c r="R1532" s="74"/>
      <c r="S1532" s="74"/>
      <c r="T1532" s="74"/>
      <c r="U1532" s="74"/>
      <c r="V1532" s="74"/>
      <c r="W1532" s="74"/>
      <c r="X1532" s="74"/>
      <c r="Y1532" s="74"/>
      <c r="Z1532" s="74"/>
      <c r="AA1532" s="74"/>
      <c r="AB1532" s="74"/>
      <c r="AC1532" s="74"/>
      <c r="AD1532" s="74"/>
      <c r="AE1532" s="74"/>
      <c r="AF1532" s="74"/>
      <c r="AG1532" s="74"/>
    </row>
    <row r="1533" ht="22.5" customHeight="1">
      <c r="A1533" s="86">
        <v>45935.0</v>
      </c>
      <c r="B1533" s="63" t="s">
        <v>27</v>
      </c>
      <c r="C1533" s="79"/>
      <c r="D1533" s="80">
        <v>8500.0</v>
      </c>
      <c r="E1533" s="66" t="s">
        <v>33</v>
      </c>
      <c r="F1533" s="67" t="s">
        <v>1179</v>
      </c>
      <c r="G1533" s="68">
        <v>0.0</v>
      </c>
      <c r="H1533" s="69">
        <f t="shared" si="82"/>
        <v>0</v>
      </c>
      <c r="I1533" s="76" t="s">
        <v>495</v>
      </c>
      <c r="J1533" s="98" t="s">
        <v>1180</v>
      </c>
      <c r="K1533" s="95"/>
      <c r="L1533" s="95"/>
      <c r="M1533" s="95"/>
      <c r="N1533" s="153"/>
      <c r="O1533" s="96"/>
      <c r="P1533" s="74"/>
      <c r="Q1533" s="74"/>
      <c r="R1533" s="74"/>
      <c r="S1533" s="74"/>
      <c r="T1533" s="74"/>
      <c r="U1533" s="74"/>
      <c r="V1533" s="74"/>
      <c r="W1533" s="74"/>
      <c r="X1533" s="74"/>
      <c r="Y1533" s="74"/>
      <c r="Z1533" s="74"/>
      <c r="AA1533" s="74"/>
      <c r="AB1533" s="74"/>
      <c r="AC1533" s="74"/>
      <c r="AD1533" s="74"/>
      <c r="AE1533" s="74"/>
      <c r="AF1533" s="74"/>
      <c r="AG1533" s="74"/>
    </row>
    <row r="1534" ht="22.5" customHeight="1">
      <c r="A1534" s="86">
        <v>45939.0</v>
      </c>
      <c r="B1534" s="63" t="s">
        <v>27</v>
      </c>
      <c r="C1534" s="79"/>
      <c r="D1534" s="80">
        <v>40000.0</v>
      </c>
      <c r="E1534" s="66" t="s">
        <v>33</v>
      </c>
      <c r="F1534" s="67" t="s">
        <v>1181</v>
      </c>
      <c r="G1534" s="68">
        <v>0.0</v>
      </c>
      <c r="H1534" s="69">
        <f t="shared" si="82"/>
        <v>0</v>
      </c>
      <c r="I1534" s="76" t="s">
        <v>490</v>
      </c>
      <c r="J1534" s="98" t="s">
        <v>1182</v>
      </c>
      <c r="K1534" s="95"/>
      <c r="L1534" s="95"/>
      <c r="M1534" s="95"/>
      <c r="N1534" s="153"/>
      <c r="O1534" s="96"/>
      <c r="P1534" s="74"/>
      <c r="Q1534" s="74"/>
      <c r="R1534" s="74"/>
      <c r="S1534" s="74"/>
      <c r="T1534" s="74"/>
      <c r="U1534" s="74"/>
      <c r="V1534" s="74"/>
      <c r="W1534" s="74"/>
      <c r="X1534" s="74"/>
      <c r="Y1534" s="74"/>
      <c r="Z1534" s="74"/>
      <c r="AA1534" s="74"/>
      <c r="AB1534" s="74"/>
      <c r="AC1534" s="74"/>
      <c r="AD1534" s="74"/>
      <c r="AE1534" s="74"/>
      <c r="AF1534" s="74"/>
      <c r="AG1534" s="74"/>
    </row>
    <row r="1535" ht="22.5" customHeight="1">
      <c r="A1535" s="86">
        <v>45939.0</v>
      </c>
      <c r="B1535" s="63" t="s">
        <v>27</v>
      </c>
      <c r="C1535" s="79"/>
      <c r="D1535" s="80">
        <v>30000.0</v>
      </c>
      <c r="E1535" s="66" t="s">
        <v>33</v>
      </c>
      <c r="F1535" s="67" t="s">
        <v>1099</v>
      </c>
      <c r="G1535" s="68">
        <v>0.0</v>
      </c>
      <c r="H1535" s="69">
        <f t="shared" si="82"/>
        <v>0</v>
      </c>
      <c r="I1535" s="76" t="s">
        <v>53</v>
      </c>
      <c r="J1535" s="98" t="s">
        <v>1143</v>
      </c>
      <c r="K1535" s="95"/>
      <c r="L1535" s="95"/>
      <c r="M1535" s="95"/>
      <c r="N1535" s="153"/>
      <c r="O1535" s="96"/>
      <c r="P1535" s="74"/>
      <c r="Q1535" s="74"/>
      <c r="R1535" s="74"/>
      <c r="S1535" s="74"/>
      <c r="T1535" s="74"/>
      <c r="U1535" s="74"/>
      <c r="V1535" s="74"/>
      <c r="W1535" s="74"/>
      <c r="X1535" s="74"/>
      <c r="Y1535" s="74"/>
      <c r="Z1535" s="74"/>
      <c r="AA1535" s="74"/>
      <c r="AB1535" s="74"/>
      <c r="AC1535" s="74"/>
      <c r="AD1535" s="74"/>
      <c r="AE1535" s="74"/>
      <c r="AF1535" s="74"/>
      <c r="AG1535" s="74"/>
    </row>
    <row r="1536" ht="22.5" customHeight="1">
      <c r="A1536" s="86">
        <v>45939.0</v>
      </c>
      <c r="B1536" s="63" t="s">
        <v>27</v>
      </c>
      <c r="C1536" s="79"/>
      <c r="D1536" s="80">
        <v>10000.0</v>
      </c>
      <c r="E1536" s="66" t="s">
        <v>33</v>
      </c>
      <c r="F1536" s="67" t="s">
        <v>203</v>
      </c>
      <c r="G1536" s="68">
        <v>0.0</v>
      </c>
      <c r="H1536" s="69">
        <f t="shared" si="82"/>
        <v>0</v>
      </c>
      <c r="I1536" s="76" t="s">
        <v>53</v>
      </c>
      <c r="J1536" s="98" t="s">
        <v>1183</v>
      </c>
      <c r="K1536" s="95"/>
      <c r="L1536" s="95"/>
      <c r="M1536" s="95"/>
      <c r="N1536" s="153"/>
      <c r="O1536" s="96"/>
      <c r="P1536" s="74"/>
      <c r="Q1536" s="74"/>
      <c r="R1536" s="74"/>
      <c r="S1536" s="74"/>
      <c r="T1536" s="74"/>
      <c r="U1536" s="74"/>
      <c r="V1536" s="74"/>
      <c r="W1536" s="74"/>
      <c r="X1536" s="74"/>
      <c r="Y1536" s="74"/>
      <c r="Z1536" s="74"/>
      <c r="AA1536" s="74"/>
      <c r="AB1536" s="74"/>
      <c r="AC1536" s="74"/>
      <c r="AD1536" s="74"/>
      <c r="AE1536" s="74"/>
      <c r="AF1536" s="74"/>
      <c r="AG1536" s="74"/>
    </row>
    <row r="1537" ht="22.5" customHeight="1">
      <c r="A1537" s="86">
        <v>45939.0</v>
      </c>
      <c r="B1537" s="63" t="s">
        <v>27</v>
      </c>
      <c r="C1537" s="79"/>
      <c r="D1537" s="80">
        <v>20000.0</v>
      </c>
      <c r="E1537" s="66" t="s">
        <v>33</v>
      </c>
      <c r="F1537" s="67" t="s">
        <v>203</v>
      </c>
      <c r="G1537" s="68">
        <v>0.0</v>
      </c>
      <c r="H1537" s="69">
        <f t="shared" si="82"/>
        <v>0</v>
      </c>
      <c r="I1537" s="76" t="s">
        <v>53</v>
      </c>
      <c r="J1537" s="98" t="s">
        <v>1184</v>
      </c>
      <c r="K1537" s="95"/>
      <c r="L1537" s="95"/>
      <c r="M1537" s="95"/>
      <c r="N1537" s="153"/>
      <c r="O1537" s="96"/>
      <c r="P1537" s="74"/>
      <c r="Q1537" s="74"/>
      <c r="R1537" s="74"/>
      <c r="S1537" s="74"/>
      <c r="T1537" s="74"/>
      <c r="U1537" s="74"/>
      <c r="V1537" s="74"/>
      <c r="W1537" s="74"/>
      <c r="X1537" s="74"/>
      <c r="Y1537" s="74"/>
      <c r="Z1537" s="74"/>
      <c r="AA1537" s="74"/>
      <c r="AB1537" s="74"/>
      <c r="AC1537" s="74"/>
      <c r="AD1537" s="74"/>
      <c r="AE1537" s="74"/>
      <c r="AF1537" s="74"/>
      <c r="AG1537" s="74"/>
    </row>
    <row r="1538" ht="22.5" customHeight="1">
      <c r="A1538" s="86">
        <v>45939.0</v>
      </c>
      <c r="B1538" s="63" t="s">
        <v>27</v>
      </c>
      <c r="C1538" s="79"/>
      <c r="D1538" s="80">
        <v>80000.0</v>
      </c>
      <c r="E1538" s="66" t="s">
        <v>33</v>
      </c>
      <c r="F1538" s="67" t="s">
        <v>203</v>
      </c>
      <c r="G1538" s="68">
        <v>0.0</v>
      </c>
      <c r="H1538" s="69">
        <f t="shared" si="82"/>
        <v>0</v>
      </c>
      <c r="I1538" s="76" t="s">
        <v>53</v>
      </c>
      <c r="J1538" s="98" t="s">
        <v>1185</v>
      </c>
      <c r="K1538" s="95"/>
      <c r="L1538" s="95"/>
      <c r="M1538" s="95"/>
      <c r="N1538" s="153"/>
      <c r="O1538" s="96"/>
      <c r="P1538" s="74"/>
      <c r="Q1538" s="74"/>
      <c r="R1538" s="74"/>
      <c r="S1538" s="74"/>
      <c r="T1538" s="74"/>
      <c r="U1538" s="74"/>
      <c r="V1538" s="74"/>
      <c r="W1538" s="74"/>
      <c r="X1538" s="74"/>
      <c r="Y1538" s="74"/>
      <c r="Z1538" s="74"/>
      <c r="AA1538" s="74"/>
      <c r="AB1538" s="74"/>
      <c r="AC1538" s="74"/>
      <c r="AD1538" s="74"/>
      <c r="AE1538" s="74"/>
      <c r="AF1538" s="74"/>
      <c r="AG1538" s="74"/>
    </row>
    <row r="1539" ht="22.5" customHeight="1">
      <c r="A1539" s="86">
        <v>45939.0</v>
      </c>
      <c r="B1539" s="63" t="s">
        <v>27</v>
      </c>
      <c r="C1539" s="79"/>
      <c r="D1539" s="80">
        <v>20000.0</v>
      </c>
      <c r="E1539" s="66" t="s">
        <v>33</v>
      </c>
      <c r="F1539" s="67" t="s">
        <v>203</v>
      </c>
      <c r="G1539" s="68">
        <v>0.0</v>
      </c>
      <c r="H1539" s="69">
        <f t="shared" si="82"/>
        <v>0</v>
      </c>
      <c r="I1539" s="76" t="s">
        <v>53</v>
      </c>
      <c r="J1539" s="98" t="s">
        <v>1186</v>
      </c>
      <c r="K1539" s="95"/>
      <c r="L1539" s="95"/>
      <c r="M1539" s="95"/>
      <c r="N1539" s="153"/>
      <c r="O1539" s="96"/>
      <c r="P1539" s="74"/>
      <c r="Q1539" s="74"/>
      <c r="R1539" s="74"/>
      <c r="S1539" s="74"/>
      <c r="T1539" s="74"/>
      <c r="U1539" s="74"/>
      <c r="V1539" s="74"/>
      <c r="W1539" s="74"/>
      <c r="X1539" s="74"/>
      <c r="Y1539" s="74"/>
      <c r="Z1539" s="74"/>
      <c r="AA1539" s="74"/>
      <c r="AB1539" s="74"/>
      <c r="AC1539" s="74"/>
      <c r="AD1539" s="74"/>
      <c r="AE1539" s="74"/>
      <c r="AF1539" s="74"/>
      <c r="AG1539" s="74"/>
    </row>
    <row r="1540" ht="22.5" customHeight="1">
      <c r="A1540" s="86">
        <v>45940.0</v>
      </c>
      <c r="B1540" s="63" t="s">
        <v>27</v>
      </c>
      <c r="C1540" s="80">
        <v>1411200.0</v>
      </c>
      <c r="D1540" s="79"/>
      <c r="E1540" s="66" t="s">
        <v>28</v>
      </c>
      <c r="F1540" s="84" t="s">
        <v>722</v>
      </c>
      <c r="G1540" s="68">
        <v>20.0</v>
      </c>
      <c r="H1540" s="69">
        <f t="shared" si="82"/>
        <v>235200</v>
      </c>
      <c r="I1540" s="76" t="s">
        <v>37</v>
      </c>
      <c r="J1540" s="87" t="s">
        <v>1094</v>
      </c>
      <c r="K1540" s="82" t="s">
        <v>1187</v>
      </c>
      <c r="L1540" s="82">
        <v>200.0</v>
      </c>
      <c r="M1540" s="128">
        <v>45796.0</v>
      </c>
      <c r="N1540" s="153">
        <f t="shared" ref="N1540:N1548" si="93">TODAY()-M1540-60</f>
        <v>332</v>
      </c>
      <c r="O1540" s="96"/>
      <c r="P1540" s="74"/>
      <c r="Q1540" s="74"/>
      <c r="R1540" s="74"/>
      <c r="S1540" s="74"/>
      <c r="T1540" s="74"/>
      <c r="U1540" s="74"/>
      <c r="V1540" s="74"/>
      <c r="W1540" s="74"/>
      <c r="X1540" s="74"/>
      <c r="Y1540" s="74"/>
      <c r="Z1540" s="74"/>
      <c r="AA1540" s="74"/>
      <c r="AB1540" s="74"/>
      <c r="AC1540" s="74"/>
      <c r="AD1540" s="74"/>
      <c r="AE1540" s="74"/>
      <c r="AF1540" s="74"/>
      <c r="AG1540" s="74"/>
    </row>
    <row r="1541" ht="22.5" customHeight="1">
      <c r="A1541" s="86">
        <v>45940.0</v>
      </c>
      <c r="B1541" s="63" t="s">
        <v>27</v>
      </c>
      <c r="C1541" s="80">
        <v>294000.0</v>
      </c>
      <c r="D1541" s="79"/>
      <c r="E1541" s="66" t="s">
        <v>28</v>
      </c>
      <c r="F1541" s="84" t="s">
        <v>800</v>
      </c>
      <c r="G1541" s="68">
        <v>20.0</v>
      </c>
      <c r="H1541" s="69">
        <f t="shared" si="82"/>
        <v>49000</v>
      </c>
      <c r="I1541" s="76" t="s">
        <v>37</v>
      </c>
      <c r="J1541" s="87" t="s">
        <v>1188</v>
      </c>
      <c r="K1541" s="82" t="s">
        <v>1189</v>
      </c>
      <c r="L1541" s="82">
        <v>215.0</v>
      </c>
      <c r="M1541" s="128">
        <v>45817.0</v>
      </c>
      <c r="N1541" s="72">
        <f t="shared" si="93"/>
        <v>311</v>
      </c>
      <c r="O1541" s="96"/>
      <c r="P1541" s="74"/>
      <c r="Q1541" s="74"/>
      <c r="R1541" s="74"/>
      <c r="S1541" s="74"/>
      <c r="T1541" s="74"/>
      <c r="U1541" s="74"/>
      <c r="V1541" s="74"/>
      <c r="W1541" s="74"/>
      <c r="X1541" s="74"/>
      <c r="Y1541" s="74"/>
      <c r="Z1541" s="74"/>
      <c r="AA1541" s="74"/>
      <c r="AB1541" s="74"/>
      <c r="AC1541" s="74"/>
      <c r="AD1541" s="74"/>
      <c r="AE1541" s="74"/>
      <c r="AF1541" s="74"/>
      <c r="AG1541" s="74"/>
    </row>
    <row r="1542" ht="22.5" customHeight="1">
      <c r="A1542" s="86">
        <v>45940.0</v>
      </c>
      <c r="B1542" s="63" t="s">
        <v>27</v>
      </c>
      <c r="C1542" s="80">
        <v>1260000.0</v>
      </c>
      <c r="D1542" s="79"/>
      <c r="E1542" s="66" t="s">
        <v>28</v>
      </c>
      <c r="F1542" s="84" t="s">
        <v>800</v>
      </c>
      <c r="G1542" s="68">
        <v>20.0</v>
      </c>
      <c r="H1542" s="69">
        <f t="shared" si="82"/>
        <v>210000</v>
      </c>
      <c r="I1542" s="76" t="s">
        <v>37</v>
      </c>
      <c r="J1542" s="87" t="s">
        <v>1188</v>
      </c>
      <c r="K1542" s="82" t="s">
        <v>1190</v>
      </c>
      <c r="L1542" s="82">
        <v>230.0</v>
      </c>
      <c r="M1542" s="128">
        <v>45824.0</v>
      </c>
      <c r="N1542" s="72">
        <f t="shared" si="93"/>
        <v>304</v>
      </c>
      <c r="O1542" s="96"/>
      <c r="P1542" s="74"/>
      <c r="Q1542" s="74"/>
      <c r="R1542" s="74"/>
      <c r="S1542" s="74"/>
      <c r="T1542" s="74"/>
      <c r="U1542" s="74"/>
      <c r="V1542" s="74"/>
      <c r="W1542" s="74"/>
      <c r="X1542" s="74"/>
      <c r="Y1542" s="74"/>
      <c r="Z1542" s="74"/>
      <c r="AA1542" s="74"/>
      <c r="AB1542" s="74"/>
      <c r="AC1542" s="74"/>
      <c r="AD1542" s="74"/>
      <c r="AE1542" s="74"/>
      <c r="AF1542" s="74"/>
      <c r="AG1542" s="74"/>
    </row>
    <row r="1543" ht="22.5" customHeight="1">
      <c r="A1543" s="86">
        <v>45940.0</v>
      </c>
      <c r="B1543" s="63" t="s">
        <v>27</v>
      </c>
      <c r="C1543" s="80">
        <v>315000.0</v>
      </c>
      <c r="D1543" s="79"/>
      <c r="E1543" s="66" t="s">
        <v>28</v>
      </c>
      <c r="F1543" s="84" t="s">
        <v>897</v>
      </c>
      <c r="G1543" s="68">
        <v>20.0</v>
      </c>
      <c r="H1543" s="69">
        <f t="shared" si="82"/>
        <v>52500</v>
      </c>
      <c r="I1543" s="76" t="s">
        <v>37</v>
      </c>
      <c r="J1543" s="87" t="s">
        <v>1188</v>
      </c>
      <c r="K1543" s="82" t="s">
        <v>1191</v>
      </c>
      <c r="L1543" s="82">
        <v>250.0</v>
      </c>
      <c r="M1543" s="128">
        <v>45842.0</v>
      </c>
      <c r="N1543" s="72">
        <f t="shared" si="93"/>
        <v>286</v>
      </c>
      <c r="O1543" s="96"/>
      <c r="P1543" s="74"/>
      <c r="Q1543" s="74"/>
      <c r="R1543" s="74"/>
      <c r="S1543" s="74"/>
      <c r="T1543" s="74"/>
      <c r="U1543" s="74"/>
      <c r="V1543" s="74"/>
      <c r="W1543" s="74"/>
      <c r="X1543" s="74"/>
      <c r="Y1543" s="74"/>
      <c r="Z1543" s="74"/>
      <c r="AA1543" s="74"/>
      <c r="AB1543" s="74"/>
      <c r="AC1543" s="74"/>
      <c r="AD1543" s="74"/>
      <c r="AE1543" s="74"/>
      <c r="AF1543" s="74"/>
      <c r="AG1543" s="74"/>
    </row>
    <row r="1544" ht="22.5" customHeight="1">
      <c r="A1544" s="86">
        <v>45940.0</v>
      </c>
      <c r="B1544" s="63" t="s">
        <v>27</v>
      </c>
      <c r="C1544" s="80">
        <v>353973.54</v>
      </c>
      <c r="D1544" s="79"/>
      <c r="E1544" s="66" t="s">
        <v>28</v>
      </c>
      <c r="F1544" s="84" t="s">
        <v>897</v>
      </c>
      <c r="G1544" s="68">
        <v>20.0</v>
      </c>
      <c r="H1544" s="69">
        <f t="shared" si="82"/>
        <v>58995.59</v>
      </c>
      <c r="I1544" s="76" t="s">
        <v>37</v>
      </c>
      <c r="J1544" s="87" t="s">
        <v>539</v>
      </c>
      <c r="K1544" s="82" t="s">
        <v>1192</v>
      </c>
      <c r="L1544" s="82">
        <v>264.0</v>
      </c>
      <c r="M1544" s="128">
        <v>45846.0</v>
      </c>
      <c r="N1544" s="72">
        <f t="shared" si="93"/>
        <v>282</v>
      </c>
      <c r="O1544" s="96"/>
      <c r="P1544" s="74"/>
      <c r="Q1544" s="74"/>
      <c r="R1544" s="74"/>
      <c r="S1544" s="74"/>
      <c r="T1544" s="74"/>
      <c r="U1544" s="74"/>
      <c r="V1544" s="74"/>
      <c r="W1544" s="74"/>
      <c r="X1544" s="74"/>
      <c r="Y1544" s="74"/>
      <c r="Z1544" s="74"/>
      <c r="AA1544" s="74"/>
      <c r="AB1544" s="74"/>
      <c r="AC1544" s="74"/>
      <c r="AD1544" s="74"/>
      <c r="AE1544" s="74"/>
      <c r="AF1544" s="74"/>
      <c r="AG1544" s="74"/>
    </row>
    <row r="1545" ht="22.5" customHeight="1">
      <c r="A1545" s="86">
        <v>45940.0</v>
      </c>
      <c r="B1545" s="63" t="s">
        <v>27</v>
      </c>
      <c r="C1545" s="80">
        <v>636048.0</v>
      </c>
      <c r="D1545" s="79"/>
      <c r="E1545" s="66" t="s">
        <v>28</v>
      </c>
      <c r="F1545" s="84" t="s">
        <v>897</v>
      </c>
      <c r="G1545" s="68">
        <v>20.0</v>
      </c>
      <c r="H1545" s="69">
        <f t="shared" si="82"/>
        <v>106008</v>
      </c>
      <c r="I1545" s="76" t="s">
        <v>37</v>
      </c>
      <c r="J1545" s="87" t="s">
        <v>539</v>
      </c>
      <c r="K1545" s="82" t="s">
        <v>1078</v>
      </c>
      <c r="L1545" s="82">
        <v>265.0</v>
      </c>
      <c r="M1545" s="128">
        <v>45846.0</v>
      </c>
      <c r="N1545" s="72">
        <f t="shared" si="93"/>
        <v>282</v>
      </c>
      <c r="O1545" s="96"/>
      <c r="P1545" s="74"/>
      <c r="Q1545" s="74"/>
      <c r="R1545" s="74"/>
      <c r="S1545" s="74"/>
      <c r="T1545" s="74"/>
      <c r="U1545" s="74"/>
      <c r="V1545" s="74"/>
      <c r="W1545" s="74"/>
      <c r="X1545" s="74"/>
      <c r="Y1545" s="74"/>
      <c r="Z1545" s="74"/>
      <c r="AA1545" s="74"/>
      <c r="AB1545" s="74"/>
      <c r="AC1545" s="74"/>
      <c r="AD1545" s="74"/>
      <c r="AE1545" s="74"/>
      <c r="AF1545" s="74"/>
      <c r="AG1545" s="74"/>
    </row>
    <row r="1546" ht="22.5" customHeight="1">
      <c r="A1546" s="86">
        <v>45940.0</v>
      </c>
      <c r="B1546" s="63" t="s">
        <v>27</v>
      </c>
      <c r="C1546" s="80">
        <v>261660.0</v>
      </c>
      <c r="D1546" s="79"/>
      <c r="E1546" s="66" t="s">
        <v>28</v>
      </c>
      <c r="F1546" s="84" t="s">
        <v>897</v>
      </c>
      <c r="G1546" s="68">
        <v>20.0</v>
      </c>
      <c r="H1546" s="69">
        <f t="shared" si="82"/>
        <v>43610</v>
      </c>
      <c r="I1546" s="76" t="s">
        <v>37</v>
      </c>
      <c r="J1546" s="87" t="s">
        <v>539</v>
      </c>
      <c r="K1546" s="82" t="s">
        <v>1077</v>
      </c>
      <c r="L1546" s="82">
        <v>266.0</v>
      </c>
      <c r="M1546" s="128">
        <v>45846.0</v>
      </c>
      <c r="N1546" s="72">
        <f t="shared" si="93"/>
        <v>282</v>
      </c>
      <c r="O1546" s="96"/>
      <c r="P1546" s="74"/>
      <c r="Q1546" s="74"/>
      <c r="R1546" s="74"/>
      <c r="S1546" s="74"/>
      <c r="T1546" s="74"/>
      <c r="U1546" s="74"/>
      <c r="V1546" s="74"/>
      <c r="W1546" s="74"/>
      <c r="X1546" s="74"/>
      <c r="Y1546" s="74"/>
      <c r="Z1546" s="74"/>
      <c r="AA1546" s="74"/>
      <c r="AB1546" s="74"/>
      <c r="AC1546" s="74"/>
      <c r="AD1546" s="74"/>
      <c r="AE1546" s="74"/>
      <c r="AF1546" s="74"/>
      <c r="AG1546" s="74"/>
    </row>
    <row r="1547" ht="22.5" customHeight="1">
      <c r="A1547" s="86">
        <v>45940.0</v>
      </c>
      <c r="B1547" s="63" t="s">
        <v>27</v>
      </c>
      <c r="C1547" s="80">
        <v>462000.0</v>
      </c>
      <c r="D1547" s="79"/>
      <c r="E1547" s="66" t="s">
        <v>28</v>
      </c>
      <c r="F1547" s="84" t="s">
        <v>897</v>
      </c>
      <c r="G1547" s="68">
        <v>20.0</v>
      </c>
      <c r="H1547" s="69">
        <f t="shared" si="82"/>
        <v>77000</v>
      </c>
      <c r="I1547" s="76" t="s">
        <v>37</v>
      </c>
      <c r="J1547" s="87" t="s">
        <v>1188</v>
      </c>
      <c r="K1547" s="82" t="s">
        <v>1193</v>
      </c>
      <c r="L1547" s="82">
        <v>272.0</v>
      </c>
      <c r="M1547" s="128">
        <v>45846.0</v>
      </c>
      <c r="N1547" s="72">
        <f t="shared" si="93"/>
        <v>282</v>
      </c>
      <c r="O1547" s="96"/>
      <c r="P1547" s="74"/>
      <c r="Q1547" s="74"/>
      <c r="R1547" s="74"/>
      <c r="S1547" s="74"/>
      <c r="T1547" s="74"/>
      <c r="U1547" s="74"/>
      <c r="V1547" s="74"/>
      <c r="W1547" s="74"/>
      <c r="X1547" s="74"/>
      <c r="Y1547" s="74"/>
      <c r="Z1547" s="74"/>
      <c r="AA1547" s="74"/>
      <c r="AB1547" s="74"/>
      <c r="AC1547" s="74"/>
      <c r="AD1547" s="74"/>
      <c r="AE1547" s="74"/>
      <c r="AF1547" s="74"/>
      <c r="AG1547" s="74"/>
    </row>
    <row r="1548" ht="22.5" customHeight="1">
      <c r="A1548" s="86">
        <v>45940.0</v>
      </c>
      <c r="B1548" s="63" t="s">
        <v>27</v>
      </c>
      <c r="C1548" s="80">
        <v>838992.0</v>
      </c>
      <c r="D1548" s="79"/>
      <c r="E1548" s="66" t="s">
        <v>28</v>
      </c>
      <c r="F1548" s="84" t="s">
        <v>941</v>
      </c>
      <c r="G1548" s="68">
        <v>20.0</v>
      </c>
      <c r="H1548" s="69">
        <f t="shared" si="82"/>
        <v>139832</v>
      </c>
      <c r="I1548" s="76" t="s">
        <v>37</v>
      </c>
      <c r="J1548" s="87" t="s">
        <v>1188</v>
      </c>
      <c r="K1548" s="82" t="s">
        <v>1194</v>
      </c>
      <c r="L1548" s="82">
        <v>289.0</v>
      </c>
      <c r="M1548" s="128">
        <v>45877.0</v>
      </c>
      <c r="N1548" s="72">
        <f t="shared" si="93"/>
        <v>251</v>
      </c>
      <c r="O1548" s="96"/>
      <c r="P1548" s="74"/>
      <c r="Q1548" s="74"/>
      <c r="R1548" s="74"/>
      <c r="S1548" s="74"/>
      <c r="T1548" s="74"/>
      <c r="U1548" s="74"/>
      <c r="V1548" s="74"/>
      <c r="W1548" s="74"/>
      <c r="X1548" s="74"/>
      <c r="Y1548" s="74"/>
      <c r="Z1548" s="74"/>
      <c r="AA1548" s="74"/>
      <c r="AB1548" s="74"/>
      <c r="AC1548" s="74"/>
      <c r="AD1548" s="74"/>
      <c r="AE1548" s="74"/>
      <c r="AF1548" s="74"/>
      <c r="AG1548" s="74"/>
    </row>
    <row r="1549" ht="22.5" customHeight="1">
      <c r="A1549" s="86">
        <v>45940.0</v>
      </c>
      <c r="B1549" s="63" t="s">
        <v>27</v>
      </c>
      <c r="C1549" s="79"/>
      <c r="D1549" s="80">
        <v>1168341.73</v>
      </c>
      <c r="E1549" s="66" t="s">
        <v>28</v>
      </c>
      <c r="F1549" s="67" t="s">
        <v>203</v>
      </c>
      <c r="G1549" s="68">
        <v>0.0</v>
      </c>
      <c r="H1549" s="69">
        <f t="shared" si="82"/>
        <v>0</v>
      </c>
      <c r="I1549" s="76" t="s">
        <v>68</v>
      </c>
      <c r="J1549" s="98" t="s">
        <v>1195</v>
      </c>
      <c r="K1549" s="95"/>
      <c r="L1549" s="95"/>
      <c r="M1549" s="95"/>
      <c r="N1549" s="72"/>
      <c r="O1549" s="96"/>
      <c r="P1549" s="74"/>
      <c r="Q1549" s="74"/>
      <c r="R1549" s="74"/>
      <c r="S1549" s="74"/>
      <c r="T1549" s="74"/>
      <c r="U1549" s="74"/>
      <c r="V1549" s="74"/>
      <c r="W1549" s="74"/>
      <c r="X1549" s="74"/>
      <c r="Y1549" s="74"/>
      <c r="Z1549" s="74"/>
      <c r="AA1549" s="74"/>
      <c r="AB1549" s="74"/>
      <c r="AC1549" s="74"/>
      <c r="AD1549" s="74"/>
      <c r="AE1549" s="74"/>
      <c r="AF1549" s="74"/>
      <c r="AG1549" s="74"/>
    </row>
    <row r="1550" ht="22.5" customHeight="1">
      <c r="A1550" s="86">
        <v>45940.0</v>
      </c>
      <c r="B1550" s="63" t="s">
        <v>27</v>
      </c>
      <c r="C1550" s="79"/>
      <c r="D1550" s="80">
        <f>10197.82+262.56</f>
        <v>10460.38</v>
      </c>
      <c r="E1550" s="66" t="s">
        <v>28</v>
      </c>
      <c r="F1550" s="67" t="s">
        <v>203</v>
      </c>
      <c r="G1550" s="68">
        <v>0.0</v>
      </c>
      <c r="H1550" s="69">
        <f t="shared" si="82"/>
        <v>0</v>
      </c>
      <c r="I1550" s="76" t="s">
        <v>68</v>
      </c>
      <c r="J1550" s="98" t="s">
        <v>1196</v>
      </c>
      <c r="K1550" s="95"/>
      <c r="L1550" s="95"/>
      <c r="M1550" s="95"/>
      <c r="N1550" s="72"/>
      <c r="O1550" s="96"/>
      <c r="P1550" s="74"/>
      <c r="Q1550" s="74"/>
      <c r="R1550" s="74"/>
      <c r="S1550" s="74"/>
      <c r="T1550" s="74"/>
      <c r="U1550" s="74"/>
      <c r="V1550" s="74"/>
      <c r="W1550" s="74"/>
      <c r="X1550" s="74"/>
      <c r="Y1550" s="74"/>
      <c r="Z1550" s="74"/>
      <c r="AA1550" s="74"/>
      <c r="AB1550" s="74"/>
      <c r="AC1550" s="74"/>
      <c r="AD1550" s="74"/>
      <c r="AE1550" s="74"/>
      <c r="AF1550" s="74"/>
      <c r="AG1550" s="74"/>
    </row>
    <row r="1551" ht="22.5" customHeight="1">
      <c r="A1551" s="86">
        <v>45943.0</v>
      </c>
      <c r="B1551" s="63" t="s">
        <v>27</v>
      </c>
      <c r="C1551" s="79"/>
      <c r="D1551" s="80">
        <v>782827.53</v>
      </c>
      <c r="E1551" s="66" t="s">
        <v>28</v>
      </c>
      <c r="F1551" s="84" t="s">
        <v>897</v>
      </c>
      <c r="G1551" s="68">
        <v>20.0</v>
      </c>
      <c r="H1551" s="69">
        <f t="shared" si="82"/>
        <v>130471.255</v>
      </c>
      <c r="I1551" s="76" t="s">
        <v>61</v>
      </c>
      <c r="J1551" s="103" t="s">
        <v>228</v>
      </c>
      <c r="K1551" s="95"/>
      <c r="L1551" s="95"/>
      <c r="M1551" s="95"/>
      <c r="N1551" s="72"/>
      <c r="O1551" s="140" t="s">
        <v>1197</v>
      </c>
      <c r="P1551" s="74"/>
      <c r="Q1551" s="74"/>
      <c r="R1551" s="74"/>
      <c r="S1551" s="74"/>
      <c r="T1551" s="74"/>
      <c r="U1551" s="74"/>
      <c r="V1551" s="74"/>
      <c r="W1551" s="74"/>
      <c r="X1551" s="74"/>
      <c r="Y1551" s="74"/>
      <c r="Z1551" s="74"/>
      <c r="AA1551" s="74"/>
      <c r="AB1551" s="74"/>
      <c r="AC1551" s="74"/>
      <c r="AD1551" s="74"/>
      <c r="AE1551" s="74"/>
      <c r="AF1551" s="74"/>
      <c r="AG1551" s="74"/>
    </row>
    <row r="1552" ht="22.5" customHeight="1">
      <c r="A1552" s="86">
        <v>45943.0</v>
      </c>
      <c r="B1552" s="63" t="s">
        <v>27</v>
      </c>
      <c r="C1552" s="79"/>
      <c r="D1552" s="80">
        <v>12427.97</v>
      </c>
      <c r="E1552" s="66" t="s">
        <v>28</v>
      </c>
      <c r="F1552" s="84" t="s">
        <v>941</v>
      </c>
      <c r="G1552" s="68">
        <v>20.0</v>
      </c>
      <c r="H1552" s="69">
        <f t="shared" si="82"/>
        <v>2071.328333</v>
      </c>
      <c r="I1552" s="89" t="s">
        <v>1044</v>
      </c>
      <c r="J1552" s="136" t="s">
        <v>1045</v>
      </c>
      <c r="K1552" s="95"/>
      <c r="L1552" s="95"/>
      <c r="M1552" s="95"/>
      <c r="N1552" s="72"/>
      <c r="O1552" s="140" t="s">
        <v>1198</v>
      </c>
      <c r="P1552" s="74"/>
      <c r="Q1552" s="74"/>
      <c r="R1552" s="74"/>
      <c r="S1552" s="74"/>
      <c r="T1552" s="74"/>
      <c r="U1552" s="74"/>
      <c r="V1552" s="74"/>
      <c r="W1552" s="74"/>
      <c r="X1552" s="74"/>
      <c r="Y1552" s="74"/>
      <c r="Z1552" s="74"/>
      <c r="AA1552" s="74"/>
      <c r="AB1552" s="74"/>
      <c r="AC1552" s="74"/>
      <c r="AD1552" s="74"/>
      <c r="AE1552" s="74"/>
      <c r="AF1552" s="74"/>
      <c r="AG1552" s="74"/>
    </row>
    <row r="1553" ht="22.5" customHeight="1">
      <c r="A1553" s="86">
        <v>45943.0</v>
      </c>
      <c r="B1553" s="63" t="s">
        <v>27</v>
      </c>
      <c r="C1553" s="79"/>
      <c r="D1553" s="80">
        <v>134400.0</v>
      </c>
      <c r="E1553" s="66" t="s">
        <v>28</v>
      </c>
      <c r="F1553" s="84" t="s">
        <v>941</v>
      </c>
      <c r="G1553" s="68">
        <v>20.0</v>
      </c>
      <c r="H1553" s="69">
        <f t="shared" si="82"/>
        <v>22400</v>
      </c>
      <c r="I1553" s="89" t="s">
        <v>1044</v>
      </c>
      <c r="J1553" s="136" t="s">
        <v>1045</v>
      </c>
      <c r="K1553" s="95"/>
      <c r="L1553" s="95"/>
      <c r="M1553" s="95"/>
      <c r="N1553" s="72"/>
      <c r="O1553" s="140" t="s">
        <v>1199</v>
      </c>
      <c r="P1553" s="74"/>
      <c r="Q1553" s="74"/>
      <c r="R1553" s="74"/>
      <c r="S1553" s="74"/>
      <c r="T1553" s="74"/>
      <c r="U1553" s="74"/>
      <c r="V1553" s="74"/>
      <c r="W1553" s="74"/>
      <c r="X1553" s="74"/>
      <c r="Y1553" s="74"/>
      <c r="Z1553" s="74"/>
      <c r="AA1553" s="74"/>
      <c r="AB1553" s="74"/>
      <c r="AC1553" s="74"/>
      <c r="AD1553" s="74"/>
      <c r="AE1553" s="74"/>
      <c r="AF1553" s="74"/>
      <c r="AG1553" s="74"/>
    </row>
    <row r="1554" ht="22.5" customHeight="1">
      <c r="A1554" s="86">
        <v>45943.0</v>
      </c>
      <c r="B1554" s="63" t="s">
        <v>27</v>
      </c>
      <c r="C1554" s="79"/>
      <c r="D1554" s="80">
        <v>12720.96</v>
      </c>
      <c r="E1554" s="66" t="s">
        <v>28</v>
      </c>
      <c r="F1554" s="84" t="s">
        <v>941</v>
      </c>
      <c r="G1554" s="68">
        <v>20.0</v>
      </c>
      <c r="H1554" s="69">
        <f t="shared" si="82"/>
        <v>2120.16</v>
      </c>
      <c r="I1554" s="89" t="s">
        <v>1044</v>
      </c>
      <c r="J1554" s="136" t="s">
        <v>1045</v>
      </c>
      <c r="K1554" s="95"/>
      <c r="L1554" s="95"/>
      <c r="M1554" s="95"/>
      <c r="N1554" s="72"/>
      <c r="O1554" s="140" t="s">
        <v>1200</v>
      </c>
      <c r="P1554" s="74"/>
      <c r="Q1554" s="74"/>
      <c r="R1554" s="74"/>
      <c r="S1554" s="74"/>
      <c r="T1554" s="74"/>
      <c r="U1554" s="74"/>
      <c r="V1554" s="74"/>
      <c r="W1554" s="74"/>
      <c r="X1554" s="74"/>
      <c r="Y1554" s="74"/>
      <c r="Z1554" s="74"/>
      <c r="AA1554" s="74"/>
      <c r="AB1554" s="74"/>
      <c r="AC1554" s="74"/>
      <c r="AD1554" s="74"/>
      <c r="AE1554" s="74"/>
      <c r="AF1554" s="74"/>
      <c r="AG1554" s="74"/>
    </row>
    <row r="1555" ht="22.5" customHeight="1">
      <c r="A1555" s="86">
        <v>45943.0</v>
      </c>
      <c r="B1555" s="63" t="s">
        <v>27</v>
      </c>
      <c r="C1555" s="79"/>
      <c r="D1555" s="80">
        <v>67200.0</v>
      </c>
      <c r="E1555" s="66" t="s">
        <v>28</v>
      </c>
      <c r="F1555" s="84" t="s">
        <v>941</v>
      </c>
      <c r="G1555" s="68">
        <v>20.0</v>
      </c>
      <c r="H1555" s="69">
        <f t="shared" si="82"/>
        <v>11200</v>
      </c>
      <c r="I1555" s="89" t="s">
        <v>1044</v>
      </c>
      <c r="J1555" s="136" t="s">
        <v>1045</v>
      </c>
      <c r="K1555" s="95"/>
      <c r="L1555" s="95"/>
      <c r="M1555" s="95"/>
      <c r="N1555" s="72"/>
      <c r="O1555" s="140" t="s">
        <v>1201</v>
      </c>
      <c r="P1555" s="74"/>
      <c r="Q1555" s="74"/>
      <c r="R1555" s="74"/>
      <c r="S1555" s="74"/>
      <c r="T1555" s="74"/>
      <c r="U1555" s="74"/>
      <c r="V1555" s="74"/>
      <c r="W1555" s="74"/>
      <c r="X1555" s="74"/>
      <c r="Y1555" s="74"/>
      <c r="Z1555" s="74"/>
      <c r="AA1555" s="74"/>
      <c r="AB1555" s="74"/>
      <c r="AC1555" s="74"/>
      <c r="AD1555" s="74"/>
      <c r="AE1555" s="74"/>
      <c r="AF1555" s="74"/>
      <c r="AG1555" s="74"/>
    </row>
    <row r="1556" ht="22.5" customHeight="1">
      <c r="A1556" s="86">
        <v>45943.0</v>
      </c>
      <c r="B1556" s="63" t="s">
        <v>27</v>
      </c>
      <c r="C1556" s="79"/>
      <c r="D1556" s="80">
        <v>9442.61</v>
      </c>
      <c r="E1556" s="66" t="s">
        <v>28</v>
      </c>
      <c r="F1556" s="84" t="s">
        <v>941</v>
      </c>
      <c r="G1556" s="68">
        <v>20.0</v>
      </c>
      <c r="H1556" s="69">
        <f t="shared" si="82"/>
        <v>1573.768333</v>
      </c>
      <c r="I1556" s="89" t="s">
        <v>1044</v>
      </c>
      <c r="J1556" s="136" t="s">
        <v>1045</v>
      </c>
      <c r="K1556" s="95"/>
      <c r="L1556" s="95"/>
      <c r="M1556" s="95"/>
      <c r="N1556" s="72"/>
      <c r="O1556" s="140" t="s">
        <v>1202</v>
      </c>
      <c r="P1556" s="74"/>
      <c r="Q1556" s="74"/>
      <c r="R1556" s="74"/>
      <c r="S1556" s="74"/>
      <c r="T1556" s="74"/>
      <c r="U1556" s="74"/>
      <c r="V1556" s="74"/>
      <c r="W1556" s="74"/>
      <c r="X1556" s="74"/>
      <c r="Y1556" s="74"/>
      <c r="Z1556" s="74"/>
      <c r="AA1556" s="74"/>
      <c r="AB1556" s="74"/>
      <c r="AC1556" s="74"/>
      <c r="AD1556" s="74"/>
      <c r="AE1556" s="74"/>
      <c r="AF1556" s="74"/>
      <c r="AG1556" s="74"/>
    </row>
    <row r="1557" ht="22.5" customHeight="1">
      <c r="A1557" s="86">
        <v>45943.0</v>
      </c>
      <c r="B1557" s="63" t="s">
        <v>27</v>
      </c>
      <c r="C1557" s="79"/>
      <c r="D1557" s="80">
        <v>12307.68</v>
      </c>
      <c r="E1557" s="66" t="s">
        <v>28</v>
      </c>
      <c r="F1557" s="84" t="s">
        <v>941</v>
      </c>
      <c r="G1557" s="68">
        <v>20.0</v>
      </c>
      <c r="H1557" s="69">
        <f t="shared" si="82"/>
        <v>2051.28</v>
      </c>
      <c r="I1557" s="89" t="s">
        <v>1044</v>
      </c>
      <c r="J1557" s="136" t="s">
        <v>1045</v>
      </c>
      <c r="K1557" s="95"/>
      <c r="L1557" s="95"/>
      <c r="M1557" s="95"/>
      <c r="N1557" s="72"/>
      <c r="O1557" s="140" t="s">
        <v>1203</v>
      </c>
      <c r="P1557" s="74"/>
      <c r="Q1557" s="74"/>
      <c r="R1557" s="74"/>
      <c r="S1557" s="74"/>
      <c r="T1557" s="74"/>
      <c r="U1557" s="74"/>
      <c r="V1557" s="74"/>
      <c r="W1557" s="74"/>
      <c r="X1557" s="74"/>
      <c r="Y1557" s="74"/>
      <c r="Z1557" s="74"/>
      <c r="AA1557" s="74"/>
      <c r="AB1557" s="74"/>
      <c r="AC1557" s="74"/>
      <c r="AD1557" s="74"/>
      <c r="AE1557" s="74"/>
      <c r="AF1557" s="74"/>
      <c r="AG1557" s="74"/>
    </row>
    <row r="1558" ht="22.5" customHeight="1">
      <c r="A1558" s="86">
        <v>45943.0</v>
      </c>
      <c r="B1558" s="63" t="s">
        <v>27</v>
      </c>
      <c r="C1558" s="79"/>
      <c r="D1558" s="80">
        <v>186666.82</v>
      </c>
      <c r="E1558" s="66" t="s">
        <v>28</v>
      </c>
      <c r="F1558" s="84" t="s">
        <v>941</v>
      </c>
      <c r="G1558" s="68">
        <v>20.0</v>
      </c>
      <c r="H1558" s="69">
        <f t="shared" si="82"/>
        <v>31111.13667</v>
      </c>
      <c r="I1558" s="89" t="s">
        <v>1044</v>
      </c>
      <c r="J1558" s="136" t="s">
        <v>1045</v>
      </c>
      <c r="K1558" s="95"/>
      <c r="L1558" s="95"/>
      <c r="M1558" s="95"/>
      <c r="N1558" s="72"/>
      <c r="O1558" s="140" t="s">
        <v>1204</v>
      </c>
      <c r="P1558" s="74"/>
      <c r="Q1558" s="74"/>
      <c r="R1558" s="74"/>
      <c r="S1558" s="74"/>
      <c r="T1558" s="74"/>
      <c r="U1558" s="74"/>
      <c r="V1558" s="74"/>
      <c r="W1558" s="74"/>
      <c r="X1558" s="74"/>
      <c r="Y1558" s="74"/>
      <c r="Z1558" s="74"/>
      <c r="AA1558" s="74"/>
      <c r="AB1558" s="74"/>
      <c r="AC1558" s="74"/>
      <c r="AD1558" s="74"/>
      <c r="AE1558" s="74"/>
      <c r="AF1558" s="74"/>
      <c r="AG1558" s="74"/>
    </row>
    <row r="1559" ht="22.5" customHeight="1">
      <c r="A1559" s="86">
        <v>45943.0</v>
      </c>
      <c r="B1559" s="63" t="s">
        <v>27</v>
      </c>
      <c r="C1559" s="79"/>
      <c r="D1559" s="80">
        <v>10666.66</v>
      </c>
      <c r="E1559" s="66" t="s">
        <v>28</v>
      </c>
      <c r="F1559" s="84" t="s">
        <v>941</v>
      </c>
      <c r="G1559" s="68">
        <v>20.0</v>
      </c>
      <c r="H1559" s="69">
        <f t="shared" si="82"/>
        <v>1777.776667</v>
      </c>
      <c r="I1559" s="89" t="s">
        <v>1044</v>
      </c>
      <c r="J1559" s="136" t="s">
        <v>1045</v>
      </c>
      <c r="K1559" s="95"/>
      <c r="L1559" s="95"/>
      <c r="M1559" s="95"/>
      <c r="N1559" s="72"/>
      <c r="O1559" s="140" t="s">
        <v>1205</v>
      </c>
      <c r="P1559" s="74"/>
      <c r="Q1559" s="74"/>
      <c r="R1559" s="74"/>
      <c r="S1559" s="74"/>
      <c r="T1559" s="74"/>
      <c r="U1559" s="74"/>
      <c r="V1559" s="74"/>
      <c r="W1559" s="74"/>
      <c r="X1559" s="74"/>
      <c r="Y1559" s="74"/>
      <c r="Z1559" s="74"/>
      <c r="AA1559" s="74"/>
      <c r="AB1559" s="74"/>
      <c r="AC1559" s="74"/>
      <c r="AD1559" s="74"/>
      <c r="AE1559" s="74"/>
      <c r="AF1559" s="74"/>
      <c r="AG1559" s="74"/>
    </row>
    <row r="1560" ht="22.5" customHeight="1">
      <c r="A1560" s="86">
        <v>45943.0</v>
      </c>
      <c r="B1560" s="63" t="s">
        <v>27</v>
      </c>
      <c r="C1560" s="79"/>
      <c r="D1560" s="80">
        <v>56614.73</v>
      </c>
      <c r="E1560" s="66" t="s">
        <v>28</v>
      </c>
      <c r="F1560" s="84" t="s">
        <v>941</v>
      </c>
      <c r="G1560" s="68">
        <v>20.0</v>
      </c>
      <c r="H1560" s="69">
        <f t="shared" si="82"/>
        <v>9435.788333</v>
      </c>
      <c r="I1560" s="76" t="s">
        <v>61</v>
      </c>
      <c r="J1560" s="98" t="s">
        <v>509</v>
      </c>
      <c r="K1560" s="95"/>
      <c r="L1560" s="95"/>
      <c r="M1560" s="95"/>
      <c r="N1560" s="72"/>
      <c r="O1560" s="140" t="s">
        <v>1206</v>
      </c>
      <c r="P1560" s="74"/>
      <c r="Q1560" s="74"/>
      <c r="R1560" s="74"/>
      <c r="S1560" s="74"/>
      <c r="T1560" s="74"/>
      <c r="U1560" s="74"/>
      <c r="V1560" s="74"/>
      <c r="W1560" s="74"/>
      <c r="X1560" s="74"/>
      <c r="Y1560" s="74"/>
      <c r="Z1560" s="74"/>
      <c r="AA1560" s="74"/>
      <c r="AB1560" s="74"/>
      <c r="AC1560" s="74"/>
      <c r="AD1560" s="74"/>
      <c r="AE1560" s="74"/>
      <c r="AF1560" s="74"/>
      <c r="AG1560" s="74"/>
    </row>
    <row r="1561" ht="22.5" customHeight="1">
      <c r="A1561" s="86">
        <v>45943.0</v>
      </c>
      <c r="B1561" s="63" t="s">
        <v>27</v>
      </c>
      <c r="C1561" s="79"/>
      <c r="D1561" s="80">
        <v>400010.26</v>
      </c>
      <c r="E1561" s="66" t="s">
        <v>28</v>
      </c>
      <c r="F1561" s="84" t="s">
        <v>941</v>
      </c>
      <c r="G1561" s="68">
        <v>20.0</v>
      </c>
      <c r="H1561" s="69">
        <f t="shared" si="82"/>
        <v>66668.37667</v>
      </c>
      <c r="I1561" s="76" t="s">
        <v>101</v>
      </c>
      <c r="J1561" s="136" t="s">
        <v>670</v>
      </c>
      <c r="K1561" s="95"/>
      <c r="L1561" s="95"/>
      <c r="M1561" s="95"/>
      <c r="N1561" s="72"/>
      <c r="O1561" s="140" t="s">
        <v>1207</v>
      </c>
      <c r="P1561" s="74"/>
      <c r="Q1561" s="74"/>
      <c r="R1561" s="74"/>
      <c r="S1561" s="74"/>
      <c r="T1561" s="74"/>
      <c r="U1561" s="74"/>
      <c r="V1561" s="74"/>
      <c r="W1561" s="74"/>
      <c r="X1561" s="74"/>
      <c r="Y1561" s="74"/>
      <c r="Z1561" s="74"/>
      <c r="AA1561" s="74"/>
      <c r="AB1561" s="74"/>
      <c r="AC1561" s="74"/>
      <c r="AD1561" s="74"/>
      <c r="AE1561" s="74"/>
      <c r="AF1561" s="74"/>
      <c r="AG1561" s="74"/>
    </row>
    <row r="1562" ht="22.5" customHeight="1">
      <c r="A1562" s="86">
        <v>45943.0</v>
      </c>
      <c r="B1562" s="63" t="s">
        <v>27</v>
      </c>
      <c r="C1562" s="79"/>
      <c r="D1562" s="80">
        <v>54070.1</v>
      </c>
      <c r="E1562" s="66" t="s">
        <v>28</v>
      </c>
      <c r="F1562" s="84" t="s">
        <v>941</v>
      </c>
      <c r="G1562" s="68">
        <v>0.0</v>
      </c>
      <c r="H1562" s="69">
        <f t="shared" si="82"/>
        <v>0</v>
      </c>
      <c r="I1562" s="76" t="s">
        <v>101</v>
      </c>
      <c r="J1562" s="136" t="s">
        <v>818</v>
      </c>
      <c r="K1562" s="95"/>
      <c r="L1562" s="95"/>
      <c r="M1562" s="95"/>
      <c r="N1562" s="72"/>
      <c r="O1562" s="140" t="s">
        <v>1208</v>
      </c>
      <c r="P1562" s="74"/>
      <c r="Q1562" s="74"/>
      <c r="R1562" s="74"/>
      <c r="S1562" s="74"/>
      <c r="T1562" s="74"/>
      <c r="U1562" s="74"/>
      <c r="V1562" s="74"/>
      <c r="W1562" s="74"/>
      <c r="X1562" s="74"/>
      <c r="Y1562" s="74"/>
      <c r="Z1562" s="74"/>
      <c r="AA1562" s="74"/>
      <c r="AB1562" s="74"/>
      <c r="AC1562" s="74"/>
      <c r="AD1562" s="74"/>
      <c r="AE1562" s="74"/>
      <c r="AF1562" s="74"/>
      <c r="AG1562" s="74"/>
    </row>
    <row r="1563" ht="22.5" customHeight="1">
      <c r="A1563" s="86">
        <v>45943.0</v>
      </c>
      <c r="B1563" s="63" t="s">
        <v>27</v>
      </c>
      <c r="C1563" s="79"/>
      <c r="D1563" s="80">
        <v>144320.9</v>
      </c>
      <c r="E1563" s="66" t="s">
        <v>28</v>
      </c>
      <c r="F1563" s="84" t="s">
        <v>941</v>
      </c>
      <c r="G1563" s="68">
        <v>0.0</v>
      </c>
      <c r="H1563" s="69">
        <f t="shared" si="82"/>
        <v>0</v>
      </c>
      <c r="I1563" s="76" t="s">
        <v>101</v>
      </c>
      <c r="J1563" s="136" t="s">
        <v>631</v>
      </c>
      <c r="K1563" s="95"/>
      <c r="L1563" s="95"/>
      <c r="M1563" s="95"/>
      <c r="N1563" s="72"/>
      <c r="O1563" s="140" t="s">
        <v>1209</v>
      </c>
      <c r="P1563" s="74"/>
      <c r="Q1563" s="74"/>
      <c r="R1563" s="74"/>
      <c r="S1563" s="74"/>
      <c r="T1563" s="74"/>
      <c r="U1563" s="74"/>
      <c r="V1563" s="74"/>
      <c r="W1563" s="74"/>
      <c r="X1563" s="74"/>
      <c r="Y1563" s="74"/>
      <c r="Z1563" s="74"/>
      <c r="AA1563" s="74"/>
      <c r="AB1563" s="74"/>
      <c r="AC1563" s="74"/>
      <c r="AD1563" s="74"/>
      <c r="AE1563" s="74"/>
      <c r="AF1563" s="74"/>
      <c r="AG1563" s="74"/>
    </row>
    <row r="1564" ht="22.5" customHeight="1">
      <c r="A1564" s="86">
        <v>45943.0</v>
      </c>
      <c r="B1564" s="63" t="s">
        <v>27</v>
      </c>
      <c r="C1564" s="79"/>
      <c r="D1564" s="80">
        <v>26795.76</v>
      </c>
      <c r="E1564" s="66" t="s">
        <v>28</v>
      </c>
      <c r="F1564" s="84" t="s">
        <v>941</v>
      </c>
      <c r="G1564" s="68">
        <v>20.0</v>
      </c>
      <c r="H1564" s="69">
        <f t="shared" si="82"/>
        <v>4465.96</v>
      </c>
      <c r="I1564" s="76" t="s">
        <v>101</v>
      </c>
      <c r="J1564" s="136" t="s">
        <v>1030</v>
      </c>
      <c r="K1564" s="95"/>
      <c r="L1564" s="95"/>
      <c r="M1564" s="95"/>
      <c r="N1564" s="72"/>
      <c r="O1564" s="140" t="s">
        <v>1210</v>
      </c>
      <c r="P1564" s="74"/>
      <c r="Q1564" s="74"/>
      <c r="R1564" s="74"/>
      <c r="S1564" s="74"/>
      <c r="T1564" s="74"/>
      <c r="U1564" s="74"/>
      <c r="V1564" s="74"/>
      <c r="W1564" s="74"/>
      <c r="X1564" s="74"/>
      <c r="Y1564" s="74"/>
      <c r="Z1564" s="74"/>
      <c r="AA1564" s="74"/>
      <c r="AB1564" s="74"/>
      <c r="AC1564" s="74"/>
      <c r="AD1564" s="74"/>
      <c r="AE1564" s="74"/>
      <c r="AF1564" s="74"/>
      <c r="AG1564" s="74"/>
    </row>
    <row r="1565" ht="22.5" customHeight="1">
      <c r="A1565" s="86">
        <v>45943.0</v>
      </c>
      <c r="B1565" s="63" t="s">
        <v>27</v>
      </c>
      <c r="C1565" s="79"/>
      <c r="D1565" s="80">
        <v>167311.5</v>
      </c>
      <c r="E1565" s="66" t="s">
        <v>28</v>
      </c>
      <c r="F1565" s="84" t="s">
        <v>941</v>
      </c>
      <c r="G1565" s="68">
        <v>20.0</v>
      </c>
      <c r="H1565" s="69">
        <f t="shared" si="82"/>
        <v>27885.25</v>
      </c>
      <c r="I1565" s="76" t="s">
        <v>101</v>
      </c>
      <c r="J1565" s="136" t="s">
        <v>820</v>
      </c>
      <c r="K1565" s="95"/>
      <c r="L1565" s="95"/>
      <c r="M1565" s="95"/>
      <c r="N1565" s="72"/>
      <c r="O1565" s="140" t="s">
        <v>1211</v>
      </c>
      <c r="P1565" s="74"/>
      <c r="Q1565" s="74"/>
      <c r="R1565" s="74"/>
      <c r="S1565" s="74"/>
      <c r="T1565" s="74"/>
      <c r="U1565" s="74"/>
      <c r="V1565" s="74"/>
      <c r="W1565" s="74"/>
      <c r="X1565" s="74"/>
      <c r="Y1565" s="74"/>
      <c r="Z1565" s="74"/>
      <c r="AA1565" s="74"/>
      <c r="AB1565" s="74"/>
      <c r="AC1565" s="74"/>
      <c r="AD1565" s="74"/>
      <c r="AE1565" s="74"/>
      <c r="AF1565" s="74"/>
      <c r="AG1565" s="74"/>
    </row>
    <row r="1566" ht="22.5" customHeight="1">
      <c r="A1566" s="86">
        <v>45943.0</v>
      </c>
      <c r="B1566" s="63" t="s">
        <v>27</v>
      </c>
      <c r="C1566" s="79"/>
      <c r="D1566" s="80">
        <v>61062.65</v>
      </c>
      <c r="E1566" s="66" t="s">
        <v>28</v>
      </c>
      <c r="F1566" s="84" t="s">
        <v>941</v>
      </c>
      <c r="G1566" s="68">
        <v>5.0</v>
      </c>
      <c r="H1566" s="69">
        <f t="shared" si="82"/>
        <v>2907.745238</v>
      </c>
      <c r="I1566" s="76" t="s">
        <v>101</v>
      </c>
      <c r="J1566" s="136" t="s">
        <v>1032</v>
      </c>
      <c r="K1566" s="95"/>
      <c r="L1566" s="95"/>
      <c r="M1566" s="95"/>
      <c r="N1566" s="72"/>
      <c r="O1566" s="140" t="s">
        <v>1212</v>
      </c>
      <c r="P1566" s="74"/>
      <c r="Q1566" s="74"/>
      <c r="R1566" s="74"/>
      <c r="S1566" s="74"/>
      <c r="T1566" s="74"/>
      <c r="U1566" s="74"/>
      <c r="V1566" s="74"/>
      <c r="W1566" s="74"/>
      <c r="X1566" s="74"/>
      <c r="Y1566" s="74"/>
      <c r="Z1566" s="74"/>
      <c r="AA1566" s="74"/>
      <c r="AB1566" s="74"/>
      <c r="AC1566" s="74"/>
      <c r="AD1566" s="74"/>
      <c r="AE1566" s="74"/>
      <c r="AF1566" s="74"/>
      <c r="AG1566" s="74"/>
    </row>
    <row r="1567" ht="22.5" customHeight="1">
      <c r="A1567" s="86">
        <v>45943.0</v>
      </c>
      <c r="B1567" s="63" t="s">
        <v>27</v>
      </c>
      <c r="C1567" s="79"/>
      <c r="D1567" s="80">
        <v>13389.0</v>
      </c>
      <c r="E1567" s="66" t="s">
        <v>28</v>
      </c>
      <c r="F1567" s="84" t="s">
        <v>941</v>
      </c>
      <c r="G1567" s="68">
        <v>20.0</v>
      </c>
      <c r="H1567" s="69">
        <f t="shared" si="82"/>
        <v>2231.5</v>
      </c>
      <c r="I1567" s="76" t="s">
        <v>101</v>
      </c>
      <c r="J1567" s="136" t="s">
        <v>973</v>
      </c>
      <c r="K1567" s="95"/>
      <c r="L1567" s="95"/>
      <c r="M1567" s="95"/>
      <c r="N1567" s="72"/>
      <c r="O1567" s="140" t="s">
        <v>1213</v>
      </c>
      <c r="P1567" s="74"/>
      <c r="Q1567" s="74"/>
      <c r="R1567" s="74"/>
      <c r="S1567" s="74"/>
      <c r="T1567" s="74"/>
      <c r="U1567" s="74"/>
      <c r="V1567" s="74"/>
      <c r="W1567" s="74"/>
      <c r="X1567" s="74"/>
      <c r="Y1567" s="74"/>
      <c r="Z1567" s="74"/>
      <c r="AA1567" s="74"/>
      <c r="AB1567" s="74"/>
      <c r="AC1567" s="74"/>
      <c r="AD1567" s="74"/>
      <c r="AE1567" s="74"/>
      <c r="AF1567" s="74"/>
      <c r="AG1567" s="74"/>
    </row>
    <row r="1568" ht="22.5" customHeight="1">
      <c r="A1568" s="86">
        <v>45943.0</v>
      </c>
      <c r="B1568" s="63" t="s">
        <v>27</v>
      </c>
      <c r="C1568" s="79"/>
      <c r="D1568" s="80">
        <v>406682.56</v>
      </c>
      <c r="E1568" s="66" t="s">
        <v>28</v>
      </c>
      <c r="F1568" s="84" t="s">
        <v>941</v>
      </c>
      <c r="G1568" s="68">
        <v>20.0</v>
      </c>
      <c r="H1568" s="69">
        <f t="shared" si="82"/>
        <v>67780.42667</v>
      </c>
      <c r="I1568" s="76" t="s">
        <v>101</v>
      </c>
      <c r="J1568" s="136" t="s">
        <v>597</v>
      </c>
      <c r="K1568" s="95"/>
      <c r="L1568" s="95"/>
      <c r="M1568" s="95"/>
      <c r="N1568" s="153"/>
      <c r="O1568" s="140" t="s">
        <v>1214</v>
      </c>
      <c r="P1568" s="74"/>
      <c r="Q1568" s="74"/>
      <c r="R1568" s="74"/>
      <c r="S1568" s="74"/>
      <c r="T1568" s="74"/>
      <c r="U1568" s="74"/>
      <c r="V1568" s="74"/>
      <c r="W1568" s="74"/>
      <c r="X1568" s="74"/>
      <c r="Y1568" s="74"/>
      <c r="Z1568" s="74"/>
      <c r="AA1568" s="74"/>
      <c r="AB1568" s="74"/>
      <c r="AC1568" s="74"/>
      <c r="AD1568" s="74"/>
      <c r="AE1568" s="74"/>
      <c r="AF1568" s="74"/>
      <c r="AG1568" s="74"/>
    </row>
    <row r="1569" ht="22.5" customHeight="1">
      <c r="A1569" s="86">
        <v>45943.0</v>
      </c>
      <c r="B1569" s="63" t="s">
        <v>27</v>
      </c>
      <c r="C1569" s="79"/>
      <c r="D1569" s="80">
        <v>84756.46</v>
      </c>
      <c r="E1569" s="66" t="s">
        <v>28</v>
      </c>
      <c r="F1569" s="84" t="s">
        <v>941</v>
      </c>
      <c r="G1569" s="68">
        <v>20.0</v>
      </c>
      <c r="H1569" s="69">
        <f t="shared" si="82"/>
        <v>14126.07667</v>
      </c>
      <c r="I1569" s="76" t="s">
        <v>101</v>
      </c>
      <c r="J1569" s="136" t="s">
        <v>643</v>
      </c>
      <c r="K1569" s="95"/>
      <c r="L1569" s="95"/>
      <c r="M1569" s="95"/>
      <c r="N1569" s="72"/>
      <c r="O1569" s="140" t="s">
        <v>1215</v>
      </c>
      <c r="P1569" s="74"/>
      <c r="Q1569" s="74"/>
      <c r="R1569" s="74"/>
      <c r="S1569" s="74"/>
      <c r="T1569" s="74"/>
      <c r="U1569" s="74"/>
      <c r="V1569" s="74"/>
      <c r="W1569" s="74"/>
      <c r="X1569" s="74"/>
      <c r="Y1569" s="74"/>
      <c r="Z1569" s="74"/>
      <c r="AA1569" s="74"/>
      <c r="AB1569" s="74"/>
      <c r="AC1569" s="74"/>
      <c r="AD1569" s="74"/>
      <c r="AE1569" s="74"/>
      <c r="AF1569" s="74"/>
      <c r="AG1569" s="74"/>
    </row>
    <row r="1570" ht="22.5" customHeight="1">
      <c r="A1570" s="86">
        <v>45943.0</v>
      </c>
      <c r="B1570" s="63" t="s">
        <v>27</v>
      </c>
      <c r="C1570" s="79"/>
      <c r="D1570" s="80">
        <v>26676.0</v>
      </c>
      <c r="E1570" s="66" t="s">
        <v>28</v>
      </c>
      <c r="F1570" s="84" t="s">
        <v>941</v>
      </c>
      <c r="G1570" s="68">
        <v>5.0</v>
      </c>
      <c r="H1570" s="69">
        <f t="shared" si="82"/>
        <v>1270.285714</v>
      </c>
      <c r="I1570" s="76" t="s">
        <v>101</v>
      </c>
      <c r="J1570" s="136" t="s">
        <v>671</v>
      </c>
      <c r="K1570" s="95"/>
      <c r="L1570" s="95"/>
      <c r="M1570" s="95"/>
      <c r="N1570" s="72"/>
      <c r="O1570" s="140" t="s">
        <v>1216</v>
      </c>
      <c r="P1570" s="74"/>
      <c r="Q1570" s="74"/>
      <c r="R1570" s="74"/>
      <c r="S1570" s="74"/>
      <c r="T1570" s="74"/>
      <c r="U1570" s="74"/>
      <c r="V1570" s="74"/>
      <c r="W1570" s="74"/>
      <c r="X1570" s="74"/>
      <c r="Y1570" s="74"/>
      <c r="Z1570" s="74"/>
      <c r="AA1570" s="74"/>
      <c r="AB1570" s="74"/>
      <c r="AC1570" s="74"/>
      <c r="AD1570" s="74"/>
      <c r="AE1570" s="74"/>
      <c r="AF1570" s="74"/>
      <c r="AG1570" s="74"/>
    </row>
    <row r="1571" ht="22.5" customHeight="1">
      <c r="A1571" s="86">
        <v>45943.0</v>
      </c>
      <c r="B1571" s="63" t="s">
        <v>27</v>
      </c>
      <c r="C1571" s="79"/>
      <c r="D1571" s="80">
        <v>25508.0</v>
      </c>
      <c r="E1571" s="66" t="s">
        <v>28</v>
      </c>
      <c r="F1571" s="84" t="s">
        <v>941</v>
      </c>
      <c r="G1571" s="68">
        <v>0.0</v>
      </c>
      <c r="H1571" s="69">
        <f t="shared" si="82"/>
        <v>0</v>
      </c>
      <c r="I1571" s="76" t="s">
        <v>101</v>
      </c>
      <c r="J1571" s="136" t="s">
        <v>1062</v>
      </c>
      <c r="K1571" s="95"/>
      <c r="L1571" s="95"/>
      <c r="M1571" s="95"/>
      <c r="N1571" s="72"/>
      <c r="O1571" s="140" t="s">
        <v>1217</v>
      </c>
      <c r="P1571" s="74"/>
      <c r="Q1571" s="74"/>
      <c r="R1571" s="74"/>
      <c r="S1571" s="74"/>
      <c r="T1571" s="74"/>
      <c r="U1571" s="74"/>
      <c r="V1571" s="74"/>
      <c r="W1571" s="74"/>
      <c r="X1571" s="74"/>
      <c r="Y1571" s="74"/>
      <c r="Z1571" s="74"/>
      <c r="AA1571" s="74"/>
      <c r="AB1571" s="74"/>
      <c r="AC1571" s="74"/>
      <c r="AD1571" s="74"/>
      <c r="AE1571" s="74"/>
      <c r="AF1571" s="74"/>
      <c r="AG1571" s="74"/>
    </row>
    <row r="1572" ht="22.5" customHeight="1">
      <c r="A1572" s="86">
        <v>45943.0</v>
      </c>
      <c r="B1572" s="63" t="s">
        <v>27</v>
      </c>
      <c r="C1572" s="79"/>
      <c r="D1572" s="80">
        <v>47306.44</v>
      </c>
      <c r="E1572" s="66" t="s">
        <v>28</v>
      </c>
      <c r="F1572" s="84" t="s">
        <v>941</v>
      </c>
      <c r="G1572" s="68">
        <v>20.0</v>
      </c>
      <c r="H1572" s="69">
        <f t="shared" si="82"/>
        <v>7884.406667</v>
      </c>
      <c r="I1572" s="76" t="s">
        <v>101</v>
      </c>
      <c r="J1572" s="136" t="s">
        <v>1218</v>
      </c>
      <c r="K1572" s="95"/>
      <c r="L1572" s="95"/>
      <c r="M1572" s="95"/>
      <c r="N1572" s="153"/>
      <c r="O1572" s="140" t="s">
        <v>1219</v>
      </c>
      <c r="P1572" s="74"/>
      <c r="Q1572" s="74"/>
      <c r="R1572" s="74"/>
      <c r="S1572" s="74"/>
      <c r="T1572" s="74"/>
      <c r="U1572" s="74"/>
      <c r="V1572" s="74"/>
      <c r="W1572" s="74"/>
      <c r="X1572" s="74"/>
      <c r="Y1572" s="74"/>
      <c r="Z1572" s="74"/>
      <c r="AA1572" s="74"/>
      <c r="AB1572" s="74"/>
      <c r="AC1572" s="74"/>
      <c r="AD1572" s="74"/>
      <c r="AE1572" s="74"/>
      <c r="AF1572" s="74"/>
      <c r="AG1572" s="74"/>
    </row>
    <row r="1573" ht="22.5" customHeight="1">
      <c r="A1573" s="86">
        <v>45943.0</v>
      </c>
      <c r="B1573" s="63" t="s">
        <v>27</v>
      </c>
      <c r="C1573" s="79"/>
      <c r="D1573" s="80">
        <v>14038.32</v>
      </c>
      <c r="E1573" s="66" t="s">
        <v>28</v>
      </c>
      <c r="F1573" s="84" t="s">
        <v>941</v>
      </c>
      <c r="G1573" s="68">
        <v>20.0</v>
      </c>
      <c r="H1573" s="69">
        <f t="shared" si="82"/>
        <v>2339.72</v>
      </c>
      <c r="I1573" s="76" t="s">
        <v>101</v>
      </c>
      <c r="J1573" s="136" t="s">
        <v>976</v>
      </c>
      <c r="K1573" s="95"/>
      <c r="L1573" s="95"/>
      <c r="M1573" s="95"/>
      <c r="N1573" s="153"/>
      <c r="O1573" s="140" t="s">
        <v>1220</v>
      </c>
      <c r="P1573" s="74"/>
      <c r="Q1573" s="74"/>
      <c r="R1573" s="74"/>
      <c r="S1573" s="74"/>
      <c r="T1573" s="74"/>
      <c r="U1573" s="74"/>
      <c r="V1573" s="74"/>
      <c r="W1573" s="74"/>
      <c r="X1573" s="74"/>
      <c r="Y1573" s="74"/>
      <c r="Z1573" s="74"/>
      <c r="AA1573" s="74"/>
      <c r="AB1573" s="74"/>
      <c r="AC1573" s="74"/>
      <c r="AD1573" s="74"/>
      <c r="AE1573" s="74"/>
      <c r="AF1573" s="74"/>
      <c r="AG1573" s="74"/>
    </row>
    <row r="1574" ht="22.5" customHeight="1">
      <c r="A1574" s="86">
        <v>45943.0</v>
      </c>
      <c r="B1574" s="63" t="s">
        <v>27</v>
      </c>
      <c r="C1574" s="79"/>
      <c r="D1574" s="80">
        <v>30900.0</v>
      </c>
      <c r="E1574" s="66" t="s">
        <v>28</v>
      </c>
      <c r="F1574" s="84" t="s">
        <v>941</v>
      </c>
      <c r="G1574" s="68">
        <v>0.0</v>
      </c>
      <c r="H1574" s="69">
        <f t="shared" si="82"/>
        <v>0</v>
      </c>
      <c r="I1574" s="76" t="s">
        <v>286</v>
      </c>
      <c r="J1574" s="87" t="s">
        <v>454</v>
      </c>
      <c r="K1574" s="95"/>
      <c r="L1574" s="95"/>
      <c r="M1574" s="95"/>
      <c r="N1574" s="153"/>
      <c r="O1574" s="140" t="s">
        <v>1221</v>
      </c>
      <c r="P1574" s="74"/>
      <c r="Q1574" s="74"/>
      <c r="R1574" s="74"/>
      <c r="S1574" s="74"/>
      <c r="T1574" s="74"/>
      <c r="U1574" s="74"/>
      <c r="V1574" s="74"/>
      <c r="W1574" s="74"/>
      <c r="X1574" s="74"/>
      <c r="Y1574" s="74"/>
      <c r="Z1574" s="74"/>
      <c r="AA1574" s="74"/>
      <c r="AB1574" s="74"/>
      <c r="AC1574" s="74"/>
      <c r="AD1574" s="74"/>
      <c r="AE1574" s="74"/>
      <c r="AF1574" s="74"/>
      <c r="AG1574" s="74"/>
    </row>
    <row r="1575" ht="22.5" customHeight="1">
      <c r="A1575" s="86">
        <v>45943.0</v>
      </c>
      <c r="B1575" s="63" t="s">
        <v>27</v>
      </c>
      <c r="C1575" s="79"/>
      <c r="D1575" s="80">
        <v>244469.58</v>
      </c>
      <c r="E1575" s="66" t="s">
        <v>28</v>
      </c>
      <c r="F1575" s="84" t="s">
        <v>941</v>
      </c>
      <c r="G1575" s="68">
        <v>20.0</v>
      </c>
      <c r="H1575" s="69">
        <f t="shared" si="82"/>
        <v>40744.93</v>
      </c>
      <c r="I1575" s="76" t="s">
        <v>44</v>
      </c>
      <c r="J1575" s="98" t="s">
        <v>134</v>
      </c>
      <c r="K1575" s="95"/>
      <c r="L1575" s="95"/>
      <c r="M1575" s="95"/>
      <c r="N1575" s="153"/>
      <c r="O1575" s="140" t="s">
        <v>1222</v>
      </c>
      <c r="P1575" s="74"/>
      <c r="Q1575" s="74"/>
      <c r="R1575" s="74"/>
      <c r="S1575" s="74"/>
      <c r="T1575" s="74"/>
      <c r="U1575" s="74"/>
      <c r="V1575" s="74"/>
      <c r="W1575" s="74"/>
      <c r="X1575" s="74"/>
      <c r="Y1575" s="74"/>
      <c r="Z1575" s="74"/>
      <c r="AA1575" s="74"/>
      <c r="AB1575" s="74"/>
      <c r="AC1575" s="74"/>
      <c r="AD1575" s="74"/>
      <c r="AE1575" s="74"/>
      <c r="AF1575" s="74"/>
      <c r="AG1575" s="74"/>
    </row>
    <row r="1576" ht="22.5" customHeight="1">
      <c r="A1576" s="86">
        <v>45943.0</v>
      </c>
      <c r="B1576" s="63" t="s">
        <v>27</v>
      </c>
      <c r="C1576" s="80">
        <v>261660.0</v>
      </c>
      <c r="D1576" s="79"/>
      <c r="E1576" s="66" t="s">
        <v>28</v>
      </c>
      <c r="F1576" s="84" t="s">
        <v>941</v>
      </c>
      <c r="G1576" s="68">
        <v>20.0</v>
      </c>
      <c r="H1576" s="69">
        <f t="shared" si="82"/>
        <v>43610</v>
      </c>
      <c r="I1576" s="76" t="s">
        <v>37</v>
      </c>
      <c r="J1576" s="87" t="s">
        <v>539</v>
      </c>
      <c r="K1576" s="82" t="s">
        <v>1223</v>
      </c>
      <c r="L1576" s="82">
        <v>300.0</v>
      </c>
      <c r="M1576" s="128">
        <v>45880.0</v>
      </c>
      <c r="N1576" s="153">
        <f>TODAY()-M1576-60</f>
        <v>248</v>
      </c>
      <c r="O1576" s="96"/>
      <c r="P1576" s="74"/>
      <c r="Q1576" s="74"/>
      <c r="R1576" s="74"/>
      <c r="S1576" s="74"/>
      <c r="T1576" s="74"/>
      <c r="U1576" s="74"/>
      <c r="V1576" s="74"/>
      <c r="W1576" s="74"/>
      <c r="X1576" s="74"/>
      <c r="Y1576" s="74"/>
      <c r="Z1576" s="74"/>
      <c r="AA1576" s="74"/>
      <c r="AB1576" s="74"/>
      <c r="AC1576" s="74"/>
      <c r="AD1576" s="74"/>
      <c r="AE1576" s="74"/>
      <c r="AF1576" s="74"/>
      <c r="AG1576" s="74"/>
    </row>
    <row r="1577" ht="22.5" customHeight="1">
      <c r="A1577" s="86">
        <v>45943.0</v>
      </c>
      <c r="B1577" s="63" t="s">
        <v>27</v>
      </c>
      <c r="C1577" s="79"/>
      <c r="D1577" s="80">
        <v>360000.0</v>
      </c>
      <c r="E1577" s="66" t="s">
        <v>28</v>
      </c>
      <c r="F1577" s="67" t="s">
        <v>1002</v>
      </c>
      <c r="G1577" s="68">
        <v>20.0</v>
      </c>
      <c r="H1577" s="69">
        <f t="shared" si="82"/>
        <v>60000</v>
      </c>
      <c r="I1577" s="76" t="s">
        <v>30</v>
      </c>
      <c r="J1577" s="98" t="s">
        <v>609</v>
      </c>
      <c r="K1577" s="95"/>
      <c r="L1577" s="95"/>
      <c r="M1577" s="95"/>
      <c r="N1577" s="153"/>
      <c r="O1577" s="96"/>
      <c r="P1577" s="74"/>
      <c r="Q1577" s="74"/>
      <c r="R1577" s="74"/>
      <c r="S1577" s="74"/>
      <c r="T1577" s="74"/>
      <c r="U1577" s="74"/>
      <c r="V1577" s="74"/>
      <c r="W1577" s="74"/>
      <c r="X1577" s="74"/>
      <c r="Y1577" s="74"/>
      <c r="Z1577" s="74"/>
      <c r="AA1577" s="74"/>
      <c r="AB1577" s="74"/>
      <c r="AC1577" s="74"/>
      <c r="AD1577" s="74"/>
      <c r="AE1577" s="74"/>
      <c r="AF1577" s="74"/>
      <c r="AG1577" s="74"/>
    </row>
    <row r="1578" ht="22.5" customHeight="1">
      <c r="A1578" s="86">
        <v>45943.0</v>
      </c>
      <c r="B1578" s="63" t="s">
        <v>27</v>
      </c>
      <c r="C1578" s="79"/>
      <c r="D1578" s="79">
        <f>28300+28300+49679</f>
        <v>106279</v>
      </c>
      <c r="E1578" s="66" t="s">
        <v>28</v>
      </c>
      <c r="F1578" s="67" t="s">
        <v>1099</v>
      </c>
      <c r="G1578" s="68">
        <v>5.0</v>
      </c>
      <c r="H1578" s="69">
        <f t="shared" si="82"/>
        <v>5060.904762</v>
      </c>
      <c r="I1578" s="104" t="s">
        <v>233</v>
      </c>
      <c r="J1578" s="87" t="s">
        <v>968</v>
      </c>
      <c r="K1578" s="95"/>
      <c r="L1578" s="95"/>
      <c r="M1578" s="95"/>
      <c r="N1578" s="153"/>
      <c r="O1578" s="96"/>
      <c r="P1578" s="74"/>
      <c r="Q1578" s="74"/>
      <c r="R1578" s="74"/>
      <c r="S1578" s="74"/>
      <c r="T1578" s="74"/>
      <c r="U1578" s="74"/>
      <c r="V1578" s="74"/>
      <c r="W1578" s="74"/>
      <c r="X1578" s="74"/>
      <c r="Y1578" s="74"/>
      <c r="Z1578" s="74"/>
      <c r="AA1578" s="74"/>
      <c r="AB1578" s="74"/>
      <c r="AC1578" s="74"/>
      <c r="AD1578" s="74"/>
      <c r="AE1578" s="74"/>
      <c r="AF1578" s="74"/>
      <c r="AG1578" s="74"/>
    </row>
    <row r="1579" ht="22.5" customHeight="1">
      <c r="A1579" s="86">
        <v>45943.0</v>
      </c>
      <c r="B1579" s="63" t="s">
        <v>27</v>
      </c>
      <c r="C1579" s="79"/>
      <c r="D1579" s="80">
        <v>550000.0</v>
      </c>
      <c r="E1579" s="66" t="s">
        <v>28</v>
      </c>
      <c r="F1579" s="67" t="s">
        <v>1099</v>
      </c>
      <c r="G1579" s="68">
        <v>0.0</v>
      </c>
      <c r="H1579" s="69">
        <f t="shared" si="82"/>
        <v>0</v>
      </c>
      <c r="I1579" s="76" t="s">
        <v>504</v>
      </c>
      <c r="J1579" s="98" t="s">
        <v>505</v>
      </c>
      <c r="K1579" s="95"/>
      <c r="L1579" s="95"/>
      <c r="M1579" s="95"/>
      <c r="N1579" s="153"/>
      <c r="O1579" s="154" t="s">
        <v>1224</v>
      </c>
      <c r="P1579" s="74"/>
      <c r="Q1579" s="74"/>
      <c r="R1579" s="74"/>
      <c r="S1579" s="74"/>
      <c r="T1579" s="74"/>
      <c r="U1579" s="74"/>
      <c r="V1579" s="74"/>
      <c r="W1579" s="74"/>
      <c r="X1579" s="74"/>
      <c r="Y1579" s="74"/>
      <c r="Z1579" s="74"/>
      <c r="AA1579" s="74"/>
      <c r="AB1579" s="74"/>
      <c r="AC1579" s="74"/>
      <c r="AD1579" s="74"/>
      <c r="AE1579" s="74"/>
      <c r="AF1579" s="74"/>
      <c r="AG1579" s="74"/>
    </row>
    <row r="1580" ht="22.5" customHeight="1">
      <c r="A1580" s="86">
        <v>45944.0</v>
      </c>
      <c r="B1580" s="63" t="s">
        <v>27</v>
      </c>
      <c r="C1580" s="79"/>
      <c r="D1580" s="80">
        <v>21502.8</v>
      </c>
      <c r="E1580" s="66" t="s">
        <v>28</v>
      </c>
      <c r="F1580" s="67" t="s">
        <v>1002</v>
      </c>
      <c r="G1580" s="68">
        <v>0.0</v>
      </c>
      <c r="H1580" s="69">
        <f t="shared" si="82"/>
        <v>0</v>
      </c>
      <c r="I1580" s="76" t="s">
        <v>495</v>
      </c>
      <c r="J1580" s="98" t="s">
        <v>745</v>
      </c>
      <c r="K1580" s="95"/>
      <c r="L1580" s="95"/>
      <c r="M1580" s="95"/>
      <c r="N1580" s="153"/>
      <c r="O1580" s="140" t="s">
        <v>1225</v>
      </c>
      <c r="P1580" s="74"/>
      <c r="Q1580" s="74"/>
      <c r="R1580" s="74"/>
      <c r="S1580" s="74"/>
      <c r="T1580" s="74"/>
      <c r="U1580" s="74"/>
      <c r="V1580" s="74"/>
      <c r="W1580" s="74"/>
      <c r="X1580" s="74"/>
      <c r="Y1580" s="74"/>
      <c r="Z1580" s="74"/>
      <c r="AA1580" s="74"/>
      <c r="AB1580" s="74"/>
      <c r="AC1580" s="74"/>
      <c r="AD1580" s="74"/>
      <c r="AE1580" s="74"/>
      <c r="AF1580" s="74"/>
      <c r="AG1580" s="74"/>
    </row>
    <row r="1581" ht="22.5" customHeight="1">
      <c r="A1581" s="86">
        <v>45944.0</v>
      </c>
      <c r="B1581" s="63" t="s">
        <v>27</v>
      </c>
      <c r="C1581" s="79"/>
      <c r="D1581" s="80">
        <v>22516.4</v>
      </c>
      <c r="E1581" s="66" t="s">
        <v>28</v>
      </c>
      <c r="F1581" s="67" t="s">
        <v>1002</v>
      </c>
      <c r="G1581" s="68">
        <v>0.0</v>
      </c>
      <c r="H1581" s="69">
        <f t="shared" si="82"/>
        <v>0</v>
      </c>
      <c r="I1581" s="76" t="s">
        <v>495</v>
      </c>
      <c r="J1581" s="98" t="s">
        <v>745</v>
      </c>
      <c r="K1581" s="95"/>
      <c r="L1581" s="95"/>
      <c r="M1581" s="95"/>
      <c r="N1581" s="153"/>
      <c r="O1581" s="140" t="s">
        <v>1226</v>
      </c>
      <c r="P1581" s="74"/>
      <c r="Q1581" s="74"/>
      <c r="R1581" s="74"/>
      <c r="S1581" s="74"/>
      <c r="T1581" s="74"/>
      <c r="U1581" s="74"/>
      <c r="V1581" s="74"/>
      <c r="W1581" s="74"/>
      <c r="X1581" s="74"/>
      <c r="Y1581" s="74"/>
      <c r="Z1581" s="74"/>
      <c r="AA1581" s="74"/>
      <c r="AB1581" s="74"/>
      <c r="AC1581" s="74"/>
      <c r="AD1581" s="74"/>
      <c r="AE1581" s="74"/>
      <c r="AF1581" s="74"/>
      <c r="AG1581" s="74"/>
    </row>
    <row r="1582" ht="22.5" customHeight="1">
      <c r="A1582" s="86">
        <v>45944.0</v>
      </c>
      <c r="B1582" s="63" t="s">
        <v>27</v>
      </c>
      <c r="C1582" s="79"/>
      <c r="D1582" s="80">
        <v>4048.46</v>
      </c>
      <c r="E1582" s="66" t="s">
        <v>28</v>
      </c>
      <c r="F1582" s="67" t="s">
        <v>1002</v>
      </c>
      <c r="G1582" s="68">
        <v>0.0</v>
      </c>
      <c r="H1582" s="69">
        <f t="shared" si="82"/>
        <v>0</v>
      </c>
      <c r="I1582" s="76" t="s">
        <v>495</v>
      </c>
      <c r="J1582" s="98" t="s">
        <v>745</v>
      </c>
      <c r="K1582" s="95"/>
      <c r="L1582" s="95"/>
      <c r="M1582" s="95"/>
      <c r="N1582" s="153"/>
      <c r="O1582" s="140" t="s">
        <v>1227</v>
      </c>
      <c r="P1582" s="74"/>
      <c r="Q1582" s="74"/>
      <c r="R1582" s="74"/>
      <c r="S1582" s="74"/>
      <c r="T1582" s="74"/>
      <c r="U1582" s="74"/>
      <c r="V1582" s="74"/>
      <c r="W1582" s="74"/>
      <c r="X1582" s="74"/>
      <c r="Y1582" s="74"/>
      <c r="Z1582" s="74"/>
      <c r="AA1582" s="74"/>
      <c r="AB1582" s="74"/>
      <c r="AC1582" s="74"/>
      <c r="AD1582" s="74"/>
      <c r="AE1582" s="74"/>
      <c r="AF1582" s="74"/>
      <c r="AG1582" s="74"/>
    </row>
    <row r="1583" ht="22.5" customHeight="1">
      <c r="A1583" s="86">
        <v>45944.0</v>
      </c>
      <c r="B1583" s="63" t="s">
        <v>27</v>
      </c>
      <c r="C1583" s="79"/>
      <c r="D1583" s="80">
        <v>20400.0</v>
      </c>
      <c r="E1583" s="66" t="s">
        <v>28</v>
      </c>
      <c r="F1583" s="67" t="s">
        <v>1179</v>
      </c>
      <c r="G1583" s="68">
        <v>20.0</v>
      </c>
      <c r="H1583" s="69">
        <f t="shared" si="82"/>
        <v>3400</v>
      </c>
      <c r="I1583" s="76" t="s">
        <v>495</v>
      </c>
      <c r="J1583" s="98" t="s">
        <v>910</v>
      </c>
      <c r="K1583" s="95"/>
      <c r="L1583" s="95"/>
      <c r="M1583" s="95"/>
      <c r="N1583" s="153"/>
      <c r="O1583" s="154" t="s">
        <v>1228</v>
      </c>
      <c r="P1583" s="74"/>
      <c r="Q1583" s="74"/>
      <c r="R1583" s="74"/>
      <c r="S1583" s="74"/>
      <c r="T1583" s="74"/>
      <c r="U1583" s="74"/>
      <c r="V1583" s="74"/>
      <c r="W1583" s="74"/>
      <c r="X1583" s="74"/>
      <c r="Y1583" s="74"/>
      <c r="Z1583" s="74"/>
      <c r="AA1583" s="74"/>
      <c r="AB1583" s="74"/>
      <c r="AC1583" s="74"/>
      <c r="AD1583" s="74"/>
      <c r="AE1583" s="74"/>
      <c r="AF1583" s="74"/>
      <c r="AG1583" s="74"/>
    </row>
    <row r="1584" ht="22.5" customHeight="1">
      <c r="A1584" s="86">
        <v>45944.0</v>
      </c>
      <c r="B1584" s="63" t="s">
        <v>27</v>
      </c>
      <c r="C1584" s="79"/>
      <c r="D1584" s="80">
        <v>22516.4</v>
      </c>
      <c r="E1584" s="66" t="s">
        <v>28</v>
      </c>
      <c r="F1584" s="67" t="s">
        <v>1002</v>
      </c>
      <c r="G1584" s="68">
        <v>0.0</v>
      </c>
      <c r="H1584" s="69">
        <f t="shared" si="82"/>
        <v>0</v>
      </c>
      <c r="I1584" s="76" t="s">
        <v>495</v>
      </c>
      <c r="J1584" s="98" t="s">
        <v>745</v>
      </c>
      <c r="K1584" s="95"/>
      <c r="L1584" s="95"/>
      <c r="M1584" s="95"/>
      <c r="N1584" s="153"/>
      <c r="O1584" s="140" t="s">
        <v>1229</v>
      </c>
      <c r="P1584" s="74"/>
      <c r="Q1584" s="74"/>
      <c r="R1584" s="74"/>
      <c r="S1584" s="74"/>
      <c r="T1584" s="74"/>
      <c r="U1584" s="74"/>
      <c r="V1584" s="74"/>
      <c r="W1584" s="74"/>
      <c r="X1584" s="74"/>
      <c r="Y1584" s="74"/>
      <c r="Z1584" s="74"/>
      <c r="AA1584" s="74"/>
      <c r="AB1584" s="74"/>
      <c r="AC1584" s="74"/>
      <c r="AD1584" s="74"/>
      <c r="AE1584" s="74"/>
      <c r="AF1584" s="74"/>
      <c r="AG1584" s="74"/>
    </row>
    <row r="1585" ht="22.5" customHeight="1">
      <c r="A1585" s="86">
        <v>45944.0</v>
      </c>
      <c r="B1585" s="63" t="s">
        <v>27</v>
      </c>
      <c r="C1585" s="79"/>
      <c r="D1585" s="80">
        <v>16652.0</v>
      </c>
      <c r="E1585" s="66" t="s">
        <v>28</v>
      </c>
      <c r="F1585" s="84" t="s">
        <v>897</v>
      </c>
      <c r="G1585" s="68">
        <v>0.0</v>
      </c>
      <c r="H1585" s="69">
        <f t="shared" si="82"/>
        <v>0</v>
      </c>
      <c r="I1585" s="76" t="s">
        <v>495</v>
      </c>
      <c r="J1585" s="98" t="s">
        <v>745</v>
      </c>
      <c r="K1585" s="95"/>
      <c r="L1585" s="95"/>
      <c r="M1585" s="95"/>
      <c r="N1585" s="153"/>
      <c r="O1585" s="96"/>
      <c r="P1585" s="74"/>
      <c r="Q1585" s="74"/>
      <c r="R1585" s="74"/>
      <c r="S1585" s="74"/>
      <c r="T1585" s="74"/>
      <c r="U1585" s="74"/>
      <c r="V1585" s="74"/>
      <c r="W1585" s="74"/>
      <c r="X1585" s="74"/>
      <c r="Y1585" s="74"/>
      <c r="Z1585" s="74"/>
      <c r="AA1585" s="74"/>
      <c r="AB1585" s="74"/>
      <c r="AC1585" s="74"/>
      <c r="AD1585" s="74"/>
      <c r="AE1585" s="74"/>
      <c r="AF1585" s="74"/>
      <c r="AG1585" s="74"/>
    </row>
    <row r="1586" ht="22.5" customHeight="1">
      <c r="A1586" s="86">
        <v>45944.0</v>
      </c>
      <c r="B1586" s="63" t="s">
        <v>27</v>
      </c>
      <c r="C1586" s="79"/>
      <c r="D1586" s="80">
        <v>53192.0</v>
      </c>
      <c r="E1586" s="66" t="s">
        <v>28</v>
      </c>
      <c r="F1586" s="67" t="s">
        <v>1099</v>
      </c>
      <c r="G1586" s="68">
        <v>0.0</v>
      </c>
      <c r="H1586" s="69">
        <f t="shared" si="82"/>
        <v>0</v>
      </c>
      <c r="I1586" s="76" t="s">
        <v>61</v>
      </c>
      <c r="J1586" s="98" t="s">
        <v>901</v>
      </c>
      <c r="K1586" s="95"/>
      <c r="L1586" s="95"/>
      <c r="M1586" s="95"/>
      <c r="N1586" s="153"/>
      <c r="O1586" s="96"/>
      <c r="P1586" s="74"/>
      <c r="Q1586" s="74"/>
      <c r="R1586" s="74"/>
      <c r="S1586" s="74"/>
      <c r="T1586" s="74"/>
      <c r="U1586" s="74"/>
      <c r="V1586" s="74"/>
      <c r="W1586" s="74"/>
      <c r="X1586" s="74"/>
      <c r="Y1586" s="74"/>
      <c r="Z1586" s="74"/>
      <c r="AA1586" s="74"/>
      <c r="AB1586" s="74"/>
      <c r="AC1586" s="74"/>
      <c r="AD1586" s="74"/>
      <c r="AE1586" s="74"/>
      <c r="AF1586" s="74"/>
      <c r="AG1586" s="74"/>
    </row>
    <row r="1587" ht="22.5" customHeight="1">
      <c r="A1587" s="86">
        <v>45944.0</v>
      </c>
      <c r="B1587" s="63" t="s">
        <v>27</v>
      </c>
      <c r="C1587" s="79"/>
      <c r="D1587" s="80">
        <v>95745.0</v>
      </c>
      <c r="E1587" s="66" t="s">
        <v>28</v>
      </c>
      <c r="F1587" s="67" t="s">
        <v>1099</v>
      </c>
      <c r="G1587" s="68">
        <v>0.0</v>
      </c>
      <c r="H1587" s="69">
        <f t="shared" si="82"/>
        <v>0</v>
      </c>
      <c r="I1587" s="76" t="s">
        <v>61</v>
      </c>
      <c r="J1587" s="98" t="s">
        <v>901</v>
      </c>
      <c r="K1587" s="95"/>
      <c r="L1587" s="95"/>
      <c r="M1587" s="95"/>
      <c r="N1587" s="153"/>
      <c r="O1587" s="96"/>
      <c r="P1587" s="74"/>
      <c r="Q1587" s="74"/>
      <c r="R1587" s="74"/>
      <c r="S1587" s="74"/>
      <c r="T1587" s="74"/>
      <c r="U1587" s="74"/>
      <c r="V1587" s="74"/>
      <c r="W1587" s="74"/>
      <c r="X1587" s="74"/>
      <c r="Y1587" s="74"/>
      <c r="Z1587" s="74"/>
      <c r="AA1587" s="74"/>
      <c r="AB1587" s="74"/>
      <c r="AC1587" s="74"/>
      <c r="AD1587" s="74"/>
      <c r="AE1587" s="74"/>
      <c r="AF1587" s="74"/>
      <c r="AG1587" s="74"/>
    </row>
    <row r="1588" ht="22.5" customHeight="1">
      <c r="A1588" s="86">
        <v>45944.0</v>
      </c>
      <c r="B1588" s="63" t="s">
        <v>27</v>
      </c>
      <c r="C1588" s="79"/>
      <c r="D1588" s="80">
        <v>217200.0</v>
      </c>
      <c r="E1588" s="66" t="s">
        <v>28</v>
      </c>
      <c r="F1588" s="67" t="s">
        <v>1179</v>
      </c>
      <c r="G1588" s="68">
        <v>0.0</v>
      </c>
      <c r="H1588" s="69">
        <f t="shared" si="82"/>
        <v>0</v>
      </c>
      <c r="I1588" s="76" t="s">
        <v>495</v>
      </c>
      <c r="J1588" s="98" t="s">
        <v>691</v>
      </c>
      <c r="K1588" s="95"/>
      <c r="L1588" s="95"/>
      <c r="M1588" s="95"/>
      <c r="N1588" s="153"/>
      <c r="O1588" s="96"/>
      <c r="P1588" s="74"/>
      <c r="Q1588" s="74"/>
      <c r="R1588" s="74"/>
      <c r="S1588" s="74"/>
      <c r="T1588" s="74"/>
      <c r="U1588" s="74"/>
      <c r="V1588" s="74"/>
      <c r="W1588" s="74"/>
      <c r="X1588" s="74"/>
      <c r="Y1588" s="74"/>
      <c r="Z1588" s="74"/>
      <c r="AA1588" s="74"/>
      <c r="AB1588" s="74"/>
      <c r="AC1588" s="74"/>
      <c r="AD1588" s="74"/>
      <c r="AE1588" s="74"/>
      <c r="AF1588" s="74"/>
      <c r="AG1588" s="74"/>
    </row>
    <row r="1589" ht="22.5" customHeight="1">
      <c r="A1589" s="86">
        <v>45944.0</v>
      </c>
      <c r="B1589" s="63" t="s">
        <v>27</v>
      </c>
      <c r="C1589" s="80">
        <v>1200000.48</v>
      </c>
      <c r="D1589" s="79"/>
      <c r="E1589" s="66" t="s">
        <v>28</v>
      </c>
      <c r="F1589" s="84" t="s">
        <v>897</v>
      </c>
      <c r="G1589" s="68">
        <v>20.0</v>
      </c>
      <c r="H1589" s="69">
        <f t="shared" si="82"/>
        <v>200000.08</v>
      </c>
      <c r="I1589" s="76" t="s">
        <v>37</v>
      </c>
      <c r="J1589" s="87" t="s">
        <v>474</v>
      </c>
      <c r="K1589" s="82" t="s">
        <v>1192</v>
      </c>
      <c r="L1589" s="82">
        <v>257.0</v>
      </c>
      <c r="M1589" s="128">
        <v>45842.0</v>
      </c>
      <c r="N1589" s="153">
        <f t="shared" ref="N1589:N1592" si="94">TODAY()-M1589-60</f>
        <v>286</v>
      </c>
      <c r="O1589" s="96"/>
      <c r="P1589" s="74"/>
      <c r="Q1589" s="74"/>
      <c r="R1589" s="74"/>
      <c r="S1589" s="74"/>
      <c r="T1589" s="74"/>
      <c r="U1589" s="74"/>
      <c r="V1589" s="74"/>
      <c r="W1589" s="74"/>
      <c r="X1589" s="74"/>
      <c r="Y1589" s="74"/>
      <c r="Z1589" s="74"/>
      <c r="AA1589" s="74"/>
      <c r="AB1589" s="74"/>
      <c r="AC1589" s="74"/>
      <c r="AD1589" s="74"/>
      <c r="AE1589" s="74"/>
      <c r="AF1589" s="74"/>
      <c r="AG1589" s="74"/>
    </row>
    <row r="1590" ht="22.5" customHeight="1">
      <c r="A1590" s="86">
        <v>45944.0</v>
      </c>
      <c r="B1590" s="63" t="s">
        <v>27</v>
      </c>
      <c r="C1590" s="80">
        <v>2106720.24</v>
      </c>
      <c r="D1590" s="79"/>
      <c r="E1590" s="66" t="s">
        <v>28</v>
      </c>
      <c r="F1590" s="84" t="s">
        <v>897</v>
      </c>
      <c r="G1590" s="68">
        <v>20.0</v>
      </c>
      <c r="H1590" s="69">
        <f t="shared" si="82"/>
        <v>351120.04</v>
      </c>
      <c r="I1590" s="76" t="s">
        <v>37</v>
      </c>
      <c r="J1590" s="87" t="s">
        <v>474</v>
      </c>
      <c r="K1590" s="82" t="s">
        <v>1061</v>
      </c>
      <c r="L1590" s="82">
        <v>258.0</v>
      </c>
      <c r="M1590" s="128">
        <v>45842.0</v>
      </c>
      <c r="N1590" s="153">
        <f t="shared" si="94"/>
        <v>286</v>
      </c>
      <c r="O1590" s="96"/>
      <c r="P1590" s="74"/>
      <c r="Q1590" s="74"/>
      <c r="R1590" s="74"/>
      <c r="S1590" s="74"/>
      <c r="T1590" s="74"/>
      <c r="U1590" s="74"/>
      <c r="V1590" s="74"/>
      <c r="W1590" s="74"/>
      <c r="X1590" s="74"/>
      <c r="Y1590" s="74"/>
      <c r="Z1590" s="74"/>
      <c r="AA1590" s="74"/>
      <c r="AB1590" s="74"/>
      <c r="AC1590" s="74"/>
      <c r="AD1590" s="74"/>
      <c r="AE1590" s="74"/>
      <c r="AF1590" s="74"/>
      <c r="AG1590" s="74"/>
    </row>
    <row r="1591" ht="22.5" customHeight="1">
      <c r="A1591" s="86">
        <v>45944.0</v>
      </c>
      <c r="B1591" s="63" t="s">
        <v>27</v>
      </c>
      <c r="C1591" s="80">
        <v>600000.24</v>
      </c>
      <c r="D1591" s="79"/>
      <c r="E1591" s="66" t="s">
        <v>28</v>
      </c>
      <c r="F1591" s="84" t="s">
        <v>941</v>
      </c>
      <c r="G1591" s="68">
        <v>20.0</v>
      </c>
      <c r="H1591" s="69">
        <f t="shared" si="82"/>
        <v>100000.04</v>
      </c>
      <c r="I1591" s="76" t="s">
        <v>37</v>
      </c>
      <c r="J1591" s="87" t="s">
        <v>474</v>
      </c>
      <c r="K1591" s="82" t="s">
        <v>1230</v>
      </c>
      <c r="L1591" s="82">
        <v>286.0</v>
      </c>
      <c r="M1591" s="128">
        <v>45877.0</v>
      </c>
      <c r="N1591" s="153">
        <f t="shared" si="94"/>
        <v>251</v>
      </c>
      <c r="O1591" s="96"/>
      <c r="P1591" s="74"/>
      <c r="Q1591" s="74"/>
      <c r="R1591" s="74"/>
      <c r="S1591" s="74"/>
      <c r="T1591" s="74"/>
      <c r="U1591" s="74"/>
      <c r="V1591" s="74"/>
      <c r="W1591" s="74"/>
      <c r="X1591" s="74"/>
      <c r="Y1591" s="74"/>
      <c r="Z1591" s="74"/>
      <c r="AA1591" s="74"/>
      <c r="AB1591" s="74"/>
      <c r="AC1591" s="74"/>
      <c r="AD1591" s="74"/>
      <c r="AE1591" s="74"/>
      <c r="AF1591" s="74"/>
      <c r="AG1591" s="74"/>
    </row>
    <row r="1592" ht="22.5" customHeight="1">
      <c r="A1592" s="86">
        <v>45944.0</v>
      </c>
      <c r="B1592" s="63" t="s">
        <v>27</v>
      </c>
      <c r="C1592" s="80">
        <v>600000.24</v>
      </c>
      <c r="D1592" s="79"/>
      <c r="E1592" s="66" t="s">
        <v>28</v>
      </c>
      <c r="F1592" s="84" t="s">
        <v>941</v>
      </c>
      <c r="G1592" s="68">
        <v>20.0</v>
      </c>
      <c r="H1592" s="69">
        <f t="shared" si="82"/>
        <v>100000.04</v>
      </c>
      <c r="I1592" s="76" t="s">
        <v>37</v>
      </c>
      <c r="J1592" s="87" t="s">
        <v>474</v>
      </c>
      <c r="K1592" s="82" t="s">
        <v>1163</v>
      </c>
      <c r="L1592" s="82">
        <v>287.0</v>
      </c>
      <c r="M1592" s="128">
        <v>45877.0</v>
      </c>
      <c r="N1592" s="153">
        <f t="shared" si="94"/>
        <v>251</v>
      </c>
      <c r="O1592" s="96"/>
      <c r="P1592" s="74"/>
      <c r="Q1592" s="74"/>
      <c r="R1592" s="74"/>
      <c r="S1592" s="74"/>
      <c r="T1592" s="74"/>
      <c r="U1592" s="74"/>
      <c r="V1592" s="74"/>
      <c r="W1592" s="74"/>
      <c r="X1592" s="74"/>
      <c r="Y1592" s="74"/>
      <c r="Z1592" s="74"/>
      <c r="AA1592" s="74"/>
      <c r="AB1592" s="74"/>
      <c r="AC1592" s="74"/>
      <c r="AD1592" s="74"/>
      <c r="AE1592" s="74"/>
      <c r="AF1592" s="74"/>
      <c r="AG1592" s="74"/>
    </row>
    <row r="1593" ht="22.5" customHeight="1">
      <c r="A1593" s="86">
        <v>45944.0</v>
      </c>
      <c r="B1593" s="63" t="s">
        <v>27</v>
      </c>
      <c r="C1593" s="79"/>
      <c r="D1593" s="80">
        <v>20380.0</v>
      </c>
      <c r="E1593" s="66" t="s">
        <v>33</v>
      </c>
      <c r="F1593" s="67" t="s">
        <v>1099</v>
      </c>
      <c r="G1593" s="68">
        <v>0.0</v>
      </c>
      <c r="H1593" s="69">
        <f t="shared" si="82"/>
        <v>0</v>
      </c>
      <c r="I1593" s="76" t="s">
        <v>490</v>
      </c>
      <c r="J1593" s="98" t="s">
        <v>1231</v>
      </c>
      <c r="K1593" s="95"/>
      <c r="L1593" s="95"/>
      <c r="M1593" s="95"/>
      <c r="N1593" s="153"/>
      <c r="O1593" s="96"/>
      <c r="P1593" s="74"/>
      <c r="Q1593" s="74"/>
      <c r="R1593" s="74"/>
      <c r="S1593" s="74"/>
      <c r="T1593" s="74"/>
      <c r="U1593" s="74"/>
      <c r="V1593" s="74"/>
      <c r="W1593" s="74"/>
      <c r="X1593" s="74"/>
      <c r="Y1593" s="74"/>
      <c r="Z1593" s="74"/>
      <c r="AA1593" s="74"/>
      <c r="AB1593" s="74"/>
      <c r="AC1593" s="74"/>
      <c r="AD1593" s="74"/>
      <c r="AE1593" s="74"/>
      <c r="AF1593" s="74"/>
      <c r="AG1593" s="74"/>
    </row>
    <row r="1594" ht="22.5" customHeight="1">
      <c r="A1594" s="86">
        <v>45944.0</v>
      </c>
      <c r="B1594" s="63" t="s">
        <v>27</v>
      </c>
      <c r="C1594" s="79"/>
      <c r="D1594" s="80">
        <v>30000.0</v>
      </c>
      <c r="E1594" s="66" t="s">
        <v>33</v>
      </c>
      <c r="F1594" s="67" t="s">
        <v>1099</v>
      </c>
      <c r="G1594" s="68">
        <v>0.0</v>
      </c>
      <c r="H1594" s="69">
        <f t="shared" si="82"/>
        <v>0</v>
      </c>
      <c r="I1594" s="76" t="s">
        <v>53</v>
      </c>
      <c r="J1594" s="98" t="s">
        <v>1231</v>
      </c>
      <c r="K1594" s="95"/>
      <c r="L1594" s="95"/>
      <c r="M1594" s="95"/>
      <c r="N1594" s="153"/>
      <c r="O1594" s="96"/>
      <c r="P1594" s="74"/>
      <c r="Q1594" s="74"/>
      <c r="R1594" s="74"/>
      <c r="S1594" s="74"/>
      <c r="T1594" s="74"/>
      <c r="U1594" s="74"/>
      <c r="V1594" s="74"/>
      <c r="W1594" s="74"/>
      <c r="X1594" s="74"/>
      <c r="Y1594" s="74"/>
      <c r="Z1594" s="74"/>
      <c r="AA1594" s="74"/>
      <c r="AB1594" s="74"/>
      <c r="AC1594" s="74"/>
      <c r="AD1594" s="74"/>
      <c r="AE1594" s="74"/>
      <c r="AF1594" s="74"/>
      <c r="AG1594" s="74"/>
    </row>
    <row r="1595" ht="22.5" customHeight="1">
      <c r="A1595" s="86">
        <v>45944.0</v>
      </c>
      <c r="B1595" s="63" t="s">
        <v>27</v>
      </c>
      <c r="C1595" s="79"/>
      <c r="D1595" s="80">
        <v>25000.0</v>
      </c>
      <c r="E1595" s="66" t="s">
        <v>33</v>
      </c>
      <c r="F1595" s="67" t="s">
        <v>1179</v>
      </c>
      <c r="G1595" s="68">
        <v>0.0</v>
      </c>
      <c r="H1595" s="69">
        <f t="shared" si="82"/>
        <v>0</v>
      </c>
      <c r="I1595" s="76" t="s">
        <v>490</v>
      </c>
      <c r="J1595" s="98" t="s">
        <v>1232</v>
      </c>
      <c r="K1595" s="95"/>
      <c r="L1595" s="95"/>
      <c r="M1595" s="95"/>
      <c r="N1595" s="153"/>
      <c r="O1595" s="96"/>
      <c r="P1595" s="74"/>
      <c r="Q1595" s="74"/>
      <c r="R1595" s="74"/>
      <c r="S1595" s="74"/>
      <c r="T1595" s="74"/>
      <c r="U1595" s="74"/>
      <c r="V1595" s="74"/>
      <c r="W1595" s="74"/>
      <c r="X1595" s="74"/>
      <c r="Y1595" s="74"/>
      <c r="Z1595" s="74"/>
      <c r="AA1595" s="74"/>
      <c r="AB1595" s="74"/>
      <c r="AC1595" s="74"/>
      <c r="AD1595" s="74"/>
      <c r="AE1595" s="74"/>
      <c r="AF1595" s="74"/>
      <c r="AG1595" s="74"/>
    </row>
    <row r="1596" ht="22.5" customHeight="1">
      <c r="A1596" s="86">
        <v>45944.0</v>
      </c>
      <c r="B1596" s="63" t="s">
        <v>27</v>
      </c>
      <c r="C1596" s="79"/>
      <c r="D1596" s="80">
        <v>30000.0</v>
      </c>
      <c r="E1596" s="66" t="s">
        <v>33</v>
      </c>
      <c r="F1596" s="67" t="s">
        <v>1179</v>
      </c>
      <c r="G1596" s="68">
        <v>0.0</v>
      </c>
      <c r="H1596" s="69">
        <f t="shared" si="82"/>
        <v>0</v>
      </c>
      <c r="I1596" s="76" t="s">
        <v>53</v>
      </c>
      <c r="J1596" s="98" t="s">
        <v>1233</v>
      </c>
      <c r="K1596" s="95"/>
      <c r="L1596" s="95"/>
      <c r="M1596" s="95"/>
      <c r="N1596" s="153"/>
      <c r="O1596" s="96"/>
      <c r="P1596" s="74"/>
      <c r="Q1596" s="74"/>
      <c r="R1596" s="74"/>
      <c r="S1596" s="74"/>
      <c r="T1596" s="74"/>
      <c r="U1596" s="74"/>
      <c r="V1596" s="74"/>
      <c r="W1596" s="74"/>
      <c r="X1596" s="74"/>
      <c r="Y1596" s="74"/>
      <c r="Z1596" s="74"/>
      <c r="AA1596" s="74"/>
      <c r="AB1596" s="74"/>
      <c r="AC1596" s="74"/>
      <c r="AD1596" s="74"/>
      <c r="AE1596" s="74"/>
      <c r="AF1596" s="74"/>
      <c r="AG1596" s="74"/>
    </row>
    <row r="1597" ht="22.5" customHeight="1">
      <c r="A1597" s="86">
        <v>45944.0</v>
      </c>
      <c r="B1597" s="63" t="s">
        <v>27</v>
      </c>
      <c r="C1597" s="80">
        <v>600432.0</v>
      </c>
      <c r="D1597" s="80"/>
      <c r="E1597" s="66" t="s">
        <v>28</v>
      </c>
      <c r="F1597" s="84" t="s">
        <v>722</v>
      </c>
      <c r="G1597" s="68">
        <v>20.0</v>
      </c>
      <c r="H1597" s="69">
        <f t="shared" si="82"/>
        <v>100072</v>
      </c>
      <c r="I1597" s="76" t="s">
        <v>37</v>
      </c>
      <c r="J1597" s="87" t="s">
        <v>1014</v>
      </c>
      <c r="K1597" s="82" t="s">
        <v>1234</v>
      </c>
      <c r="L1597" s="82">
        <v>190.0</v>
      </c>
      <c r="M1597" s="128">
        <v>45790.0</v>
      </c>
      <c r="N1597" s="153">
        <f>TODAY()-M1597-60</f>
        <v>338</v>
      </c>
      <c r="O1597" s="96"/>
      <c r="P1597" s="74"/>
      <c r="Q1597" s="74"/>
      <c r="R1597" s="74"/>
      <c r="S1597" s="74"/>
      <c r="T1597" s="74"/>
      <c r="U1597" s="74"/>
      <c r="V1597" s="74"/>
      <c r="W1597" s="74"/>
      <c r="X1597" s="74"/>
      <c r="Y1597" s="74"/>
      <c r="Z1597" s="74"/>
      <c r="AA1597" s="74"/>
      <c r="AB1597" s="74"/>
      <c r="AC1597" s="74"/>
      <c r="AD1597" s="74"/>
      <c r="AE1597" s="74"/>
      <c r="AF1597" s="74"/>
      <c r="AG1597" s="74"/>
    </row>
    <row r="1598" ht="22.5" customHeight="1">
      <c r="A1598" s="86">
        <v>45945.0</v>
      </c>
      <c r="B1598" s="63" t="s">
        <v>27</v>
      </c>
      <c r="C1598" s="79"/>
      <c r="D1598" s="80">
        <v>20000.0</v>
      </c>
      <c r="E1598" s="66" t="s">
        <v>33</v>
      </c>
      <c r="F1598" s="67" t="s">
        <v>1099</v>
      </c>
      <c r="G1598" s="68">
        <v>0.0</v>
      </c>
      <c r="H1598" s="69">
        <f t="shared" si="82"/>
        <v>0</v>
      </c>
      <c r="I1598" s="76" t="s">
        <v>53</v>
      </c>
      <c r="J1598" s="98" t="s">
        <v>1184</v>
      </c>
      <c r="K1598" s="95"/>
      <c r="L1598" s="95"/>
      <c r="M1598" s="95"/>
      <c r="N1598" s="153"/>
      <c r="O1598" s="96"/>
      <c r="P1598" s="74"/>
      <c r="Q1598" s="74"/>
      <c r="R1598" s="74"/>
      <c r="S1598" s="74"/>
      <c r="T1598" s="74"/>
      <c r="U1598" s="74"/>
      <c r="V1598" s="74"/>
      <c r="W1598" s="74"/>
      <c r="X1598" s="74"/>
      <c r="Y1598" s="74"/>
      <c r="Z1598" s="74"/>
      <c r="AA1598" s="74"/>
      <c r="AB1598" s="74"/>
      <c r="AC1598" s="74"/>
      <c r="AD1598" s="74"/>
      <c r="AE1598" s="74"/>
      <c r="AF1598" s="74"/>
      <c r="AG1598" s="74"/>
    </row>
    <row r="1599" ht="22.5" customHeight="1">
      <c r="A1599" s="86">
        <v>45945.0</v>
      </c>
      <c r="B1599" s="63" t="s">
        <v>27</v>
      </c>
      <c r="C1599" s="79"/>
      <c r="D1599" s="80">
        <v>4721.29</v>
      </c>
      <c r="E1599" s="66" t="s">
        <v>28</v>
      </c>
      <c r="F1599" s="67" t="s">
        <v>1179</v>
      </c>
      <c r="G1599" s="68">
        <v>0.0</v>
      </c>
      <c r="H1599" s="69">
        <f t="shared" si="82"/>
        <v>0</v>
      </c>
      <c r="I1599" s="94" t="s">
        <v>622</v>
      </c>
      <c r="J1599" s="98" t="s">
        <v>309</v>
      </c>
      <c r="K1599" s="95"/>
      <c r="L1599" s="95"/>
      <c r="M1599" s="95"/>
      <c r="N1599" s="153"/>
      <c r="O1599" s="96"/>
      <c r="P1599" s="74"/>
      <c r="Q1599" s="74"/>
      <c r="R1599" s="74"/>
      <c r="S1599" s="74"/>
      <c r="T1599" s="74"/>
      <c r="U1599" s="74"/>
      <c r="V1599" s="74"/>
      <c r="W1599" s="74"/>
      <c r="X1599" s="74"/>
      <c r="Y1599" s="74"/>
      <c r="Z1599" s="74"/>
      <c r="AA1599" s="74"/>
      <c r="AB1599" s="74"/>
      <c r="AC1599" s="74"/>
      <c r="AD1599" s="74"/>
      <c r="AE1599" s="74"/>
      <c r="AF1599" s="74"/>
      <c r="AG1599" s="74"/>
    </row>
    <row r="1600" ht="22.5" customHeight="1">
      <c r="A1600" s="86">
        <v>45946.0</v>
      </c>
      <c r="B1600" s="63" t="s">
        <v>27</v>
      </c>
      <c r="C1600" s="79"/>
      <c r="D1600" s="80">
        <v>50000.0</v>
      </c>
      <c r="E1600" s="66" t="s">
        <v>33</v>
      </c>
      <c r="F1600" s="67" t="s">
        <v>1099</v>
      </c>
      <c r="G1600" s="68">
        <v>0.0</v>
      </c>
      <c r="H1600" s="69">
        <f t="shared" si="82"/>
        <v>0</v>
      </c>
      <c r="I1600" s="76" t="s">
        <v>53</v>
      </c>
      <c r="J1600" s="98" t="s">
        <v>1235</v>
      </c>
      <c r="K1600" s="95"/>
      <c r="L1600" s="95"/>
      <c r="M1600" s="95"/>
      <c r="N1600" s="153"/>
      <c r="O1600" s="96"/>
      <c r="P1600" s="74"/>
      <c r="Q1600" s="74"/>
      <c r="R1600" s="74"/>
      <c r="S1600" s="74"/>
      <c r="T1600" s="74"/>
      <c r="U1600" s="74"/>
      <c r="V1600" s="74"/>
      <c r="W1600" s="74"/>
      <c r="X1600" s="74"/>
      <c r="Y1600" s="74"/>
      <c r="Z1600" s="74"/>
      <c r="AA1600" s="74"/>
      <c r="AB1600" s="74"/>
      <c r="AC1600" s="74"/>
      <c r="AD1600" s="74"/>
      <c r="AE1600" s="74"/>
      <c r="AF1600" s="74"/>
      <c r="AG1600" s="74"/>
    </row>
    <row r="1601" ht="22.5" customHeight="1">
      <c r="A1601" s="86">
        <v>45946.0</v>
      </c>
      <c r="B1601" s="63" t="s">
        <v>27</v>
      </c>
      <c r="C1601" s="79"/>
      <c r="D1601" s="80">
        <v>33000.0</v>
      </c>
      <c r="E1601" s="66" t="s">
        <v>33</v>
      </c>
      <c r="F1601" s="67" t="s">
        <v>1179</v>
      </c>
      <c r="G1601" s="68">
        <v>0.0</v>
      </c>
      <c r="H1601" s="69">
        <f t="shared" si="82"/>
        <v>0</v>
      </c>
      <c r="I1601" s="76" t="s">
        <v>490</v>
      </c>
      <c r="J1601" s="98" t="s">
        <v>1236</v>
      </c>
      <c r="K1601" s="95"/>
      <c r="L1601" s="95"/>
      <c r="M1601" s="95"/>
      <c r="N1601" s="153"/>
      <c r="O1601" s="96"/>
      <c r="P1601" s="74"/>
      <c r="Q1601" s="74"/>
      <c r="R1601" s="74"/>
      <c r="S1601" s="74"/>
      <c r="T1601" s="74"/>
      <c r="U1601" s="74"/>
      <c r="V1601" s="74"/>
      <c r="W1601" s="74"/>
      <c r="X1601" s="74"/>
      <c r="Y1601" s="74"/>
      <c r="Z1601" s="74"/>
      <c r="AA1601" s="74"/>
      <c r="AB1601" s="74"/>
      <c r="AC1601" s="74"/>
      <c r="AD1601" s="74"/>
      <c r="AE1601" s="74"/>
      <c r="AF1601" s="74"/>
      <c r="AG1601" s="74"/>
    </row>
    <row r="1602" ht="22.5" customHeight="1">
      <c r="A1602" s="86">
        <v>45947.0</v>
      </c>
      <c r="B1602" s="63" t="s">
        <v>27</v>
      </c>
      <c r="C1602" s="80">
        <v>840000.0</v>
      </c>
      <c r="D1602" s="79"/>
      <c r="E1602" s="66" t="s">
        <v>28</v>
      </c>
      <c r="F1602" s="67" t="s">
        <v>1099</v>
      </c>
      <c r="G1602" s="68">
        <v>20.0</v>
      </c>
      <c r="H1602" s="69">
        <f t="shared" si="82"/>
        <v>140000</v>
      </c>
      <c r="I1602" s="76" t="s">
        <v>37</v>
      </c>
      <c r="J1602" s="98" t="s">
        <v>605</v>
      </c>
      <c r="K1602" s="82" t="s">
        <v>1093</v>
      </c>
      <c r="L1602" s="82">
        <v>338.0</v>
      </c>
      <c r="M1602" s="128">
        <v>45935.0</v>
      </c>
      <c r="N1602" s="153">
        <f>TODAY()-M1602-60</f>
        <v>193</v>
      </c>
      <c r="O1602" s="96"/>
      <c r="P1602" s="74"/>
      <c r="Q1602" s="74"/>
      <c r="R1602" s="74"/>
      <c r="S1602" s="74"/>
      <c r="T1602" s="74"/>
      <c r="U1602" s="74"/>
      <c r="V1602" s="74"/>
      <c r="W1602" s="74"/>
      <c r="X1602" s="74"/>
      <c r="Y1602" s="74"/>
      <c r="Z1602" s="74"/>
      <c r="AA1602" s="74"/>
      <c r="AB1602" s="74"/>
      <c r="AC1602" s="74"/>
      <c r="AD1602" s="74"/>
      <c r="AE1602" s="74"/>
      <c r="AF1602" s="74"/>
      <c r="AG1602" s="74"/>
    </row>
    <row r="1603" ht="22.5" customHeight="1">
      <c r="A1603" s="86">
        <v>45947.0</v>
      </c>
      <c r="B1603" s="63" t="s">
        <v>27</v>
      </c>
      <c r="C1603" s="79"/>
      <c r="D1603" s="79">
        <f>832.7+100</f>
        <v>932.7</v>
      </c>
      <c r="E1603" s="66" t="s">
        <v>28</v>
      </c>
      <c r="F1603" s="67" t="s">
        <v>1179</v>
      </c>
      <c r="G1603" s="68">
        <v>0.0</v>
      </c>
      <c r="H1603" s="69">
        <f t="shared" si="82"/>
        <v>0</v>
      </c>
      <c r="I1603" s="94" t="s">
        <v>622</v>
      </c>
      <c r="J1603" s="98" t="s">
        <v>309</v>
      </c>
      <c r="K1603" s="95"/>
      <c r="L1603" s="95"/>
      <c r="M1603" s="95"/>
      <c r="N1603" s="153"/>
      <c r="O1603" s="96"/>
      <c r="P1603" s="74"/>
      <c r="Q1603" s="74"/>
      <c r="R1603" s="74"/>
      <c r="S1603" s="74"/>
      <c r="T1603" s="74"/>
      <c r="U1603" s="74"/>
      <c r="V1603" s="74"/>
      <c r="W1603" s="74"/>
      <c r="X1603" s="74"/>
      <c r="Y1603" s="74"/>
      <c r="Z1603" s="74"/>
      <c r="AA1603" s="74"/>
      <c r="AB1603" s="74"/>
      <c r="AC1603" s="74"/>
      <c r="AD1603" s="74"/>
      <c r="AE1603" s="74"/>
      <c r="AF1603" s="74"/>
      <c r="AG1603" s="74"/>
    </row>
    <row r="1604" ht="22.5" customHeight="1">
      <c r="A1604" s="86">
        <v>45949.0</v>
      </c>
      <c r="B1604" s="63" t="s">
        <v>27</v>
      </c>
      <c r="C1604" s="79"/>
      <c r="D1604" s="80">
        <v>150000.0</v>
      </c>
      <c r="E1604" s="66" t="s">
        <v>33</v>
      </c>
      <c r="F1604" s="67" t="s">
        <v>1099</v>
      </c>
      <c r="G1604" s="68">
        <v>0.0</v>
      </c>
      <c r="H1604" s="69">
        <f t="shared" si="82"/>
        <v>0</v>
      </c>
      <c r="I1604" s="76" t="s">
        <v>53</v>
      </c>
      <c r="J1604" s="98" t="s">
        <v>1237</v>
      </c>
      <c r="K1604" s="95"/>
      <c r="L1604" s="95"/>
      <c r="M1604" s="95"/>
      <c r="N1604" s="153"/>
      <c r="O1604" s="96"/>
      <c r="P1604" s="74"/>
      <c r="Q1604" s="74"/>
      <c r="R1604" s="74"/>
      <c r="S1604" s="74"/>
      <c r="T1604" s="74"/>
      <c r="U1604" s="74"/>
      <c r="V1604" s="74"/>
      <c r="W1604" s="74"/>
      <c r="X1604" s="74"/>
      <c r="Y1604" s="74"/>
      <c r="Z1604" s="74"/>
      <c r="AA1604" s="74"/>
      <c r="AB1604" s="74"/>
      <c r="AC1604" s="74"/>
      <c r="AD1604" s="74"/>
      <c r="AE1604" s="74"/>
      <c r="AF1604" s="74"/>
      <c r="AG1604" s="74"/>
    </row>
    <row r="1605" ht="22.5" customHeight="1">
      <c r="A1605" s="86">
        <v>45950.0</v>
      </c>
      <c r="B1605" s="63" t="s">
        <v>27</v>
      </c>
      <c r="C1605" s="79"/>
      <c r="D1605" s="80">
        <v>89326.8</v>
      </c>
      <c r="E1605" s="66" t="s">
        <v>28</v>
      </c>
      <c r="F1605" s="67" t="s">
        <v>1179</v>
      </c>
      <c r="G1605" s="68">
        <v>20.0</v>
      </c>
      <c r="H1605" s="69">
        <f t="shared" si="82"/>
        <v>14887.8</v>
      </c>
      <c r="I1605" s="76" t="s">
        <v>30</v>
      </c>
      <c r="J1605" s="98" t="s">
        <v>648</v>
      </c>
      <c r="K1605" s="95"/>
      <c r="L1605" s="95"/>
      <c r="M1605" s="95"/>
      <c r="N1605" s="153"/>
      <c r="O1605" s="83" t="s">
        <v>1238</v>
      </c>
      <c r="P1605" s="74"/>
      <c r="Q1605" s="74"/>
      <c r="R1605" s="74"/>
      <c r="S1605" s="74"/>
      <c r="T1605" s="74"/>
      <c r="U1605" s="74"/>
      <c r="V1605" s="74"/>
      <c r="W1605" s="74"/>
      <c r="X1605" s="74"/>
      <c r="Y1605" s="74"/>
      <c r="Z1605" s="74"/>
      <c r="AA1605" s="74"/>
      <c r="AB1605" s="74"/>
      <c r="AC1605" s="74"/>
      <c r="AD1605" s="74"/>
      <c r="AE1605" s="74"/>
      <c r="AF1605" s="74"/>
      <c r="AG1605" s="74"/>
    </row>
    <row r="1606" ht="22.5" customHeight="1">
      <c r="A1606" s="86">
        <v>45950.0</v>
      </c>
      <c r="B1606" s="63" t="s">
        <v>27</v>
      </c>
      <c r="C1606" s="79"/>
      <c r="D1606" s="80">
        <v>35000.0</v>
      </c>
      <c r="E1606" s="66" t="s">
        <v>28</v>
      </c>
      <c r="F1606" s="67" t="s">
        <v>1179</v>
      </c>
      <c r="G1606" s="68">
        <v>0.0</v>
      </c>
      <c r="H1606" s="69">
        <f t="shared" si="82"/>
        <v>0</v>
      </c>
      <c r="I1606" s="76" t="s">
        <v>383</v>
      </c>
      <c r="J1606" s="98" t="s">
        <v>1239</v>
      </c>
      <c r="K1606" s="95"/>
      <c r="L1606" s="95"/>
      <c r="M1606" s="95"/>
      <c r="N1606" s="153"/>
      <c r="O1606" s="96"/>
      <c r="P1606" s="74"/>
      <c r="Q1606" s="74"/>
      <c r="R1606" s="74"/>
      <c r="S1606" s="74"/>
      <c r="T1606" s="74"/>
      <c r="U1606" s="74"/>
      <c r="V1606" s="74"/>
      <c r="W1606" s="74"/>
      <c r="X1606" s="74"/>
      <c r="Y1606" s="74"/>
      <c r="Z1606" s="74"/>
      <c r="AA1606" s="74"/>
      <c r="AB1606" s="74"/>
      <c r="AC1606" s="74"/>
      <c r="AD1606" s="74"/>
      <c r="AE1606" s="74"/>
      <c r="AF1606" s="74"/>
      <c r="AG1606" s="74"/>
    </row>
    <row r="1607" ht="22.5" customHeight="1">
      <c r="A1607" s="86">
        <v>45950.0</v>
      </c>
      <c r="B1607" s="63" t="s">
        <v>27</v>
      </c>
      <c r="C1607" s="79"/>
      <c r="D1607" s="80">
        <v>35000.0</v>
      </c>
      <c r="E1607" s="66" t="s">
        <v>28</v>
      </c>
      <c r="F1607" s="67" t="s">
        <v>1179</v>
      </c>
      <c r="G1607" s="68">
        <v>0.0</v>
      </c>
      <c r="H1607" s="69">
        <f t="shared" si="82"/>
        <v>0</v>
      </c>
      <c r="I1607" s="76" t="s">
        <v>383</v>
      </c>
      <c r="J1607" s="98" t="s">
        <v>1239</v>
      </c>
      <c r="K1607" s="95"/>
      <c r="L1607" s="95"/>
      <c r="M1607" s="95"/>
      <c r="N1607" s="153"/>
      <c r="O1607" s="96"/>
      <c r="P1607" s="74"/>
      <c r="Q1607" s="74"/>
      <c r="R1607" s="74"/>
      <c r="S1607" s="74"/>
      <c r="T1607" s="74"/>
      <c r="U1607" s="74"/>
      <c r="V1607" s="74"/>
      <c r="W1607" s="74"/>
      <c r="X1607" s="74"/>
      <c r="Y1607" s="74"/>
      <c r="Z1607" s="74"/>
      <c r="AA1607" s="74"/>
      <c r="AB1607" s="74"/>
      <c r="AC1607" s="74"/>
      <c r="AD1607" s="74"/>
      <c r="AE1607" s="74"/>
      <c r="AF1607" s="74"/>
      <c r="AG1607" s="74"/>
    </row>
    <row r="1608" ht="22.5" customHeight="1">
      <c r="A1608" s="86">
        <v>45950.0</v>
      </c>
      <c r="B1608" s="63" t="s">
        <v>27</v>
      </c>
      <c r="C1608" s="79"/>
      <c r="D1608" s="80">
        <v>60000.0</v>
      </c>
      <c r="E1608" s="66" t="s">
        <v>28</v>
      </c>
      <c r="F1608" s="67" t="s">
        <v>1179</v>
      </c>
      <c r="G1608" s="68">
        <v>0.0</v>
      </c>
      <c r="H1608" s="69">
        <f t="shared" si="82"/>
        <v>0</v>
      </c>
      <c r="I1608" s="76" t="s">
        <v>30</v>
      </c>
      <c r="J1608" s="98" t="s">
        <v>500</v>
      </c>
      <c r="K1608" s="95"/>
      <c r="L1608" s="95"/>
      <c r="M1608" s="95"/>
      <c r="N1608" s="153"/>
      <c r="O1608" s="96"/>
      <c r="P1608" s="74"/>
      <c r="Q1608" s="74"/>
      <c r="R1608" s="74"/>
      <c r="S1608" s="74"/>
      <c r="T1608" s="74"/>
      <c r="U1608" s="74"/>
      <c r="V1608" s="74"/>
      <c r="W1608" s="74"/>
      <c r="X1608" s="74"/>
      <c r="Y1608" s="74"/>
      <c r="Z1608" s="74"/>
      <c r="AA1608" s="74"/>
      <c r="AB1608" s="74"/>
      <c r="AC1608" s="74"/>
      <c r="AD1608" s="74"/>
      <c r="AE1608" s="74"/>
      <c r="AF1608" s="74"/>
      <c r="AG1608" s="74"/>
    </row>
    <row r="1609" ht="22.5" customHeight="1">
      <c r="A1609" s="86">
        <v>45950.0</v>
      </c>
      <c r="B1609" s="63" t="s">
        <v>27</v>
      </c>
      <c r="C1609" s="79"/>
      <c r="D1609" s="80">
        <v>50000.0</v>
      </c>
      <c r="E1609" s="66" t="s">
        <v>33</v>
      </c>
      <c r="F1609" s="67" t="s">
        <v>1179</v>
      </c>
      <c r="G1609" s="68">
        <v>0.0</v>
      </c>
      <c r="H1609" s="69">
        <f t="shared" si="82"/>
        <v>0</v>
      </c>
      <c r="I1609" s="76" t="s">
        <v>53</v>
      </c>
      <c r="J1609" s="98" t="s">
        <v>128</v>
      </c>
      <c r="K1609" s="95"/>
      <c r="L1609" s="95"/>
      <c r="M1609" s="95"/>
      <c r="N1609" s="153"/>
      <c r="O1609" s="96"/>
      <c r="P1609" s="74"/>
      <c r="Q1609" s="74"/>
      <c r="R1609" s="74"/>
      <c r="S1609" s="74"/>
      <c r="T1609" s="74"/>
      <c r="U1609" s="74"/>
      <c r="V1609" s="74"/>
      <c r="W1609" s="74"/>
      <c r="X1609" s="74"/>
      <c r="Y1609" s="74"/>
      <c r="Z1609" s="74"/>
      <c r="AA1609" s="74"/>
      <c r="AB1609" s="74"/>
      <c r="AC1609" s="74"/>
      <c r="AD1609" s="74"/>
      <c r="AE1609" s="74"/>
      <c r="AF1609" s="74"/>
      <c r="AG1609" s="74"/>
    </row>
    <row r="1610" ht="22.5" customHeight="1">
      <c r="A1610" s="86">
        <v>45950.0</v>
      </c>
      <c r="B1610" s="63" t="s">
        <v>27</v>
      </c>
      <c r="C1610" s="80">
        <v>636048.0</v>
      </c>
      <c r="D1610" s="79"/>
      <c r="E1610" s="66" t="s">
        <v>28</v>
      </c>
      <c r="F1610" s="84" t="s">
        <v>941</v>
      </c>
      <c r="G1610" s="68">
        <v>20.0</v>
      </c>
      <c r="H1610" s="69">
        <f t="shared" si="82"/>
        <v>106008</v>
      </c>
      <c r="I1610" s="76" t="s">
        <v>37</v>
      </c>
      <c r="J1610" s="87" t="s">
        <v>539</v>
      </c>
      <c r="K1610" s="82" t="s">
        <v>1230</v>
      </c>
      <c r="L1610" s="82">
        <v>299.0</v>
      </c>
      <c r="M1610" s="128">
        <v>45880.0</v>
      </c>
      <c r="N1610" s="153">
        <f t="shared" ref="N1610:N1613" si="95">TODAY()-M1610-60</f>
        <v>248</v>
      </c>
      <c r="O1610" s="96"/>
      <c r="P1610" s="74"/>
      <c r="Q1610" s="74"/>
      <c r="R1610" s="74"/>
      <c r="S1610" s="74"/>
      <c r="T1610" s="74"/>
      <c r="U1610" s="74"/>
      <c r="V1610" s="74"/>
      <c r="W1610" s="74"/>
      <c r="X1610" s="74"/>
      <c r="Y1610" s="74"/>
      <c r="Z1610" s="74"/>
      <c r="AA1610" s="74"/>
      <c r="AB1610" s="74"/>
      <c r="AC1610" s="74"/>
      <c r="AD1610" s="74"/>
      <c r="AE1610" s="74"/>
      <c r="AF1610" s="74"/>
      <c r="AG1610" s="74"/>
    </row>
    <row r="1611" ht="22.5" customHeight="1">
      <c r="A1611" s="86">
        <v>45950.0</v>
      </c>
      <c r="B1611" s="63" t="s">
        <v>27</v>
      </c>
      <c r="C1611" s="80">
        <v>261660.0</v>
      </c>
      <c r="D1611" s="80"/>
      <c r="E1611" s="66" t="s">
        <v>28</v>
      </c>
      <c r="F1611" s="67" t="s">
        <v>1002</v>
      </c>
      <c r="G1611" s="68">
        <v>20.0</v>
      </c>
      <c r="H1611" s="69">
        <f t="shared" si="82"/>
        <v>43610</v>
      </c>
      <c r="I1611" s="76" t="s">
        <v>37</v>
      </c>
      <c r="J1611" s="98" t="s">
        <v>539</v>
      </c>
      <c r="K1611" s="82" t="s">
        <v>1240</v>
      </c>
      <c r="L1611" s="82">
        <v>308.0</v>
      </c>
      <c r="M1611" s="128">
        <v>45909.0</v>
      </c>
      <c r="N1611" s="153">
        <f t="shared" si="95"/>
        <v>219</v>
      </c>
      <c r="O1611" s="96"/>
      <c r="P1611" s="74"/>
      <c r="Q1611" s="74"/>
      <c r="R1611" s="74"/>
      <c r="S1611" s="74"/>
      <c r="T1611" s="74"/>
      <c r="U1611" s="74"/>
      <c r="V1611" s="74"/>
      <c r="W1611" s="74"/>
      <c r="X1611" s="74"/>
      <c r="Y1611" s="74"/>
      <c r="Z1611" s="74"/>
      <c r="AA1611" s="74"/>
      <c r="AB1611" s="74"/>
      <c r="AC1611" s="74"/>
      <c r="AD1611" s="74"/>
      <c r="AE1611" s="74"/>
      <c r="AF1611" s="74"/>
      <c r="AG1611" s="74"/>
    </row>
    <row r="1612" ht="22.5" customHeight="1">
      <c r="A1612" s="86">
        <v>45950.0</v>
      </c>
      <c r="B1612" s="63" t="s">
        <v>27</v>
      </c>
      <c r="C1612" s="80">
        <v>636048.0</v>
      </c>
      <c r="D1612" s="80"/>
      <c r="E1612" s="66" t="s">
        <v>28</v>
      </c>
      <c r="F1612" s="67" t="s">
        <v>1002</v>
      </c>
      <c r="G1612" s="68">
        <v>20.0</v>
      </c>
      <c r="H1612" s="69">
        <f t="shared" si="82"/>
        <v>106008</v>
      </c>
      <c r="I1612" s="76" t="s">
        <v>37</v>
      </c>
      <c r="J1612" s="98" t="s">
        <v>539</v>
      </c>
      <c r="K1612" s="82" t="s">
        <v>1241</v>
      </c>
      <c r="L1612" s="82">
        <v>309.0</v>
      </c>
      <c r="M1612" s="128">
        <v>45909.0</v>
      </c>
      <c r="N1612" s="153">
        <f t="shared" si="95"/>
        <v>219</v>
      </c>
      <c r="O1612" s="96"/>
      <c r="P1612" s="74"/>
      <c r="Q1612" s="74"/>
      <c r="R1612" s="74"/>
      <c r="S1612" s="74"/>
      <c r="T1612" s="74"/>
      <c r="U1612" s="74"/>
      <c r="V1612" s="74"/>
      <c r="W1612" s="74"/>
      <c r="X1612" s="74"/>
      <c r="Y1612" s="74"/>
      <c r="Z1612" s="74"/>
      <c r="AA1612" s="74"/>
      <c r="AB1612" s="74"/>
      <c r="AC1612" s="74"/>
      <c r="AD1612" s="74"/>
      <c r="AE1612" s="74"/>
      <c r="AF1612" s="74"/>
      <c r="AG1612" s="74"/>
    </row>
    <row r="1613" ht="22.5" customHeight="1">
      <c r="A1613" s="86">
        <v>45950.0</v>
      </c>
      <c r="B1613" s="63" t="s">
        <v>27</v>
      </c>
      <c r="C1613" s="80">
        <v>1800000.72</v>
      </c>
      <c r="D1613" s="79"/>
      <c r="E1613" s="66" t="s">
        <v>28</v>
      </c>
      <c r="F1613" s="67" t="s">
        <v>1002</v>
      </c>
      <c r="G1613" s="68">
        <v>20.0</v>
      </c>
      <c r="H1613" s="69">
        <f t="shared" si="82"/>
        <v>300000.12</v>
      </c>
      <c r="I1613" s="76" t="s">
        <v>37</v>
      </c>
      <c r="J1613" s="98" t="s">
        <v>539</v>
      </c>
      <c r="K1613" s="82" t="s">
        <v>1242</v>
      </c>
      <c r="L1613" s="82">
        <v>333.0</v>
      </c>
      <c r="M1613" s="128">
        <v>45918.0</v>
      </c>
      <c r="N1613" s="153">
        <f t="shared" si="95"/>
        <v>210</v>
      </c>
      <c r="O1613" s="96"/>
      <c r="P1613" s="74"/>
      <c r="Q1613" s="74"/>
      <c r="R1613" s="74"/>
      <c r="S1613" s="74"/>
      <c r="T1613" s="74"/>
      <c r="U1613" s="74"/>
      <c r="V1613" s="74"/>
      <c r="W1613" s="74"/>
      <c r="X1613" s="74"/>
      <c r="Y1613" s="74"/>
      <c r="Z1613" s="74"/>
      <c r="AA1613" s="74"/>
      <c r="AB1613" s="74"/>
      <c r="AC1613" s="74"/>
      <c r="AD1613" s="74"/>
      <c r="AE1613" s="74"/>
      <c r="AF1613" s="74"/>
      <c r="AG1613" s="74"/>
    </row>
    <row r="1614" ht="22.5" customHeight="1">
      <c r="A1614" s="86">
        <v>45951.0</v>
      </c>
      <c r="B1614" s="63" t="s">
        <v>27</v>
      </c>
      <c r="C1614" s="79"/>
      <c r="D1614" s="80">
        <v>100000.0</v>
      </c>
      <c r="E1614" s="66" t="s">
        <v>33</v>
      </c>
      <c r="F1614" s="67" t="s">
        <v>1099</v>
      </c>
      <c r="G1614" s="68">
        <v>0.0</v>
      </c>
      <c r="H1614" s="69">
        <f t="shared" si="82"/>
        <v>0</v>
      </c>
      <c r="I1614" s="76" t="s">
        <v>53</v>
      </c>
      <c r="J1614" s="98" t="s">
        <v>1243</v>
      </c>
      <c r="K1614" s="95"/>
      <c r="L1614" s="95"/>
      <c r="M1614" s="95"/>
      <c r="N1614" s="153"/>
      <c r="O1614" s="96"/>
      <c r="P1614" s="74"/>
      <c r="Q1614" s="74"/>
      <c r="R1614" s="74"/>
      <c r="S1614" s="74"/>
      <c r="T1614" s="74"/>
      <c r="U1614" s="74"/>
      <c r="V1614" s="74"/>
      <c r="W1614" s="74"/>
      <c r="X1614" s="74"/>
      <c r="Y1614" s="74"/>
      <c r="Z1614" s="74"/>
      <c r="AA1614" s="74"/>
      <c r="AB1614" s="74"/>
      <c r="AC1614" s="74"/>
      <c r="AD1614" s="74"/>
      <c r="AE1614" s="74"/>
      <c r="AF1614" s="74"/>
      <c r="AG1614" s="74"/>
    </row>
    <row r="1615" ht="22.5" customHeight="1">
      <c r="A1615" s="86">
        <v>45951.0</v>
      </c>
      <c r="B1615" s="63" t="s">
        <v>27</v>
      </c>
      <c r="C1615" s="79"/>
      <c r="D1615" s="80">
        <v>15000.0</v>
      </c>
      <c r="E1615" s="66" t="s">
        <v>33</v>
      </c>
      <c r="F1615" s="67" t="s">
        <v>1099</v>
      </c>
      <c r="G1615" s="68">
        <v>0.0</v>
      </c>
      <c r="H1615" s="69">
        <f t="shared" si="82"/>
        <v>0</v>
      </c>
      <c r="I1615" s="76" t="s">
        <v>53</v>
      </c>
      <c r="J1615" s="98" t="s">
        <v>1244</v>
      </c>
      <c r="K1615" s="95"/>
      <c r="L1615" s="95"/>
      <c r="M1615" s="95"/>
      <c r="N1615" s="153"/>
      <c r="O1615" s="96"/>
      <c r="P1615" s="74"/>
      <c r="Q1615" s="74"/>
      <c r="R1615" s="74"/>
      <c r="S1615" s="74"/>
      <c r="T1615" s="74"/>
      <c r="U1615" s="74"/>
      <c r="V1615" s="74"/>
      <c r="W1615" s="74"/>
      <c r="X1615" s="74"/>
      <c r="Y1615" s="74"/>
      <c r="Z1615" s="74"/>
      <c r="AA1615" s="74"/>
      <c r="AB1615" s="74"/>
      <c r="AC1615" s="74"/>
      <c r="AD1615" s="74"/>
      <c r="AE1615" s="74"/>
      <c r="AF1615" s="74"/>
      <c r="AG1615" s="74"/>
    </row>
    <row r="1616" ht="22.5" customHeight="1">
      <c r="A1616" s="86">
        <v>45951.0</v>
      </c>
      <c r="B1616" s="63" t="s">
        <v>27</v>
      </c>
      <c r="C1616" s="79"/>
      <c r="D1616" s="80">
        <v>49152.0</v>
      </c>
      <c r="E1616" s="66" t="s">
        <v>28</v>
      </c>
      <c r="F1616" s="67" t="s">
        <v>1099</v>
      </c>
      <c r="G1616" s="68">
        <v>20.0</v>
      </c>
      <c r="H1616" s="69">
        <f t="shared" si="82"/>
        <v>8192</v>
      </c>
      <c r="I1616" s="76" t="s">
        <v>490</v>
      </c>
      <c r="J1616" s="98" t="s">
        <v>1245</v>
      </c>
      <c r="K1616" s="95"/>
      <c r="L1616" s="95"/>
      <c r="M1616" s="95"/>
      <c r="N1616" s="153"/>
      <c r="O1616" s="96"/>
      <c r="P1616" s="74"/>
      <c r="Q1616" s="74"/>
      <c r="R1616" s="74"/>
      <c r="S1616" s="74"/>
      <c r="T1616" s="74"/>
      <c r="U1616" s="74"/>
      <c r="V1616" s="74"/>
      <c r="W1616" s="74"/>
      <c r="X1616" s="74"/>
      <c r="Y1616" s="74"/>
      <c r="Z1616" s="74"/>
      <c r="AA1616" s="74"/>
      <c r="AB1616" s="74"/>
      <c r="AC1616" s="74"/>
      <c r="AD1616" s="74"/>
      <c r="AE1616" s="74"/>
      <c r="AF1616" s="74"/>
      <c r="AG1616" s="74"/>
    </row>
    <row r="1617" ht="22.5" customHeight="1">
      <c r="A1617" s="86">
        <v>45951.0</v>
      </c>
      <c r="B1617" s="63" t="s">
        <v>27</v>
      </c>
      <c r="C1617" s="79"/>
      <c r="D1617" s="80">
        <v>27000.0</v>
      </c>
      <c r="E1617" s="66" t="s">
        <v>33</v>
      </c>
      <c r="F1617" s="67" t="s">
        <v>1179</v>
      </c>
      <c r="G1617" s="68">
        <v>0.0</v>
      </c>
      <c r="H1617" s="69">
        <f t="shared" si="82"/>
        <v>0</v>
      </c>
      <c r="I1617" s="76" t="s">
        <v>490</v>
      </c>
      <c r="J1617" s="98" t="s">
        <v>1246</v>
      </c>
      <c r="K1617" s="95"/>
      <c r="L1617" s="95"/>
      <c r="M1617" s="95"/>
      <c r="N1617" s="153"/>
      <c r="O1617" s="96"/>
      <c r="P1617" s="74"/>
      <c r="Q1617" s="74"/>
      <c r="R1617" s="74"/>
      <c r="S1617" s="74"/>
      <c r="T1617" s="74"/>
      <c r="U1617" s="74"/>
      <c r="V1617" s="74"/>
      <c r="W1617" s="74"/>
      <c r="X1617" s="74"/>
      <c r="Y1617" s="74"/>
      <c r="Z1617" s="74"/>
      <c r="AA1617" s="74"/>
      <c r="AB1617" s="74"/>
      <c r="AC1617" s="74"/>
      <c r="AD1617" s="74"/>
      <c r="AE1617" s="74"/>
      <c r="AF1617" s="74"/>
      <c r="AG1617" s="74"/>
    </row>
    <row r="1618" ht="22.5" customHeight="1">
      <c r="A1618" s="86">
        <v>45951.0</v>
      </c>
      <c r="B1618" s="63" t="s">
        <v>27</v>
      </c>
      <c r="C1618" s="80">
        <v>120000.0</v>
      </c>
      <c r="D1618" s="79"/>
      <c r="E1618" s="66" t="s">
        <v>28</v>
      </c>
      <c r="F1618" s="84" t="s">
        <v>674</v>
      </c>
      <c r="G1618" s="68">
        <v>20.0</v>
      </c>
      <c r="H1618" s="69">
        <f t="shared" si="82"/>
        <v>20000</v>
      </c>
      <c r="I1618" s="76" t="s">
        <v>37</v>
      </c>
      <c r="J1618" s="87" t="s">
        <v>102</v>
      </c>
      <c r="K1618" s="82" t="s">
        <v>1247</v>
      </c>
      <c r="L1618" s="82">
        <v>108.0</v>
      </c>
      <c r="M1618" s="128">
        <v>45757.0</v>
      </c>
      <c r="N1618" s="153">
        <f t="shared" ref="N1618:N1620" si="96">TODAY()-M1618-60</f>
        <v>371</v>
      </c>
      <c r="O1618" s="96"/>
      <c r="P1618" s="74"/>
      <c r="Q1618" s="74"/>
      <c r="R1618" s="74"/>
      <c r="S1618" s="74"/>
      <c r="T1618" s="74"/>
      <c r="U1618" s="74"/>
      <c r="V1618" s="74"/>
      <c r="W1618" s="74"/>
      <c r="X1618" s="74"/>
      <c r="Y1618" s="74"/>
      <c r="Z1618" s="74"/>
      <c r="AA1618" s="74"/>
      <c r="AB1618" s="74"/>
      <c r="AC1618" s="74"/>
      <c r="AD1618" s="74"/>
      <c r="AE1618" s="74"/>
      <c r="AF1618" s="74"/>
      <c r="AG1618" s="74"/>
    </row>
    <row r="1619" ht="22.5" customHeight="1">
      <c r="A1619" s="86">
        <v>45951.0</v>
      </c>
      <c r="B1619" s="63" t="s">
        <v>27</v>
      </c>
      <c r="C1619" s="80">
        <v>240000.0</v>
      </c>
      <c r="D1619" s="80"/>
      <c r="E1619" s="66" t="s">
        <v>28</v>
      </c>
      <c r="F1619" s="84" t="s">
        <v>722</v>
      </c>
      <c r="G1619" s="68">
        <v>20.0</v>
      </c>
      <c r="H1619" s="69">
        <f t="shared" si="82"/>
        <v>40000</v>
      </c>
      <c r="I1619" s="76" t="s">
        <v>37</v>
      </c>
      <c r="J1619" s="87" t="s">
        <v>102</v>
      </c>
      <c r="K1619" s="82" t="s">
        <v>1248</v>
      </c>
      <c r="L1619" s="82">
        <v>167.0</v>
      </c>
      <c r="M1619" s="128">
        <v>45789.0</v>
      </c>
      <c r="N1619" s="153">
        <f t="shared" si="96"/>
        <v>339</v>
      </c>
      <c r="O1619" s="96"/>
      <c r="P1619" s="74"/>
      <c r="Q1619" s="74"/>
      <c r="R1619" s="74"/>
      <c r="S1619" s="74"/>
      <c r="T1619" s="74"/>
      <c r="U1619" s="74"/>
      <c r="V1619" s="74"/>
      <c r="W1619" s="74"/>
      <c r="X1619" s="74"/>
      <c r="Y1619" s="74"/>
      <c r="Z1619" s="74"/>
      <c r="AA1619" s="74"/>
      <c r="AB1619" s="74"/>
      <c r="AC1619" s="74"/>
      <c r="AD1619" s="74"/>
      <c r="AE1619" s="74"/>
      <c r="AF1619" s="74"/>
      <c r="AG1619" s="74"/>
    </row>
    <row r="1620" ht="22.5" customHeight="1">
      <c r="A1620" s="86">
        <v>45951.0</v>
      </c>
      <c r="B1620" s="63" t="s">
        <v>27</v>
      </c>
      <c r="C1620" s="80">
        <v>120000.0</v>
      </c>
      <c r="D1620" s="79"/>
      <c r="E1620" s="66" t="s">
        <v>28</v>
      </c>
      <c r="F1620" s="84" t="s">
        <v>800</v>
      </c>
      <c r="G1620" s="68">
        <v>20.0</v>
      </c>
      <c r="H1620" s="69">
        <f t="shared" si="82"/>
        <v>20000</v>
      </c>
      <c r="I1620" s="76" t="s">
        <v>37</v>
      </c>
      <c r="J1620" s="87" t="s">
        <v>102</v>
      </c>
      <c r="K1620" s="82" t="s">
        <v>1249</v>
      </c>
      <c r="L1620" s="82">
        <v>206.0</v>
      </c>
      <c r="M1620" s="128">
        <v>45817.0</v>
      </c>
      <c r="N1620" s="153">
        <f t="shared" si="96"/>
        <v>311</v>
      </c>
      <c r="O1620" s="96"/>
      <c r="P1620" s="74"/>
      <c r="Q1620" s="74"/>
      <c r="R1620" s="74"/>
      <c r="S1620" s="74"/>
      <c r="T1620" s="74"/>
      <c r="U1620" s="74"/>
      <c r="V1620" s="74"/>
      <c r="W1620" s="74"/>
      <c r="X1620" s="74"/>
      <c r="Y1620" s="74"/>
      <c r="Z1620" s="74"/>
      <c r="AA1620" s="74"/>
      <c r="AB1620" s="74"/>
      <c r="AC1620" s="74"/>
      <c r="AD1620" s="74"/>
      <c r="AE1620" s="74"/>
      <c r="AF1620" s="74"/>
      <c r="AG1620" s="74"/>
    </row>
    <row r="1621" ht="22.5" customHeight="1">
      <c r="A1621" s="155">
        <v>45951.0</v>
      </c>
      <c r="B1621" s="63" t="s">
        <v>27</v>
      </c>
      <c r="C1621" s="79"/>
      <c r="D1621" s="80">
        <v>387235.9</v>
      </c>
      <c r="E1621" s="66" t="s">
        <v>28</v>
      </c>
      <c r="F1621" s="84" t="s">
        <v>800</v>
      </c>
      <c r="G1621" s="69">
        <v>0.0</v>
      </c>
      <c r="H1621" s="69">
        <f t="shared" si="82"/>
        <v>0</v>
      </c>
      <c r="I1621" s="76" t="s">
        <v>93</v>
      </c>
      <c r="J1621" s="133" t="s">
        <v>516</v>
      </c>
      <c r="K1621" s="95"/>
      <c r="L1621" s="95"/>
      <c r="M1621" s="95"/>
      <c r="N1621" s="153"/>
      <c r="O1621" s="140" t="s">
        <v>1250</v>
      </c>
      <c r="P1621" s="74"/>
      <c r="Q1621" s="74"/>
      <c r="R1621" s="74"/>
      <c r="S1621" s="74"/>
      <c r="T1621" s="74"/>
      <c r="U1621" s="74"/>
      <c r="V1621" s="74"/>
      <c r="W1621" s="74"/>
      <c r="X1621" s="74"/>
      <c r="Y1621" s="74"/>
      <c r="Z1621" s="74"/>
      <c r="AA1621" s="74"/>
      <c r="AB1621" s="74"/>
      <c r="AC1621" s="74"/>
      <c r="AD1621" s="74"/>
      <c r="AE1621" s="74"/>
      <c r="AF1621" s="74"/>
      <c r="AG1621" s="74"/>
    </row>
    <row r="1622" ht="22.5" customHeight="1">
      <c r="A1622" s="86">
        <v>45951.0</v>
      </c>
      <c r="B1622" s="63" t="s">
        <v>27</v>
      </c>
      <c r="C1622" s="79"/>
      <c r="D1622" s="80">
        <v>4986224.29</v>
      </c>
      <c r="E1622" s="66" t="s">
        <v>28</v>
      </c>
      <c r="F1622" s="84" t="s">
        <v>897</v>
      </c>
      <c r="G1622" s="68">
        <v>20.0</v>
      </c>
      <c r="H1622" s="69">
        <f t="shared" si="82"/>
        <v>831037.3817</v>
      </c>
      <c r="I1622" s="76" t="s">
        <v>101</v>
      </c>
      <c r="J1622" s="100" t="s">
        <v>102</v>
      </c>
      <c r="K1622" s="82"/>
      <c r="L1622" s="82"/>
      <c r="M1622" s="128"/>
      <c r="N1622" s="153"/>
      <c r="O1622" s="140" t="s">
        <v>1251</v>
      </c>
      <c r="P1622" s="74"/>
      <c r="Q1622" s="74"/>
      <c r="R1622" s="74"/>
      <c r="S1622" s="74"/>
      <c r="T1622" s="74"/>
      <c r="U1622" s="74"/>
      <c r="V1622" s="74"/>
      <c r="W1622" s="74"/>
      <c r="X1622" s="74"/>
      <c r="Y1622" s="74"/>
      <c r="Z1622" s="74"/>
      <c r="AA1622" s="74"/>
      <c r="AB1622" s="74"/>
      <c r="AC1622" s="74"/>
      <c r="AD1622" s="74"/>
      <c r="AE1622" s="74"/>
      <c r="AF1622" s="74"/>
      <c r="AG1622" s="74"/>
    </row>
    <row r="1623" ht="22.5" customHeight="1">
      <c r="A1623" s="86">
        <v>45951.0</v>
      </c>
      <c r="B1623" s="63" t="s">
        <v>27</v>
      </c>
      <c r="C1623" s="80">
        <v>1200000.0</v>
      </c>
      <c r="D1623" s="79"/>
      <c r="E1623" s="66" t="s">
        <v>28</v>
      </c>
      <c r="F1623" s="84" t="s">
        <v>941</v>
      </c>
      <c r="G1623" s="68">
        <v>20.0</v>
      </c>
      <c r="H1623" s="69">
        <f t="shared" si="82"/>
        <v>200000</v>
      </c>
      <c r="I1623" s="76" t="s">
        <v>37</v>
      </c>
      <c r="J1623" s="87" t="s">
        <v>675</v>
      </c>
      <c r="K1623" s="82" t="s">
        <v>852</v>
      </c>
      <c r="L1623" s="82">
        <v>288.0</v>
      </c>
      <c r="M1623" s="128">
        <v>45877.0</v>
      </c>
      <c r="N1623" s="153">
        <f>TODAY()-M1623-60</f>
        <v>251</v>
      </c>
      <c r="O1623" s="96"/>
      <c r="P1623" s="74"/>
      <c r="Q1623" s="74"/>
      <c r="R1623" s="74"/>
      <c r="S1623" s="74"/>
      <c r="T1623" s="74"/>
      <c r="U1623" s="74"/>
      <c r="V1623" s="74"/>
      <c r="W1623" s="74"/>
      <c r="X1623" s="74"/>
      <c r="Y1623" s="74"/>
      <c r="Z1623" s="74"/>
      <c r="AA1623" s="74"/>
      <c r="AB1623" s="74"/>
      <c r="AC1623" s="74"/>
      <c r="AD1623" s="74"/>
      <c r="AE1623" s="74"/>
      <c r="AF1623" s="74"/>
      <c r="AG1623" s="74"/>
    </row>
    <row r="1624" ht="22.5" customHeight="1">
      <c r="A1624" s="86">
        <v>45951.0</v>
      </c>
      <c r="B1624" s="63" t="s">
        <v>27</v>
      </c>
      <c r="C1624" s="79"/>
      <c r="D1624" s="80">
        <v>600000.0</v>
      </c>
      <c r="E1624" s="66" t="s">
        <v>28</v>
      </c>
      <c r="F1624" s="84" t="s">
        <v>951</v>
      </c>
      <c r="G1624" s="68">
        <v>0.0</v>
      </c>
      <c r="H1624" s="69">
        <f t="shared" si="82"/>
        <v>0</v>
      </c>
      <c r="I1624" s="76" t="s">
        <v>322</v>
      </c>
      <c r="J1624" s="87" t="s">
        <v>675</v>
      </c>
      <c r="K1624" s="95"/>
      <c r="L1624" s="95"/>
      <c r="M1624" s="95"/>
      <c r="N1624" s="153"/>
      <c r="O1624" s="140" t="s">
        <v>1252</v>
      </c>
      <c r="P1624" s="74"/>
      <c r="Q1624" s="74"/>
      <c r="R1624" s="74"/>
      <c r="S1624" s="74"/>
      <c r="T1624" s="74"/>
      <c r="U1624" s="74"/>
      <c r="V1624" s="74"/>
      <c r="W1624" s="74"/>
      <c r="X1624" s="74"/>
      <c r="Y1624" s="74"/>
      <c r="Z1624" s="74"/>
      <c r="AA1624" s="74"/>
      <c r="AB1624" s="74"/>
      <c r="AC1624" s="74"/>
      <c r="AD1624" s="74"/>
      <c r="AE1624" s="74"/>
      <c r="AF1624" s="74"/>
      <c r="AG1624" s="74"/>
    </row>
    <row r="1625" ht="22.5" customHeight="1">
      <c r="A1625" s="86">
        <v>45951.0</v>
      </c>
      <c r="B1625" s="63" t="s">
        <v>27</v>
      </c>
      <c r="C1625" s="79"/>
      <c r="D1625" s="80">
        <v>13750.0</v>
      </c>
      <c r="E1625" s="66" t="s">
        <v>33</v>
      </c>
      <c r="F1625" s="67" t="s">
        <v>1179</v>
      </c>
      <c r="G1625" s="68">
        <v>0.0</v>
      </c>
      <c r="H1625" s="69">
        <f t="shared" si="82"/>
        <v>0</v>
      </c>
      <c r="I1625" s="70" t="s">
        <v>35</v>
      </c>
      <c r="J1625" s="98" t="s">
        <v>460</v>
      </c>
      <c r="K1625" s="95"/>
      <c r="L1625" s="95"/>
      <c r="M1625" s="95"/>
      <c r="N1625" s="153"/>
      <c r="O1625" s="96"/>
      <c r="P1625" s="74"/>
      <c r="Q1625" s="74"/>
      <c r="R1625" s="74"/>
      <c r="S1625" s="74"/>
      <c r="T1625" s="74"/>
      <c r="U1625" s="74"/>
      <c r="V1625" s="74"/>
      <c r="W1625" s="74"/>
      <c r="X1625" s="74"/>
      <c r="Y1625" s="74"/>
      <c r="Z1625" s="74"/>
      <c r="AA1625" s="74"/>
      <c r="AB1625" s="74"/>
      <c r="AC1625" s="74"/>
      <c r="AD1625" s="74"/>
      <c r="AE1625" s="74"/>
      <c r="AF1625" s="74"/>
      <c r="AG1625" s="74"/>
    </row>
    <row r="1626" ht="22.5" customHeight="1">
      <c r="A1626" s="86">
        <v>45951.0</v>
      </c>
      <c r="B1626" s="63" t="s">
        <v>27</v>
      </c>
      <c r="C1626" s="79"/>
      <c r="D1626" s="80">
        <v>18800.0</v>
      </c>
      <c r="E1626" s="66" t="s">
        <v>33</v>
      </c>
      <c r="F1626" s="67" t="s">
        <v>1179</v>
      </c>
      <c r="G1626" s="68">
        <v>0.0</v>
      </c>
      <c r="H1626" s="69">
        <f t="shared" si="82"/>
        <v>0</v>
      </c>
      <c r="I1626" s="76" t="s">
        <v>383</v>
      </c>
      <c r="J1626" s="98" t="s">
        <v>1253</v>
      </c>
      <c r="K1626" s="95"/>
      <c r="L1626" s="95"/>
      <c r="M1626" s="95"/>
      <c r="N1626" s="153"/>
      <c r="O1626" s="96"/>
      <c r="P1626" s="74"/>
      <c r="Q1626" s="74"/>
      <c r="R1626" s="74"/>
      <c r="S1626" s="74"/>
      <c r="T1626" s="74"/>
      <c r="U1626" s="74"/>
      <c r="V1626" s="74"/>
      <c r="W1626" s="74"/>
      <c r="X1626" s="74"/>
      <c r="Y1626" s="74"/>
      <c r="Z1626" s="74"/>
      <c r="AA1626" s="74"/>
      <c r="AB1626" s="74"/>
      <c r="AC1626" s="74"/>
      <c r="AD1626" s="74"/>
      <c r="AE1626" s="74"/>
      <c r="AF1626" s="74"/>
      <c r="AG1626" s="74"/>
    </row>
    <row r="1627" ht="22.5" customHeight="1">
      <c r="A1627" s="86">
        <v>45952.0</v>
      </c>
      <c r="B1627" s="63" t="s">
        <v>27</v>
      </c>
      <c r="C1627" s="79"/>
      <c r="D1627" s="80">
        <v>204752.37</v>
      </c>
      <c r="E1627" s="66" t="s">
        <v>28</v>
      </c>
      <c r="F1627" s="67" t="s">
        <v>1099</v>
      </c>
      <c r="G1627" s="68">
        <v>20.0</v>
      </c>
      <c r="H1627" s="69">
        <f t="shared" si="82"/>
        <v>34125.395</v>
      </c>
      <c r="I1627" s="76" t="s">
        <v>30</v>
      </c>
      <c r="J1627" s="98" t="s">
        <v>1096</v>
      </c>
      <c r="K1627" s="95"/>
      <c r="L1627" s="95"/>
      <c r="M1627" s="95"/>
      <c r="N1627" s="153"/>
      <c r="O1627" s="96"/>
      <c r="P1627" s="74"/>
      <c r="Q1627" s="74"/>
      <c r="R1627" s="74"/>
      <c r="S1627" s="74"/>
      <c r="T1627" s="74"/>
      <c r="U1627" s="74"/>
      <c r="V1627" s="74"/>
      <c r="W1627" s="74"/>
      <c r="X1627" s="74"/>
      <c r="Y1627" s="74"/>
      <c r="Z1627" s="74"/>
      <c r="AA1627" s="74"/>
      <c r="AB1627" s="74"/>
      <c r="AC1627" s="74"/>
      <c r="AD1627" s="74"/>
      <c r="AE1627" s="74"/>
      <c r="AF1627" s="74"/>
      <c r="AG1627" s="74"/>
    </row>
    <row r="1628" ht="22.5" customHeight="1">
      <c r="A1628" s="86">
        <v>45952.0</v>
      </c>
      <c r="B1628" s="63" t="s">
        <v>27</v>
      </c>
      <c r="C1628" s="79"/>
      <c r="D1628" s="80">
        <v>36000.0</v>
      </c>
      <c r="E1628" s="66" t="s">
        <v>28</v>
      </c>
      <c r="F1628" s="67" t="s">
        <v>1179</v>
      </c>
      <c r="G1628" s="68">
        <v>20.0</v>
      </c>
      <c r="H1628" s="69">
        <f t="shared" si="82"/>
        <v>6000</v>
      </c>
      <c r="I1628" s="76" t="s">
        <v>61</v>
      </c>
      <c r="J1628" s="87" t="s">
        <v>942</v>
      </c>
      <c r="K1628" s="95"/>
      <c r="L1628" s="95"/>
      <c r="M1628" s="95"/>
      <c r="N1628" s="153"/>
      <c r="O1628" s="83" t="s">
        <v>943</v>
      </c>
      <c r="P1628" s="74"/>
      <c r="Q1628" s="74"/>
      <c r="R1628" s="74"/>
      <c r="S1628" s="74"/>
      <c r="T1628" s="74"/>
      <c r="U1628" s="74"/>
      <c r="V1628" s="74"/>
      <c r="W1628" s="74"/>
      <c r="X1628" s="74"/>
      <c r="Y1628" s="74"/>
      <c r="Z1628" s="74"/>
      <c r="AA1628" s="74"/>
      <c r="AB1628" s="74"/>
      <c r="AC1628" s="74"/>
      <c r="AD1628" s="74"/>
      <c r="AE1628" s="74"/>
      <c r="AF1628" s="74"/>
      <c r="AG1628" s="74"/>
    </row>
    <row r="1629" ht="22.5" customHeight="1">
      <c r="A1629" s="86">
        <v>45952.0</v>
      </c>
      <c r="B1629" s="63" t="s">
        <v>27</v>
      </c>
      <c r="C1629" s="79"/>
      <c r="D1629" s="80">
        <v>429000.0</v>
      </c>
      <c r="E1629" s="66" t="s">
        <v>33</v>
      </c>
      <c r="F1629" s="67" t="s">
        <v>951</v>
      </c>
      <c r="G1629" s="68">
        <v>0.0</v>
      </c>
      <c r="H1629" s="69">
        <f t="shared" si="82"/>
        <v>0</v>
      </c>
      <c r="I1629" s="76" t="s">
        <v>65</v>
      </c>
      <c r="J1629" s="98" t="s">
        <v>1254</v>
      </c>
      <c r="K1629" s="95"/>
      <c r="L1629" s="95"/>
      <c r="M1629" s="95"/>
      <c r="N1629" s="153"/>
      <c r="O1629" s="96"/>
      <c r="P1629" s="74"/>
      <c r="Q1629" s="74"/>
      <c r="R1629" s="74"/>
      <c r="S1629" s="74"/>
      <c r="T1629" s="74"/>
      <c r="U1629" s="74"/>
      <c r="V1629" s="74"/>
      <c r="W1629" s="74"/>
      <c r="X1629" s="74"/>
      <c r="Y1629" s="74"/>
      <c r="Z1629" s="74"/>
      <c r="AA1629" s="74"/>
      <c r="AB1629" s="74"/>
      <c r="AC1629" s="74"/>
      <c r="AD1629" s="74"/>
      <c r="AE1629" s="74"/>
      <c r="AF1629" s="74"/>
      <c r="AG1629" s="74"/>
    </row>
    <row r="1630" ht="22.5" customHeight="1">
      <c r="A1630" s="86">
        <v>45952.0</v>
      </c>
      <c r="B1630" s="63" t="s">
        <v>27</v>
      </c>
      <c r="C1630" s="79"/>
      <c r="D1630" s="80">
        <v>140000.0</v>
      </c>
      <c r="E1630" s="66" t="s">
        <v>33</v>
      </c>
      <c r="F1630" s="67" t="s">
        <v>1179</v>
      </c>
      <c r="G1630" s="68">
        <v>0.0</v>
      </c>
      <c r="H1630" s="69">
        <f t="shared" si="82"/>
        <v>0</v>
      </c>
      <c r="I1630" s="76" t="s">
        <v>53</v>
      </c>
      <c r="J1630" s="98" t="s">
        <v>1255</v>
      </c>
      <c r="K1630" s="95"/>
      <c r="L1630" s="95"/>
      <c r="M1630" s="95"/>
      <c r="N1630" s="153"/>
      <c r="O1630" s="96"/>
      <c r="P1630" s="74"/>
      <c r="Q1630" s="74"/>
      <c r="R1630" s="74"/>
      <c r="S1630" s="74"/>
      <c r="T1630" s="74"/>
      <c r="U1630" s="74"/>
      <c r="V1630" s="74"/>
      <c r="W1630" s="74"/>
      <c r="X1630" s="74"/>
      <c r="Y1630" s="74"/>
      <c r="Z1630" s="74"/>
      <c r="AA1630" s="74"/>
      <c r="AB1630" s="74"/>
      <c r="AC1630" s="74"/>
      <c r="AD1630" s="74"/>
      <c r="AE1630" s="74"/>
      <c r="AF1630" s="74"/>
      <c r="AG1630" s="74"/>
    </row>
    <row r="1631" ht="22.5" customHeight="1">
      <c r="A1631" s="86">
        <v>45953.0</v>
      </c>
      <c r="B1631" s="63" t="s">
        <v>27</v>
      </c>
      <c r="C1631" s="79"/>
      <c r="D1631" s="80">
        <v>8000.0</v>
      </c>
      <c r="E1631" s="66" t="s">
        <v>33</v>
      </c>
      <c r="F1631" s="67" t="s">
        <v>1179</v>
      </c>
      <c r="G1631" s="68">
        <v>0.0</v>
      </c>
      <c r="H1631" s="69">
        <f t="shared" si="82"/>
        <v>0</v>
      </c>
      <c r="I1631" s="76" t="s">
        <v>383</v>
      </c>
      <c r="J1631" s="98" t="s">
        <v>1256</v>
      </c>
      <c r="K1631" s="95"/>
      <c r="L1631" s="95"/>
      <c r="M1631" s="95"/>
      <c r="N1631" s="153"/>
      <c r="O1631" s="96"/>
      <c r="P1631" s="74"/>
      <c r="Q1631" s="74"/>
      <c r="R1631" s="74"/>
      <c r="S1631" s="74"/>
      <c r="T1631" s="74"/>
      <c r="U1631" s="74"/>
      <c r="V1631" s="74"/>
      <c r="W1631" s="74"/>
      <c r="X1631" s="74"/>
      <c r="Y1631" s="74"/>
      <c r="Z1631" s="74"/>
      <c r="AA1631" s="74"/>
      <c r="AB1631" s="74"/>
      <c r="AC1631" s="74"/>
      <c r="AD1631" s="74"/>
      <c r="AE1631" s="74"/>
      <c r="AF1631" s="74"/>
      <c r="AG1631" s="74"/>
    </row>
    <row r="1632" ht="22.5" customHeight="1">
      <c r="A1632" s="86">
        <v>45954.0</v>
      </c>
      <c r="B1632" s="63" t="s">
        <v>27</v>
      </c>
      <c r="C1632" s="80">
        <v>630000.0</v>
      </c>
      <c r="D1632" s="79"/>
      <c r="E1632" s="66" t="s">
        <v>28</v>
      </c>
      <c r="F1632" s="67" t="s">
        <v>1099</v>
      </c>
      <c r="G1632" s="68">
        <v>20.0</v>
      </c>
      <c r="H1632" s="69">
        <f t="shared" si="82"/>
        <v>105000</v>
      </c>
      <c r="I1632" s="76" t="s">
        <v>37</v>
      </c>
      <c r="J1632" s="98" t="s">
        <v>539</v>
      </c>
      <c r="K1632" s="82" t="s">
        <v>1257</v>
      </c>
      <c r="L1632" s="82">
        <v>351.0</v>
      </c>
      <c r="M1632" s="132">
        <v>45940.0</v>
      </c>
      <c r="N1632" s="153">
        <f>TODAY()-M1632-60</f>
        <v>188</v>
      </c>
      <c r="O1632" s="96"/>
      <c r="P1632" s="74"/>
      <c r="Q1632" s="74"/>
      <c r="R1632" s="74"/>
      <c r="S1632" s="74"/>
      <c r="T1632" s="74"/>
      <c r="U1632" s="74"/>
      <c r="V1632" s="74"/>
      <c r="W1632" s="74"/>
      <c r="X1632" s="74"/>
      <c r="Y1632" s="74"/>
      <c r="Z1632" s="74"/>
      <c r="AA1632" s="74"/>
      <c r="AB1632" s="74"/>
      <c r="AC1632" s="74"/>
      <c r="AD1632" s="74"/>
      <c r="AE1632" s="74"/>
      <c r="AF1632" s="74"/>
      <c r="AG1632" s="74"/>
    </row>
    <row r="1633" ht="22.5" customHeight="1">
      <c r="A1633" s="86">
        <v>45954.0</v>
      </c>
      <c r="B1633" s="63" t="s">
        <v>27</v>
      </c>
      <c r="C1633" s="79"/>
      <c r="D1633" s="79">
        <f>16025+367.45+1152407.62</f>
        <v>1168800.07</v>
      </c>
      <c r="E1633" s="66" t="s">
        <v>28</v>
      </c>
      <c r="F1633" s="67" t="s">
        <v>1179</v>
      </c>
      <c r="G1633" s="68">
        <v>0.0</v>
      </c>
      <c r="H1633" s="69">
        <f t="shared" si="82"/>
        <v>0</v>
      </c>
      <c r="I1633" s="76" t="s">
        <v>280</v>
      </c>
      <c r="J1633" s="98" t="s">
        <v>190</v>
      </c>
      <c r="K1633" s="95"/>
      <c r="L1633" s="95"/>
      <c r="M1633" s="95"/>
      <c r="N1633" s="153"/>
      <c r="O1633" s="96"/>
      <c r="P1633" s="74"/>
      <c r="Q1633" s="74"/>
      <c r="R1633" s="74"/>
      <c r="S1633" s="74"/>
      <c r="T1633" s="74"/>
      <c r="U1633" s="74"/>
      <c r="V1633" s="74"/>
      <c r="W1633" s="74"/>
      <c r="X1633" s="74"/>
      <c r="Y1633" s="74"/>
      <c r="Z1633" s="74"/>
      <c r="AA1633" s="74"/>
      <c r="AB1633" s="74"/>
      <c r="AC1633" s="74"/>
      <c r="AD1633" s="74"/>
      <c r="AE1633" s="74"/>
      <c r="AF1633" s="74"/>
      <c r="AG1633" s="74"/>
    </row>
    <row r="1634" ht="22.5" customHeight="1">
      <c r="A1634" s="86">
        <v>45958.0</v>
      </c>
      <c r="B1634" s="63" t="s">
        <v>27</v>
      </c>
      <c r="C1634" s="79"/>
      <c r="D1634" s="80">
        <v>1044598.0</v>
      </c>
      <c r="E1634" s="66" t="s">
        <v>28</v>
      </c>
      <c r="F1634" s="67" t="s">
        <v>1179</v>
      </c>
      <c r="G1634" s="68">
        <v>0.0</v>
      </c>
      <c r="H1634" s="69">
        <f t="shared" si="82"/>
        <v>0</v>
      </c>
      <c r="I1634" s="94" t="s">
        <v>623</v>
      </c>
      <c r="J1634" s="98" t="s">
        <v>1258</v>
      </c>
      <c r="K1634" s="95"/>
      <c r="L1634" s="95"/>
      <c r="M1634" s="95"/>
      <c r="N1634" s="153"/>
      <c r="O1634" s="96"/>
      <c r="P1634" s="74"/>
      <c r="Q1634" s="74"/>
      <c r="R1634" s="74"/>
      <c r="S1634" s="74"/>
      <c r="T1634" s="74"/>
      <c r="U1634" s="74"/>
      <c r="V1634" s="74"/>
      <c r="W1634" s="74"/>
      <c r="X1634" s="74"/>
      <c r="Y1634" s="74"/>
      <c r="Z1634" s="74"/>
      <c r="AA1634" s="74"/>
      <c r="AB1634" s="74"/>
      <c r="AC1634" s="74"/>
      <c r="AD1634" s="74"/>
      <c r="AE1634" s="74"/>
      <c r="AF1634" s="74"/>
      <c r="AG1634" s="74"/>
    </row>
    <row r="1635" ht="22.5" customHeight="1">
      <c r="A1635" s="86">
        <v>45958.0</v>
      </c>
      <c r="B1635" s="63" t="s">
        <v>27</v>
      </c>
      <c r="C1635" s="79"/>
      <c r="D1635" s="80">
        <v>424782.0</v>
      </c>
      <c r="E1635" s="66" t="s">
        <v>28</v>
      </c>
      <c r="F1635" s="67" t="s">
        <v>1179</v>
      </c>
      <c r="G1635" s="68">
        <v>0.0</v>
      </c>
      <c r="H1635" s="69">
        <f t="shared" si="82"/>
        <v>0</v>
      </c>
      <c r="I1635" s="94" t="s">
        <v>622</v>
      </c>
      <c r="J1635" s="98" t="s">
        <v>1259</v>
      </c>
      <c r="K1635" s="95"/>
      <c r="L1635" s="95"/>
      <c r="M1635" s="95"/>
      <c r="N1635" s="153"/>
      <c r="O1635" s="96"/>
      <c r="P1635" s="74"/>
      <c r="Q1635" s="74"/>
      <c r="R1635" s="74"/>
      <c r="S1635" s="74"/>
      <c r="T1635" s="74"/>
      <c r="U1635" s="74"/>
      <c r="V1635" s="74"/>
      <c r="W1635" s="74"/>
      <c r="X1635" s="74"/>
      <c r="Y1635" s="74"/>
      <c r="Z1635" s="74"/>
      <c r="AA1635" s="74"/>
      <c r="AB1635" s="74"/>
      <c r="AC1635" s="74"/>
      <c r="AD1635" s="74"/>
      <c r="AE1635" s="74"/>
      <c r="AF1635" s="74"/>
      <c r="AG1635" s="74"/>
    </row>
    <row r="1636" ht="22.5" customHeight="1">
      <c r="A1636" s="86">
        <v>45958.0</v>
      </c>
      <c r="B1636" s="63" t="s">
        <v>27</v>
      </c>
      <c r="C1636" s="79"/>
      <c r="D1636" s="80">
        <v>165412.0</v>
      </c>
      <c r="E1636" s="66" t="s">
        <v>28</v>
      </c>
      <c r="F1636" s="67" t="s">
        <v>1179</v>
      </c>
      <c r="G1636" s="68">
        <v>0.0</v>
      </c>
      <c r="H1636" s="69">
        <f t="shared" si="82"/>
        <v>0</v>
      </c>
      <c r="I1636" s="94" t="s">
        <v>599</v>
      </c>
      <c r="J1636" s="98" t="s">
        <v>1011</v>
      </c>
      <c r="K1636" s="95"/>
      <c r="L1636" s="95"/>
      <c r="M1636" s="95"/>
      <c r="N1636" s="153"/>
      <c r="O1636" s="96"/>
      <c r="P1636" s="74"/>
      <c r="Q1636" s="74"/>
      <c r="R1636" s="74"/>
      <c r="S1636" s="74"/>
      <c r="T1636" s="74"/>
      <c r="U1636" s="74"/>
      <c r="V1636" s="74"/>
      <c r="W1636" s="74"/>
      <c r="X1636" s="74"/>
      <c r="Y1636" s="74"/>
      <c r="Z1636" s="74"/>
      <c r="AA1636" s="74"/>
      <c r="AB1636" s="74"/>
      <c r="AC1636" s="74"/>
      <c r="AD1636" s="74"/>
      <c r="AE1636" s="74"/>
      <c r="AF1636" s="74"/>
      <c r="AG1636" s="74"/>
    </row>
    <row r="1637" ht="22.5" customHeight="1">
      <c r="A1637" s="86">
        <v>45958.0</v>
      </c>
      <c r="B1637" s="63" t="s">
        <v>27</v>
      </c>
      <c r="C1637" s="79"/>
      <c r="D1637" s="80">
        <v>3506.0</v>
      </c>
      <c r="E1637" s="66" t="s">
        <v>28</v>
      </c>
      <c r="F1637" s="67" t="s">
        <v>1179</v>
      </c>
      <c r="G1637" s="68">
        <v>0.0</v>
      </c>
      <c r="H1637" s="69">
        <f t="shared" si="82"/>
        <v>0</v>
      </c>
      <c r="I1637" s="94" t="s">
        <v>659</v>
      </c>
      <c r="J1637" s="98" t="s">
        <v>1011</v>
      </c>
      <c r="K1637" s="95"/>
      <c r="L1637" s="95"/>
      <c r="M1637" s="95"/>
      <c r="N1637" s="153"/>
      <c r="O1637" s="96"/>
      <c r="P1637" s="74"/>
      <c r="Q1637" s="74"/>
      <c r="R1637" s="74"/>
      <c r="S1637" s="74"/>
      <c r="T1637" s="74"/>
      <c r="U1637" s="74"/>
      <c r="V1637" s="74"/>
      <c r="W1637" s="74"/>
      <c r="X1637" s="74"/>
      <c r="Y1637" s="74"/>
      <c r="Z1637" s="74"/>
      <c r="AA1637" s="74"/>
      <c r="AB1637" s="74"/>
      <c r="AC1637" s="74"/>
      <c r="AD1637" s="74"/>
      <c r="AE1637" s="74"/>
      <c r="AF1637" s="74"/>
      <c r="AG1637" s="74"/>
    </row>
    <row r="1638" ht="22.5" customHeight="1">
      <c r="A1638" s="86">
        <v>45958.0</v>
      </c>
      <c r="B1638" s="63" t="s">
        <v>27</v>
      </c>
      <c r="C1638" s="80">
        <v>604968.0</v>
      </c>
      <c r="D1638" s="79"/>
      <c r="E1638" s="66" t="s">
        <v>28</v>
      </c>
      <c r="F1638" s="84" t="s">
        <v>800</v>
      </c>
      <c r="G1638" s="68">
        <v>20.0</v>
      </c>
      <c r="H1638" s="69">
        <f t="shared" si="82"/>
        <v>100828</v>
      </c>
      <c r="I1638" s="76" t="s">
        <v>37</v>
      </c>
      <c r="J1638" s="87" t="s">
        <v>1014</v>
      </c>
      <c r="K1638" s="82" t="s">
        <v>1260</v>
      </c>
      <c r="L1638" s="82">
        <v>222.0</v>
      </c>
      <c r="M1638" s="128">
        <v>45818.0</v>
      </c>
      <c r="N1638" s="153">
        <f>TODAY()-M1638-60</f>
        <v>310</v>
      </c>
      <c r="O1638" s="96"/>
      <c r="P1638" s="74"/>
      <c r="Q1638" s="74"/>
      <c r="R1638" s="74"/>
      <c r="S1638" s="74"/>
      <c r="T1638" s="74"/>
      <c r="U1638" s="74"/>
      <c r="V1638" s="74"/>
      <c r="W1638" s="74"/>
      <c r="X1638" s="74"/>
      <c r="Y1638" s="74"/>
      <c r="Z1638" s="74"/>
      <c r="AA1638" s="74"/>
      <c r="AB1638" s="74"/>
      <c r="AC1638" s="74"/>
      <c r="AD1638" s="74"/>
      <c r="AE1638" s="74"/>
      <c r="AF1638" s="74"/>
      <c r="AG1638" s="74"/>
    </row>
    <row r="1639" ht="22.5" customHeight="1">
      <c r="A1639" s="86">
        <v>45959.0</v>
      </c>
      <c r="B1639" s="63" t="s">
        <v>27</v>
      </c>
      <c r="C1639" s="79"/>
      <c r="D1639" s="80">
        <v>58500.0</v>
      </c>
      <c r="E1639" s="66" t="s">
        <v>28</v>
      </c>
      <c r="F1639" s="67" t="s">
        <v>1179</v>
      </c>
      <c r="G1639" s="68">
        <v>0.0</v>
      </c>
      <c r="H1639" s="69">
        <f t="shared" si="82"/>
        <v>0</v>
      </c>
      <c r="I1639" s="70" t="s">
        <v>35</v>
      </c>
      <c r="J1639" s="98" t="s">
        <v>1100</v>
      </c>
      <c r="K1639" s="95"/>
      <c r="L1639" s="95"/>
      <c r="M1639" s="95"/>
      <c r="N1639" s="153"/>
      <c r="O1639" s="140" t="s">
        <v>1261</v>
      </c>
      <c r="P1639" s="74"/>
      <c r="Q1639" s="74"/>
      <c r="R1639" s="74"/>
      <c r="S1639" s="74"/>
      <c r="T1639" s="74"/>
      <c r="U1639" s="74"/>
      <c r="V1639" s="74"/>
      <c r="W1639" s="74"/>
      <c r="X1639" s="74"/>
      <c r="Y1639" s="74"/>
      <c r="Z1639" s="74"/>
      <c r="AA1639" s="74"/>
      <c r="AB1639" s="74"/>
      <c r="AC1639" s="74"/>
      <c r="AD1639" s="74"/>
      <c r="AE1639" s="74"/>
      <c r="AF1639" s="74"/>
      <c r="AG1639" s="74"/>
    </row>
    <row r="1640" ht="22.5" customHeight="1">
      <c r="A1640" s="86">
        <v>45959.0</v>
      </c>
      <c r="B1640" s="63" t="s">
        <v>27</v>
      </c>
      <c r="C1640" s="79"/>
      <c r="D1640" s="80">
        <v>150000.0</v>
      </c>
      <c r="E1640" s="66" t="s">
        <v>28</v>
      </c>
      <c r="F1640" s="67" t="s">
        <v>1262</v>
      </c>
      <c r="G1640" s="68">
        <v>20.0</v>
      </c>
      <c r="H1640" s="69">
        <f t="shared" si="82"/>
        <v>25000</v>
      </c>
      <c r="I1640" s="76" t="s">
        <v>61</v>
      </c>
      <c r="J1640" s="87" t="s">
        <v>942</v>
      </c>
      <c r="K1640" s="95"/>
      <c r="L1640" s="95"/>
      <c r="M1640" s="95"/>
      <c r="N1640" s="153"/>
      <c r="O1640" s="83" t="s">
        <v>943</v>
      </c>
      <c r="P1640" s="74"/>
      <c r="Q1640" s="74"/>
      <c r="R1640" s="74"/>
      <c r="S1640" s="74"/>
      <c r="T1640" s="74"/>
      <c r="U1640" s="74"/>
      <c r="V1640" s="74"/>
      <c r="W1640" s="74"/>
      <c r="X1640" s="74"/>
      <c r="Y1640" s="74"/>
      <c r="Z1640" s="74"/>
      <c r="AA1640" s="74"/>
      <c r="AB1640" s="74"/>
      <c r="AC1640" s="74"/>
      <c r="AD1640" s="74"/>
      <c r="AE1640" s="74"/>
      <c r="AF1640" s="74"/>
      <c r="AG1640" s="74"/>
    </row>
    <row r="1641" ht="22.5" customHeight="1">
      <c r="A1641" s="86">
        <v>45959.0</v>
      </c>
      <c r="B1641" s="63" t="s">
        <v>27</v>
      </c>
      <c r="C1641" s="79"/>
      <c r="D1641" s="80">
        <v>600.0</v>
      </c>
      <c r="E1641" s="66" t="s">
        <v>28</v>
      </c>
      <c r="F1641" s="67" t="s">
        <v>1179</v>
      </c>
      <c r="G1641" s="68">
        <v>20.0</v>
      </c>
      <c r="H1641" s="69">
        <f t="shared" si="82"/>
        <v>100</v>
      </c>
      <c r="I1641" s="76" t="s">
        <v>61</v>
      </c>
      <c r="J1641" s="87" t="s">
        <v>942</v>
      </c>
      <c r="K1641" s="95"/>
      <c r="L1641" s="95"/>
      <c r="M1641" s="95"/>
      <c r="N1641" s="153"/>
      <c r="O1641" s="83" t="s">
        <v>943</v>
      </c>
      <c r="P1641" s="74"/>
      <c r="Q1641" s="74"/>
      <c r="R1641" s="74"/>
      <c r="S1641" s="74"/>
      <c r="T1641" s="74"/>
      <c r="U1641" s="74"/>
      <c r="V1641" s="74"/>
      <c r="W1641" s="74"/>
      <c r="X1641" s="74"/>
      <c r="Y1641" s="74"/>
      <c r="Z1641" s="74"/>
      <c r="AA1641" s="74"/>
      <c r="AB1641" s="74"/>
      <c r="AC1641" s="74"/>
      <c r="AD1641" s="74"/>
      <c r="AE1641" s="74"/>
      <c r="AF1641" s="74"/>
      <c r="AG1641" s="74"/>
    </row>
    <row r="1642" ht="22.5" customHeight="1">
      <c r="A1642" s="86">
        <v>45959.0</v>
      </c>
      <c r="B1642" s="63" t="s">
        <v>27</v>
      </c>
      <c r="C1642" s="79"/>
      <c r="D1642" s="80">
        <v>1200000.0</v>
      </c>
      <c r="E1642" s="66" t="s">
        <v>28</v>
      </c>
      <c r="F1642" s="67" t="s">
        <v>1179</v>
      </c>
      <c r="G1642" s="68">
        <v>20.0</v>
      </c>
      <c r="H1642" s="69">
        <f t="shared" si="82"/>
        <v>200000</v>
      </c>
      <c r="I1642" s="76" t="s">
        <v>47</v>
      </c>
      <c r="J1642" s="103"/>
      <c r="K1642" s="95"/>
      <c r="L1642" s="95"/>
      <c r="M1642" s="95"/>
      <c r="N1642" s="153"/>
      <c r="O1642" s="96"/>
      <c r="P1642" s="74"/>
      <c r="Q1642" s="74"/>
      <c r="R1642" s="74"/>
      <c r="S1642" s="74"/>
      <c r="T1642" s="74"/>
      <c r="U1642" s="74"/>
      <c r="V1642" s="74"/>
      <c r="W1642" s="74"/>
      <c r="X1642" s="74"/>
      <c r="Y1642" s="74"/>
      <c r="Z1642" s="74"/>
      <c r="AA1642" s="74"/>
      <c r="AB1642" s="74"/>
      <c r="AC1642" s="74"/>
      <c r="AD1642" s="74"/>
      <c r="AE1642" s="74"/>
      <c r="AF1642" s="74"/>
      <c r="AG1642" s="74"/>
    </row>
    <row r="1643" ht="22.5" customHeight="1">
      <c r="A1643" s="86">
        <v>45959.0</v>
      </c>
      <c r="B1643" s="63" t="s">
        <v>27</v>
      </c>
      <c r="C1643" s="80">
        <v>1000000.0</v>
      </c>
      <c r="D1643" s="79"/>
      <c r="E1643" s="66" t="s">
        <v>33</v>
      </c>
      <c r="F1643" s="67" t="s">
        <v>1179</v>
      </c>
      <c r="G1643" s="68">
        <v>0.0</v>
      </c>
      <c r="H1643" s="69">
        <f t="shared" si="82"/>
        <v>0</v>
      </c>
      <c r="I1643" s="76" t="s">
        <v>47</v>
      </c>
      <c r="J1643" s="103"/>
      <c r="K1643" s="95"/>
      <c r="L1643" s="95"/>
      <c r="M1643" s="95"/>
      <c r="N1643" s="153"/>
      <c r="O1643" s="96"/>
      <c r="P1643" s="74"/>
      <c r="Q1643" s="74"/>
      <c r="R1643" s="74"/>
      <c r="S1643" s="74"/>
      <c r="T1643" s="74"/>
      <c r="U1643" s="74"/>
      <c r="V1643" s="74"/>
      <c r="W1643" s="74"/>
      <c r="X1643" s="74"/>
      <c r="Y1643" s="74"/>
      <c r="Z1643" s="74"/>
      <c r="AA1643" s="74"/>
      <c r="AB1643" s="74"/>
      <c r="AC1643" s="74"/>
      <c r="AD1643" s="74"/>
      <c r="AE1643" s="74"/>
      <c r="AF1643" s="74"/>
      <c r="AG1643" s="74"/>
    </row>
    <row r="1644" ht="22.5" customHeight="1">
      <c r="A1644" s="86">
        <v>45961.0</v>
      </c>
      <c r="B1644" s="63" t="s">
        <v>27</v>
      </c>
      <c r="C1644" s="80">
        <v>604800.0</v>
      </c>
      <c r="D1644" s="79"/>
      <c r="E1644" s="66" t="s">
        <v>28</v>
      </c>
      <c r="F1644" s="84" t="s">
        <v>800</v>
      </c>
      <c r="G1644" s="68">
        <v>20.0</v>
      </c>
      <c r="H1644" s="69">
        <f t="shared" si="82"/>
        <v>100800</v>
      </c>
      <c r="I1644" s="76" t="s">
        <v>37</v>
      </c>
      <c r="J1644" s="87" t="s">
        <v>1014</v>
      </c>
      <c r="K1644" s="82" t="s">
        <v>1263</v>
      </c>
      <c r="L1644" s="82">
        <v>221.0</v>
      </c>
      <c r="M1644" s="128">
        <v>45818.0</v>
      </c>
      <c r="N1644" s="153">
        <f t="shared" ref="N1644:N1646" si="97">TODAY()-M1644-60</f>
        <v>310</v>
      </c>
      <c r="O1644" s="96"/>
      <c r="P1644" s="74"/>
      <c r="Q1644" s="74"/>
      <c r="R1644" s="74"/>
      <c r="S1644" s="74"/>
      <c r="T1644" s="74"/>
      <c r="U1644" s="74"/>
      <c r="V1644" s="74"/>
      <c r="W1644" s="74"/>
      <c r="X1644" s="74"/>
      <c r="Y1644" s="74"/>
      <c r="Z1644" s="74"/>
      <c r="AA1644" s="74"/>
      <c r="AB1644" s="74"/>
      <c r="AC1644" s="74"/>
      <c r="AD1644" s="74"/>
      <c r="AE1644" s="74"/>
      <c r="AF1644" s="74"/>
      <c r="AG1644" s="74"/>
    </row>
    <row r="1645" ht="22.5" customHeight="1">
      <c r="A1645" s="86">
        <v>45961.0</v>
      </c>
      <c r="B1645" s="63" t="s">
        <v>27</v>
      </c>
      <c r="C1645" s="80">
        <v>600432.0</v>
      </c>
      <c r="D1645" s="79"/>
      <c r="E1645" s="66" t="s">
        <v>28</v>
      </c>
      <c r="F1645" s="84" t="s">
        <v>800</v>
      </c>
      <c r="G1645" s="68">
        <v>20.0</v>
      </c>
      <c r="H1645" s="69">
        <f t="shared" si="82"/>
        <v>100072</v>
      </c>
      <c r="I1645" s="76" t="s">
        <v>37</v>
      </c>
      <c r="J1645" s="87" t="s">
        <v>1014</v>
      </c>
      <c r="K1645" s="82" t="s">
        <v>1264</v>
      </c>
      <c r="L1645" s="82">
        <v>223.0</v>
      </c>
      <c r="M1645" s="128">
        <v>45818.0</v>
      </c>
      <c r="N1645" s="153">
        <f t="shared" si="97"/>
        <v>310</v>
      </c>
      <c r="O1645" s="96"/>
      <c r="P1645" s="74"/>
      <c r="Q1645" s="74"/>
      <c r="R1645" s="74"/>
      <c r="S1645" s="74"/>
      <c r="T1645" s="74"/>
      <c r="U1645" s="74"/>
      <c r="V1645" s="74"/>
      <c r="W1645" s="74"/>
      <c r="X1645" s="74"/>
      <c r="Y1645" s="74"/>
      <c r="Z1645" s="74"/>
      <c r="AA1645" s="74"/>
      <c r="AB1645" s="74"/>
      <c r="AC1645" s="74"/>
      <c r="AD1645" s="74"/>
      <c r="AE1645" s="74"/>
      <c r="AF1645" s="74"/>
      <c r="AG1645" s="74"/>
    </row>
    <row r="1646" ht="22.5" customHeight="1">
      <c r="A1646" s="86">
        <v>45961.0</v>
      </c>
      <c r="B1646" s="63" t="s">
        <v>27</v>
      </c>
      <c r="C1646" s="80">
        <v>604800.0</v>
      </c>
      <c r="D1646" s="79"/>
      <c r="E1646" s="66" t="s">
        <v>28</v>
      </c>
      <c r="F1646" s="84" t="s">
        <v>800</v>
      </c>
      <c r="G1646" s="68">
        <v>20.0</v>
      </c>
      <c r="H1646" s="69">
        <f t="shared" si="82"/>
        <v>100800</v>
      </c>
      <c r="I1646" s="76" t="s">
        <v>37</v>
      </c>
      <c r="J1646" s="87" t="s">
        <v>1014</v>
      </c>
      <c r="K1646" s="82" t="s">
        <v>1265</v>
      </c>
      <c r="L1646" s="82">
        <v>224.0</v>
      </c>
      <c r="M1646" s="128">
        <v>45818.0</v>
      </c>
      <c r="N1646" s="153">
        <f t="shared" si="97"/>
        <v>310</v>
      </c>
      <c r="O1646" s="96"/>
      <c r="P1646" s="74"/>
      <c r="Q1646" s="74"/>
      <c r="R1646" s="74"/>
      <c r="S1646" s="74"/>
      <c r="T1646" s="74"/>
      <c r="U1646" s="74"/>
      <c r="V1646" s="74"/>
      <c r="W1646" s="74"/>
      <c r="X1646" s="74"/>
      <c r="Y1646" s="74"/>
      <c r="Z1646" s="74"/>
      <c r="AA1646" s="74"/>
      <c r="AB1646" s="74"/>
      <c r="AC1646" s="74"/>
      <c r="AD1646" s="74"/>
      <c r="AE1646" s="74"/>
      <c r="AF1646" s="74"/>
      <c r="AG1646" s="74"/>
    </row>
    <row r="1647" ht="22.5" customHeight="1">
      <c r="A1647" s="86">
        <v>45961.0</v>
      </c>
      <c r="B1647" s="63" t="s">
        <v>27</v>
      </c>
      <c r="C1647" s="80">
        <v>802070.76</v>
      </c>
      <c r="D1647" s="79"/>
      <c r="E1647" s="66" t="s">
        <v>28</v>
      </c>
      <c r="F1647" s="84" t="s">
        <v>897</v>
      </c>
      <c r="G1647" s="68">
        <v>20.0</v>
      </c>
      <c r="H1647" s="69">
        <f t="shared" si="82"/>
        <v>133678.46</v>
      </c>
      <c r="I1647" s="76" t="s">
        <v>37</v>
      </c>
      <c r="J1647" s="87" t="s">
        <v>1167</v>
      </c>
      <c r="K1647" s="82" t="s">
        <v>1266</v>
      </c>
      <c r="L1647" s="82">
        <v>261.0</v>
      </c>
      <c r="M1647" s="128">
        <v>45842.0</v>
      </c>
      <c r="N1647" s="153">
        <f t="shared" ref="N1647:N1650" si="98">TODAY()-M1647-90</f>
        <v>256</v>
      </c>
      <c r="O1647" s="96"/>
      <c r="P1647" s="74"/>
      <c r="Q1647" s="74"/>
      <c r="R1647" s="74"/>
      <c r="S1647" s="74"/>
      <c r="T1647" s="74"/>
      <c r="U1647" s="74"/>
      <c r="V1647" s="74"/>
      <c r="W1647" s="74"/>
      <c r="X1647" s="74"/>
      <c r="Y1647" s="74"/>
      <c r="Z1647" s="74"/>
      <c r="AA1647" s="74"/>
      <c r="AB1647" s="74"/>
      <c r="AC1647" s="74"/>
      <c r="AD1647" s="74"/>
      <c r="AE1647" s="74"/>
      <c r="AF1647" s="74"/>
      <c r="AG1647" s="74"/>
    </row>
    <row r="1648" ht="22.5" customHeight="1">
      <c r="A1648" s="86">
        <v>45961.0</v>
      </c>
      <c r="B1648" s="63" t="s">
        <v>27</v>
      </c>
      <c r="C1648" s="80">
        <v>600040.0</v>
      </c>
      <c r="D1648" s="79"/>
      <c r="E1648" s="66" t="s">
        <v>28</v>
      </c>
      <c r="F1648" s="84" t="s">
        <v>897</v>
      </c>
      <c r="G1648" s="68">
        <v>20.0</v>
      </c>
      <c r="H1648" s="69">
        <f t="shared" si="82"/>
        <v>100006.6667</v>
      </c>
      <c r="I1648" s="76" t="s">
        <v>37</v>
      </c>
      <c r="J1648" s="87" t="s">
        <v>1167</v>
      </c>
      <c r="K1648" s="82" t="s">
        <v>1267</v>
      </c>
      <c r="L1648" s="82">
        <v>267.0</v>
      </c>
      <c r="M1648" s="128">
        <v>45846.0</v>
      </c>
      <c r="N1648" s="153">
        <f t="shared" si="98"/>
        <v>252</v>
      </c>
      <c r="O1648" s="96"/>
      <c r="P1648" s="74"/>
      <c r="Q1648" s="74"/>
      <c r="R1648" s="74"/>
      <c r="S1648" s="74"/>
      <c r="T1648" s="74"/>
      <c r="U1648" s="74"/>
      <c r="V1648" s="74"/>
      <c r="W1648" s="74"/>
      <c r="X1648" s="74"/>
      <c r="Y1648" s="74"/>
      <c r="Z1648" s="74"/>
      <c r="AA1648" s="74"/>
      <c r="AB1648" s="74"/>
      <c r="AC1648" s="74"/>
      <c r="AD1648" s="74"/>
      <c r="AE1648" s="74"/>
      <c r="AF1648" s="74"/>
      <c r="AG1648" s="74"/>
    </row>
    <row r="1649" ht="22.5" customHeight="1">
      <c r="A1649" s="86">
        <v>45961.0</v>
      </c>
      <c r="B1649" s="63" t="s">
        <v>27</v>
      </c>
      <c r="C1649" s="80">
        <v>1200000.0</v>
      </c>
      <c r="D1649" s="79"/>
      <c r="E1649" s="66" t="s">
        <v>28</v>
      </c>
      <c r="F1649" s="84" t="s">
        <v>897</v>
      </c>
      <c r="G1649" s="68">
        <v>20.0</v>
      </c>
      <c r="H1649" s="69">
        <f t="shared" si="82"/>
        <v>200000</v>
      </c>
      <c r="I1649" s="76" t="s">
        <v>37</v>
      </c>
      <c r="J1649" s="87" t="s">
        <v>1167</v>
      </c>
      <c r="K1649" s="82" t="s">
        <v>1268</v>
      </c>
      <c r="L1649" s="82">
        <v>268.0</v>
      </c>
      <c r="M1649" s="128">
        <v>45846.0</v>
      </c>
      <c r="N1649" s="153">
        <f t="shared" si="98"/>
        <v>252</v>
      </c>
      <c r="O1649" s="9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</row>
    <row r="1650" ht="22.5" customHeight="1">
      <c r="A1650" s="86">
        <v>45961.0</v>
      </c>
      <c r="B1650" s="63" t="s">
        <v>27</v>
      </c>
      <c r="C1650" s="80">
        <v>1493922.94</v>
      </c>
      <c r="D1650" s="79"/>
      <c r="E1650" s="66" t="s">
        <v>28</v>
      </c>
      <c r="F1650" s="84" t="s">
        <v>897</v>
      </c>
      <c r="G1650" s="68">
        <v>20.0</v>
      </c>
      <c r="H1650" s="69">
        <f t="shared" si="82"/>
        <v>248987.1567</v>
      </c>
      <c r="I1650" s="76" t="s">
        <v>37</v>
      </c>
      <c r="J1650" s="87" t="s">
        <v>1167</v>
      </c>
      <c r="K1650" s="82" t="s">
        <v>1269</v>
      </c>
      <c r="L1650" s="82">
        <v>269.0</v>
      </c>
      <c r="M1650" s="128">
        <v>45846.0</v>
      </c>
      <c r="N1650" s="153">
        <f t="shared" si="98"/>
        <v>252</v>
      </c>
      <c r="O1650" s="9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</row>
    <row r="1651" ht="22.5" customHeight="1">
      <c r="A1651" s="86">
        <v>45961.0</v>
      </c>
      <c r="B1651" s="63" t="s">
        <v>27</v>
      </c>
      <c r="C1651" s="80">
        <v>398601.59</v>
      </c>
      <c r="D1651" s="80"/>
      <c r="E1651" s="66" t="s">
        <v>28</v>
      </c>
      <c r="F1651" s="84" t="s">
        <v>897</v>
      </c>
      <c r="G1651" s="68">
        <v>20.0</v>
      </c>
      <c r="H1651" s="69">
        <f t="shared" si="82"/>
        <v>66433.59833</v>
      </c>
      <c r="I1651" s="76" t="s">
        <v>37</v>
      </c>
      <c r="J1651" s="87" t="s">
        <v>944</v>
      </c>
      <c r="K1651" s="82" t="s">
        <v>947</v>
      </c>
      <c r="L1651" s="82">
        <v>273.0</v>
      </c>
      <c r="M1651" s="128">
        <v>45849.0</v>
      </c>
      <c r="N1651" s="153">
        <f t="shared" ref="N1651:N1657" si="99">TODAY()-M1651-120</f>
        <v>219</v>
      </c>
      <c r="O1651" s="96"/>
      <c r="P1651" s="74"/>
      <c r="Q1651" s="74"/>
      <c r="R1651" s="74"/>
      <c r="S1651" s="74"/>
      <c r="T1651" s="74"/>
      <c r="U1651" s="74"/>
      <c r="V1651" s="74"/>
      <c r="W1651" s="74"/>
      <c r="X1651" s="74"/>
      <c r="Y1651" s="74"/>
      <c r="Z1651" s="74"/>
      <c r="AA1651" s="74"/>
      <c r="AB1651" s="74"/>
      <c r="AC1651" s="74"/>
      <c r="AD1651" s="74"/>
      <c r="AE1651" s="74"/>
      <c r="AF1651" s="74"/>
      <c r="AG1651" s="74"/>
    </row>
    <row r="1652" ht="22.5" customHeight="1">
      <c r="A1652" s="86">
        <v>45961.0</v>
      </c>
      <c r="B1652" s="63" t="s">
        <v>27</v>
      </c>
      <c r="C1652" s="80">
        <v>506814.0</v>
      </c>
      <c r="D1652" s="80"/>
      <c r="E1652" s="66" t="s">
        <v>28</v>
      </c>
      <c r="F1652" s="84" t="s">
        <v>897</v>
      </c>
      <c r="G1652" s="68">
        <v>20.0</v>
      </c>
      <c r="H1652" s="69">
        <f t="shared" si="82"/>
        <v>84469</v>
      </c>
      <c r="I1652" s="76" t="s">
        <v>37</v>
      </c>
      <c r="J1652" s="87" t="s">
        <v>944</v>
      </c>
      <c r="K1652" s="82" t="s">
        <v>947</v>
      </c>
      <c r="L1652" s="82">
        <v>274.0</v>
      </c>
      <c r="M1652" s="128">
        <v>45849.0</v>
      </c>
      <c r="N1652" s="153">
        <f t="shared" si="99"/>
        <v>219</v>
      </c>
      <c r="O1652" s="96"/>
      <c r="P1652" s="74"/>
      <c r="Q1652" s="74"/>
      <c r="R1652" s="74"/>
      <c r="S1652" s="74"/>
      <c r="T1652" s="74"/>
      <c r="U1652" s="74"/>
      <c r="V1652" s="74"/>
      <c r="W1652" s="74"/>
      <c r="X1652" s="74"/>
      <c r="Y1652" s="74"/>
      <c r="Z1652" s="74"/>
      <c r="AA1652" s="74"/>
      <c r="AB1652" s="74"/>
      <c r="AC1652" s="74"/>
      <c r="AD1652" s="74"/>
      <c r="AE1652" s="74"/>
      <c r="AF1652" s="74"/>
      <c r="AG1652" s="74"/>
    </row>
    <row r="1653" ht="22.5" customHeight="1">
      <c r="A1653" s="86">
        <v>45961.0</v>
      </c>
      <c r="B1653" s="63" t="s">
        <v>27</v>
      </c>
      <c r="C1653" s="80">
        <v>889541.45</v>
      </c>
      <c r="D1653" s="80"/>
      <c r="E1653" s="66" t="s">
        <v>28</v>
      </c>
      <c r="F1653" s="84" t="s">
        <v>897</v>
      </c>
      <c r="G1653" s="68">
        <v>20.0</v>
      </c>
      <c r="H1653" s="69">
        <f t="shared" si="82"/>
        <v>148256.9083</v>
      </c>
      <c r="I1653" s="76" t="s">
        <v>37</v>
      </c>
      <c r="J1653" s="87" t="s">
        <v>944</v>
      </c>
      <c r="K1653" s="82" t="s">
        <v>947</v>
      </c>
      <c r="L1653" s="82">
        <v>275.0</v>
      </c>
      <c r="M1653" s="128">
        <v>45853.0</v>
      </c>
      <c r="N1653" s="153">
        <f t="shared" si="99"/>
        <v>215</v>
      </c>
      <c r="O1653" s="96"/>
      <c r="P1653" s="74"/>
      <c r="Q1653" s="74"/>
      <c r="R1653" s="74"/>
      <c r="S1653" s="74"/>
      <c r="T1653" s="74"/>
      <c r="U1653" s="74"/>
      <c r="V1653" s="74"/>
      <c r="W1653" s="74"/>
      <c r="X1653" s="74"/>
      <c r="Y1653" s="74"/>
      <c r="Z1653" s="74"/>
      <c r="AA1653" s="74"/>
      <c r="AB1653" s="74"/>
      <c r="AC1653" s="74"/>
      <c r="AD1653" s="74"/>
      <c r="AE1653" s="74"/>
      <c r="AF1653" s="74"/>
      <c r="AG1653" s="74"/>
    </row>
    <row r="1654" ht="22.5" customHeight="1">
      <c r="A1654" s="86">
        <v>45961.0</v>
      </c>
      <c r="B1654" s="63" t="s">
        <v>27</v>
      </c>
      <c r="C1654" s="80">
        <v>384267.05</v>
      </c>
      <c r="D1654" s="80"/>
      <c r="E1654" s="66" t="s">
        <v>28</v>
      </c>
      <c r="F1654" s="84" t="s">
        <v>897</v>
      </c>
      <c r="G1654" s="68">
        <v>20.0</v>
      </c>
      <c r="H1654" s="69">
        <f t="shared" si="82"/>
        <v>64044.50833</v>
      </c>
      <c r="I1654" s="76" t="s">
        <v>37</v>
      </c>
      <c r="J1654" s="87" t="s">
        <v>944</v>
      </c>
      <c r="K1654" s="82" t="s">
        <v>947</v>
      </c>
      <c r="L1654" s="82">
        <v>276.0</v>
      </c>
      <c r="M1654" s="128">
        <v>45853.0</v>
      </c>
      <c r="N1654" s="153">
        <f t="shared" si="99"/>
        <v>215</v>
      </c>
      <c r="O1654" s="96"/>
      <c r="P1654" s="74"/>
      <c r="Q1654" s="74"/>
      <c r="R1654" s="74"/>
      <c r="S1654" s="74"/>
      <c r="T1654" s="74"/>
      <c r="U1654" s="74"/>
      <c r="V1654" s="74"/>
      <c r="W1654" s="74"/>
      <c r="X1654" s="74"/>
      <c r="Y1654" s="74"/>
      <c r="Z1654" s="74"/>
      <c r="AA1654" s="74"/>
      <c r="AB1654" s="74"/>
      <c r="AC1654" s="74"/>
      <c r="AD1654" s="74"/>
      <c r="AE1654" s="74"/>
      <c r="AF1654" s="74"/>
      <c r="AG1654" s="74"/>
    </row>
    <row r="1655" ht="22.5" customHeight="1">
      <c r="A1655" s="86">
        <v>45961.0</v>
      </c>
      <c r="B1655" s="63" t="s">
        <v>27</v>
      </c>
      <c r="C1655" s="80">
        <v>183701.83</v>
      </c>
      <c r="D1655" s="80"/>
      <c r="E1655" s="66" t="s">
        <v>28</v>
      </c>
      <c r="F1655" s="84" t="s">
        <v>897</v>
      </c>
      <c r="G1655" s="68">
        <v>20.0</v>
      </c>
      <c r="H1655" s="69">
        <f t="shared" si="82"/>
        <v>30616.97167</v>
      </c>
      <c r="I1655" s="76" t="s">
        <v>37</v>
      </c>
      <c r="J1655" s="87" t="s">
        <v>944</v>
      </c>
      <c r="K1655" s="82" t="s">
        <v>947</v>
      </c>
      <c r="L1655" s="82">
        <v>277.0</v>
      </c>
      <c r="M1655" s="128">
        <v>45853.0</v>
      </c>
      <c r="N1655" s="153">
        <f t="shared" si="99"/>
        <v>215</v>
      </c>
      <c r="O1655" s="96"/>
      <c r="P1655" s="74"/>
      <c r="Q1655" s="74"/>
      <c r="R1655" s="74"/>
      <c r="S1655" s="74"/>
      <c r="T1655" s="74"/>
      <c r="U1655" s="74"/>
      <c r="V1655" s="74"/>
      <c r="W1655" s="74"/>
      <c r="X1655" s="74"/>
      <c r="Y1655" s="74"/>
      <c r="Z1655" s="74"/>
      <c r="AA1655" s="74"/>
      <c r="AB1655" s="74"/>
      <c r="AC1655" s="74"/>
      <c r="AD1655" s="74"/>
      <c r="AE1655" s="74"/>
      <c r="AF1655" s="74"/>
      <c r="AG1655" s="74"/>
    </row>
    <row r="1656" ht="22.5" customHeight="1">
      <c r="A1656" s="86">
        <v>45961.0</v>
      </c>
      <c r="B1656" s="63" t="s">
        <v>27</v>
      </c>
      <c r="C1656" s="80">
        <v>202495.98</v>
      </c>
      <c r="D1656" s="80"/>
      <c r="E1656" s="66" t="s">
        <v>28</v>
      </c>
      <c r="F1656" s="84" t="s">
        <v>897</v>
      </c>
      <c r="G1656" s="68">
        <v>20.0</v>
      </c>
      <c r="H1656" s="69">
        <f t="shared" si="82"/>
        <v>33749.33</v>
      </c>
      <c r="I1656" s="76" t="s">
        <v>37</v>
      </c>
      <c r="J1656" s="87" t="s">
        <v>944</v>
      </c>
      <c r="K1656" s="82" t="s">
        <v>947</v>
      </c>
      <c r="L1656" s="82">
        <v>278.0</v>
      </c>
      <c r="M1656" s="128">
        <v>45853.0</v>
      </c>
      <c r="N1656" s="153">
        <f t="shared" si="99"/>
        <v>215</v>
      </c>
      <c r="O1656" s="96"/>
      <c r="P1656" s="74"/>
      <c r="Q1656" s="74"/>
      <c r="R1656" s="74"/>
      <c r="S1656" s="74"/>
      <c r="T1656" s="74"/>
      <c r="U1656" s="74"/>
      <c r="V1656" s="74"/>
      <c r="W1656" s="74"/>
      <c r="X1656" s="74"/>
      <c r="Y1656" s="74"/>
      <c r="Z1656" s="74"/>
      <c r="AA1656" s="74"/>
      <c r="AB1656" s="74"/>
      <c r="AC1656" s="74"/>
      <c r="AD1656" s="74"/>
      <c r="AE1656" s="74"/>
      <c r="AF1656" s="74"/>
      <c r="AG1656" s="74"/>
    </row>
    <row r="1657" ht="22.5" customHeight="1">
      <c r="A1657" s="86">
        <v>45961.0</v>
      </c>
      <c r="B1657" s="63" t="s">
        <v>27</v>
      </c>
      <c r="C1657" s="80">
        <v>258581.26</v>
      </c>
      <c r="D1657" s="80"/>
      <c r="E1657" s="66" t="s">
        <v>28</v>
      </c>
      <c r="F1657" s="84" t="s">
        <v>897</v>
      </c>
      <c r="G1657" s="68">
        <v>20.0</v>
      </c>
      <c r="H1657" s="69">
        <f t="shared" si="82"/>
        <v>43096.87667</v>
      </c>
      <c r="I1657" s="76" t="s">
        <v>37</v>
      </c>
      <c r="J1657" s="87" t="s">
        <v>944</v>
      </c>
      <c r="K1657" s="82" t="s">
        <v>947</v>
      </c>
      <c r="L1657" s="82">
        <v>279.0</v>
      </c>
      <c r="M1657" s="128">
        <v>45853.0</v>
      </c>
      <c r="N1657" s="153">
        <f t="shared" si="99"/>
        <v>215</v>
      </c>
      <c r="O1657" s="96"/>
      <c r="P1657" s="74"/>
      <c r="Q1657" s="74"/>
      <c r="R1657" s="74"/>
      <c r="S1657" s="74"/>
      <c r="T1657" s="74"/>
      <c r="U1657" s="74"/>
      <c r="V1657" s="74"/>
      <c r="W1657" s="74"/>
      <c r="X1657" s="74"/>
      <c r="Y1657" s="74"/>
      <c r="Z1657" s="74"/>
      <c r="AA1657" s="74"/>
      <c r="AB1657" s="74"/>
      <c r="AC1657" s="74"/>
      <c r="AD1657" s="74"/>
      <c r="AE1657" s="74"/>
      <c r="AF1657" s="74"/>
      <c r="AG1657" s="74"/>
    </row>
    <row r="1658" ht="22.5" customHeight="1">
      <c r="A1658" s="86">
        <v>45961.0</v>
      </c>
      <c r="B1658" s="63" t="s">
        <v>27</v>
      </c>
      <c r="C1658" s="80">
        <v>901984.8</v>
      </c>
      <c r="D1658" s="79"/>
      <c r="E1658" s="66" t="s">
        <v>28</v>
      </c>
      <c r="F1658" s="67" t="s">
        <v>1099</v>
      </c>
      <c r="G1658" s="68">
        <v>20.0</v>
      </c>
      <c r="H1658" s="69">
        <f t="shared" si="82"/>
        <v>150330.8</v>
      </c>
      <c r="I1658" s="76" t="s">
        <v>37</v>
      </c>
      <c r="J1658" s="98" t="s">
        <v>641</v>
      </c>
      <c r="K1658" s="82" t="s">
        <v>607</v>
      </c>
      <c r="L1658" s="82">
        <v>334.0</v>
      </c>
      <c r="M1658" s="128">
        <v>45935.0</v>
      </c>
      <c r="N1658" s="153">
        <f t="shared" ref="N1658:N1662" si="100">TODAY()-M1658-60</f>
        <v>193</v>
      </c>
      <c r="O1658" s="96"/>
      <c r="P1658" s="74"/>
      <c r="Q1658" s="74"/>
      <c r="R1658" s="74"/>
      <c r="S1658" s="74"/>
      <c r="T1658" s="74"/>
      <c r="U1658" s="74"/>
      <c r="V1658" s="74"/>
      <c r="W1658" s="74"/>
      <c r="X1658" s="74"/>
      <c r="Y1658" s="74"/>
      <c r="Z1658" s="74"/>
      <c r="AA1658" s="74"/>
      <c r="AB1658" s="74"/>
      <c r="AC1658" s="74"/>
      <c r="AD1658" s="74"/>
      <c r="AE1658" s="74"/>
      <c r="AF1658" s="74"/>
      <c r="AG1658" s="74"/>
    </row>
    <row r="1659" ht="22.5" customHeight="1">
      <c r="A1659" s="86">
        <v>45961.0</v>
      </c>
      <c r="B1659" s="63" t="s">
        <v>27</v>
      </c>
      <c r="C1659" s="80">
        <v>1687197.0</v>
      </c>
      <c r="D1659" s="79"/>
      <c r="E1659" s="66" t="s">
        <v>28</v>
      </c>
      <c r="F1659" s="67" t="s">
        <v>1099</v>
      </c>
      <c r="G1659" s="68">
        <v>20.0</v>
      </c>
      <c r="H1659" s="69">
        <f t="shared" si="82"/>
        <v>281199.5</v>
      </c>
      <c r="I1659" s="76" t="s">
        <v>37</v>
      </c>
      <c r="J1659" s="98" t="s">
        <v>539</v>
      </c>
      <c r="K1659" s="82" t="s">
        <v>1270</v>
      </c>
      <c r="L1659" s="82">
        <v>350.0</v>
      </c>
      <c r="M1659" s="132">
        <v>45940.0</v>
      </c>
      <c r="N1659" s="153">
        <f t="shared" si="100"/>
        <v>188</v>
      </c>
      <c r="O1659" s="96"/>
      <c r="P1659" s="74"/>
      <c r="Q1659" s="74"/>
      <c r="R1659" s="74"/>
      <c r="S1659" s="74"/>
      <c r="T1659" s="74"/>
      <c r="U1659" s="74"/>
      <c r="V1659" s="74"/>
      <c r="W1659" s="74"/>
      <c r="X1659" s="74"/>
      <c r="Y1659" s="74"/>
      <c r="Z1659" s="74"/>
      <c r="AA1659" s="74"/>
      <c r="AB1659" s="74"/>
      <c r="AC1659" s="74"/>
      <c r="AD1659" s="74"/>
      <c r="AE1659" s="74"/>
      <c r="AF1659" s="74"/>
      <c r="AG1659" s="74"/>
    </row>
    <row r="1660" ht="22.5" customHeight="1">
      <c r="A1660" s="86">
        <v>45962.0</v>
      </c>
      <c r="B1660" s="63" t="s">
        <v>27</v>
      </c>
      <c r="C1660" s="80">
        <v>600000.24</v>
      </c>
      <c r="D1660" s="80"/>
      <c r="E1660" s="66" t="s">
        <v>28</v>
      </c>
      <c r="F1660" s="67" t="s">
        <v>1002</v>
      </c>
      <c r="G1660" s="68">
        <v>20.0</v>
      </c>
      <c r="H1660" s="69">
        <f t="shared" si="82"/>
        <v>100000.04</v>
      </c>
      <c r="I1660" s="76" t="s">
        <v>37</v>
      </c>
      <c r="J1660" s="98" t="s">
        <v>1271</v>
      </c>
      <c r="K1660" s="82" t="s">
        <v>808</v>
      </c>
      <c r="L1660" s="82">
        <v>304.0</v>
      </c>
      <c r="M1660" s="128">
        <v>45909.0</v>
      </c>
      <c r="N1660" s="153">
        <f t="shared" si="100"/>
        <v>219</v>
      </c>
      <c r="O1660" s="96"/>
      <c r="P1660" s="74"/>
      <c r="Q1660" s="74"/>
      <c r="R1660" s="74"/>
      <c r="S1660" s="74"/>
      <c r="T1660" s="74"/>
      <c r="U1660" s="74"/>
      <c r="V1660" s="74"/>
      <c r="W1660" s="74"/>
      <c r="X1660" s="74"/>
      <c r="Y1660" s="74"/>
      <c r="Z1660" s="74"/>
      <c r="AA1660" s="74"/>
      <c r="AB1660" s="74"/>
      <c r="AC1660" s="74"/>
      <c r="AD1660" s="74"/>
      <c r="AE1660" s="74"/>
      <c r="AF1660" s="74"/>
      <c r="AG1660" s="74"/>
    </row>
    <row r="1661" ht="22.5" customHeight="1">
      <c r="A1661" s="86">
        <v>45962.0</v>
      </c>
      <c r="B1661" s="63" t="s">
        <v>27</v>
      </c>
      <c r="C1661" s="80">
        <v>1200000.0</v>
      </c>
      <c r="D1661" s="80"/>
      <c r="E1661" s="66" t="s">
        <v>28</v>
      </c>
      <c r="F1661" s="67" t="s">
        <v>1002</v>
      </c>
      <c r="G1661" s="68">
        <v>20.0</v>
      </c>
      <c r="H1661" s="69">
        <f t="shared" si="82"/>
        <v>200000</v>
      </c>
      <c r="I1661" s="76" t="s">
        <v>37</v>
      </c>
      <c r="J1661" s="87" t="s">
        <v>675</v>
      </c>
      <c r="K1661" s="82" t="s">
        <v>853</v>
      </c>
      <c r="L1661" s="82">
        <v>305.0</v>
      </c>
      <c r="M1661" s="128">
        <v>45909.0</v>
      </c>
      <c r="N1661" s="153">
        <f t="shared" si="100"/>
        <v>219</v>
      </c>
      <c r="O1661" s="96"/>
      <c r="P1661" s="74"/>
      <c r="Q1661" s="74"/>
      <c r="R1661" s="74"/>
      <c r="S1661" s="74"/>
      <c r="T1661" s="74"/>
      <c r="U1661" s="74"/>
      <c r="V1661" s="74"/>
      <c r="W1661" s="74"/>
      <c r="X1661" s="74"/>
      <c r="Y1661" s="74"/>
      <c r="Z1661" s="74"/>
      <c r="AA1661" s="74"/>
      <c r="AB1661" s="74"/>
      <c r="AC1661" s="74"/>
      <c r="AD1661" s="74"/>
      <c r="AE1661" s="74"/>
      <c r="AF1661" s="74"/>
      <c r="AG1661" s="74"/>
    </row>
    <row r="1662" ht="22.5" customHeight="1">
      <c r="A1662" s="86">
        <v>45962.0</v>
      </c>
      <c r="B1662" s="63" t="s">
        <v>27</v>
      </c>
      <c r="C1662" s="80">
        <v>600000.0</v>
      </c>
      <c r="D1662" s="80"/>
      <c r="E1662" s="66" t="s">
        <v>28</v>
      </c>
      <c r="F1662" s="67" t="s">
        <v>1002</v>
      </c>
      <c r="G1662" s="68">
        <v>20.0</v>
      </c>
      <c r="H1662" s="69">
        <f t="shared" si="82"/>
        <v>100000</v>
      </c>
      <c r="I1662" s="76" t="s">
        <v>37</v>
      </c>
      <c r="J1662" s="98" t="s">
        <v>675</v>
      </c>
      <c r="K1662" s="82" t="s">
        <v>756</v>
      </c>
      <c r="L1662" s="82">
        <v>307.0</v>
      </c>
      <c r="M1662" s="128">
        <v>45909.0</v>
      </c>
      <c r="N1662" s="153">
        <f t="shared" si="100"/>
        <v>219</v>
      </c>
      <c r="O1662" s="96"/>
      <c r="P1662" s="74"/>
      <c r="Q1662" s="74"/>
      <c r="R1662" s="74"/>
      <c r="S1662" s="74"/>
      <c r="T1662" s="74"/>
      <c r="U1662" s="74"/>
      <c r="V1662" s="74"/>
      <c r="W1662" s="74"/>
      <c r="X1662" s="74"/>
      <c r="Y1662" s="74"/>
      <c r="Z1662" s="74"/>
      <c r="AA1662" s="74"/>
      <c r="AB1662" s="74"/>
      <c r="AC1662" s="74"/>
      <c r="AD1662" s="74"/>
      <c r="AE1662" s="74"/>
      <c r="AF1662" s="74"/>
      <c r="AG1662" s="74"/>
    </row>
    <row r="1663" ht="22.5" customHeight="1">
      <c r="A1663" s="86">
        <v>45963.0</v>
      </c>
      <c r="B1663" s="63" t="s">
        <v>27</v>
      </c>
      <c r="C1663" s="79"/>
      <c r="D1663" s="80">
        <v>42215.0</v>
      </c>
      <c r="E1663" s="66" t="s">
        <v>28</v>
      </c>
      <c r="F1663" s="67" t="s">
        <v>1262</v>
      </c>
      <c r="G1663" s="68">
        <v>0.0</v>
      </c>
      <c r="H1663" s="69">
        <f t="shared" si="82"/>
        <v>0</v>
      </c>
      <c r="I1663" s="76" t="s">
        <v>68</v>
      </c>
      <c r="J1663" s="98" t="s">
        <v>1272</v>
      </c>
      <c r="K1663" s="95"/>
      <c r="L1663" s="95"/>
      <c r="M1663" s="95"/>
      <c r="N1663" s="153"/>
      <c r="O1663" s="96"/>
      <c r="P1663" s="74"/>
      <c r="Q1663" s="74"/>
      <c r="R1663" s="74"/>
      <c r="S1663" s="74"/>
      <c r="T1663" s="74"/>
      <c r="U1663" s="74"/>
      <c r="V1663" s="74"/>
      <c r="W1663" s="74"/>
      <c r="X1663" s="74"/>
      <c r="Y1663" s="74"/>
      <c r="Z1663" s="74"/>
      <c r="AA1663" s="74"/>
      <c r="AB1663" s="74"/>
      <c r="AC1663" s="74"/>
      <c r="AD1663" s="74"/>
      <c r="AE1663" s="74"/>
      <c r="AF1663" s="74"/>
      <c r="AG1663" s="74"/>
    </row>
    <row r="1664" ht="22.5" customHeight="1">
      <c r="A1664" s="86">
        <v>45963.0</v>
      </c>
      <c r="B1664" s="63" t="s">
        <v>27</v>
      </c>
      <c r="C1664" s="79"/>
      <c r="D1664" s="80">
        <v>60000.0</v>
      </c>
      <c r="E1664" s="66" t="s">
        <v>33</v>
      </c>
      <c r="F1664" s="67" t="s">
        <v>1179</v>
      </c>
      <c r="G1664" s="68">
        <v>0.0</v>
      </c>
      <c r="H1664" s="69">
        <f t="shared" si="82"/>
        <v>0</v>
      </c>
      <c r="I1664" s="76" t="s">
        <v>53</v>
      </c>
      <c r="J1664" s="98" t="s">
        <v>1273</v>
      </c>
      <c r="K1664" s="95"/>
      <c r="L1664" s="95"/>
      <c r="M1664" s="95"/>
      <c r="N1664" s="153"/>
      <c r="O1664" s="96"/>
      <c r="P1664" s="74"/>
      <c r="Q1664" s="74"/>
      <c r="R1664" s="74"/>
      <c r="S1664" s="74"/>
      <c r="T1664" s="74"/>
      <c r="U1664" s="74"/>
      <c r="V1664" s="74"/>
      <c r="W1664" s="74"/>
      <c r="X1664" s="74"/>
      <c r="Y1664" s="74"/>
      <c r="Z1664" s="74"/>
      <c r="AA1664" s="74"/>
      <c r="AB1664" s="74"/>
      <c r="AC1664" s="74"/>
      <c r="AD1664" s="74"/>
      <c r="AE1664" s="74"/>
      <c r="AF1664" s="74"/>
      <c r="AG1664" s="74"/>
    </row>
    <row r="1665" ht="22.5" customHeight="1">
      <c r="A1665" s="86">
        <v>45963.0</v>
      </c>
      <c r="B1665" s="63" t="s">
        <v>27</v>
      </c>
      <c r="C1665" s="79"/>
      <c r="D1665" s="80">
        <v>15000.0</v>
      </c>
      <c r="E1665" s="66" t="s">
        <v>33</v>
      </c>
      <c r="F1665" s="67" t="s">
        <v>1179</v>
      </c>
      <c r="G1665" s="68">
        <v>0.0</v>
      </c>
      <c r="H1665" s="69">
        <f t="shared" si="82"/>
        <v>0</v>
      </c>
      <c r="I1665" s="70" t="s">
        <v>35</v>
      </c>
      <c r="J1665" s="98" t="s">
        <v>493</v>
      </c>
      <c r="K1665" s="95"/>
      <c r="L1665" s="95"/>
      <c r="M1665" s="95"/>
      <c r="N1665" s="153"/>
      <c r="O1665" s="96"/>
      <c r="P1665" s="74"/>
      <c r="Q1665" s="74"/>
      <c r="R1665" s="74"/>
      <c r="S1665" s="74"/>
      <c r="T1665" s="74"/>
      <c r="U1665" s="74"/>
      <c r="V1665" s="74"/>
      <c r="W1665" s="74"/>
      <c r="X1665" s="74"/>
      <c r="Y1665" s="74"/>
      <c r="Z1665" s="74"/>
      <c r="AA1665" s="74"/>
      <c r="AB1665" s="74"/>
      <c r="AC1665" s="74"/>
      <c r="AD1665" s="74"/>
      <c r="AE1665" s="74"/>
      <c r="AF1665" s="74"/>
      <c r="AG1665" s="74"/>
    </row>
    <row r="1666" ht="22.5" customHeight="1">
      <c r="A1666" s="86">
        <v>45963.0</v>
      </c>
      <c r="B1666" s="63" t="s">
        <v>27</v>
      </c>
      <c r="C1666" s="79"/>
      <c r="D1666" s="79">
        <v>33000.0</v>
      </c>
      <c r="E1666" s="66" t="s">
        <v>33</v>
      </c>
      <c r="F1666" s="67" t="s">
        <v>1262</v>
      </c>
      <c r="G1666" s="68">
        <v>0.0</v>
      </c>
      <c r="H1666" s="69">
        <f t="shared" si="82"/>
        <v>0</v>
      </c>
      <c r="I1666" s="76" t="s">
        <v>490</v>
      </c>
      <c r="J1666" s="98" t="s">
        <v>1274</v>
      </c>
      <c r="K1666" s="95"/>
      <c r="L1666" s="95"/>
      <c r="M1666" s="95"/>
      <c r="N1666" s="153"/>
      <c r="O1666" s="96"/>
      <c r="P1666" s="74"/>
      <c r="Q1666" s="74"/>
      <c r="R1666" s="74"/>
      <c r="S1666" s="74"/>
      <c r="T1666" s="74"/>
      <c r="U1666" s="74"/>
      <c r="V1666" s="74"/>
      <c r="W1666" s="74"/>
      <c r="X1666" s="74"/>
      <c r="Y1666" s="74"/>
      <c r="Z1666" s="74"/>
      <c r="AA1666" s="74"/>
      <c r="AB1666" s="74"/>
      <c r="AC1666" s="74"/>
      <c r="AD1666" s="74"/>
      <c r="AE1666" s="74"/>
      <c r="AF1666" s="74"/>
      <c r="AG1666" s="74"/>
    </row>
    <row r="1667" ht="22.5" customHeight="1">
      <c r="A1667" s="86">
        <v>45963.0</v>
      </c>
      <c r="B1667" s="63" t="s">
        <v>27</v>
      </c>
      <c r="C1667" s="79"/>
      <c r="D1667" s="79">
        <v>39100.0</v>
      </c>
      <c r="E1667" s="66" t="s">
        <v>33</v>
      </c>
      <c r="F1667" s="67" t="s">
        <v>1262</v>
      </c>
      <c r="G1667" s="68">
        <v>0.0</v>
      </c>
      <c r="H1667" s="69">
        <f t="shared" si="82"/>
        <v>0</v>
      </c>
      <c r="I1667" s="76" t="s">
        <v>490</v>
      </c>
      <c r="J1667" s="98" t="s">
        <v>1274</v>
      </c>
      <c r="K1667" s="95"/>
      <c r="L1667" s="95"/>
      <c r="M1667" s="95"/>
      <c r="N1667" s="153"/>
      <c r="O1667" s="96"/>
      <c r="P1667" s="74"/>
      <c r="Q1667" s="74"/>
      <c r="R1667" s="74"/>
      <c r="S1667" s="74"/>
      <c r="T1667" s="74"/>
      <c r="U1667" s="74"/>
      <c r="V1667" s="74"/>
      <c r="W1667" s="74"/>
      <c r="X1667" s="74"/>
      <c r="Y1667" s="74"/>
      <c r="Z1667" s="74"/>
      <c r="AA1667" s="74"/>
      <c r="AB1667" s="74"/>
      <c r="AC1667" s="74"/>
      <c r="AD1667" s="74"/>
      <c r="AE1667" s="74"/>
      <c r="AF1667" s="74"/>
      <c r="AG1667" s="74"/>
    </row>
    <row r="1668" ht="22.5" customHeight="1">
      <c r="A1668" s="86">
        <v>45966.0</v>
      </c>
      <c r="B1668" s="63" t="s">
        <v>27</v>
      </c>
      <c r="C1668" s="79"/>
      <c r="D1668" s="80">
        <v>3466530.26</v>
      </c>
      <c r="E1668" s="66" t="s">
        <v>28</v>
      </c>
      <c r="F1668" s="84" t="s">
        <v>839</v>
      </c>
      <c r="G1668" s="68">
        <v>0.0</v>
      </c>
      <c r="H1668" s="69">
        <f t="shared" si="82"/>
        <v>0</v>
      </c>
      <c r="I1668" s="76" t="s">
        <v>322</v>
      </c>
      <c r="J1668" s="87" t="s">
        <v>474</v>
      </c>
      <c r="K1668" s="95"/>
      <c r="L1668" s="95"/>
      <c r="M1668" s="95"/>
      <c r="N1668" s="153"/>
      <c r="O1668" s="140" t="s">
        <v>1275</v>
      </c>
      <c r="P1668" s="74"/>
      <c r="Q1668" s="74"/>
      <c r="R1668" s="74"/>
      <c r="S1668" s="74"/>
      <c r="T1668" s="74"/>
      <c r="U1668" s="74"/>
      <c r="V1668" s="74"/>
      <c r="W1668" s="74"/>
      <c r="X1668" s="74"/>
      <c r="Y1668" s="74"/>
      <c r="Z1668" s="74"/>
      <c r="AA1668" s="74"/>
      <c r="AB1668" s="74"/>
      <c r="AC1668" s="74"/>
      <c r="AD1668" s="74"/>
      <c r="AE1668" s="74"/>
      <c r="AF1668" s="74"/>
      <c r="AG1668" s="74"/>
    </row>
    <row r="1669" ht="22.5" customHeight="1">
      <c r="A1669" s="86">
        <v>45966.0</v>
      </c>
      <c r="B1669" s="63" t="s">
        <v>27</v>
      </c>
      <c r="C1669" s="79"/>
      <c r="D1669" s="80">
        <v>1998000.0</v>
      </c>
      <c r="E1669" s="66" t="s">
        <v>28</v>
      </c>
      <c r="F1669" s="84" t="s">
        <v>839</v>
      </c>
      <c r="G1669" s="68">
        <v>20.0</v>
      </c>
      <c r="H1669" s="69">
        <f t="shared" si="82"/>
        <v>333000</v>
      </c>
      <c r="I1669" s="76" t="s">
        <v>322</v>
      </c>
      <c r="J1669" s="149" t="s">
        <v>578</v>
      </c>
      <c r="K1669" s="95"/>
      <c r="L1669" s="95"/>
      <c r="M1669" s="95"/>
      <c r="N1669" s="153"/>
      <c r="O1669" s="140" t="s">
        <v>1276</v>
      </c>
      <c r="P1669" s="74"/>
      <c r="Q1669" s="74"/>
      <c r="R1669" s="74"/>
      <c r="S1669" s="74"/>
      <c r="T1669" s="74"/>
      <c r="U1669" s="74"/>
      <c r="V1669" s="74"/>
      <c r="W1669" s="74"/>
      <c r="X1669" s="74"/>
      <c r="Y1669" s="74"/>
      <c r="Z1669" s="74"/>
      <c r="AA1669" s="74"/>
      <c r="AB1669" s="74"/>
      <c r="AC1669" s="74"/>
      <c r="AD1669" s="74"/>
      <c r="AE1669" s="74"/>
      <c r="AF1669" s="74"/>
      <c r="AG1669" s="74"/>
    </row>
    <row r="1670" ht="22.5" customHeight="1">
      <c r="A1670" s="86">
        <v>45966.0</v>
      </c>
      <c r="B1670" s="63" t="s">
        <v>27</v>
      </c>
      <c r="C1670" s="79"/>
      <c r="D1670" s="80">
        <v>152678.86</v>
      </c>
      <c r="E1670" s="66" t="s">
        <v>28</v>
      </c>
      <c r="F1670" s="84" t="s">
        <v>897</v>
      </c>
      <c r="G1670" s="68">
        <v>20.0</v>
      </c>
      <c r="H1670" s="69">
        <f t="shared" si="82"/>
        <v>25446.47667</v>
      </c>
      <c r="I1670" s="76" t="s">
        <v>101</v>
      </c>
      <c r="J1670" s="136" t="s">
        <v>1277</v>
      </c>
      <c r="K1670" s="95"/>
      <c r="L1670" s="95"/>
      <c r="M1670" s="95"/>
      <c r="N1670" s="153"/>
      <c r="O1670" s="83"/>
      <c r="P1670" s="74"/>
      <c r="Q1670" s="74"/>
      <c r="R1670" s="74"/>
      <c r="S1670" s="74"/>
      <c r="T1670" s="74"/>
      <c r="U1670" s="74"/>
      <c r="V1670" s="74"/>
      <c r="W1670" s="74"/>
      <c r="X1670" s="74"/>
      <c r="Y1670" s="74"/>
      <c r="Z1670" s="74"/>
      <c r="AA1670" s="74"/>
      <c r="AB1670" s="74"/>
      <c r="AC1670" s="74"/>
      <c r="AD1670" s="74"/>
      <c r="AE1670" s="74"/>
      <c r="AF1670" s="74"/>
      <c r="AG1670" s="74"/>
    </row>
    <row r="1671" ht="22.5" customHeight="1">
      <c r="A1671" s="86">
        <v>45966.0</v>
      </c>
      <c r="B1671" s="63" t="s">
        <v>27</v>
      </c>
      <c r="C1671" s="79"/>
      <c r="D1671" s="80">
        <v>350000.0</v>
      </c>
      <c r="E1671" s="66" t="s">
        <v>28</v>
      </c>
      <c r="F1671" s="84" t="s">
        <v>800</v>
      </c>
      <c r="G1671" s="69">
        <v>0.0</v>
      </c>
      <c r="H1671" s="69">
        <f t="shared" si="82"/>
        <v>0</v>
      </c>
      <c r="I1671" s="76" t="s">
        <v>93</v>
      </c>
      <c r="J1671" s="133" t="s">
        <v>516</v>
      </c>
      <c r="K1671" s="95"/>
      <c r="L1671" s="95"/>
      <c r="M1671" s="95"/>
      <c r="N1671" s="153"/>
      <c r="O1671" s="140" t="s">
        <v>1250</v>
      </c>
      <c r="P1671" s="74"/>
      <c r="Q1671" s="74"/>
      <c r="R1671" s="74"/>
      <c r="S1671" s="74"/>
      <c r="T1671" s="74"/>
      <c r="U1671" s="74"/>
      <c r="V1671" s="74"/>
      <c r="W1671" s="74"/>
      <c r="X1671" s="74"/>
      <c r="Y1671" s="74"/>
      <c r="Z1671" s="74"/>
      <c r="AA1671" s="74"/>
      <c r="AB1671" s="74"/>
      <c r="AC1671" s="74"/>
      <c r="AD1671" s="74"/>
      <c r="AE1671" s="74"/>
      <c r="AF1671" s="74"/>
      <c r="AG1671" s="74"/>
    </row>
    <row r="1672" ht="22.5" customHeight="1">
      <c r="A1672" s="86">
        <v>45966.0</v>
      </c>
      <c r="B1672" s="63" t="s">
        <v>27</v>
      </c>
      <c r="C1672" s="79"/>
      <c r="D1672" s="80">
        <v>25440.5</v>
      </c>
      <c r="E1672" s="66" t="s">
        <v>28</v>
      </c>
      <c r="F1672" s="67" t="s">
        <v>1002</v>
      </c>
      <c r="G1672" s="68">
        <v>5.0</v>
      </c>
      <c r="H1672" s="69">
        <f t="shared" si="82"/>
        <v>1211.452381</v>
      </c>
      <c r="I1672" s="76" t="s">
        <v>101</v>
      </c>
      <c r="J1672" s="136" t="s">
        <v>671</v>
      </c>
      <c r="K1672" s="95"/>
      <c r="L1672" s="95"/>
      <c r="M1672" s="95"/>
      <c r="N1672" s="153"/>
      <c r="O1672" s="140" t="s">
        <v>1278</v>
      </c>
      <c r="P1672" s="74"/>
      <c r="Q1672" s="74"/>
      <c r="R1672" s="74"/>
      <c r="S1672" s="74"/>
      <c r="T1672" s="74"/>
      <c r="U1672" s="74"/>
      <c r="V1672" s="74"/>
      <c r="W1672" s="74"/>
      <c r="X1672" s="74"/>
      <c r="Y1672" s="74"/>
      <c r="Z1672" s="74"/>
      <c r="AA1672" s="74"/>
      <c r="AB1672" s="74"/>
      <c r="AC1672" s="74"/>
      <c r="AD1672" s="74"/>
      <c r="AE1672" s="74"/>
      <c r="AF1672" s="74"/>
      <c r="AG1672" s="74"/>
    </row>
    <row r="1673" ht="22.5" customHeight="1">
      <c r="A1673" s="86">
        <v>45966.0</v>
      </c>
      <c r="B1673" s="63" t="s">
        <v>27</v>
      </c>
      <c r="C1673" s="79"/>
      <c r="D1673" s="80">
        <v>420717.6</v>
      </c>
      <c r="E1673" s="66" t="s">
        <v>28</v>
      </c>
      <c r="F1673" s="67" t="s">
        <v>1002</v>
      </c>
      <c r="G1673" s="68">
        <v>20.0</v>
      </c>
      <c r="H1673" s="69">
        <f t="shared" si="82"/>
        <v>70119.6</v>
      </c>
      <c r="I1673" s="76" t="s">
        <v>101</v>
      </c>
      <c r="J1673" s="136" t="s">
        <v>670</v>
      </c>
      <c r="K1673" s="95"/>
      <c r="L1673" s="95"/>
      <c r="M1673" s="95"/>
      <c r="N1673" s="153"/>
      <c r="O1673" s="140" t="s">
        <v>1279</v>
      </c>
      <c r="P1673" s="74"/>
      <c r="Q1673" s="74"/>
      <c r="R1673" s="74"/>
      <c r="S1673" s="74"/>
      <c r="T1673" s="74"/>
      <c r="U1673" s="74"/>
      <c r="V1673" s="74"/>
      <c r="W1673" s="74"/>
      <c r="X1673" s="74"/>
      <c r="Y1673" s="74"/>
      <c r="Z1673" s="74"/>
      <c r="AA1673" s="74"/>
      <c r="AB1673" s="74"/>
      <c r="AC1673" s="74"/>
      <c r="AD1673" s="74"/>
      <c r="AE1673" s="74"/>
      <c r="AF1673" s="74"/>
      <c r="AG1673" s="74"/>
    </row>
    <row r="1674" ht="22.5" customHeight="1">
      <c r="A1674" s="86">
        <v>45966.0</v>
      </c>
      <c r="B1674" s="63" t="s">
        <v>27</v>
      </c>
      <c r="C1674" s="79"/>
      <c r="D1674" s="80">
        <v>533898.3</v>
      </c>
      <c r="E1674" s="66" t="s">
        <v>28</v>
      </c>
      <c r="F1674" s="67" t="s">
        <v>1002</v>
      </c>
      <c r="G1674" s="68">
        <v>20.0</v>
      </c>
      <c r="H1674" s="69">
        <f t="shared" si="82"/>
        <v>88983.05</v>
      </c>
      <c r="I1674" s="76" t="s">
        <v>101</v>
      </c>
      <c r="J1674" s="136" t="s">
        <v>1280</v>
      </c>
      <c r="K1674" s="95"/>
      <c r="L1674" s="95"/>
      <c r="M1674" s="95"/>
      <c r="N1674" s="153"/>
      <c r="O1674" s="140" t="s">
        <v>1281</v>
      </c>
      <c r="P1674" s="74"/>
      <c r="Q1674" s="74"/>
      <c r="R1674" s="74"/>
      <c r="S1674" s="74"/>
      <c r="T1674" s="74"/>
      <c r="U1674" s="74"/>
      <c r="V1674" s="74"/>
      <c r="W1674" s="74"/>
      <c r="X1674" s="74"/>
      <c r="Y1674" s="74"/>
      <c r="Z1674" s="74"/>
      <c r="AA1674" s="74"/>
      <c r="AB1674" s="74"/>
      <c r="AC1674" s="74"/>
      <c r="AD1674" s="74"/>
      <c r="AE1674" s="74"/>
      <c r="AF1674" s="74"/>
      <c r="AG1674" s="74"/>
    </row>
    <row r="1675" ht="22.5" customHeight="1">
      <c r="A1675" s="86">
        <v>45966.0</v>
      </c>
      <c r="B1675" s="63" t="s">
        <v>27</v>
      </c>
      <c r="C1675" s="79"/>
      <c r="D1675" s="80">
        <v>717556.66</v>
      </c>
      <c r="E1675" s="66" t="s">
        <v>28</v>
      </c>
      <c r="F1675" s="67" t="s">
        <v>1002</v>
      </c>
      <c r="G1675" s="68">
        <v>20.0</v>
      </c>
      <c r="H1675" s="69">
        <f t="shared" si="82"/>
        <v>119592.7767</v>
      </c>
      <c r="I1675" s="76" t="s">
        <v>101</v>
      </c>
      <c r="J1675" s="136" t="s">
        <v>597</v>
      </c>
      <c r="K1675" s="95"/>
      <c r="L1675" s="95"/>
      <c r="M1675" s="95"/>
      <c r="N1675" s="153"/>
      <c r="O1675" s="140" t="s">
        <v>1282</v>
      </c>
      <c r="P1675" s="74"/>
      <c r="Q1675" s="74"/>
      <c r="R1675" s="74"/>
      <c r="S1675" s="74"/>
      <c r="T1675" s="74"/>
      <c r="U1675" s="74"/>
      <c r="V1675" s="74"/>
      <c r="W1675" s="74"/>
      <c r="X1675" s="74"/>
      <c r="Y1675" s="74"/>
      <c r="Z1675" s="74"/>
      <c r="AA1675" s="74"/>
      <c r="AB1675" s="74"/>
      <c r="AC1675" s="74"/>
      <c r="AD1675" s="74"/>
      <c r="AE1675" s="74"/>
      <c r="AF1675" s="74"/>
      <c r="AG1675" s="74"/>
    </row>
    <row r="1676" ht="22.5" customHeight="1">
      <c r="A1676" s="86">
        <v>45966.0</v>
      </c>
      <c r="B1676" s="63" t="s">
        <v>27</v>
      </c>
      <c r="C1676" s="79"/>
      <c r="D1676" s="80">
        <v>141352.36</v>
      </c>
      <c r="E1676" s="66" t="s">
        <v>28</v>
      </c>
      <c r="F1676" s="67" t="s">
        <v>1002</v>
      </c>
      <c r="G1676" s="68">
        <v>20.0</v>
      </c>
      <c r="H1676" s="69">
        <f t="shared" si="82"/>
        <v>23558.72667</v>
      </c>
      <c r="I1676" s="76" t="s">
        <v>101</v>
      </c>
      <c r="J1676" s="136" t="s">
        <v>643</v>
      </c>
      <c r="K1676" s="95"/>
      <c r="L1676" s="95"/>
      <c r="M1676" s="95"/>
      <c r="N1676" s="153"/>
      <c r="O1676" s="140" t="s">
        <v>1283</v>
      </c>
      <c r="P1676" s="74"/>
      <c r="Q1676" s="74"/>
      <c r="R1676" s="74"/>
      <c r="S1676" s="74"/>
      <c r="T1676" s="74"/>
      <c r="U1676" s="74"/>
      <c r="V1676" s="74"/>
      <c r="W1676" s="74"/>
      <c r="X1676" s="74"/>
      <c r="Y1676" s="74"/>
      <c r="Z1676" s="74"/>
      <c r="AA1676" s="74"/>
      <c r="AB1676" s="74"/>
      <c r="AC1676" s="74"/>
      <c r="AD1676" s="74"/>
      <c r="AE1676" s="74"/>
      <c r="AF1676" s="74"/>
      <c r="AG1676" s="74"/>
    </row>
    <row r="1677" ht="22.5" customHeight="1">
      <c r="A1677" s="86">
        <v>45966.0</v>
      </c>
      <c r="B1677" s="63" t="s">
        <v>27</v>
      </c>
      <c r="C1677" s="79"/>
      <c r="D1677" s="80">
        <v>161326.8</v>
      </c>
      <c r="E1677" s="66" t="s">
        <v>28</v>
      </c>
      <c r="F1677" s="67" t="s">
        <v>1002</v>
      </c>
      <c r="G1677" s="68">
        <v>20.0</v>
      </c>
      <c r="H1677" s="69">
        <f t="shared" si="82"/>
        <v>26887.8</v>
      </c>
      <c r="I1677" s="76" t="s">
        <v>101</v>
      </c>
      <c r="J1677" s="136" t="s">
        <v>1284</v>
      </c>
      <c r="K1677" s="95"/>
      <c r="L1677" s="95"/>
      <c r="M1677" s="95"/>
      <c r="N1677" s="153"/>
      <c r="O1677" s="140" t="s">
        <v>1285</v>
      </c>
      <c r="P1677" s="74"/>
      <c r="Q1677" s="74"/>
      <c r="R1677" s="74"/>
      <c r="S1677" s="74"/>
      <c r="T1677" s="74"/>
      <c r="U1677" s="74"/>
      <c r="V1677" s="74"/>
      <c r="W1677" s="74"/>
      <c r="X1677" s="74"/>
      <c r="Y1677" s="74"/>
      <c r="Z1677" s="74"/>
      <c r="AA1677" s="74"/>
      <c r="AB1677" s="74"/>
      <c r="AC1677" s="74"/>
      <c r="AD1677" s="74"/>
      <c r="AE1677" s="74"/>
      <c r="AF1677" s="74"/>
      <c r="AG1677" s="74"/>
    </row>
    <row r="1678" ht="22.5" customHeight="1">
      <c r="A1678" s="86">
        <v>45966.0</v>
      </c>
      <c r="B1678" s="63" t="s">
        <v>27</v>
      </c>
      <c r="C1678" s="79"/>
      <c r="D1678" s="80">
        <v>162513.0</v>
      </c>
      <c r="E1678" s="66" t="s">
        <v>28</v>
      </c>
      <c r="F1678" s="67" t="s">
        <v>1002</v>
      </c>
      <c r="G1678" s="68">
        <v>0.0</v>
      </c>
      <c r="H1678" s="69">
        <f t="shared" si="82"/>
        <v>0</v>
      </c>
      <c r="I1678" s="76" t="s">
        <v>101</v>
      </c>
      <c r="J1678" s="151" t="s">
        <v>631</v>
      </c>
      <c r="K1678" s="95"/>
      <c r="L1678" s="95"/>
      <c r="M1678" s="95"/>
      <c r="N1678" s="153"/>
      <c r="O1678" s="140" t="s">
        <v>1286</v>
      </c>
      <c r="P1678" s="74"/>
      <c r="Q1678" s="74"/>
      <c r="R1678" s="74"/>
      <c r="S1678" s="74"/>
      <c r="T1678" s="74"/>
      <c r="U1678" s="74"/>
      <c r="V1678" s="74"/>
      <c r="W1678" s="74"/>
      <c r="X1678" s="74"/>
      <c r="Y1678" s="74"/>
      <c r="Z1678" s="74"/>
      <c r="AA1678" s="74"/>
      <c r="AB1678" s="74"/>
      <c r="AC1678" s="74"/>
      <c r="AD1678" s="74"/>
      <c r="AE1678" s="74"/>
      <c r="AF1678" s="74"/>
      <c r="AG1678" s="74"/>
    </row>
    <row r="1679" ht="22.5" customHeight="1">
      <c r="A1679" s="86">
        <v>45966.0</v>
      </c>
      <c r="B1679" s="63" t="s">
        <v>27</v>
      </c>
      <c r="C1679" s="79"/>
      <c r="D1679" s="80">
        <v>25344.7</v>
      </c>
      <c r="E1679" s="66" t="s">
        <v>28</v>
      </c>
      <c r="F1679" s="67" t="s">
        <v>1002</v>
      </c>
      <c r="G1679" s="68">
        <v>0.0</v>
      </c>
      <c r="H1679" s="69">
        <f t="shared" si="82"/>
        <v>0</v>
      </c>
      <c r="I1679" s="76" t="s">
        <v>101</v>
      </c>
      <c r="J1679" s="136" t="s">
        <v>1287</v>
      </c>
      <c r="K1679" s="95"/>
      <c r="L1679" s="95"/>
      <c r="M1679" s="95"/>
      <c r="N1679" s="153"/>
      <c r="O1679" s="140" t="s">
        <v>1288</v>
      </c>
      <c r="P1679" s="74"/>
      <c r="Q1679" s="74"/>
      <c r="R1679" s="74"/>
      <c r="S1679" s="74"/>
      <c r="T1679" s="74"/>
      <c r="U1679" s="74"/>
      <c r="V1679" s="74"/>
      <c r="W1679" s="74"/>
      <c r="X1679" s="74"/>
      <c r="Y1679" s="74"/>
      <c r="Z1679" s="74"/>
      <c r="AA1679" s="74"/>
      <c r="AB1679" s="74"/>
      <c r="AC1679" s="74"/>
      <c r="AD1679" s="74"/>
      <c r="AE1679" s="74"/>
      <c r="AF1679" s="74"/>
      <c r="AG1679" s="74"/>
    </row>
    <row r="1680" ht="22.5" customHeight="1">
      <c r="A1680" s="86">
        <v>45966.0</v>
      </c>
      <c r="B1680" s="63" t="s">
        <v>27</v>
      </c>
      <c r="C1680" s="79"/>
      <c r="D1680" s="80">
        <v>32730.29</v>
      </c>
      <c r="E1680" s="66" t="s">
        <v>28</v>
      </c>
      <c r="F1680" s="67" t="s">
        <v>1002</v>
      </c>
      <c r="G1680" s="68">
        <v>5.0</v>
      </c>
      <c r="H1680" s="69">
        <f t="shared" si="82"/>
        <v>1558.585238</v>
      </c>
      <c r="I1680" s="76" t="s">
        <v>101</v>
      </c>
      <c r="J1680" s="136" t="s">
        <v>1032</v>
      </c>
      <c r="K1680" s="95"/>
      <c r="L1680" s="95"/>
      <c r="M1680" s="95"/>
      <c r="N1680" s="153"/>
      <c r="O1680" s="140" t="s">
        <v>1289</v>
      </c>
      <c r="P1680" s="74"/>
      <c r="Q1680" s="74"/>
      <c r="R1680" s="74"/>
      <c r="S1680" s="74"/>
      <c r="T1680" s="74"/>
      <c r="U1680" s="74"/>
      <c r="V1680" s="74"/>
      <c r="W1680" s="74"/>
      <c r="X1680" s="74"/>
      <c r="Y1680" s="74"/>
      <c r="Z1680" s="74"/>
      <c r="AA1680" s="74"/>
      <c r="AB1680" s="74"/>
      <c r="AC1680" s="74"/>
      <c r="AD1680" s="74"/>
      <c r="AE1680" s="74"/>
      <c r="AF1680" s="74"/>
      <c r="AG1680" s="74"/>
    </row>
    <row r="1681" ht="22.5" customHeight="1">
      <c r="A1681" s="86">
        <v>45966.0</v>
      </c>
      <c r="B1681" s="63" t="s">
        <v>27</v>
      </c>
      <c r="C1681" s="79"/>
      <c r="D1681" s="80">
        <v>33053.64</v>
      </c>
      <c r="E1681" s="66" t="s">
        <v>28</v>
      </c>
      <c r="F1681" s="67" t="s">
        <v>1002</v>
      </c>
      <c r="G1681" s="68">
        <v>20.0</v>
      </c>
      <c r="H1681" s="69">
        <f t="shared" si="82"/>
        <v>5508.94</v>
      </c>
      <c r="I1681" s="76" t="s">
        <v>101</v>
      </c>
      <c r="J1681" s="151" t="s">
        <v>1290</v>
      </c>
      <c r="K1681" s="95"/>
      <c r="L1681" s="95"/>
      <c r="M1681" s="95"/>
      <c r="N1681" s="153"/>
      <c r="O1681" s="140" t="s">
        <v>1291</v>
      </c>
      <c r="P1681" s="74"/>
      <c r="Q1681" s="74"/>
      <c r="R1681" s="74"/>
      <c r="S1681" s="74"/>
      <c r="T1681" s="74"/>
      <c r="U1681" s="74"/>
      <c r="V1681" s="74"/>
      <c r="W1681" s="74"/>
      <c r="X1681" s="74"/>
      <c r="Y1681" s="74"/>
      <c r="Z1681" s="74"/>
      <c r="AA1681" s="74"/>
      <c r="AB1681" s="74"/>
      <c r="AC1681" s="74"/>
      <c r="AD1681" s="74"/>
      <c r="AE1681" s="74"/>
      <c r="AF1681" s="74"/>
      <c r="AG1681" s="74"/>
    </row>
    <row r="1682" ht="22.5" customHeight="1">
      <c r="A1682" s="86">
        <v>45966.0</v>
      </c>
      <c r="B1682" s="63" t="s">
        <v>27</v>
      </c>
      <c r="C1682" s="79"/>
      <c r="D1682" s="80">
        <v>132801.9</v>
      </c>
      <c r="E1682" s="66" t="s">
        <v>28</v>
      </c>
      <c r="F1682" s="67" t="s">
        <v>1002</v>
      </c>
      <c r="G1682" s="68">
        <v>0.0</v>
      </c>
      <c r="H1682" s="69">
        <f t="shared" si="82"/>
        <v>0</v>
      </c>
      <c r="I1682" s="76" t="s">
        <v>101</v>
      </c>
      <c r="J1682" s="136" t="s">
        <v>818</v>
      </c>
      <c r="K1682" s="95"/>
      <c r="L1682" s="95"/>
      <c r="M1682" s="95"/>
      <c r="N1682" s="153"/>
      <c r="O1682" s="140" t="s">
        <v>1292</v>
      </c>
      <c r="P1682" s="74"/>
      <c r="Q1682" s="74"/>
      <c r="R1682" s="74"/>
      <c r="S1682" s="74"/>
      <c r="T1682" s="74"/>
      <c r="U1682" s="74"/>
      <c r="V1682" s="74"/>
      <c r="W1682" s="74"/>
      <c r="X1682" s="74"/>
      <c r="Y1682" s="74"/>
      <c r="Z1682" s="74"/>
      <c r="AA1682" s="74"/>
      <c r="AB1682" s="74"/>
      <c r="AC1682" s="74"/>
      <c r="AD1682" s="74"/>
      <c r="AE1682" s="74"/>
      <c r="AF1682" s="74"/>
      <c r="AG1682" s="74"/>
    </row>
    <row r="1683" ht="22.5" customHeight="1">
      <c r="A1683" s="86">
        <v>45966.0</v>
      </c>
      <c r="B1683" s="63" t="s">
        <v>27</v>
      </c>
      <c r="C1683" s="79"/>
      <c r="D1683" s="80">
        <v>16066.92</v>
      </c>
      <c r="E1683" s="66" t="s">
        <v>28</v>
      </c>
      <c r="F1683" s="67" t="s">
        <v>1002</v>
      </c>
      <c r="G1683" s="68">
        <v>20.0</v>
      </c>
      <c r="H1683" s="69">
        <f t="shared" si="82"/>
        <v>2677.82</v>
      </c>
      <c r="I1683" s="76" t="s">
        <v>101</v>
      </c>
      <c r="J1683" s="136" t="s">
        <v>973</v>
      </c>
      <c r="K1683" s="95"/>
      <c r="L1683" s="95"/>
      <c r="M1683" s="95"/>
      <c r="N1683" s="153"/>
      <c r="O1683" s="140" t="s">
        <v>1293</v>
      </c>
      <c r="P1683" s="74"/>
      <c r="Q1683" s="74"/>
      <c r="R1683" s="74"/>
      <c r="S1683" s="74"/>
      <c r="T1683" s="74"/>
      <c r="U1683" s="74"/>
      <c r="V1683" s="74"/>
      <c r="W1683" s="74"/>
      <c r="X1683" s="74"/>
      <c r="Y1683" s="74"/>
      <c r="Z1683" s="74"/>
      <c r="AA1683" s="74"/>
      <c r="AB1683" s="74"/>
      <c r="AC1683" s="74"/>
      <c r="AD1683" s="74"/>
      <c r="AE1683" s="74"/>
      <c r="AF1683" s="74"/>
      <c r="AG1683" s="74"/>
    </row>
    <row r="1684" ht="22.5" customHeight="1">
      <c r="A1684" s="86">
        <v>45966.0</v>
      </c>
      <c r="B1684" s="63" t="s">
        <v>27</v>
      </c>
      <c r="C1684" s="79"/>
      <c r="D1684" s="80">
        <v>19120.8</v>
      </c>
      <c r="E1684" s="66" t="s">
        <v>28</v>
      </c>
      <c r="F1684" s="67" t="s">
        <v>1002</v>
      </c>
      <c r="G1684" s="68">
        <v>20.0</v>
      </c>
      <c r="H1684" s="69">
        <f t="shared" si="82"/>
        <v>3186.8</v>
      </c>
      <c r="I1684" s="76" t="s">
        <v>101</v>
      </c>
      <c r="J1684" s="136" t="s">
        <v>976</v>
      </c>
      <c r="K1684" s="95"/>
      <c r="L1684" s="95"/>
      <c r="M1684" s="95"/>
      <c r="N1684" s="153"/>
      <c r="O1684" s="140" t="s">
        <v>1294</v>
      </c>
      <c r="P1684" s="74"/>
      <c r="Q1684" s="74"/>
      <c r="R1684" s="74"/>
      <c r="S1684" s="74"/>
      <c r="T1684" s="74"/>
      <c r="U1684" s="74"/>
      <c r="V1684" s="74"/>
      <c r="W1684" s="74"/>
      <c r="X1684" s="74"/>
      <c r="Y1684" s="74"/>
      <c r="Z1684" s="74"/>
      <c r="AA1684" s="74"/>
      <c r="AB1684" s="74"/>
      <c r="AC1684" s="74"/>
      <c r="AD1684" s="74"/>
      <c r="AE1684" s="74"/>
      <c r="AF1684" s="74"/>
      <c r="AG1684" s="74"/>
    </row>
    <row r="1685" ht="22.5" customHeight="1">
      <c r="A1685" s="86">
        <v>45966.0</v>
      </c>
      <c r="B1685" s="63" t="s">
        <v>27</v>
      </c>
      <c r="C1685" s="79"/>
      <c r="D1685" s="80">
        <v>32730.29</v>
      </c>
      <c r="E1685" s="66" t="s">
        <v>28</v>
      </c>
      <c r="F1685" s="67" t="s">
        <v>1002</v>
      </c>
      <c r="G1685" s="68">
        <v>5.0</v>
      </c>
      <c r="H1685" s="69">
        <f t="shared" si="82"/>
        <v>1558.585238</v>
      </c>
      <c r="I1685" s="76" t="s">
        <v>101</v>
      </c>
      <c r="J1685" s="136" t="s">
        <v>1032</v>
      </c>
      <c r="K1685" s="95"/>
      <c r="L1685" s="95"/>
      <c r="M1685" s="95"/>
      <c r="N1685" s="153"/>
      <c r="O1685" s="140" t="s">
        <v>1289</v>
      </c>
      <c r="P1685" s="74"/>
      <c r="Q1685" s="74"/>
      <c r="R1685" s="74"/>
      <c r="S1685" s="74"/>
      <c r="T1685" s="74"/>
      <c r="U1685" s="74"/>
      <c r="V1685" s="74"/>
      <c r="W1685" s="74"/>
      <c r="X1685" s="74"/>
      <c r="Y1685" s="74"/>
      <c r="Z1685" s="74"/>
      <c r="AA1685" s="74"/>
      <c r="AB1685" s="74"/>
      <c r="AC1685" s="74"/>
      <c r="AD1685" s="74"/>
      <c r="AE1685" s="74"/>
      <c r="AF1685" s="74"/>
      <c r="AG1685" s="74"/>
    </row>
    <row r="1686" ht="22.5" customHeight="1">
      <c r="A1686" s="86">
        <v>45966.0</v>
      </c>
      <c r="B1686" s="63" t="s">
        <v>27</v>
      </c>
      <c r="C1686" s="79"/>
      <c r="D1686" s="80">
        <v>151824.65</v>
      </c>
      <c r="E1686" s="66" t="s">
        <v>28</v>
      </c>
      <c r="F1686" s="67" t="s">
        <v>1002</v>
      </c>
      <c r="G1686" s="68">
        <v>20.0</v>
      </c>
      <c r="H1686" s="69">
        <f t="shared" si="82"/>
        <v>25304.10833</v>
      </c>
      <c r="I1686" s="76" t="s">
        <v>61</v>
      </c>
      <c r="J1686" s="98" t="s">
        <v>509</v>
      </c>
      <c r="K1686" s="95"/>
      <c r="L1686" s="95"/>
      <c r="M1686" s="95"/>
      <c r="N1686" s="153"/>
      <c r="O1686" s="140" t="s">
        <v>1295</v>
      </c>
      <c r="P1686" s="74"/>
      <c r="Q1686" s="74"/>
      <c r="R1686" s="74"/>
      <c r="S1686" s="74"/>
      <c r="T1686" s="74"/>
      <c r="U1686" s="74"/>
      <c r="V1686" s="74"/>
      <c r="W1686" s="74"/>
      <c r="X1686" s="74"/>
      <c r="Y1686" s="74"/>
      <c r="Z1686" s="74"/>
      <c r="AA1686" s="74"/>
      <c r="AB1686" s="74"/>
      <c r="AC1686" s="74"/>
      <c r="AD1686" s="74"/>
      <c r="AE1686" s="74"/>
      <c r="AF1686" s="74"/>
      <c r="AG1686" s="74"/>
    </row>
    <row r="1687" ht="22.5" customHeight="1">
      <c r="A1687" s="86">
        <v>45966.0</v>
      </c>
      <c r="B1687" s="63" t="s">
        <v>27</v>
      </c>
      <c r="C1687" s="79"/>
      <c r="D1687" s="80">
        <v>324529.92</v>
      </c>
      <c r="E1687" s="66" t="s">
        <v>28</v>
      </c>
      <c r="F1687" s="67" t="s">
        <v>1002</v>
      </c>
      <c r="G1687" s="68">
        <v>20.0</v>
      </c>
      <c r="H1687" s="69">
        <f t="shared" si="82"/>
        <v>54088.32</v>
      </c>
      <c r="I1687" s="76" t="s">
        <v>61</v>
      </c>
      <c r="J1687" s="103" t="s">
        <v>228</v>
      </c>
      <c r="K1687" s="95"/>
      <c r="L1687" s="95"/>
      <c r="M1687" s="95"/>
      <c r="N1687" s="153"/>
      <c r="O1687" s="140" t="s">
        <v>1296</v>
      </c>
      <c r="P1687" s="74"/>
      <c r="Q1687" s="74"/>
      <c r="R1687" s="74"/>
      <c r="S1687" s="74"/>
      <c r="T1687" s="74"/>
      <c r="U1687" s="74"/>
      <c r="V1687" s="74"/>
      <c r="W1687" s="74"/>
      <c r="X1687" s="74"/>
      <c r="Y1687" s="74"/>
      <c r="Z1687" s="74"/>
      <c r="AA1687" s="74"/>
      <c r="AB1687" s="74"/>
      <c r="AC1687" s="74"/>
      <c r="AD1687" s="74"/>
      <c r="AE1687" s="74"/>
      <c r="AF1687" s="74"/>
      <c r="AG1687" s="74"/>
    </row>
    <row r="1688" ht="22.5" customHeight="1">
      <c r="A1688" s="86">
        <v>45966.0</v>
      </c>
      <c r="B1688" s="63" t="s">
        <v>27</v>
      </c>
      <c r="C1688" s="79"/>
      <c r="D1688" s="80">
        <v>160885.26</v>
      </c>
      <c r="E1688" s="66" t="s">
        <v>28</v>
      </c>
      <c r="F1688" s="67" t="s">
        <v>1002</v>
      </c>
      <c r="G1688" s="68">
        <v>20.0</v>
      </c>
      <c r="H1688" s="69">
        <f t="shared" si="82"/>
        <v>26814.21</v>
      </c>
      <c r="I1688" s="76" t="s">
        <v>44</v>
      </c>
      <c r="J1688" s="98" t="s">
        <v>134</v>
      </c>
      <c r="K1688" s="95"/>
      <c r="L1688" s="95"/>
      <c r="M1688" s="95"/>
      <c r="N1688" s="153"/>
      <c r="O1688" s="140" t="s">
        <v>1297</v>
      </c>
      <c r="P1688" s="74"/>
      <c r="Q1688" s="74"/>
      <c r="R1688" s="74"/>
      <c r="S1688" s="74"/>
      <c r="T1688" s="74"/>
      <c r="U1688" s="74"/>
      <c r="V1688" s="74"/>
      <c r="W1688" s="74"/>
      <c r="X1688" s="74"/>
      <c r="Y1688" s="74"/>
      <c r="Z1688" s="74"/>
      <c r="AA1688" s="74"/>
      <c r="AB1688" s="74"/>
      <c r="AC1688" s="74"/>
      <c r="AD1688" s="74"/>
      <c r="AE1688" s="74"/>
      <c r="AF1688" s="74"/>
      <c r="AG1688" s="74"/>
    </row>
    <row r="1689" ht="22.5" customHeight="1">
      <c r="A1689" s="86">
        <v>45966.0</v>
      </c>
      <c r="B1689" s="63" t="s">
        <v>27</v>
      </c>
      <c r="C1689" s="79"/>
      <c r="D1689" s="80">
        <v>88000.0</v>
      </c>
      <c r="E1689" s="66" t="s">
        <v>28</v>
      </c>
      <c r="F1689" s="67" t="s">
        <v>1002</v>
      </c>
      <c r="G1689" s="68">
        <v>0.0</v>
      </c>
      <c r="H1689" s="69">
        <f t="shared" si="82"/>
        <v>0</v>
      </c>
      <c r="I1689" s="76" t="s">
        <v>286</v>
      </c>
      <c r="J1689" s="98" t="s">
        <v>454</v>
      </c>
      <c r="K1689" s="95"/>
      <c r="L1689" s="95"/>
      <c r="M1689" s="95"/>
      <c r="N1689" s="153"/>
      <c r="O1689" s="140" t="s">
        <v>1298</v>
      </c>
      <c r="P1689" s="74"/>
      <c r="Q1689" s="74"/>
      <c r="R1689" s="74"/>
      <c r="S1689" s="74"/>
      <c r="T1689" s="74"/>
      <c r="U1689" s="74"/>
      <c r="V1689" s="74"/>
      <c r="W1689" s="74"/>
      <c r="X1689" s="74"/>
      <c r="Y1689" s="74"/>
      <c r="Z1689" s="74"/>
      <c r="AA1689" s="74"/>
      <c r="AB1689" s="74"/>
      <c r="AC1689" s="74"/>
      <c r="AD1689" s="74"/>
      <c r="AE1689" s="74"/>
      <c r="AF1689" s="74"/>
      <c r="AG1689" s="74"/>
    </row>
    <row r="1690" ht="22.5" customHeight="1">
      <c r="A1690" s="86">
        <v>45966.0</v>
      </c>
      <c r="B1690" s="63" t="s">
        <v>27</v>
      </c>
      <c r="C1690" s="79"/>
      <c r="D1690" s="80">
        <v>122778.6</v>
      </c>
      <c r="E1690" s="66" t="s">
        <v>28</v>
      </c>
      <c r="F1690" s="84" t="s">
        <v>941</v>
      </c>
      <c r="G1690" s="68">
        <v>20.0</v>
      </c>
      <c r="H1690" s="69">
        <f t="shared" si="82"/>
        <v>20463.1</v>
      </c>
      <c r="I1690" s="76" t="s">
        <v>101</v>
      </c>
      <c r="J1690" s="156" t="s">
        <v>1277</v>
      </c>
      <c r="K1690" s="95"/>
      <c r="L1690" s="95"/>
      <c r="M1690" s="95"/>
      <c r="N1690" s="153"/>
      <c r="O1690" s="96"/>
      <c r="P1690" s="74"/>
      <c r="Q1690" s="74"/>
      <c r="R1690" s="74"/>
      <c r="S1690" s="74"/>
      <c r="T1690" s="74"/>
      <c r="U1690" s="74"/>
      <c r="V1690" s="74"/>
      <c r="W1690" s="74"/>
      <c r="X1690" s="74"/>
      <c r="Y1690" s="74"/>
      <c r="Z1690" s="74"/>
      <c r="AA1690" s="74"/>
      <c r="AB1690" s="74"/>
      <c r="AC1690" s="74"/>
      <c r="AD1690" s="74"/>
      <c r="AE1690" s="74"/>
      <c r="AF1690" s="74"/>
      <c r="AG1690" s="74"/>
    </row>
    <row r="1691" ht="22.5" customHeight="1">
      <c r="A1691" s="86">
        <v>45966.0</v>
      </c>
      <c r="B1691" s="63" t="s">
        <v>27</v>
      </c>
      <c r="C1691" s="79"/>
      <c r="D1691" s="80">
        <v>37621.56</v>
      </c>
      <c r="E1691" s="66" t="s">
        <v>28</v>
      </c>
      <c r="F1691" s="67" t="s">
        <v>1002</v>
      </c>
      <c r="G1691" s="68">
        <v>20.0</v>
      </c>
      <c r="H1691" s="69">
        <f t="shared" si="82"/>
        <v>6270.26</v>
      </c>
      <c r="I1691" s="76" t="s">
        <v>101</v>
      </c>
      <c r="J1691" s="136" t="s">
        <v>1030</v>
      </c>
      <c r="K1691" s="95"/>
      <c r="L1691" s="95"/>
      <c r="M1691" s="95"/>
      <c r="N1691" s="153"/>
      <c r="O1691" s="140" t="s">
        <v>1299</v>
      </c>
      <c r="P1691" s="74"/>
      <c r="Q1691" s="74"/>
      <c r="R1691" s="74"/>
      <c r="S1691" s="74"/>
      <c r="T1691" s="74"/>
      <c r="U1691" s="74"/>
      <c r="V1691" s="74"/>
      <c r="W1691" s="74"/>
      <c r="X1691" s="74"/>
      <c r="Y1691" s="74"/>
      <c r="Z1691" s="74"/>
      <c r="AA1691" s="74"/>
      <c r="AB1691" s="74"/>
      <c r="AC1691" s="74"/>
      <c r="AD1691" s="74"/>
      <c r="AE1691" s="74"/>
      <c r="AF1691" s="74"/>
      <c r="AG1691" s="74"/>
    </row>
    <row r="1692" ht="22.5" customHeight="1">
      <c r="A1692" s="86">
        <v>45966.0</v>
      </c>
      <c r="B1692" s="63" t="s">
        <v>27</v>
      </c>
      <c r="C1692" s="79"/>
      <c r="D1692" s="80">
        <v>185287.0</v>
      </c>
      <c r="E1692" s="66" t="s">
        <v>28</v>
      </c>
      <c r="F1692" s="67" t="s">
        <v>1262</v>
      </c>
      <c r="G1692" s="68">
        <v>0.0</v>
      </c>
      <c r="H1692" s="69">
        <f t="shared" si="82"/>
        <v>0</v>
      </c>
      <c r="I1692" s="94" t="s">
        <v>599</v>
      </c>
      <c r="J1692" s="98" t="s">
        <v>72</v>
      </c>
      <c r="K1692" s="95"/>
      <c r="L1692" s="95"/>
      <c r="M1692" s="95"/>
      <c r="N1692" s="153"/>
      <c r="O1692" s="83" t="s">
        <v>748</v>
      </c>
      <c r="P1692" s="74"/>
      <c r="Q1692" s="74"/>
      <c r="R1692" s="74"/>
      <c r="S1692" s="74"/>
      <c r="T1692" s="74"/>
      <c r="U1692" s="74"/>
      <c r="V1692" s="74"/>
      <c r="W1692" s="74"/>
      <c r="X1692" s="74"/>
      <c r="Y1692" s="74"/>
      <c r="Z1692" s="74"/>
      <c r="AA1692" s="74"/>
      <c r="AB1692" s="74"/>
      <c r="AC1692" s="74"/>
      <c r="AD1692" s="74"/>
      <c r="AE1692" s="74"/>
      <c r="AF1692" s="74"/>
      <c r="AG1692" s="74"/>
    </row>
    <row r="1693" ht="22.5" customHeight="1">
      <c r="A1693" s="86">
        <v>45966.0</v>
      </c>
      <c r="B1693" s="63" t="s">
        <v>27</v>
      </c>
      <c r="C1693" s="79"/>
      <c r="D1693" s="80">
        <v>6887.04</v>
      </c>
      <c r="E1693" s="66" t="s">
        <v>28</v>
      </c>
      <c r="F1693" s="67" t="s">
        <v>1262</v>
      </c>
      <c r="G1693" s="68">
        <v>0.0</v>
      </c>
      <c r="H1693" s="69">
        <f t="shared" si="82"/>
        <v>0</v>
      </c>
      <c r="I1693" s="76" t="s">
        <v>68</v>
      </c>
      <c r="J1693" s="98" t="s">
        <v>1300</v>
      </c>
      <c r="K1693" s="95"/>
      <c r="L1693" s="95"/>
      <c r="M1693" s="95"/>
      <c r="N1693" s="153"/>
      <c r="O1693" s="9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</row>
    <row r="1694" ht="22.5" customHeight="1">
      <c r="A1694" s="86">
        <v>45966.0</v>
      </c>
      <c r="B1694" s="63" t="s">
        <v>27</v>
      </c>
      <c r="C1694" s="80">
        <v>600600.0</v>
      </c>
      <c r="D1694" s="79"/>
      <c r="E1694" s="66" t="s">
        <v>28</v>
      </c>
      <c r="F1694" s="84" t="s">
        <v>800</v>
      </c>
      <c r="G1694" s="68">
        <v>20.0</v>
      </c>
      <c r="H1694" s="69">
        <f t="shared" si="82"/>
        <v>100100</v>
      </c>
      <c r="I1694" s="76" t="s">
        <v>37</v>
      </c>
      <c r="J1694" s="87" t="s">
        <v>1014</v>
      </c>
      <c r="K1694" s="82" t="s">
        <v>1301</v>
      </c>
      <c r="L1694" s="82">
        <v>220.0</v>
      </c>
      <c r="M1694" s="128">
        <v>45818.0</v>
      </c>
      <c r="N1694" s="153">
        <f t="shared" ref="N1694:N1696" si="101">TODAY()-M1694-60</f>
        <v>310</v>
      </c>
      <c r="O1694" s="9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</row>
    <row r="1695" ht="22.5" customHeight="1">
      <c r="A1695" s="86">
        <v>45966.0</v>
      </c>
      <c r="B1695" s="63" t="s">
        <v>27</v>
      </c>
      <c r="C1695" s="80">
        <v>608160.0</v>
      </c>
      <c r="D1695" s="79"/>
      <c r="E1695" s="66" t="s">
        <v>28</v>
      </c>
      <c r="F1695" s="84" t="s">
        <v>800</v>
      </c>
      <c r="G1695" s="68">
        <v>20.0</v>
      </c>
      <c r="H1695" s="69">
        <f t="shared" si="82"/>
        <v>101360</v>
      </c>
      <c r="I1695" s="76" t="s">
        <v>37</v>
      </c>
      <c r="J1695" s="87" t="s">
        <v>1014</v>
      </c>
      <c r="K1695" s="82" t="s">
        <v>1302</v>
      </c>
      <c r="L1695" s="82">
        <v>225.0</v>
      </c>
      <c r="M1695" s="128">
        <v>45818.0</v>
      </c>
      <c r="N1695" s="153">
        <f t="shared" si="101"/>
        <v>310</v>
      </c>
      <c r="O1695" s="9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</row>
    <row r="1696" ht="22.5" customHeight="1">
      <c r="A1696" s="86">
        <v>45966.0</v>
      </c>
      <c r="B1696" s="63" t="s">
        <v>27</v>
      </c>
      <c r="C1696" s="80">
        <v>534727.01</v>
      </c>
      <c r="D1696" s="79"/>
      <c r="E1696" s="66" t="s">
        <v>28</v>
      </c>
      <c r="F1696" s="84" t="s">
        <v>800</v>
      </c>
      <c r="G1696" s="68">
        <v>20.0</v>
      </c>
      <c r="H1696" s="69">
        <f t="shared" si="82"/>
        <v>89121.16833</v>
      </c>
      <c r="I1696" s="76" t="s">
        <v>37</v>
      </c>
      <c r="J1696" s="87" t="s">
        <v>1014</v>
      </c>
      <c r="K1696" s="82" t="s">
        <v>1303</v>
      </c>
      <c r="L1696" s="82">
        <v>229.0</v>
      </c>
      <c r="M1696" s="128">
        <v>45818.0</v>
      </c>
      <c r="N1696" s="153">
        <f t="shared" si="101"/>
        <v>310</v>
      </c>
      <c r="O1696" s="9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</row>
    <row r="1697" ht="22.5" customHeight="1">
      <c r="A1697" s="86">
        <v>45967.0</v>
      </c>
      <c r="B1697" s="63" t="s">
        <v>27</v>
      </c>
      <c r="C1697" s="79"/>
      <c r="D1697" s="80">
        <v>50000.0</v>
      </c>
      <c r="E1697" s="66" t="s">
        <v>33</v>
      </c>
      <c r="F1697" s="67" t="s">
        <v>1099</v>
      </c>
      <c r="G1697" s="68">
        <v>0.0</v>
      </c>
      <c r="H1697" s="69">
        <f t="shared" si="82"/>
        <v>0</v>
      </c>
      <c r="I1697" s="76" t="s">
        <v>53</v>
      </c>
      <c r="J1697" s="98" t="s">
        <v>1304</v>
      </c>
      <c r="K1697" s="95"/>
      <c r="L1697" s="95"/>
      <c r="M1697" s="95"/>
      <c r="N1697" s="153"/>
      <c r="O1697" s="9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</row>
    <row r="1698" ht="22.5" customHeight="1">
      <c r="A1698" s="86">
        <v>45967.0</v>
      </c>
      <c r="B1698" s="63" t="s">
        <v>27</v>
      </c>
      <c r="C1698" s="79"/>
      <c r="D1698" s="80">
        <v>25000.0</v>
      </c>
      <c r="E1698" s="66" t="s">
        <v>33</v>
      </c>
      <c r="F1698" s="67" t="s">
        <v>1262</v>
      </c>
      <c r="G1698" s="68">
        <v>0.0</v>
      </c>
      <c r="H1698" s="69">
        <f t="shared" si="82"/>
        <v>0</v>
      </c>
      <c r="I1698" s="70" t="s">
        <v>35</v>
      </c>
      <c r="J1698" s="98" t="s">
        <v>1305</v>
      </c>
      <c r="K1698" s="95"/>
      <c r="L1698" s="95"/>
      <c r="M1698" s="95"/>
      <c r="N1698" s="153"/>
      <c r="O1698" s="9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</row>
    <row r="1699" ht="22.5" customHeight="1">
      <c r="A1699" s="86">
        <v>45971.0</v>
      </c>
      <c r="B1699" s="63" t="s">
        <v>27</v>
      </c>
      <c r="C1699" s="80"/>
      <c r="D1699" s="80">
        <v>2000000.0</v>
      </c>
      <c r="E1699" s="66" t="s">
        <v>28</v>
      </c>
      <c r="F1699" s="84" t="s">
        <v>839</v>
      </c>
      <c r="G1699" s="68">
        <v>20.0</v>
      </c>
      <c r="H1699" s="69">
        <f t="shared" si="82"/>
        <v>333333.3333</v>
      </c>
      <c r="I1699" s="76" t="s">
        <v>322</v>
      </c>
      <c r="J1699" s="149" t="s">
        <v>878</v>
      </c>
      <c r="K1699" s="95"/>
      <c r="L1699" s="95"/>
      <c r="M1699" s="95"/>
      <c r="N1699" s="153"/>
      <c r="O1699" s="140" t="s">
        <v>1306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</row>
    <row r="1700" ht="22.5" customHeight="1">
      <c r="A1700" s="86">
        <v>45971.0</v>
      </c>
      <c r="B1700" s="63" t="s">
        <v>27</v>
      </c>
      <c r="C1700" s="79"/>
      <c r="D1700" s="80">
        <v>360000.0</v>
      </c>
      <c r="E1700" s="66" t="s">
        <v>28</v>
      </c>
      <c r="F1700" s="67" t="s">
        <v>1099</v>
      </c>
      <c r="G1700" s="68">
        <v>20.0</v>
      </c>
      <c r="H1700" s="69">
        <f t="shared" si="82"/>
        <v>60000</v>
      </c>
      <c r="I1700" s="76" t="s">
        <v>61</v>
      </c>
      <c r="J1700" s="98" t="s">
        <v>609</v>
      </c>
      <c r="K1700" s="95"/>
      <c r="L1700" s="95"/>
      <c r="M1700" s="95"/>
      <c r="N1700" s="153"/>
      <c r="O1700" s="140" t="s">
        <v>1307</v>
      </c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</row>
    <row r="1701" ht="22.5" customHeight="1">
      <c r="A1701" s="86">
        <v>45971.0</v>
      </c>
      <c r="B1701" s="63" t="s">
        <v>27</v>
      </c>
      <c r="C1701" s="79"/>
      <c r="D1701" s="80">
        <v>96000.0</v>
      </c>
      <c r="E1701" s="66" t="s">
        <v>28</v>
      </c>
      <c r="F1701" s="67" t="s">
        <v>1099</v>
      </c>
      <c r="G1701" s="68">
        <v>20.0</v>
      </c>
      <c r="H1701" s="69">
        <f t="shared" si="82"/>
        <v>16000</v>
      </c>
      <c r="I1701" s="89" t="s">
        <v>1044</v>
      </c>
      <c r="J1701" s="136" t="s">
        <v>1045</v>
      </c>
      <c r="K1701" s="95"/>
      <c r="L1701" s="95"/>
      <c r="M1701" s="95"/>
      <c r="N1701" s="153"/>
      <c r="O1701" s="140" t="s">
        <v>1308</v>
      </c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</row>
    <row r="1702" ht="22.5" customHeight="1">
      <c r="A1702" s="86">
        <v>45971.0</v>
      </c>
      <c r="B1702" s="63" t="s">
        <v>27</v>
      </c>
      <c r="C1702" s="79"/>
      <c r="D1702" s="80">
        <v>320064.0</v>
      </c>
      <c r="E1702" s="66" t="s">
        <v>28</v>
      </c>
      <c r="F1702" s="67" t="s">
        <v>1099</v>
      </c>
      <c r="G1702" s="68">
        <v>20.0</v>
      </c>
      <c r="H1702" s="69">
        <f t="shared" si="82"/>
        <v>53344</v>
      </c>
      <c r="I1702" s="89" t="s">
        <v>1044</v>
      </c>
      <c r="J1702" s="136" t="s">
        <v>1045</v>
      </c>
      <c r="K1702" s="95"/>
      <c r="L1702" s="95"/>
      <c r="M1702" s="95"/>
      <c r="N1702" s="153"/>
      <c r="O1702" s="140" t="s">
        <v>1309</v>
      </c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</row>
    <row r="1703" ht="22.5" customHeight="1">
      <c r="A1703" s="86">
        <v>45971.0</v>
      </c>
      <c r="B1703" s="63" t="s">
        <v>27</v>
      </c>
      <c r="C1703" s="79"/>
      <c r="D1703" s="80">
        <v>149688.69</v>
      </c>
      <c r="E1703" s="66" t="s">
        <v>28</v>
      </c>
      <c r="F1703" s="67" t="s">
        <v>1099</v>
      </c>
      <c r="G1703" s="68">
        <v>20.0</v>
      </c>
      <c r="H1703" s="69">
        <f t="shared" si="82"/>
        <v>24948.115</v>
      </c>
      <c r="I1703" s="89" t="s">
        <v>1044</v>
      </c>
      <c r="J1703" s="136" t="s">
        <v>1045</v>
      </c>
      <c r="K1703" s="95"/>
      <c r="L1703" s="95"/>
      <c r="M1703" s="95"/>
      <c r="N1703" s="153"/>
      <c r="O1703" s="140" t="s">
        <v>1310</v>
      </c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</row>
    <row r="1704" ht="22.5" customHeight="1">
      <c r="A1704" s="86">
        <v>45971.0</v>
      </c>
      <c r="B1704" s="63" t="s">
        <v>27</v>
      </c>
      <c r="C1704" s="79"/>
      <c r="D1704" s="80">
        <v>245235.79</v>
      </c>
      <c r="E1704" s="66" t="s">
        <v>28</v>
      </c>
      <c r="F1704" s="67" t="s">
        <v>1099</v>
      </c>
      <c r="G1704" s="68">
        <v>20.0</v>
      </c>
      <c r="H1704" s="69">
        <f t="shared" si="82"/>
        <v>40872.63167</v>
      </c>
      <c r="I1704" s="76" t="s">
        <v>61</v>
      </c>
      <c r="J1704" s="98" t="s">
        <v>509</v>
      </c>
      <c r="K1704" s="95"/>
      <c r="L1704" s="95"/>
      <c r="M1704" s="95"/>
      <c r="N1704" s="153"/>
      <c r="O1704" s="140" t="s">
        <v>1311</v>
      </c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</row>
    <row r="1705" ht="22.5" customHeight="1">
      <c r="A1705" s="86">
        <v>45971.0</v>
      </c>
      <c r="B1705" s="63" t="s">
        <v>27</v>
      </c>
      <c r="C1705" s="79"/>
      <c r="D1705" s="80">
        <v>1200.0</v>
      </c>
      <c r="E1705" s="66" t="s">
        <v>28</v>
      </c>
      <c r="F1705" s="67" t="s">
        <v>1099</v>
      </c>
      <c r="G1705" s="68">
        <v>20.0</v>
      </c>
      <c r="H1705" s="69">
        <f t="shared" si="82"/>
        <v>200</v>
      </c>
      <c r="I1705" s="76" t="s">
        <v>44</v>
      </c>
      <c r="J1705" s="98" t="s">
        <v>134</v>
      </c>
      <c r="K1705" s="95"/>
      <c r="L1705" s="95"/>
      <c r="M1705" s="95"/>
      <c r="N1705" s="153"/>
      <c r="O1705" s="140" t="s">
        <v>1312</v>
      </c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</row>
    <row r="1706" ht="22.5" customHeight="1">
      <c r="A1706" s="86">
        <v>45971.0</v>
      </c>
      <c r="B1706" s="63" t="s">
        <v>27</v>
      </c>
      <c r="C1706" s="79"/>
      <c r="D1706" s="80">
        <v>600.0</v>
      </c>
      <c r="E1706" s="66" t="s">
        <v>28</v>
      </c>
      <c r="F1706" s="67" t="s">
        <v>1099</v>
      </c>
      <c r="G1706" s="68">
        <v>20.0</v>
      </c>
      <c r="H1706" s="69">
        <f t="shared" si="82"/>
        <v>100</v>
      </c>
      <c r="I1706" s="76" t="s">
        <v>61</v>
      </c>
      <c r="J1706" s="87" t="s">
        <v>942</v>
      </c>
      <c r="K1706" s="95"/>
      <c r="L1706" s="95"/>
      <c r="M1706" s="95"/>
      <c r="N1706" s="153"/>
      <c r="O1706" s="140" t="s">
        <v>1313</v>
      </c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</row>
    <row r="1707" ht="22.5" customHeight="1">
      <c r="A1707" s="86">
        <v>45971.0</v>
      </c>
      <c r="B1707" s="63" t="s">
        <v>27</v>
      </c>
      <c r="C1707" s="79"/>
      <c r="D1707" s="80">
        <v>242400.0</v>
      </c>
      <c r="E1707" s="66" t="s">
        <v>28</v>
      </c>
      <c r="F1707" s="67" t="s">
        <v>1099</v>
      </c>
      <c r="G1707" s="68">
        <v>20.0</v>
      </c>
      <c r="H1707" s="69">
        <f t="shared" si="82"/>
        <v>40400</v>
      </c>
      <c r="I1707" s="76" t="s">
        <v>61</v>
      </c>
      <c r="J1707" s="87" t="s">
        <v>942</v>
      </c>
      <c r="K1707" s="95"/>
      <c r="L1707" s="95"/>
      <c r="M1707" s="95"/>
      <c r="N1707" s="153"/>
      <c r="O1707" s="140" t="s">
        <v>1314</v>
      </c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</row>
    <row r="1708" ht="22.5" customHeight="1">
      <c r="A1708" s="86">
        <v>45971.0</v>
      </c>
      <c r="B1708" s="63" t="s">
        <v>27</v>
      </c>
      <c r="C1708" s="79"/>
      <c r="D1708" s="80">
        <v>23690.69</v>
      </c>
      <c r="E1708" s="66" t="s">
        <v>28</v>
      </c>
      <c r="F1708" s="84" t="s">
        <v>897</v>
      </c>
      <c r="G1708" s="68">
        <v>20.0</v>
      </c>
      <c r="H1708" s="69">
        <f t="shared" si="82"/>
        <v>3948.448333</v>
      </c>
      <c r="I1708" s="89" t="s">
        <v>1044</v>
      </c>
      <c r="J1708" s="136" t="s">
        <v>1045</v>
      </c>
      <c r="K1708" s="95"/>
      <c r="L1708" s="95"/>
      <c r="M1708" s="95"/>
      <c r="N1708" s="153"/>
      <c r="O1708" s="140" t="s">
        <v>1315</v>
      </c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</row>
    <row r="1709" ht="22.5" customHeight="1">
      <c r="A1709" s="86">
        <v>45971.0</v>
      </c>
      <c r="B1709" s="63" t="s">
        <v>27</v>
      </c>
      <c r="C1709" s="79"/>
      <c r="D1709" s="80">
        <v>19200.05</v>
      </c>
      <c r="E1709" s="66" t="s">
        <v>28</v>
      </c>
      <c r="F1709" s="84" t="s">
        <v>897</v>
      </c>
      <c r="G1709" s="68">
        <v>20.0</v>
      </c>
      <c r="H1709" s="69">
        <f t="shared" si="82"/>
        <v>3200.008333</v>
      </c>
      <c r="I1709" s="89" t="s">
        <v>1044</v>
      </c>
      <c r="J1709" s="136" t="s">
        <v>1045</v>
      </c>
      <c r="K1709" s="95"/>
      <c r="L1709" s="95"/>
      <c r="M1709" s="95"/>
      <c r="N1709" s="153"/>
      <c r="O1709" s="140" t="s">
        <v>1316</v>
      </c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</row>
    <row r="1710" ht="22.5" customHeight="1">
      <c r="A1710" s="86">
        <v>45971.0</v>
      </c>
      <c r="B1710" s="63" t="s">
        <v>27</v>
      </c>
      <c r="C1710" s="79"/>
      <c r="D1710" s="80">
        <v>20160.0</v>
      </c>
      <c r="E1710" s="66" t="s">
        <v>28</v>
      </c>
      <c r="F1710" s="84" t="s">
        <v>897</v>
      </c>
      <c r="G1710" s="68">
        <v>20.0</v>
      </c>
      <c r="H1710" s="69">
        <f t="shared" si="82"/>
        <v>3360</v>
      </c>
      <c r="I1710" s="89" t="s">
        <v>1044</v>
      </c>
      <c r="J1710" s="136" t="s">
        <v>1045</v>
      </c>
      <c r="K1710" s="95"/>
      <c r="L1710" s="95"/>
      <c r="M1710" s="95"/>
      <c r="N1710" s="153"/>
      <c r="O1710" s="140" t="s">
        <v>1317</v>
      </c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</row>
    <row r="1711" ht="22.5" customHeight="1">
      <c r="A1711" s="86">
        <v>45971.0</v>
      </c>
      <c r="B1711" s="63" t="s">
        <v>27</v>
      </c>
      <c r="C1711" s="79"/>
      <c r="D1711" s="80">
        <v>167500.0</v>
      </c>
      <c r="E1711" s="66" t="s">
        <v>28</v>
      </c>
      <c r="F1711" s="67" t="s">
        <v>1179</v>
      </c>
      <c r="G1711" s="68">
        <v>0.0</v>
      </c>
      <c r="H1711" s="69">
        <f t="shared" si="82"/>
        <v>0</v>
      </c>
      <c r="I1711" s="76" t="s">
        <v>504</v>
      </c>
      <c r="J1711" s="98" t="s">
        <v>505</v>
      </c>
      <c r="K1711" s="95"/>
      <c r="L1711" s="95"/>
      <c r="M1711" s="95"/>
      <c r="N1711" s="153"/>
      <c r="O1711" s="140" t="s">
        <v>1318</v>
      </c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</row>
    <row r="1712" ht="22.5" customHeight="1">
      <c r="A1712" s="86">
        <v>45971.0</v>
      </c>
      <c r="B1712" s="63" t="s">
        <v>27</v>
      </c>
      <c r="C1712" s="79"/>
      <c r="D1712" s="80">
        <v>22000.0</v>
      </c>
      <c r="E1712" s="66" t="s">
        <v>33</v>
      </c>
      <c r="F1712" s="67" t="s">
        <v>1179</v>
      </c>
      <c r="G1712" s="68">
        <v>0.0</v>
      </c>
      <c r="H1712" s="69">
        <f t="shared" si="82"/>
        <v>0</v>
      </c>
      <c r="I1712" s="76" t="s">
        <v>495</v>
      </c>
      <c r="J1712" s="98" t="s">
        <v>1319</v>
      </c>
      <c r="K1712" s="95"/>
      <c r="L1712" s="95"/>
      <c r="M1712" s="95"/>
      <c r="N1712" s="153"/>
      <c r="O1712" s="9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</row>
    <row r="1713" ht="22.5" customHeight="1">
      <c r="A1713" s="86">
        <v>45971.0</v>
      </c>
      <c r="B1713" s="63" t="s">
        <v>27</v>
      </c>
      <c r="C1713" s="79"/>
      <c r="D1713" s="80">
        <v>8000.0</v>
      </c>
      <c r="E1713" s="66" t="s">
        <v>33</v>
      </c>
      <c r="F1713" s="67" t="s">
        <v>1262</v>
      </c>
      <c r="G1713" s="68">
        <v>0.0</v>
      </c>
      <c r="H1713" s="69">
        <f t="shared" si="82"/>
        <v>0</v>
      </c>
      <c r="I1713" s="76" t="s">
        <v>495</v>
      </c>
      <c r="J1713" s="98" t="s">
        <v>1320</v>
      </c>
      <c r="K1713" s="95"/>
      <c r="L1713" s="95"/>
      <c r="M1713" s="95"/>
      <c r="N1713" s="153"/>
      <c r="O1713" s="9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</row>
    <row r="1714" ht="22.5" customHeight="1">
      <c r="A1714" s="86">
        <v>45971.0</v>
      </c>
      <c r="B1714" s="63" t="s">
        <v>27</v>
      </c>
      <c r="C1714" s="79"/>
      <c r="D1714" s="79">
        <f>1821624.9+24038+511.68</f>
        <v>1846174.58</v>
      </c>
      <c r="E1714" s="66" t="s">
        <v>28</v>
      </c>
      <c r="F1714" s="67" t="s">
        <v>1179</v>
      </c>
      <c r="G1714" s="68">
        <v>0.0</v>
      </c>
      <c r="H1714" s="69">
        <f t="shared" si="82"/>
        <v>0</v>
      </c>
      <c r="I1714" s="76" t="s">
        <v>68</v>
      </c>
      <c r="J1714" s="98" t="s">
        <v>1321</v>
      </c>
      <c r="K1714" s="95"/>
      <c r="L1714" s="95"/>
      <c r="M1714" s="95"/>
      <c r="N1714" s="153"/>
      <c r="O1714" s="9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</row>
    <row r="1715" ht="22.5" customHeight="1">
      <c r="A1715" s="86">
        <v>45971.0</v>
      </c>
      <c r="B1715" s="63" t="s">
        <v>27</v>
      </c>
      <c r="C1715" s="79"/>
      <c r="D1715" s="80">
        <v>191500.0</v>
      </c>
      <c r="E1715" s="66" t="s">
        <v>28</v>
      </c>
      <c r="F1715" s="67" t="s">
        <v>1179</v>
      </c>
      <c r="G1715" s="68">
        <v>0.0</v>
      </c>
      <c r="H1715" s="69">
        <f t="shared" si="82"/>
        <v>0</v>
      </c>
      <c r="I1715" s="76" t="s">
        <v>61</v>
      </c>
      <c r="J1715" s="98" t="s">
        <v>901</v>
      </c>
      <c r="K1715" s="95"/>
      <c r="L1715" s="95"/>
      <c r="M1715" s="95"/>
      <c r="N1715" s="153"/>
      <c r="O1715" s="9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</row>
    <row r="1716" ht="22.5" customHeight="1">
      <c r="A1716" s="86">
        <v>45971.0</v>
      </c>
      <c r="B1716" s="63" t="s">
        <v>27</v>
      </c>
      <c r="C1716" s="79"/>
      <c r="D1716" s="80">
        <v>100000.0</v>
      </c>
      <c r="E1716" s="66" t="s">
        <v>33</v>
      </c>
      <c r="F1716" s="67" t="s">
        <v>1179</v>
      </c>
      <c r="G1716" s="68">
        <v>0.0</v>
      </c>
      <c r="H1716" s="69">
        <f t="shared" si="82"/>
        <v>0</v>
      </c>
      <c r="I1716" s="76" t="s">
        <v>53</v>
      </c>
      <c r="J1716" s="98" t="s">
        <v>1322</v>
      </c>
      <c r="K1716" s="95"/>
      <c r="L1716" s="95"/>
      <c r="M1716" s="95"/>
      <c r="N1716" s="153"/>
      <c r="O1716" s="9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</row>
    <row r="1717" ht="22.5" customHeight="1">
      <c r="A1717" s="86">
        <v>45971.0</v>
      </c>
      <c r="B1717" s="63" t="s">
        <v>27</v>
      </c>
      <c r="C1717" s="79"/>
      <c r="D1717" s="80">
        <v>92000.0</v>
      </c>
      <c r="E1717" s="66" t="s">
        <v>33</v>
      </c>
      <c r="F1717" s="67" t="s">
        <v>1262</v>
      </c>
      <c r="G1717" s="68">
        <v>0.0</v>
      </c>
      <c r="H1717" s="69">
        <f t="shared" si="82"/>
        <v>0</v>
      </c>
      <c r="I1717" s="76" t="s">
        <v>490</v>
      </c>
      <c r="J1717" s="98" t="s">
        <v>1323</v>
      </c>
      <c r="K1717" s="95"/>
      <c r="L1717" s="95"/>
      <c r="M1717" s="95"/>
      <c r="N1717" s="153"/>
      <c r="O1717" s="9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</row>
    <row r="1718" ht="22.5" customHeight="1">
      <c r="A1718" s="86">
        <v>45971.0</v>
      </c>
      <c r="B1718" s="157" t="s">
        <v>27</v>
      </c>
      <c r="C1718" s="80">
        <v>36050.28</v>
      </c>
      <c r="D1718" s="79"/>
      <c r="E1718" s="66" t="s">
        <v>28</v>
      </c>
      <c r="F1718" s="67" t="s">
        <v>1179</v>
      </c>
      <c r="G1718" s="68">
        <v>20.0</v>
      </c>
      <c r="H1718" s="69">
        <f t="shared" si="82"/>
        <v>6008.38</v>
      </c>
      <c r="I1718" s="76" t="s">
        <v>37</v>
      </c>
      <c r="J1718" s="98" t="s">
        <v>1324</v>
      </c>
      <c r="K1718" s="82">
        <v>1.0</v>
      </c>
      <c r="L1718" s="82">
        <v>367.0</v>
      </c>
      <c r="M1718" s="132">
        <v>45959.0</v>
      </c>
      <c r="N1718" s="153">
        <f>TODAY()-M1718-60</f>
        <v>169</v>
      </c>
      <c r="O1718" s="9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</row>
    <row r="1719" ht="22.5" customHeight="1">
      <c r="A1719" s="86">
        <v>45972.0</v>
      </c>
      <c r="B1719" s="63" t="s">
        <v>27</v>
      </c>
      <c r="C1719" s="79"/>
      <c r="D1719" s="80">
        <v>20400.0</v>
      </c>
      <c r="E1719" s="66" t="s">
        <v>28</v>
      </c>
      <c r="F1719" s="67" t="s">
        <v>1262</v>
      </c>
      <c r="G1719" s="68">
        <v>20.0</v>
      </c>
      <c r="H1719" s="69">
        <f t="shared" si="82"/>
        <v>3400</v>
      </c>
      <c r="I1719" s="76" t="s">
        <v>495</v>
      </c>
      <c r="J1719" s="98" t="s">
        <v>910</v>
      </c>
      <c r="K1719" s="95"/>
      <c r="L1719" s="95"/>
      <c r="M1719" s="95"/>
      <c r="N1719" s="153"/>
      <c r="O1719" s="140" t="s">
        <v>1325</v>
      </c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</row>
    <row r="1720" ht="22.5" customHeight="1">
      <c r="A1720" s="86">
        <v>45972.0</v>
      </c>
      <c r="B1720" s="63" t="s">
        <v>27</v>
      </c>
      <c r="C1720" s="79"/>
      <c r="D1720" s="80">
        <v>2280.44</v>
      </c>
      <c r="E1720" s="66" t="s">
        <v>28</v>
      </c>
      <c r="F1720" s="67" t="s">
        <v>1099</v>
      </c>
      <c r="G1720" s="68">
        <v>0.0</v>
      </c>
      <c r="H1720" s="69">
        <f t="shared" si="82"/>
        <v>0</v>
      </c>
      <c r="I1720" s="76" t="s">
        <v>495</v>
      </c>
      <c r="J1720" s="98" t="s">
        <v>745</v>
      </c>
      <c r="K1720" s="95"/>
      <c r="L1720" s="95"/>
      <c r="M1720" s="95"/>
      <c r="N1720" s="153"/>
      <c r="O1720" s="9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</row>
    <row r="1721" ht="22.5" customHeight="1">
      <c r="A1721" s="86">
        <v>45972.0</v>
      </c>
      <c r="B1721" s="63" t="s">
        <v>27</v>
      </c>
      <c r="C1721" s="79"/>
      <c r="D1721" s="80">
        <v>1016.6</v>
      </c>
      <c r="E1721" s="66" t="s">
        <v>28</v>
      </c>
      <c r="F1721" s="67" t="s">
        <v>1262</v>
      </c>
      <c r="G1721" s="68">
        <v>0.0</v>
      </c>
      <c r="H1721" s="69">
        <f t="shared" si="82"/>
        <v>0</v>
      </c>
      <c r="I1721" s="76" t="s">
        <v>495</v>
      </c>
      <c r="J1721" s="98" t="s">
        <v>745</v>
      </c>
      <c r="K1721" s="95"/>
      <c r="L1721" s="95"/>
      <c r="M1721" s="95"/>
      <c r="N1721" s="153"/>
      <c r="O1721" s="9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</row>
    <row r="1722" ht="22.5" customHeight="1">
      <c r="A1722" s="86">
        <v>45972.0</v>
      </c>
      <c r="B1722" s="63" t="s">
        <v>27</v>
      </c>
      <c r="C1722" s="79"/>
      <c r="D1722" s="80">
        <v>2000.0</v>
      </c>
      <c r="E1722" s="66" t="s">
        <v>28</v>
      </c>
      <c r="F1722" s="67" t="s">
        <v>1262</v>
      </c>
      <c r="G1722" s="68">
        <v>0.0</v>
      </c>
      <c r="H1722" s="69">
        <f t="shared" si="82"/>
        <v>0</v>
      </c>
      <c r="I1722" s="76" t="s">
        <v>495</v>
      </c>
      <c r="J1722" s="98" t="s">
        <v>745</v>
      </c>
      <c r="K1722" s="95"/>
      <c r="L1722" s="95"/>
      <c r="M1722" s="95"/>
      <c r="N1722" s="153"/>
      <c r="O1722" s="9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</row>
    <row r="1723" ht="22.5" customHeight="1">
      <c r="A1723" s="86">
        <v>45972.0</v>
      </c>
      <c r="B1723" s="63" t="s">
        <v>27</v>
      </c>
      <c r="C1723" s="79"/>
      <c r="D1723" s="80">
        <v>217200.0</v>
      </c>
      <c r="E1723" s="66" t="s">
        <v>28</v>
      </c>
      <c r="F1723" s="67" t="s">
        <v>1262</v>
      </c>
      <c r="G1723" s="68">
        <v>0.0</v>
      </c>
      <c r="H1723" s="69">
        <f t="shared" si="82"/>
        <v>0</v>
      </c>
      <c r="I1723" s="76" t="s">
        <v>495</v>
      </c>
      <c r="J1723" s="98" t="s">
        <v>691</v>
      </c>
      <c r="K1723" s="95"/>
      <c r="L1723" s="95"/>
      <c r="M1723" s="95"/>
      <c r="N1723" s="153"/>
      <c r="O1723" s="9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</row>
    <row r="1724" ht="22.5" customHeight="1">
      <c r="A1724" s="86">
        <v>45972.0</v>
      </c>
      <c r="B1724" s="63" t="s">
        <v>27</v>
      </c>
      <c r="C1724" s="79"/>
      <c r="D1724" s="80">
        <v>40000.0</v>
      </c>
      <c r="E1724" s="66" t="s">
        <v>33</v>
      </c>
      <c r="F1724" s="67" t="s">
        <v>1179</v>
      </c>
      <c r="G1724" s="68">
        <v>0.0</v>
      </c>
      <c r="H1724" s="69">
        <f t="shared" si="82"/>
        <v>0</v>
      </c>
      <c r="I1724" s="76" t="s">
        <v>53</v>
      </c>
      <c r="J1724" s="98" t="s">
        <v>1326</v>
      </c>
      <c r="K1724" s="95"/>
      <c r="L1724" s="95"/>
      <c r="M1724" s="95"/>
      <c r="N1724" s="153"/>
      <c r="O1724" s="9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</row>
    <row r="1725" ht="22.5" customHeight="1">
      <c r="A1725" s="86">
        <v>45972.0</v>
      </c>
      <c r="B1725" s="63" t="s">
        <v>27</v>
      </c>
      <c r="C1725" s="79"/>
      <c r="D1725" s="80">
        <v>15000.0</v>
      </c>
      <c r="E1725" s="66" t="s">
        <v>33</v>
      </c>
      <c r="F1725" s="67" t="s">
        <v>1179</v>
      </c>
      <c r="G1725" s="68">
        <v>0.0</v>
      </c>
      <c r="H1725" s="69">
        <f t="shared" si="82"/>
        <v>0</v>
      </c>
      <c r="I1725" s="76" t="s">
        <v>53</v>
      </c>
      <c r="J1725" s="98" t="s">
        <v>1327</v>
      </c>
      <c r="K1725" s="95"/>
      <c r="L1725" s="95"/>
      <c r="M1725" s="95"/>
      <c r="N1725" s="153"/>
      <c r="O1725" s="9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</row>
    <row r="1726" ht="22.5" customHeight="1">
      <c r="A1726" s="86">
        <v>45972.0</v>
      </c>
      <c r="B1726" s="63" t="s">
        <v>27</v>
      </c>
      <c r="C1726" s="79"/>
      <c r="D1726" s="80">
        <v>10000.0</v>
      </c>
      <c r="E1726" s="66" t="s">
        <v>33</v>
      </c>
      <c r="F1726" s="67" t="s">
        <v>1179</v>
      </c>
      <c r="G1726" s="68">
        <v>0.0</v>
      </c>
      <c r="H1726" s="69">
        <f t="shared" si="82"/>
        <v>0</v>
      </c>
      <c r="I1726" s="76" t="s">
        <v>53</v>
      </c>
      <c r="J1726" s="98" t="s">
        <v>171</v>
      </c>
      <c r="K1726" s="95"/>
      <c r="L1726" s="95"/>
      <c r="M1726" s="95"/>
      <c r="N1726" s="153"/>
      <c r="O1726" s="9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</row>
    <row r="1727" ht="22.5" customHeight="1">
      <c r="A1727" s="86">
        <v>45972.0</v>
      </c>
      <c r="B1727" s="63" t="s">
        <v>27</v>
      </c>
      <c r="C1727" s="79"/>
      <c r="D1727" s="80">
        <v>80000.0</v>
      </c>
      <c r="E1727" s="66" t="s">
        <v>33</v>
      </c>
      <c r="F1727" s="67" t="s">
        <v>1179</v>
      </c>
      <c r="G1727" s="68">
        <v>0.0</v>
      </c>
      <c r="H1727" s="69">
        <f t="shared" si="82"/>
        <v>0</v>
      </c>
      <c r="I1727" s="76" t="s">
        <v>53</v>
      </c>
      <c r="J1727" s="98" t="s">
        <v>467</v>
      </c>
      <c r="K1727" s="95"/>
      <c r="L1727" s="95"/>
      <c r="M1727" s="95"/>
      <c r="N1727" s="153"/>
      <c r="O1727" s="9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</row>
    <row r="1728" ht="22.5" customHeight="1">
      <c r="A1728" s="86">
        <v>45972.0</v>
      </c>
      <c r="B1728" s="63" t="s">
        <v>27</v>
      </c>
      <c r="C1728" s="79"/>
      <c r="D1728" s="80">
        <v>20000.0</v>
      </c>
      <c r="E1728" s="66" t="s">
        <v>33</v>
      </c>
      <c r="F1728" s="67" t="s">
        <v>1179</v>
      </c>
      <c r="G1728" s="68">
        <v>0.0</v>
      </c>
      <c r="H1728" s="69">
        <f t="shared" si="82"/>
        <v>0</v>
      </c>
      <c r="I1728" s="76" t="s">
        <v>53</v>
      </c>
      <c r="J1728" s="98" t="s">
        <v>147</v>
      </c>
      <c r="K1728" s="95"/>
      <c r="L1728" s="95"/>
      <c r="M1728" s="95"/>
      <c r="N1728" s="153"/>
      <c r="O1728" s="9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</row>
    <row r="1729" ht="22.5" customHeight="1">
      <c r="A1729" s="86">
        <v>45972.0</v>
      </c>
      <c r="B1729" s="63" t="s">
        <v>27</v>
      </c>
      <c r="C1729" s="79"/>
      <c r="D1729" s="80">
        <v>18600.0</v>
      </c>
      <c r="E1729" s="66" t="s">
        <v>33</v>
      </c>
      <c r="F1729" s="67" t="s">
        <v>1179</v>
      </c>
      <c r="G1729" s="68">
        <v>0.0</v>
      </c>
      <c r="H1729" s="69">
        <f t="shared" si="82"/>
        <v>0</v>
      </c>
      <c r="I1729" s="70" t="s">
        <v>35</v>
      </c>
      <c r="J1729" s="98" t="s">
        <v>1328</v>
      </c>
      <c r="K1729" s="95"/>
      <c r="L1729" s="95"/>
      <c r="M1729" s="95"/>
      <c r="N1729" s="153"/>
      <c r="O1729" s="9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</row>
    <row r="1730" ht="22.5" customHeight="1">
      <c r="A1730" s="86">
        <v>45973.0</v>
      </c>
      <c r="B1730" s="63" t="s">
        <v>27</v>
      </c>
      <c r="C1730" s="79"/>
      <c r="D1730" s="80">
        <v>15000.0</v>
      </c>
      <c r="E1730" s="66" t="s">
        <v>33</v>
      </c>
      <c r="F1730" s="67" t="s">
        <v>1179</v>
      </c>
      <c r="G1730" s="68">
        <v>0.0</v>
      </c>
      <c r="H1730" s="69">
        <f t="shared" si="82"/>
        <v>0</v>
      </c>
      <c r="I1730" s="76" t="s">
        <v>53</v>
      </c>
      <c r="J1730" s="98" t="s">
        <v>1329</v>
      </c>
      <c r="K1730" s="95"/>
      <c r="L1730" s="95"/>
      <c r="M1730" s="95"/>
      <c r="N1730" s="153"/>
      <c r="O1730" s="9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</row>
    <row r="1731" ht="22.5" customHeight="1">
      <c r="A1731" s="86">
        <v>45974.0</v>
      </c>
      <c r="B1731" s="63" t="s">
        <v>27</v>
      </c>
      <c r="C1731" s="80">
        <v>69300.0</v>
      </c>
      <c r="D1731" s="79"/>
      <c r="E1731" s="66" t="s">
        <v>28</v>
      </c>
      <c r="F1731" s="84" t="s">
        <v>800</v>
      </c>
      <c r="G1731" s="68">
        <v>20.0</v>
      </c>
      <c r="H1731" s="69">
        <f t="shared" si="82"/>
        <v>11550</v>
      </c>
      <c r="I1731" s="76" t="s">
        <v>37</v>
      </c>
      <c r="J1731" s="87" t="s">
        <v>944</v>
      </c>
      <c r="K1731" s="82" t="s">
        <v>607</v>
      </c>
      <c r="L1731" s="82">
        <v>237.0</v>
      </c>
      <c r="M1731" s="128">
        <v>45826.0</v>
      </c>
      <c r="N1731" s="153">
        <f t="shared" ref="N1731:N1738" si="102">TODAY()-M1731-120</f>
        <v>242</v>
      </c>
      <c r="O1731" s="9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</row>
    <row r="1732" ht="22.5" customHeight="1">
      <c r="A1732" s="86">
        <v>45974.0</v>
      </c>
      <c r="B1732" s="63" t="s">
        <v>27</v>
      </c>
      <c r="C1732" s="80">
        <v>330000.0</v>
      </c>
      <c r="D1732" s="79"/>
      <c r="E1732" s="66" t="s">
        <v>28</v>
      </c>
      <c r="F1732" s="84" t="s">
        <v>800</v>
      </c>
      <c r="G1732" s="68">
        <v>20.0</v>
      </c>
      <c r="H1732" s="69">
        <f t="shared" si="82"/>
        <v>55000</v>
      </c>
      <c r="I1732" s="76" t="s">
        <v>37</v>
      </c>
      <c r="J1732" s="87" t="s">
        <v>944</v>
      </c>
      <c r="K1732" s="82" t="s">
        <v>889</v>
      </c>
      <c r="L1732" s="82">
        <v>238.0</v>
      </c>
      <c r="M1732" s="128">
        <v>45826.0</v>
      </c>
      <c r="N1732" s="153">
        <f t="shared" si="102"/>
        <v>242</v>
      </c>
      <c r="O1732" s="9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</row>
    <row r="1733" ht="22.5" customHeight="1">
      <c r="A1733" s="86">
        <v>45974.0</v>
      </c>
      <c r="B1733" s="63" t="s">
        <v>27</v>
      </c>
      <c r="C1733" s="80">
        <v>139293.0</v>
      </c>
      <c r="D1733" s="79"/>
      <c r="E1733" s="66" t="s">
        <v>28</v>
      </c>
      <c r="F1733" s="84" t="s">
        <v>800</v>
      </c>
      <c r="G1733" s="68">
        <v>20.0</v>
      </c>
      <c r="H1733" s="69">
        <f t="shared" si="82"/>
        <v>23215.5</v>
      </c>
      <c r="I1733" s="76" t="s">
        <v>37</v>
      </c>
      <c r="J1733" s="87" t="s">
        <v>944</v>
      </c>
      <c r="K1733" s="82" t="s">
        <v>889</v>
      </c>
      <c r="L1733" s="82">
        <v>239.0</v>
      </c>
      <c r="M1733" s="128">
        <v>45826.0</v>
      </c>
      <c r="N1733" s="153">
        <f t="shared" si="102"/>
        <v>242</v>
      </c>
      <c r="O1733" s="9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</row>
    <row r="1734" ht="22.5" customHeight="1">
      <c r="A1734" s="86">
        <v>45974.0</v>
      </c>
      <c r="B1734" s="63" t="s">
        <v>27</v>
      </c>
      <c r="C1734" s="80">
        <v>533280.0</v>
      </c>
      <c r="D1734" s="79"/>
      <c r="E1734" s="66" t="s">
        <v>28</v>
      </c>
      <c r="F1734" s="84" t="s">
        <v>800</v>
      </c>
      <c r="G1734" s="68">
        <v>20.0</v>
      </c>
      <c r="H1734" s="69">
        <f t="shared" si="82"/>
        <v>88880</v>
      </c>
      <c r="I1734" s="76" t="s">
        <v>37</v>
      </c>
      <c r="J1734" s="87" t="s">
        <v>944</v>
      </c>
      <c r="K1734" s="82" t="s">
        <v>889</v>
      </c>
      <c r="L1734" s="82">
        <v>240.0</v>
      </c>
      <c r="M1734" s="128">
        <v>45826.0</v>
      </c>
      <c r="N1734" s="153">
        <f t="shared" si="102"/>
        <v>242</v>
      </c>
      <c r="O1734" s="9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</row>
    <row r="1735" ht="22.5" customHeight="1">
      <c r="A1735" s="86">
        <v>45974.0</v>
      </c>
      <c r="B1735" s="63" t="s">
        <v>27</v>
      </c>
      <c r="C1735" s="80">
        <v>468173.37</v>
      </c>
      <c r="D1735" s="79"/>
      <c r="E1735" s="66" t="s">
        <v>28</v>
      </c>
      <c r="F1735" s="84" t="s">
        <v>800</v>
      </c>
      <c r="G1735" s="68">
        <v>20.0</v>
      </c>
      <c r="H1735" s="69">
        <f t="shared" si="82"/>
        <v>78028.895</v>
      </c>
      <c r="I1735" s="76" t="s">
        <v>37</v>
      </c>
      <c r="J1735" s="87" t="s">
        <v>944</v>
      </c>
      <c r="K1735" s="82" t="s">
        <v>607</v>
      </c>
      <c r="L1735" s="82">
        <v>241.0</v>
      </c>
      <c r="M1735" s="128">
        <v>45826.0</v>
      </c>
      <c r="N1735" s="153">
        <f t="shared" si="102"/>
        <v>242</v>
      </c>
      <c r="O1735" s="9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</row>
    <row r="1736" ht="22.5" customHeight="1">
      <c r="A1736" s="86">
        <v>45974.0</v>
      </c>
      <c r="B1736" s="63" t="s">
        <v>27</v>
      </c>
      <c r="C1736" s="80">
        <v>139293.0</v>
      </c>
      <c r="D1736" s="79"/>
      <c r="E1736" s="66" t="s">
        <v>28</v>
      </c>
      <c r="F1736" s="84" t="s">
        <v>800</v>
      </c>
      <c r="G1736" s="68">
        <v>20.0</v>
      </c>
      <c r="H1736" s="69">
        <f t="shared" si="82"/>
        <v>23215.5</v>
      </c>
      <c r="I1736" s="76" t="s">
        <v>37</v>
      </c>
      <c r="J1736" s="87" t="s">
        <v>944</v>
      </c>
      <c r="K1736" s="82" t="s">
        <v>889</v>
      </c>
      <c r="L1736" s="82">
        <v>242.0</v>
      </c>
      <c r="M1736" s="128">
        <v>45826.0</v>
      </c>
      <c r="N1736" s="153">
        <f t="shared" si="102"/>
        <v>242</v>
      </c>
      <c r="O1736" s="9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</row>
    <row r="1737" ht="22.5" customHeight="1">
      <c r="A1737" s="86">
        <v>45974.0</v>
      </c>
      <c r="B1737" s="63" t="s">
        <v>27</v>
      </c>
      <c r="C1737" s="80">
        <v>574712.11</v>
      </c>
      <c r="D1737" s="79"/>
      <c r="E1737" s="66" t="s">
        <v>28</v>
      </c>
      <c r="F1737" s="84" t="s">
        <v>800</v>
      </c>
      <c r="G1737" s="68">
        <v>20.0</v>
      </c>
      <c r="H1737" s="69">
        <f t="shared" si="82"/>
        <v>95785.35167</v>
      </c>
      <c r="I1737" s="76" t="s">
        <v>37</v>
      </c>
      <c r="J1737" s="87" t="s">
        <v>944</v>
      </c>
      <c r="K1737" s="82" t="s">
        <v>889</v>
      </c>
      <c r="L1737" s="82">
        <v>243.0</v>
      </c>
      <c r="M1737" s="128">
        <v>45826.0</v>
      </c>
      <c r="N1737" s="153">
        <f t="shared" si="102"/>
        <v>242</v>
      </c>
      <c r="O1737" s="9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</row>
    <row r="1738" ht="22.5" customHeight="1">
      <c r="A1738" s="86">
        <v>45974.0</v>
      </c>
      <c r="B1738" s="63" t="s">
        <v>27</v>
      </c>
      <c r="C1738" s="80">
        <v>489876.72</v>
      </c>
      <c r="D1738" s="79"/>
      <c r="E1738" s="66" t="s">
        <v>28</v>
      </c>
      <c r="F1738" s="84" t="s">
        <v>800</v>
      </c>
      <c r="G1738" s="68">
        <v>20.0</v>
      </c>
      <c r="H1738" s="69">
        <f t="shared" si="82"/>
        <v>81646.12</v>
      </c>
      <c r="I1738" s="76" t="s">
        <v>37</v>
      </c>
      <c r="J1738" s="87" t="s">
        <v>944</v>
      </c>
      <c r="K1738" s="82" t="s">
        <v>889</v>
      </c>
      <c r="L1738" s="82">
        <v>244.0</v>
      </c>
      <c r="M1738" s="128">
        <v>45826.0</v>
      </c>
      <c r="N1738" s="153">
        <f t="shared" si="102"/>
        <v>242</v>
      </c>
      <c r="O1738" s="9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</row>
    <row r="1739" ht="22.5" customHeight="1">
      <c r="A1739" s="86">
        <v>45974.0</v>
      </c>
      <c r="B1739" s="63" t="s">
        <v>27</v>
      </c>
      <c r="C1739" s="79"/>
      <c r="D1739" s="80">
        <v>600.0</v>
      </c>
      <c r="E1739" s="66" t="s">
        <v>28</v>
      </c>
      <c r="F1739" s="67" t="s">
        <v>1179</v>
      </c>
      <c r="G1739" s="68">
        <v>20.0</v>
      </c>
      <c r="H1739" s="69">
        <f t="shared" si="82"/>
        <v>100</v>
      </c>
      <c r="I1739" s="76" t="s">
        <v>61</v>
      </c>
      <c r="J1739" s="98" t="s">
        <v>942</v>
      </c>
      <c r="K1739" s="95"/>
      <c r="L1739" s="95"/>
      <c r="M1739" s="95"/>
      <c r="N1739" s="153"/>
      <c r="O1739" s="140" t="s">
        <v>1330</v>
      </c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</row>
    <row r="1740" ht="22.5" customHeight="1">
      <c r="A1740" s="86">
        <v>45974.0</v>
      </c>
      <c r="B1740" s="63" t="s">
        <v>27</v>
      </c>
      <c r="C1740" s="79"/>
      <c r="D1740" s="80">
        <v>60000.0</v>
      </c>
      <c r="E1740" s="66" t="s">
        <v>28</v>
      </c>
      <c r="F1740" s="67" t="s">
        <v>1262</v>
      </c>
      <c r="G1740" s="68">
        <v>20.0</v>
      </c>
      <c r="H1740" s="69">
        <f t="shared" si="82"/>
        <v>10000</v>
      </c>
      <c r="I1740" s="76" t="s">
        <v>61</v>
      </c>
      <c r="J1740" s="98" t="s">
        <v>942</v>
      </c>
      <c r="K1740" s="95"/>
      <c r="L1740" s="95"/>
      <c r="M1740" s="95"/>
      <c r="N1740" s="153"/>
      <c r="O1740" s="9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</row>
    <row r="1741" ht="22.5" customHeight="1">
      <c r="A1741" s="86">
        <v>45975.0</v>
      </c>
      <c r="B1741" s="63" t="s">
        <v>27</v>
      </c>
      <c r="C1741" s="79"/>
      <c r="D1741" s="80">
        <v>30000.0</v>
      </c>
      <c r="E1741" s="66" t="s">
        <v>33</v>
      </c>
      <c r="F1741" s="67" t="s">
        <v>1179</v>
      </c>
      <c r="G1741" s="68">
        <v>0.0</v>
      </c>
      <c r="H1741" s="69">
        <f t="shared" si="82"/>
        <v>0</v>
      </c>
      <c r="I1741" s="76" t="s">
        <v>53</v>
      </c>
      <c r="J1741" s="98" t="s">
        <v>1331</v>
      </c>
      <c r="K1741" s="95"/>
      <c r="L1741" s="95"/>
      <c r="M1741" s="95"/>
      <c r="N1741" s="153"/>
      <c r="O1741" s="9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</row>
    <row r="1742" ht="22.5" customHeight="1">
      <c r="A1742" s="86">
        <v>45975.0</v>
      </c>
      <c r="B1742" s="63" t="s">
        <v>27</v>
      </c>
      <c r="C1742" s="79"/>
      <c r="D1742" s="80">
        <v>15000.0</v>
      </c>
      <c r="E1742" s="66" t="s">
        <v>33</v>
      </c>
      <c r="F1742" s="67" t="s">
        <v>1179</v>
      </c>
      <c r="G1742" s="68">
        <v>0.0</v>
      </c>
      <c r="H1742" s="69">
        <f t="shared" si="82"/>
        <v>0</v>
      </c>
      <c r="I1742" s="76" t="s">
        <v>53</v>
      </c>
      <c r="J1742" s="98" t="s">
        <v>1332</v>
      </c>
      <c r="K1742" s="95"/>
      <c r="L1742" s="95"/>
      <c r="M1742" s="95"/>
      <c r="N1742" s="153"/>
      <c r="O1742" s="9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</row>
    <row r="1743" ht="22.5" customHeight="1">
      <c r="A1743" s="86">
        <v>45978.0</v>
      </c>
      <c r="B1743" s="63" t="s">
        <v>27</v>
      </c>
      <c r="C1743" s="79"/>
      <c r="D1743" s="80">
        <v>15000.0</v>
      </c>
      <c r="E1743" s="66" t="s">
        <v>33</v>
      </c>
      <c r="F1743" s="67" t="s">
        <v>1262</v>
      </c>
      <c r="G1743" s="68">
        <v>0.0</v>
      </c>
      <c r="H1743" s="69">
        <f t="shared" si="82"/>
        <v>0</v>
      </c>
      <c r="I1743" s="70" t="s">
        <v>35</v>
      </c>
      <c r="J1743" s="98" t="s">
        <v>1333</v>
      </c>
      <c r="K1743" s="95"/>
      <c r="L1743" s="95"/>
      <c r="M1743" s="95"/>
      <c r="N1743" s="153"/>
      <c r="O1743" s="9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</row>
    <row r="1744" ht="22.5" customHeight="1">
      <c r="A1744" s="86">
        <v>45978.0</v>
      </c>
      <c r="B1744" s="63" t="s">
        <v>27</v>
      </c>
      <c r="C1744" s="79"/>
      <c r="D1744" s="80">
        <v>105000.0</v>
      </c>
      <c r="E1744" s="66" t="s">
        <v>33</v>
      </c>
      <c r="F1744" s="67" t="s">
        <v>1179</v>
      </c>
      <c r="G1744" s="68">
        <v>0.0</v>
      </c>
      <c r="H1744" s="69">
        <f t="shared" si="82"/>
        <v>0</v>
      </c>
      <c r="I1744" s="76" t="s">
        <v>53</v>
      </c>
      <c r="J1744" s="98" t="s">
        <v>1334</v>
      </c>
      <c r="K1744" s="95"/>
      <c r="L1744" s="95"/>
      <c r="M1744" s="95"/>
      <c r="N1744" s="153"/>
      <c r="O1744" s="9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</row>
    <row r="1745" ht="22.5" customHeight="1">
      <c r="A1745" s="86">
        <v>45978.0</v>
      </c>
      <c r="B1745" s="63" t="s">
        <v>27</v>
      </c>
      <c r="C1745" s="79"/>
      <c r="D1745" s="80">
        <v>50000.0</v>
      </c>
      <c r="E1745" s="66" t="s">
        <v>33</v>
      </c>
      <c r="F1745" s="67" t="s">
        <v>608</v>
      </c>
      <c r="G1745" s="68">
        <v>0.0</v>
      </c>
      <c r="H1745" s="69">
        <f t="shared" si="82"/>
        <v>0</v>
      </c>
      <c r="I1745" s="76" t="s">
        <v>53</v>
      </c>
      <c r="J1745" s="98" t="s">
        <v>128</v>
      </c>
      <c r="K1745" s="95"/>
      <c r="L1745" s="95"/>
      <c r="M1745" s="95"/>
      <c r="N1745" s="153"/>
      <c r="O1745" s="9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</row>
    <row r="1746" ht="22.5" customHeight="1">
      <c r="A1746" s="86">
        <v>45979.0</v>
      </c>
      <c r="B1746" s="63" t="s">
        <v>27</v>
      </c>
      <c r="C1746" s="79"/>
      <c r="D1746" s="80">
        <v>184417.19</v>
      </c>
      <c r="E1746" s="66" t="s">
        <v>28</v>
      </c>
      <c r="F1746" s="67" t="s">
        <v>1179</v>
      </c>
      <c r="G1746" s="68">
        <v>20.0</v>
      </c>
      <c r="H1746" s="69">
        <f t="shared" si="82"/>
        <v>30736.19833</v>
      </c>
      <c r="I1746" s="76" t="s">
        <v>30</v>
      </c>
      <c r="J1746" s="98" t="s">
        <v>1335</v>
      </c>
      <c r="K1746" s="95"/>
      <c r="L1746" s="95"/>
      <c r="M1746" s="95"/>
      <c r="N1746" s="153"/>
      <c r="O1746" s="9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</row>
    <row r="1747" ht="22.5" customHeight="1">
      <c r="A1747" s="86">
        <v>45979.0</v>
      </c>
      <c r="B1747" s="63" t="s">
        <v>27</v>
      </c>
      <c r="C1747" s="79"/>
      <c r="D1747" s="80">
        <v>125374.0</v>
      </c>
      <c r="E1747" s="66" t="s">
        <v>28</v>
      </c>
      <c r="F1747" s="67" t="s">
        <v>608</v>
      </c>
      <c r="G1747" s="68">
        <v>0.0</v>
      </c>
      <c r="H1747" s="69">
        <f t="shared" si="82"/>
        <v>0</v>
      </c>
      <c r="I1747" s="76" t="s">
        <v>383</v>
      </c>
      <c r="J1747" s="98" t="s">
        <v>1336</v>
      </c>
      <c r="K1747" s="95"/>
      <c r="L1747" s="95"/>
      <c r="M1747" s="95"/>
      <c r="N1747" s="153"/>
      <c r="O1747" s="9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</row>
    <row r="1748" ht="22.5" customHeight="1">
      <c r="A1748" s="86">
        <v>45979.0</v>
      </c>
      <c r="B1748" s="63" t="s">
        <v>27</v>
      </c>
      <c r="C1748" s="79"/>
      <c r="D1748" s="80">
        <v>516000.0</v>
      </c>
      <c r="E1748" s="66" t="s">
        <v>28</v>
      </c>
      <c r="F1748" s="67" t="s">
        <v>1179</v>
      </c>
      <c r="G1748" s="68">
        <v>20.0</v>
      </c>
      <c r="H1748" s="69">
        <f t="shared" si="82"/>
        <v>86000</v>
      </c>
      <c r="I1748" s="76" t="s">
        <v>61</v>
      </c>
      <c r="J1748" s="98" t="s">
        <v>942</v>
      </c>
      <c r="K1748" s="95"/>
      <c r="L1748" s="95"/>
      <c r="M1748" s="95"/>
      <c r="N1748" s="153"/>
      <c r="O1748" s="140" t="s">
        <v>1337</v>
      </c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</row>
    <row r="1749" ht="22.5" customHeight="1">
      <c r="A1749" s="86">
        <v>45981.0</v>
      </c>
      <c r="B1749" s="63" t="s">
        <v>27</v>
      </c>
      <c r="C1749" s="80">
        <v>626466.53</v>
      </c>
      <c r="D1749" s="79"/>
      <c r="E1749" s="66" t="s">
        <v>28</v>
      </c>
      <c r="F1749" s="84" t="s">
        <v>897</v>
      </c>
      <c r="G1749" s="68">
        <v>20.0</v>
      </c>
      <c r="H1749" s="69">
        <f t="shared" si="82"/>
        <v>104411.0883</v>
      </c>
      <c r="I1749" s="76" t="s">
        <v>37</v>
      </c>
      <c r="J1749" s="87" t="s">
        <v>1014</v>
      </c>
      <c r="K1749" s="82" t="s">
        <v>1338</v>
      </c>
      <c r="L1749" s="82">
        <v>248.0</v>
      </c>
      <c r="M1749" s="128">
        <v>45842.0</v>
      </c>
      <c r="N1749" s="153">
        <f t="shared" ref="N1749:N1754" si="103">TODAY()-M1749-60</f>
        <v>286</v>
      </c>
      <c r="O1749" s="9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</row>
    <row r="1750" ht="22.5" customHeight="1">
      <c r="A1750" s="86">
        <v>45981.0</v>
      </c>
      <c r="B1750" s="63" t="s">
        <v>27</v>
      </c>
      <c r="C1750" s="80">
        <v>604968.0</v>
      </c>
      <c r="D1750" s="79"/>
      <c r="E1750" s="66" t="s">
        <v>28</v>
      </c>
      <c r="F1750" s="84" t="s">
        <v>897</v>
      </c>
      <c r="G1750" s="68">
        <v>20.0</v>
      </c>
      <c r="H1750" s="69">
        <f t="shared" si="82"/>
        <v>100828</v>
      </c>
      <c r="I1750" s="76" t="s">
        <v>37</v>
      </c>
      <c r="J1750" s="87" t="s">
        <v>1014</v>
      </c>
      <c r="K1750" s="82" t="s">
        <v>1339</v>
      </c>
      <c r="L1750" s="82">
        <v>252.0</v>
      </c>
      <c r="M1750" s="128">
        <v>45842.0</v>
      </c>
      <c r="N1750" s="153">
        <f t="shared" si="103"/>
        <v>286</v>
      </c>
      <c r="O1750" s="9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</row>
    <row r="1751" ht="22.5" customHeight="1">
      <c r="A1751" s="86">
        <v>45981.0</v>
      </c>
      <c r="B1751" s="63" t="s">
        <v>27</v>
      </c>
      <c r="C1751" s="80">
        <v>600432.0</v>
      </c>
      <c r="D1751" s="79"/>
      <c r="E1751" s="66" t="s">
        <v>28</v>
      </c>
      <c r="F1751" s="84" t="s">
        <v>897</v>
      </c>
      <c r="G1751" s="68">
        <v>20.0</v>
      </c>
      <c r="H1751" s="69">
        <f t="shared" si="82"/>
        <v>100072</v>
      </c>
      <c r="I1751" s="76" t="s">
        <v>37</v>
      </c>
      <c r="J1751" s="87" t="s">
        <v>1014</v>
      </c>
      <c r="K1751" s="82" t="s">
        <v>1340</v>
      </c>
      <c r="L1751" s="82">
        <v>253.0</v>
      </c>
      <c r="M1751" s="128">
        <v>45842.0</v>
      </c>
      <c r="N1751" s="153">
        <f t="shared" si="103"/>
        <v>286</v>
      </c>
      <c r="O1751" s="9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</row>
    <row r="1752" ht="22.5" customHeight="1">
      <c r="A1752" s="86">
        <v>45981.0</v>
      </c>
      <c r="B1752" s="63" t="s">
        <v>27</v>
      </c>
      <c r="C1752" s="80">
        <v>608160.0</v>
      </c>
      <c r="D1752" s="79"/>
      <c r="E1752" s="66" t="s">
        <v>28</v>
      </c>
      <c r="F1752" s="84" t="s">
        <v>897</v>
      </c>
      <c r="G1752" s="68">
        <v>20.0</v>
      </c>
      <c r="H1752" s="69">
        <f t="shared" si="82"/>
        <v>101360</v>
      </c>
      <c r="I1752" s="76" t="s">
        <v>37</v>
      </c>
      <c r="J1752" s="87" t="s">
        <v>1014</v>
      </c>
      <c r="K1752" s="82" t="s">
        <v>1341</v>
      </c>
      <c r="L1752" s="82">
        <v>254.0</v>
      </c>
      <c r="M1752" s="128">
        <v>45842.0</v>
      </c>
      <c r="N1752" s="153">
        <f t="shared" si="103"/>
        <v>286</v>
      </c>
      <c r="O1752" s="9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</row>
    <row r="1753" ht="22.5" customHeight="1">
      <c r="A1753" s="86">
        <v>45981.0</v>
      </c>
      <c r="B1753" s="63" t="s">
        <v>27</v>
      </c>
      <c r="C1753" s="80">
        <v>608160.0</v>
      </c>
      <c r="D1753" s="79"/>
      <c r="E1753" s="66" t="s">
        <v>28</v>
      </c>
      <c r="F1753" s="84" t="s">
        <v>897</v>
      </c>
      <c r="G1753" s="68">
        <v>20.0</v>
      </c>
      <c r="H1753" s="69">
        <f t="shared" si="82"/>
        <v>101360</v>
      </c>
      <c r="I1753" s="76" t="s">
        <v>37</v>
      </c>
      <c r="J1753" s="87" t="s">
        <v>1014</v>
      </c>
      <c r="K1753" s="82" t="s">
        <v>1342</v>
      </c>
      <c r="L1753" s="82">
        <v>255.0</v>
      </c>
      <c r="M1753" s="128">
        <v>45842.0</v>
      </c>
      <c r="N1753" s="153">
        <f t="shared" si="103"/>
        <v>286</v>
      </c>
      <c r="O1753" s="9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</row>
    <row r="1754" ht="22.5" customHeight="1">
      <c r="A1754" s="86">
        <v>45981.0</v>
      </c>
      <c r="B1754" s="63" t="s">
        <v>27</v>
      </c>
      <c r="C1754" s="80">
        <v>604800.0</v>
      </c>
      <c r="D1754" s="79"/>
      <c r="E1754" s="66" t="s">
        <v>28</v>
      </c>
      <c r="F1754" s="84" t="s">
        <v>897</v>
      </c>
      <c r="G1754" s="68">
        <v>20.0</v>
      </c>
      <c r="H1754" s="69">
        <f t="shared" si="82"/>
        <v>100800</v>
      </c>
      <c r="I1754" s="76" t="s">
        <v>37</v>
      </c>
      <c r="J1754" s="87" t="s">
        <v>1014</v>
      </c>
      <c r="K1754" s="82" t="s">
        <v>1343</v>
      </c>
      <c r="L1754" s="82">
        <v>256.0</v>
      </c>
      <c r="M1754" s="128">
        <v>45842.0</v>
      </c>
      <c r="N1754" s="153">
        <f t="shared" si="103"/>
        <v>286</v>
      </c>
      <c r="O1754" s="9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</row>
    <row r="1755" ht="22.5" customHeight="1">
      <c r="A1755" s="86">
        <v>45981.0</v>
      </c>
      <c r="B1755" s="63" t="s">
        <v>27</v>
      </c>
      <c r="C1755" s="79"/>
      <c r="D1755" s="80">
        <v>180000.0</v>
      </c>
      <c r="E1755" s="66" t="s">
        <v>28</v>
      </c>
      <c r="F1755" s="67" t="s">
        <v>1179</v>
      </c>
      <c r="G1755" s="69"/>
      <c r="H1755" s="69"/>
      <c r="I1755" s="76" t="s">
        <v>383</v>
      </c>
      <c r="J1755" s="98" t="s">
        <v>1344</v>
      </c>
      <c r="K1755" s="95"/>
      <c r="L1755" s="95"/>
      <c r="M1755" s="95"/>
      <c r="N1755" s="153"/>
      <c r="O1755" s="83" t="s">
        <v>1345</v>
      </c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</row>
    <row r="1756" ht="22.5" customHeight="1">
      <c r="A1756" s="86">
        <v>45985.0</v>
      </c>
      <c r="B1756" s="137" t="s">
        <v>27</v>
      </c>
      <c r="C1756" s="79"/>
      <c r="D1756" s="79">
        <f>1000+1700+1133.33+2000</f>
        <v>5833.33</v>
      </c>
      <c r="E1756" s="66" t="s">
        <v>1346</v>
      </c>
      <c r="F1756" s="67" t="s">
        <v>608</v>
      </c>
      <c r="G1756" s="68">
        <v>0.0</v>
      </c>
      <c r="H1756" s="69">
        <f t="shared" ref="H1756:H1792" si="104">SUM(C1756:D1756)*G1756/(G1756+100)</f>
        <v>0</v>
      </c>
      <c r="I1756" s="89" t="s">
        <v>294</v>
      </c>
      <c r="J1756" s="81"/>
      <c r="K1756" s="95"/>
      <c r="L1756" s="95"/>
      <c r="M1756" s="95"/>
      <c r="N1756" s="153"/>
      <c r="O1756" s="9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</row>
    <row r="1757" ht="22.5" customHeight="1">
      <c r="A1757" s="86">
        <v>45985.0</v>
      </c>
      <c r="B1757" s="63" t="s">
        <v>27</v>
      </c>
      <c r="C1757" s="80">
        <v>1050000.0</v>
      </c>
      <c r="D1757" s="79"/>
      <c r="E1757" s="66" t="s">
        <v>28</v>
      </c>
      <c r="F1757" s="67" t="s">
        <v>1179</v>
      </c>
      <c r="G1757" s="68">
        <v>20.0</v>
      </c>
      <c r="H1757" s="69">
        <f t="shared" si="104"/>
        <v>175000</v>
      </c>
      <c r="I1757" s="76" t="s">
        <v>37</v>
      </c>
      <c r="J1757" s="98" t="s">
        <v>605</v>
      </c>
      <c r="K1757" s="82" t="s">
        <v>754</v>
      </c>
      <c r="L1757" s="82">
        <v>368.0</v>
      </c>
      <c r="M1757" s="128">
        <v>45968.0</v>
      </c>
      <c r="N1757" s="153">
        <f>TODAY()-M1757-60</f>
        <v>160</v>
      </c>
      <c r="O1757" s="9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</row>
    <row r="1758" ht="22.5" customHeight="1">
      <c r="A1758" s="86">
        <v>45985.0</v>
      </c>
      <c r="B1758" s="63" t="s">
        <v>27</v>
      </c>
      <c r="C1758" s="79"/>
      <c r="D1758" s="80">
        <f>1191002.89+16026+367.47</f>
        <v>1207396.36</v>
      </c>
      <c r="E1758" s="66" t="s">
        <v>28</v>
      </c>
      <c r="F1758" s="67" t="s">
        <v>608</v>
      </c>
      <c r="G1758" s="68">
        <v>0.0</v>
      </c>
      <c r="H1758" s="69">
        <f t="shared" si="104"/>
        <v>0</v>
      </c>
      <c r="I1758" s="76" t="s">
        <v>280</v>
      </c>
      <c r="J1758" s="98" t="s">
        <v>190</v>
      </c>
      <c r="K1758" s="95"/>
      <c r="L1758" s="95"/>
      <c r="M1758" s="95"/>
      <c r="N1758" s="153"/>
      <c r="O1758" s="9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</row>
    <row r="1759" ht="22.5" customHeight="1">
      <c r="A1759" s="86">
        <v>45985.0</v>
      </c>
      <c r="B1759" s="63" t="s">
        <v>27</v>
      </c>
      <c r="C1759" s="79"/>
      <c r="D1759" s="80">
        <v>30000.0</v>
      </c>
      <c r="E1759" s="66" t="s">
        <v>33</v>
      </c>
      <c r="F1759" s="67" t="s">
        <v>1179</v>
      </c>
      <c r="G1759" s="68">
        <v>0.0</v>
      </c>
      <c r="H1759" s="69">
        <f t="shared" si="104"/>
        <v>0</v>
      </c>
      <c r="I1759" s="76" t="s">
        <v>53</v>
      </c>
      <c r="J1759" s="98" t="s">
        <v>1347</v>
      </c>
      <c r="K1759" s="95"/>
      <c r="L1759" s="95"/>
      <c r="M1759" s="95"/>
      <c r="N1759" s="153"/>
      <c r="O1759" s="9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</row>
    <row r="1760" ht="22.5" customHeight="1">
      <c r="A1760" s="86">
        <v>45985.0</v>
      </c>
      <c r="B1760" s="63" t="s">
        <v>27</v>
      </c>
      <c r="C1760" s="79"/>
      <c r="D1760" s="80">
        <v>60000.0</v>
      </c>
      <c r="E1760" s="66" t="s">
        <v>33</v>
      </c>
      <c r="F1760" s="67" t="s">
        <v>608</v>
      </c>
      <c r="G1760" s="68">
        <v>0.0</v>
      </c>
      <c r="H1760" s="69">
        <f t="shared" si="104"/>
        <v>0</v>
      </c>
      <c r="I1760" s="76" t="s">
        <v>490</v>
      </c>
      <c r="J1760" s="98" t="s">
        <v>1348</v>
      </c>
      <c r="K1760" s="95"/>
      <c r="L1760" s="95"/>
      <c r="M1760" s="95"/>
      <c r="N1760" s="153"/>
      <c r="O1760" s="9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</row>
    <row r="1761" ht="22.5" customHeight="1">
      <c r="A1761" s="86">
        <v>45987.0</v>
      </c>
      <c r="B1761" s="63" t="s">
        <v>27</v>
      </c>
      <c r="C1761" s="79"/>
      <c r="D1761" s="80">
        <v>300000.0</v>
      </c>
      <c r="E1761" s="66" t="s">
        <v>28</v>
      </c>
      <c r="F1761" s="67" t="s">
        <v>608</v>
      </c>
      <c r="G1761" s="68">
        <v>20.0</v>
      </c>
      <c r="H1761" s="69">
        <f t="shared" si="104"/>
        <v>50000</v>
      </c>
      <c r="I1761" s="76" t="s">
        <v>61</v>
      </c>
      <c r="J1761" s="98" t="s">
        <v>942</v>
      </c>
      <c r="K1761" s="95"/>
      <c r="L1761" s="95"/>
      <c r="M1761" s="95"/>
      <c r="N1761" s="153"/>
      <c r="O1761" s="9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</row>
    <row r="1762" ht="22.5" customHeight="1">
      <c r="A1762" s="86">
        <v>45987.0</v>
      </c>
      <c r="B1762" s="63" t="s">
        <v>27</v>
      </c>
      <c r="C1762" s="79"/>
      <c r="D1762" s="80">
        <v>32100.0</v>
      </c>
      <c r="E1762" s="66" t="s">
        <v>28</v>
      </c>
      <c r="F1762" s="67" t="s">
        <v>608</v>
      </c>
      <c r="G1762" s="68">
        <v>0.0</v>
      </c>
      <c r="H1762" s="69">
        <f t="shared" si="104"/>
        <v>0</v>
      </c>
      <c r="I1762" s="76" t="s">
        <v>383</v>
      </c>
      <c r="J1762" s="98" t="s">
        <v>1349</v>
      </c>
      <c r="K1762" s="95"/>
      <c r="L1762" s="95"/>
      <c r="M1762" s="95"/>
      <c r="N1762" s="153"/>
      <c r="O1762" s="83" t="s">
        <v>1350</v>
      </c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</row>
    <row r="1763" ht="22.5" customHeight="1">
      <c r="A1763" s="86">
        <v>45989.0</v>
      </c>
      <c r="B1763" s="63" t="s">
        <v>27</v>
      </c>
      <c r="C1763" s="80">
        <v>367403.85</v>
      </c>
      <c r="D1763" s="80"/>
      <c r="E1763" s="66" t="s">
        <v>28</v>
      </c>
      <c r="F1763" s="84" t="s">
        <v>941</v>
      </c>
      <c r="G1763" s="68">
        <v>20.0</v>
      </c>
      <c r="H1763" s="69">
        <f t="shared" si="104"/>
        <v>61233.975</v>
      </c>
      <c r="I1763" s="76" t="s">
        <v>37</v>
      </c>
      <c r="J1763" s="87" t="s">
        <v>944</v>
      </c>
      <c r="K1763" s="82" t="s">
        <v>1131</v>
      </c>
      <c r="L1763" s="82">
        <v>302.0</v>
      </c>
      <c r="M1763" s="128">
        <v>45884.0</v>
      </c>
      <c r="N1763" s="153">
        <f t="shared" ref="N1763:N1764" si="105">TODAY()-M1763-120</f>
        <v>184</v>
      </c>
      <c r="O1763" s="9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</row>
    <row r="1764" ht="22.5" customHeight="1">
      <c r="A1764" s="86">
        <v>45989.0</v>
      </c>
      <c r="B1764" s="63" t="s">
        <v>27</v>
      </c>
      <c r="C1764" s="80">
        <v>660000.0</v>
      </c>
      <c r="D1764" s="80"/>
      <c r="E1764" s="66" t="s">
        <v>28</v>
      </c>
      <c r="F1764" s="84" t="s">
        <v>941</v>
      </c>
      <c r="G1764" s="68">
        <v>20.0</v>
      </c>
      <c r="H1764" s="69">
        <f t="shared" si="104"/>
        <v>110000</v>
      </c>
      <c r="I1764" s="76" t="s">
        <v>37</v>
      </c>
      <c r="J1764" s="87" t="s">
        <v>944</v>
      </c>
      <c r="K1764" s="82" t="s">
        <v>1131</v>
      </c>
      <c r="L1764" s="82">
        <v>303.0</v>
      </c>
      <c r="M1764" s="128">
        <v>45884.0</v>
      </c>
      <c r="N1764" s="153">
        <f t="shared" si="105"/>
        <v>184</v>
      </c>
      <c r="O1764" s="9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</row>
    <row r="1765" ht="22.5" customHeight="1">
      <c r="A1765" s="86">
        <v>45989.0</v>
      </c>
      <c r="B1765" s="63" t="s">
        <v>27</v>
      </c>
      <c r="C1765" s="80">
        <v>842000.44</v>
      </c>
      <c r="D1765" s="80"/>
      <c r="E1765" s="66" t="s">
        <v>28</v>
      </c>
      <c r="F1765" s="67" t="s">
        <v>1002</v>
      </c>
      <c r="G1765" s="68">
        <v>20.0</v>
      </c>
      <c r="H1765" s="69">
        <f t="shared" si="104"/>
        <v>140333.4067</v>
      </c>
      <c r="I1765" s="76" t="s">
        <v>37</v>
      </c>
      <c r="J1765" s="98" t="s">
        <v>539</v>
      </c>
      <c r="K1765" s="82" t="s">
        <v>1351</v>
      </c>
      <c r="L1765" s="82">
        <v>314.0</v>
      </c>
      <c r="M1765" s="128">
        <v>45910.0</v>
      </c>
      <c r="N1765" s="153">
        <f t="shared" ref="N1765:N1766" si="106">TODAY()-M1765-60</f>
        <v>218</v>
      </c>
      <c r="O1765" s="9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</row>
    <row r="1766" ht="22.5" customHeight="1">
      <c r="A1766" s="86">
        <v>45989.0</v>
      </c>
      <c r="B1766" s="63" t="s">
        <v>27</v>
      </c>
      <c r="C1766" s="80">
        <v>842000.44</v>
      </c>
      <c r="D1766" s="79"/>
      <c r="E1766" s="66" t="s">
        <v>28</v>
      </c>
      <c r="F1766" s="67" t="s">
        <v>1099</v>
      </c>
      <c r="G1766" s="68">
        <v>20.0</v>
      </c>
      <c r="H1766" s="69">
        <f t="shared" si="104"/>
        <v>140333.4067</v>
      </c>
      <c r="I1766" s="76" t="s">
        <v>37</v>
      </c>
      <c r="J1766" s="98" t="s">
        <v>539</v>
      </c>
      <c r="K1766" s="82" t="s">
        <v>1352</v>
      </c>
      <c r="L1766" s="82">
        <v>347.0</v>
      </c>
      <c r="M1766" s="132">
        <v>45940.0</v>
      </c>
      <c r="N1766" s="153">
        <f t="shared" si="106"/>
        <v>188</v>
      </c>
      <c r="O1766" s="9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</row>
    <row r="1767" ht="22.5" customHeight="1">
      <c r="A1767" s="86">
        <v>45989.0</v>
      </c>
      <c r="B1767" s="63" t="s">
        <v>27</v>
      </c>
      <c r="C1767" s="80">
        <v>696005.4</v>
      </c>
      <c r="D1767" s="79"/>
      <c r="E1767" s="66" t="s">
        <v>28</v>
      </c>
      <c r="F1767" s="67" t="s">
        <v>1179</v>
      </c>
      <c r="G1767" s="68">
        <v>20.0</v>
      </c>
      <c r="H1767" s="69">
        <f t="shared" si="104"/>
        <v>116000.9</v>
      </c>
      <c r="I1767" s="76" t="s">
        <v>37</v>
      </c>
      <c r="J1767" s="98" t="s">
        <v>539</v>
      </c>
      <c r="K1767" s="82" t="s">
        <v>1353</v>
      </c>
      <c r="L1767" s="82">
        <v>388.0</v>
      </c>
      <c r="M1767" s="132">
        <v>45972.0</v>
      </c>
      <c r="N1767" s="153"/>
      <c r="O1767" s="9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</row>
    <row r="1768" ht="22.5" customHeight="1">
      <c r="A1768" s="86">
        <v>45989.0</v>
      </c>
      <c r="B1768" s="63" t="s">
        <v>27</v>
      </c>
      <c r="C1768" s="79"/>
      <c r="D1768" s="80">
        <v>292626.0</v>
      </c>
      <c r="E1768" s="66" t="s">
        <v>28</v>
      </c>
      <c r="F1768" s="67" t="s">
        <v>608</v>
      </c>
      <c r="G1768" s="68">
        <v>0.0</v>
      </c>
      <c r="H1768" s="69">
        <f t="shared" si="104"/>
        <v>0</v>
      </c>
      <c r="I1768" s="94" t="s">
        <v>599</v>
      </c>
      <c r="J1768" s="98" t="s">
        <v>72</v>
      </c>
      <c r="K1768" s="95"/>
      <c r="L1768" s="95"/>
      <c r="M1768" s="95"/>
      <c r="N1768" s="153"/>
      <c r="O1768" s="83" t="s">
        <v>748</v>
      </c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</row>
    <row r="1769" ht="22.5" customHeight="1">
      <c r="A1769" s="86">
        <v>45989.0</v>
      </c>
      <c r="B1769" s="63" t="s">
        <v>27</v>
      </c>
      <c r="C1769" s="79"/>
      <c r="D1769" s="80">
        <v>2800000.0</v>
      </c>
      <c r="E1769" s="66" t="s">
        <v>28</v>
      </c>
      <c r="F1769" s="84" t="s">
        <v>674</v>
      </c>
      <c r="G1769" s="68">
        <v>20.0</v>
      </c>
      <c r="H1769" s="69">
        <f t="shared" si="104"/>
        <v>466666.6667</v>
      </c>
      <c r="I1769" s="76" t="s">
        <v>101</v>
      </c>
      <c r="J1769" s="136" t="s">
        <v>725</v>
      </c>
      <c r="K1769" s="95"/>
      <c r="L1769" s="95"/>
      <c r="M1769" s="95"/>
      <c r="N1769" s="153"/>
      <c r="O1769" s="140" t="s">
        <v>1354</v>
      </c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</row>
    <row r="1770" ht="22.5" customHeight="1">
      <c r="A1770" s="86">
        <v>45989.0</v>
      </c>
      <c r="B1770" s="63" t="s">
        <v>27</v>
      </c>
      <c r="C1770" s="79"/>
      <c r="D1770" s="80">
        <v>356127.54</v>
      </c>
      <c r="E1770" s="66" t="s">
        <v>28</v>
      </c>
      <c r="F1770" s="84" t="s">
        <v>897</v>
      </c>
      <c r="G1770" s="68">
        <v>0.0</v>
      </c>
      <c r="H1770" s="69">
        <f t="shared" si="104"/>
        <v>0</v>
      </c>
      <c r="I1770" s="76" t="s">
        <v>93</v>
      </c>
      <c r="J1770" s="158" t="s">
        <v>516</v>
      </c>
      <c r="K1770" s="95"/>
      <c r="L1770" s="95"/>
      <c r="M1770" s="95"/>
      <c r="N1770" s="153"/>
      <c r="O1770" s="9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</row>
    <row r="1771" ht="22.5" customHeight="1">
      <c r="A1771" s="86">
        <v>45989.0</v>
      </c>
      <c r="B1771" s="63" t="s">
        <v>27</v>
      </c>
      <c r="C1771" s="79"/>
      <c r="D1771" s="80">
        <v>550000.0</v>
      </c>
      <c r="E1771" s="66" t="s">
        <v>28</v>
      </c>
      <c r="F1771" s="67" t="s">
        <v>1179</v>
      </c>
      <c r="G1771" s="68">
        <v>0.0</v>
      </c>
      <c r="H1771" s="69">
        <f t="shared" si="104"/>
        <v>0</v>
      </c>
      <c r="I1771" s="76" t="s">
        <v>504</v>
      </c>
      <c r="J1771" s="98" t="s">
        <v>505</v>
      </c>
      <c r="K1771" s="95"/>
      <c r="L1771" s="95"/>
      <c r="M1771" s="95"/>
      <c r="N1771" s="153"/>
      <c r="O1771" s="140" t="s">
        <v>1355</v>
      </c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</row>
    <row r="1772" ht="22.5" customHeight="1">
      <c r="A1772" s="86">
        <v>45989.0</v>
      </c>
      <c r="B1772" s="63" t="s">
        <v>27</v>
      </c>
      <c r="C1772" s="80">
        <v>1200150.0</v>
      </c>
      <c r="D1772" s="79"/>
      <c r="E1772" s="66" t="s">
        <v>376</v>
      </c>
      <c r="F1772" s="67" t="s">
        <v>1179</v>
      </c>
      <c r="G1772" s="68">
        <v>20.0</v>
      </c>
      <c r="H1772" s="69">
        <f t="shared" si="104"/>
        <v>200025</v>
      </c>
      <c r="I1772" s="76" t="s">
        <v>37</v>
      </c>
      <c r="J1772" s="98" t="s">
        <v>641</v>
      </c>
      <c r="K1772" s="82" t="s">
        <v>1077</v>
      </c>
      <c r="L1772" s="82">
        <v>375.0</v>
      </c>
      <c r="M1772" s="128">
        <v>45968.0</v>
      </c>
      <c r="N1772" s="153"/>
      <c r="O1772" s="9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</row>
    <row r="1773" ht="22.5" customHeight="1">
      <c r="A1773" s="86">
        <v>45989.0</v>
      </c>
      <c r="B1773" s="63" t="s">
        <v>27</v>
      </c>
      <c r="C1773" s="79"/>
      <c r="D1773" s="80">
        <v>2400000.0</v>
      </c>
      <c r="E1773" s="66" t="s">
        <v>28</v>
      </c>
      <c r="F1773" s="67" t="s">
        <v>608</v>
      </c>
      <c r="G1773" s="68">
        <v>20.0</v>
      </c>
      <c r="H1773" s="69">
        <f t="shared" si="104"/>
        <v>400000</v>
      </c>
      <c r="I1773" s="76" t="s">
        <v>47</v>
      </c>
      <c r="J1773" s="81"/>
      <c r="K1773" s="95"/>
      <c r="L1773" s="95"/>
      <c r="M1773" s="95"/>
      <c r="N1773" s="72"/>
      <c r="O1773" s="9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</row>
    <row r="1774" ht="22.5" customHeight="1">
      <c r="A1774" s="86">
        <v>45989.0</v>
      </c>
      <c r="B1774" s="63" t="s">
        <v>27</v>
      </c>
      <c r="C1774" s="80">
        <v>1780000.0</v>
      </c>
      <c r="D1774" s="79"/>
      <c r="E1774" s="66" t="s">
        <v>33</v>
      </c>
      <c r="F1774" s="67" t="s">
        <v>608</v>
      </c>
      <c r="G1774" s="68">
        <v>0.0</v>
      </c>
      <c r="H1774" s="69">
        <f t="shared" si="104"/>
        <v>0</v>
      </c>
      <c r="I1774" s="76" t="s">
        <v>47</v>
      </c>
      <c r="J1774" s="81"/>
      <c r="K1774" s="95"/>
      <c r="L1774" s="95"/>
      <c r="M1774" s="95"/>
      <c r="N1774" s="72"/>
      <c r="O1774" s="9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</row>
    <row r="1775" ht="22.5" customHeight="1">
      <c r="A1775" s="86">
        <v>45989.0</v>
      </c>
      <c r="B1775" s="63" t="s">
        <v>27</v>
      </c>
      <c r="C1775" s="80">
        <v>688128.0</v>
      </c>
      <c r="D1775" s="79"/>
      <c r="E1775" s="66" t="s">
        <v>28</v>
      </c>
      <c r="F1775" s="84" t="s">
        <v>941</v>
      </c>
      <c r="G1775" s="68">
        <v>20.0</v>
      </c>
      <c r="H1775" s="69">
        <f t="shared" si="104"/>
        <v>114688</v>
      </c>
      <c r="I1775" s="76" t="s">
        <v>37</v>
      </c>
      <c r="J1775" s="87" t="s">
        <v>1014</v>
      </c>
      <c r="K1775" s="82" t="s">
        <v>1356</v>
      </c>
      <c r="L1775" s="82">
        <v>290.0</v>
      </c>
      <c r="M1775" s="128">
        <v>45880.0</v>
      </c>
      <c r="N1775" s="72">
        <f t="shared" ref="N1775:N1781" si="107">TODAY()-M1775-60</f>
        <v>248</v>
      </c>
      <c r="O1775" s="9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</row>
    <row r="1776" ht="22.5" customHeight="1">
      <c r="A1776" s="86">
        <v>45989.0</v>
      </c>
      <c r="B1776" s="63" t="s">
        <v>27</v>
      </c>
      <c r="C1776" s="80">
        <v>600432.0</v>
      </c>
      <c r="D1776" s="79"/>
      <c r="E1776" s="66" t="s">
        <v>28</v>
      </c>
      <c r="F1776" s="84" t="s">
        <v>941</v>
      </c>
      <c r="G1776" s="68">
        <v>20.0</v>
      </c>
      <c r="H1776" s="69">
        <f t="shared" si="104"/>
        <v>100072</v>
      </c>
      <c r="I1776" s="76" t="s">
        <v>37</v>
      </c>
      <c r="J1776" s="87" t="s">
        <v>1014</v>
      </c>
      <c r="K1776" s="82" t="s">
        <v>1357</v>
      </c>
      <c r="L1776" s="82">
        <v>291.0</v>
      </c>
      <c r="M1776" s="128">
        <v>45880.0</v>
      </c>
      <c r="N1776" s="72">
        <f t="shared" si="107"/>
        <v>248</v>
      </c>
      <c r="O1776" s="9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</row>
    <row r="1777" ht="22.5" customHeight="1">
      <c r="A1777" s="86">
        <v>45989.0</v>
      </c>
      <c r="B1777" s="63" t="s">
        <v>27</v>
      </c>
      <c r="C1777" s="80">
        <v>608160.0</v>
      </c>
      <c r="D1777" s="79"/>
      <c r="E1777" s="66" t="s">
        <v>28</v>
      </c>
      <c r="F1777" s="84" t="s">
        <v>941</v>
      </c>
      <c r="G1777" s="68">
        <v>20.0</v>
      </c>
      <c r="H1777" s="69">
        <f t="shared" si="104"/>
        <v>101360</v>
      </c>
      <c r="I1777" s="76" t="s">
        <v>37</v>
      </c>
      <c r="J1777" s="87" t="s">
        <v>1014</v>
      </c>
      <c r="K1777" s="82" t="s">
        <v>1358</v>
      </c>
      <c r="L1777" s="82">
        <v>292.0</v>
      </c>
      <c r="M1777" s="128">
        <v>45880.0</v>
      </c>
      <c r="N1777" s="72">
        <f t="shared" si="107"/>
        <v>248</v>
      </c>
      <c r="O1777" s="9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</row>
    <row r="1778" ht="22.5" customHeight="1">
      <c r="A1778" s="86">
        <v>45989.0</v>
      </c>
      <c r="B1778" s="63" t="s">
        <v>27</v>
      </c>
      <c r="C1778" s="80">
        <v>686085.12</v>
      </c>
      <c r="D1778" s="79"/>
      <c r="E1778" s="66" t="s">
        <v>28</v>
      </c>
      <c r="F1778" s="84" t="s">
        <v>941</v>
      </c>
      <c r="G1778" s="68">
        <v>20.0</v>
      </c>
      <c r="H1778" s="69">
        <f t="shared" si="104"/>
        <v>114347.52</v>
      </c>
      <c r="I1778" s="76" t="s">
        <v>37</v>
      </c>
      <c r="J1778" s="87" t="s">
        <v>1014</v>
      </c>
      <c r="K1778" s="82" t="s">
        <v>1359</v>
      </c>
      <c r="L1778" s="82">
        <v>293.0</v>
      </c>
      <c r="M1778" s="128">
        <v>45880.0</v>
      </c>
      <c r="N1778" s="72">
        <f t="shared" si="107"/>
        <v>248</v>
      </c>
      <c r="O1778" s="9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</row>
    <row r="1779" ht="22.5" customHeight="1">
      <c r="A1779" s="86">
        <v>45989.0</v>
      </c>
      <c r="B1779" s="63" t="s">
        <v>27</v>
      </c>
      <c r="C1779" s="80">
        <v>604800.0</v>
      </c>
      <c r="D1779" s="79"/>
      <c r="E1779" s="66" t="s">
        <v>28</v>
      </c>
      <c r="F1779" s="84" t="s">
        <v>941</v>
      </c>
      <c r="G1779" s="68">
        <v>20.0</v>
      </c>
      <c r="H1779" s="69">
        <f t="shared" si="104"/>
        <v>100800</v>
      </c>
      <c r="I1779" s="76" t="s">
        <v>37</v>
      </c>
      <c r="J1779" s="87" t="s">
        <v>1014</v>
      </c>
      <c r="K1779" s="82" t="s">
        <v>1360</v>
      </c>
      <c r="L1779" s="82">
        <v>294.0</v>
      </c>
      <c r="M1779" s="128">
        <v>45880.0</v>
      </c>
      <c r="N1779" s="72">
        <f t="shared" si="107"/>
        <v>248</v>
      </c>
      <c r="O1779" s="9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</row>
    <row r="1780" ht="22.5" customHeight="1">
      <c r="A1780" s="86">
        <v>45989.0</v>
      </c>
      <c r="B1780" s="63" t="s">
        <v>27</v>
      </c>
      <c r="C1780" s="80">
        <v>608160.0</v>
      </c>
      <c r="D1780" s="79"/>
      <c r="E1780" s="66" t="s">
        <v>28</v>
      </c>
      <c r="F1780" s="84" t="s">
        <v>941</v>
      </c>
      <c r="G1780" s="68">
        <v>20.0</v>
      </c>
      <c r="H1780" s="69">
        <f t="shared" si="104"/>
        <v>101360</v>
      </c>
      <c r="I1780" s="76" t="s">
        <v>37</v>
      </c>
      <c r="J1780" s="87" t="s">
        <v>1014</v>
      </c>
      <c r="K1780" s="82" t="s">
        <v>1361</v>
      </c>
      <c r="L1780" s="82">
        <v>295.0</v>
      </c>
      <c r="M1780" s="128">
        <v>45880.0</v>
      </c>
      <c r="N1780" s="72">
        <f t="shared" si="107"/>
        <v>248</v>
      </c>
      <c r="O1780" s="9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</row>
    <row r="1781" ht="22.5" customHeight="1">
      <c r="A1781" s="86">
        <v>45989.0</v>
      </c>
      <c r="B1781" s="63" t="s">
        <v>27</v>
      </c>
      <c r="C1781" s="80">
        <v>604800.0</v>
      </c>
      <c r="D1781" s="79"/>
      <c r="E1781" s="66" t="s">
        <v>28</v>
      </c>
      <c r="F1781" s="84" t="s">
        <v>941</v>
      </c>
      <c r="G1781" s="68">
        <v>20.0</v>
      </c>
      <c r="H1781" s="69">
        <f t="shared" si="104"/>
        <v>100800</v>
      </c>
      <c r="I1781" s="76" t="s">
        <v>37</v>
      </c>
      <c r="J1781" s="87" t="s">
        <v>1014</v>
      </c>
      <c r="K1781" s="82" t="s">
        <v>1362</v>
      </c>
      <c r="L1781" s="82">
        <v>296.0</v>
      </c>
      <c r="M1781" s="128">
        <v>45880.0</v>
      </c>
      <c r="N1781" s="72">
        <f t="shared" si="107"/>
        <v>248</v>
      </c>
      <c r="O1781" s="9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</row>
    <row r="1782" ht="22.5" customHeight="1">
      <c r="A1782" s="86">
        <v>45992.0</v>
      </c>
      <c r="B1782" s="63" t="s">
        <v>27</v>
      </c>
      <c r="C1782" s="79"/>
      <c r="D1782" s="80">
        <v>15000.0</v>
      </c>
      <c r="E1782" s="66" t="s">
        <v>33</v>
      </c>
      <c r="F1782" s="67" t="s">
        <v>608</v>
      </c>
      <c r="G1782" s="68">
        <v>0.0</v>
      </c>
      <c r="H1782" s="69">
        <f t="shared" si="104"/>
        <v>0</v>
      </c>
      <c r="I1782" s="76" t="s">
        <v>490</v>
      </c>
      <c r="J1782" s="98" t="s">
        <v>1363</v>
      </c>
      <c r="K1782" s="95"/>
      <c r="L1782" s="95"/>
      <c r="M1782" s="95"/>
      <c r="N1782" s="72"/>
      <c r="O1782" s="9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</row>
    <row r="1783" ht="22.5" customHeight="1">
      <c r="A1783" s="86">
        <v>45992.0</v>
      </c>
      <c r="B1783" s="63" t="s">
        <v>27</v>
      </c>
      <c r="C1783" s="80">
        <v>960000.0</v>
      </c>
      <c r="D1783" s="79"/>
      <c r="E1783" s="66" t="s">
        <v>28</v>
      </c>
      <c r="F1783" s="67" t="s">
        <v>1099</v>
      </c>
      <c r="G1783" s="68">
        <v>20.0</v>
      </c>
      <c r="H1783" s="69">
        <f t="shared" si="104"/>
        <v>160000</v>
      </c>
      <c r="I1783" s="76" t="s">
        <v>37</v>
      </c>
      <c r="J1783" s="98" t="s">
        <v>624</v>
      </c>
      <c r="K1783" s="82" t="s">
        <v>1131</v>
      </c>
      <c r="L1783" s="82">
        <v>352.0</v>
      </c>
      <c r="M1783" s="132">
        <v>45940.0</v>
      </c>
      <c r="N1783" s="72">
        <f>TODAY()-M1783-60</f>
        <v>188</v>
      </c>
      <c r="O1783" s="9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</row>
    <row r="1784" ht="22.5" customHeight="1">
      <c r="A1784" s="86">
        <v>45993.0</v>
      </c>
      <c r="B1784" s="63" t="s">
        <v>27</v>
      </c>
      <c r="C1784" s="79"/>
      <c r="D1784" s="80">
        <v>40000.0</v>
      </c>
      <c r="E1784" s="66" t="s">
        <v>33</v>
      </c>
      <c r="F1784" s="67" t="s">
        <v>604</v>
      </c>
      <c r="G1784" s="68">
        <v>0.0</v>
      </c>
      <c r="H1784" s="69">
        <f t="shared" si="104"/>
        <v>0</v>
      </c>
      <c r="I1784" s="76" t="s">
        <v>490</v>
      </c>
      <c r="J1784" s="98" t="s">
        <v>1364</v>
      </c>
      <c r="K1784" s="95"/>
      <c r="L1784" s="95"/>
      <c r="M1784" s="95"/>
      <c r="N1784" s="153"/>
      <c r="O1784" s="9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</row>
    <row r="1785" ht="22.5" customHeight="1">
      <c r="A1785" s="86">
        <v>45993.0</v>
      </c>
      <c r="B1785" s="63" t="s">
        <v>27</v>
      </c>
      <c r="C1785" s="79"/>
      <c r="D1785" s="80">
        <v>98040.0</v>
      </c>
      <c r="E1785" s="66" t="s">
        <v>28</v>
      </c>
      <c r="F1785" s="67" t="s">
        <v>604</v>
      </c>
      <c r="G1785" s="68">
        <v>0.0</v>
      </c>
      <c r="H1785" s="69">
        <f t="shared" si="104"/>
        <v>0</v>
      </c>
      <c r="I1785" s="76" t="s">
        <v>490</v>
      </c>
      <c r="J1785" s="98" t="s">
        <v>1365</v>
      </c>
      <c r="K1785" s="95"/>
      <c r="L1785" s="95"/>
      <c r="M1785" s="95"/>
      <c r="N1785" s="153"/>
      <c r="O1785" s="9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</row>
    <row r="1786" ht="22.5" customHeight="1">
      <c r="A1786" s="86">
        <v>45993.0</v>
      </c>
      <c r="B1786" s="63" t="s">
        <v>27</v>
      </c>
      <c r="C1786" s="79"/>
      <c r="D1786" s="79">
        <v>45000.0</v>
      </c>
      <c r="E1786" s="66" t="s">
        <v>33</v>
      </c>
      <c r="F1786" s="67" t="s">
        <v>604</v>
      </c>
      <c r="G1786" s="68">
        <v>0.0</v>
      </c>
      <c r="H1786" s="69">
        <f t="shared" si="104"/>
        <v>0</v>
      </c>
      <c r="I1786" s="70" t="s">
        <v>35</v>
      </c>
      <c r="J1786" s="98" t="s">
        <v>1366</v>
      </c>
      <c r="K1786" s="95"/>
      <c r="L1786" s="95"/>
      <c r="M1786" s="95"/>
      <c r="N1786" s="153"/>
      <c r="O1786" s="9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</row>
    <row r="1787" ht="22.5" customHeight="1">
      <c r="A1787" s="86">
        <v>45993.0</v>
      </c>
      <c r="B1787" s="63" t="s">
        <v>27</v>
      </c>
      <c r="C1787" s="79"/>
      <c r="D1787" s="80">
        <v>80000.0</v>
      </c>
      <c r="E1787" s="66" t="s">
        <v>33</v>
      </c>
      <c r="F1787" s="67" t="s">
        <v>608</v>
      </c>
      <c r="G1787" s="68">
        <v>0.0</v>
      </c>
      <c r="H1787" s="69">
        <f t="shared" si="104"/>
        <v>0</v>
      </c>
      <c r="I1787" s="76" t="s">
        <v>53</v>
      </c>
      <c r="J1787" s="98" t="s">
        <v>467</v>
      </c>
      <c r="K1787" s="95"/>
      <c r="L1787" s="95"/>
      <c r="M1787" s="95"/>
      <c r="N1787" s="153"/>
      <c r="O1787" s="9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</row>
    <row r="1788" ht="22.5" customHeight="1">
      <c r="A1788" s="86">
        <v>45993.0</v>
      </c>
      <c r="B1788" s="63" t="s">
        <v>27</v>
      </c>
      <c r="C1788" s="79"/>
      <c r="D1788" s="80">
        <v>20000.0</v>
      </c>
      <c r="E1788" s="66" t="s">
        <v>33</v>
      </c>
      <c r="F1788" s="67" t="s">
        <v>608</v>
      </c>
      <c r="G1788" s="68">
        <v>0.0</v>
      </c>
      <c r="H1788" s="69">
        <f t="shared" si="104"/>
        <v>0</v>
      </c>
      <c r="I1788" s="76" t="s">
        <v>53</v>
      </c>
      <c r="J1788" s="98" t="s">
        <v>147</v>
      </c>
      <c r="K1788" s="95"/>
      <c r="L1788" s="95"/>
      <c r="M1788" s="95"/>
      <c r="N1788" s="153"/>
      <c r="O1788" s="9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</row>
    <row r="1789" ht="22.5" customHeight="1">
      <c r="A1789" s="86">
        <v>45993.0</v>
      </c>
      <c r="B1789" s="63" t="s">
        <v>27</v>
      </c>
      <c r="C1789" s="79"/>
      <c r="D1789" s="80">
        <v>40000.0</v>
      </c>
      <c r="E1789" s="66" t="s">
        <v>33</v>
      </c>
      <c r="F1789" s="67" t="s">
        <v>608</v>
      </c>
      <c r="G1789" s="68">
        <v>0.0</v>
      </c>
      <c r="H1789" s="69">
        <f t="shared" si="104"/>
        <v>0</v>
      </c>
      <c r="I1789" s="76" t="s">
        <v>53</v>
      </c>
      <c r="J1789" s="98" t="s">
        <v>1326</v>
      </c>
      <c r="K1789" s="95"/>
      <c r="L1789" s="95"/>
      <c r="M1789" s="95"/>
      <c r="N1789" s="153"/>
      <c r="O1789" s="9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</row>
    <row r="1790" ht="22.5" customHeight="1">
      <c r="A1790" s="86">
        <v>45993.0</v>
      </c>
      <c r="B1790" s="63" t="s">
        <v>27</v>
      </c>
      <c r="C1790" s="79"/>
      <c r="D1790" s="80">
        <v>15000.0</v>
      </c>
      <c r="E1790" s="66" t="s">
        <v>33</v>
      </c>
      <c r="F1790" s="67" t="s">
        <v>608</v>
      </c>
      <c r="G1790" s="68">
        <v>0.0</v>
      </c>
      <c r="H1790" s="69">
        <f t="shared" si="104"/>
        <v>0</v>
      </c>
      <c r="I1790" s="76" t="s">
        <v>53</v>
      </c>
      <c r="J1790" s="98" t="s">
        <v>1327</v>
      </c>
      <c r="K1790" s="95"/>
      <c r="L1790" s="95"/>
      <c r="M1790" s="95"/>
      <c r="N1790" s="72"/>
      <c r="O1790" s="9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</row>
    <row r="1791" ht="22.5" customHeight="1">
      <c r="A1791" s="86">
        <v>45993.0</v>
      </c>
      <c r="B1791" s="63" t="s">
        <v>27</v>
      </c>
      <c r="C1791" s="79"/>
      <c r="D1791" s="80">
        <v>10000.0</v>
      </c>
      <c r="E1791" s="66" t="s">
        <v>33</v>
      </c>
      <c r="F1791" s="67" t="s">
        <v>608</v>
      </c>
      <c r="G1791" s="68">
        <v>0.0</v>
      </c>
      <c r="H1791" s="69">
        <f t="shared" si="104"/>
        <v>0</v>
      </c>
      <c r="I1791" s="76" t="s">
        <v>53</v>
      </c>
      <c r="J1791" s="98" t="s">
        <v>171</v>
      </c>
      <c r="K1791" s="95"/>
      <c r="L1791" s="95"/>
      <c r="M1791" s="95"/>
      <c r="N1791" s="72"/>
      <c r="O1791" s="9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</row>
    <row r="1792" ht="22.5" customHeight="1">
      <c r="A1792" s="86">
        <v>45993.0</v>
      </c>
      <c r="B1792" s="63" t="s">
        <v>27</v>
      </c>
      <c r="C1792" s="79"/>
      <c r="D1792" s="80">
        <v>5000.0</v>
      </c>
      <c r="E1792" s="66" t="s">
        <v>33</v>
      </c>
      <c r="F1792" s="67" t="s">
        <v>604</v>
      </c>
      <c r="G1792" s="68">
        <v>0.0</v>
      </c>
      <c r="H1792" s="69">
        <f t="shared" si="104"/>
        <v>0</v>
      </c>
      <c r="I1792" s="70" t="s">
        <v>35</v>
      </c>
      <c r="J1792" s="98" t="s">
        <v>1367</v>
      </c>
      <c r="K1792" s="95"/>
      <c r="L1792" s="95"/>
      <c r="M1792" s="95"/>
      <c r="N1792" s="72"/>
      <c r="O1792" s="9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</row>
    <row r="1793" ht="22.5" customHeight="1">
      <c r="A1793" s="86">
        <v>45994.0</v>
      </c>
      <c r="B1793" s="63" t="s">
        <v>27</v>
      </c>
      <c r="C1793" s="79"/>
      <c r="D1793" s="80">
        <v>1500000.0</v>
      </c>
      <c r="E1793" s="66" t="s">
        <v>28</v>
      </c>
      <c r="F1793" s="159" t="s">
        <v>941</v>
      </c>
      <c r="G1793" s="69">
        <v>20.0</v>
      </c>
      <c r="H1793" s="69">
        <v>277161.94333333336</v>
      </c>
      <c r="I1793" s="76" t="s">
        <v>101</v>
      </c>
      <c r="J1793" s="100" t="s">
        <v>102</v>
      </c>
      <c r="K1793" s="160"/>
      <c r="L1793" s="160"/>
      <c r="M1793" s="160"/>
      <c r="N1793" s="161"/>
      <c r="O1793" s="162" t="s">
        <v>1368</v>
      </c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</row>
    <row r="1794" ht="22.5" customHeight="1">
      <c r="A1794" s="86">
        <v>45995.0</v>
      </c>
      <c r="B1794" s="63" t="s">
        <v>27</v>
      </c>
      <c r="C1794" s="79"/>
      <c r="D1794" s="80">
        <v>250000.0</v>
      </c>
      <c r="E1794" s="66" t="s">
        <v>1346</v>
      </c>
      <c r="F1794" s="67" t="s">
        <v>608</v>
      </c>
      <c r="G1794" s="68">
        <v>0.0</v>
      </c>
      <c r="H1794" s="69">
        <f t="shared" ref="H1794:H2043" si="108">SUM(C1794:D1794)*G1794/(G1794+100)</f>
        <v>0</v>
      </c>
      <c r="I1794" s="76" t="s">
        <v>294</v>
      </c>
      <c r="J1794" s="98" t="s">
        <v>1369</v>
      </c>
      <c r="K1794" s="95"/>
      <c r="L1794" s="95"/>
      <c r="M1794" s="95"/>
      <c r="N1794" s="72"/>
      <c r="O1794" s="83" t="s">
        <v>1370</v>
      </c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</row>
    <row r="1795" ht="22.5" customHeight="1">
      <c r="A1795" s="113">
        <v>45995.0</v>
      </c>
      <c r="B1795" s="63" t="s">
        <v>27</v>
      </c>
      <c r="C1795" s="79"/>
      <c r="D1795" s="80">
        <v>325000.0</v>
      </c>
      <c r="E1795" s="66" t="s">
        <v>28</v>
      </c>
      <c r="F1795" s="67" t="s">
        <v>608</v>
      </c>
      <c r="G1795" s="68">
        <v>0.0</v>
      </c>
      <c r="H1795" s="69">
        <f t="shared" si="108"/>
        <v>0</v>
      </c>
      <c r="I1795" s="76" t="s">
        <v>47</v>
      </c>
      <c r="J1795" s="81"/>
      <c r="K1795" s="95"/>
      <c r="L1795" s="95"/>
      <c r="M1795" s="95"/>
      <c r="N1795" s="153"/>
      <c r="O1795" s="9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</row>
    <row r="1796" ht="22.5" customHeight="1">
      <c r="A1796" s="86">
        <v>45995.0</v>
      </c>
      <c r="B1796" s="63" t="s">
        <v>27</v>
      </c>
      <c r="C1796" s="80">
        <v>325000.0</v>
      </c>
      <c r="D1796" s="79"/>
      <c r="E1796" s="66" t="s">
        <v>1346</v>
      </c>
      <c r="F1796" s="67" t="s">
        <v>608</v>
      </c>
      <c r="G1796" s="68">
        <v>0.0</v>
      </c>
      <c r="H1796" s="69">
        <f t="shared" si="108"/>
        <v>0</v>
      </c>
      <c r="I1796" s="76" t="s">
        <v>47</v>
      </c>
      <c r="J1796" s="81"/>
      <c r="K1796" s="95"/>
      <c r="L1796" s="95"/>
      <c r="M1796" s="95"/>
      <c r="N1796" s="72"/>
      <c r="O1796" s="9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</row>
    <row r="1797" ht="22.5" customHeight="1">
      <c r="A1797" s="86">
        <v>45996.0</v>
      </c>
      <c r="B1797" s="63" t="s">
        <v>27</v>
      </c>
      <c r="C1797" s="79"/>
      <c r="D1797" s="80">
        <v>1091863.23</v>
      </c>
      <c r="E1797" s="66" t="s">
        <v>28</v>
      </c>
      <c r="F1797" s="84" t="s">
        <v>1160</v>
      </c>
      <c r="G1797" s="68">
        <v>0.0</v>
      </c>
      <c r="H1797" s="69">
        <f t="shared" si="108"/>
        <v>0</v>
      </c>
      <c r="I1797" s="94" t="s">
        <v>1097</v>
      </c>
      <c r="J1797" s="98" t="s">
        <v>1098</v>
      </c>
      <c r="K1797" s="95"/>
      <c r="L1797" s="95"/>
      <c r="M1797" s="95"/>
      <c r="N1797" s="72"/>
      <c r="O1797" s="9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</row>
    <row r="1798" ht="22.5" customHeight="1">
      <c r="A1798" s="86">
        <v>45996.0</v>
      </c>
      <c r="B1798" s="63" t="s">
        <v>27</v>
      </c>
      <c r="C1798" s="79"/>
      <c r="D1798" s="80">
        <v>300000.0</v>
      </c>
      <c r="E1798" s="66" t="s">
        <v>28</v>
      </c>
      <c r="F1798" s="84" t="s">
        <v>897</v>
      </c>
      <c r="G1798" s="69">
        <v>0.0</v>
      </c>
      <c r="H1798" s="69">
        <f t="shared" si="108"/>
        <v>0</v>
      </c>
      <c r="I1798" s="76" t="s">
        <v>93</v>
      </c>
      <c r="J1798" s="133" t="s">
        <v>516</v>
      </c>
      <c r="K1798" s="95"/>
      <c r="L1798" s="95"/>
      <c r="M1798" s="95"/>
      <c r="N1798" s="72"/>
      <c r="O1798" s="140" t="s">
        <v>1371</v>
      </c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</row>
    <row r="1799" ht="22.5" customHeight="1">
      <c r="A1799" s="86">
        <v>45996.0</v>
      </c>
      <c r="B1799" s="63" t="s">
        <v>27</v>
      </c>
      <c r="C1799" s="79"/>
      <c r="D1799" s="80">
        <v>20000.0</v>
      </c>
      <c r="E1799" s="66" t="s">
        <v>33</v>
      </c>
      <c r="F1799" s="67" t="s">
        <v>608</v>
      </c>
      <c r="G1799" s="68">
        <v>0.0</v>
      </c>
      <c r="H1799" s="69">
        <f t="shared" si="108"/>
        <v>0</v>
      </c>
      <c r="I1799" s="76" t="s">
        <v>490</v>
      </c>
      <c r="J1799" s="98" t="s">
        <v>1372</v>
      </c>
      <c r="K1799" s="95"/>
      <c r="L1799" s="95"/>
      <c r="M1799" s="95"/>
      <c r="N1799" s="72"/>
      <c r="O1799" s="9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</row>
    <row r="1800" ht="22.5" customHeight="1">
      <c r="A1800" s="86">
        <v>45996.0</v>
      </c>
      <c r="B1800" s="63" t="s">
        <v>27</v>
      </c>
      <c r="C1800" s="79"/>
      <c r="D1800" s="80">
        <v>50000.0</v>
      </c>
      <c r="E1800" s="66" t="s">
        <v>33</v>
      </c>
      <c r="F1800" s="67" t="s">
        <v>1179</v>
      </c>
      <c r="G1800" s="68">
        <v>0.0</v>
      </c>
      <c r="H1800" s="69">
        <f t="shared" si="108"/>
        <v>0</v>
      </c>
      <c r="I1800" s="76" t="s">
        <v>53</v>
      </c>
      <c r="J1800" s="98" t="s">
        <v>1304</v>
      </c>
      <c r="K1800" s="95"/>
      <c r="L1800" s="95"/>
      <c r="M1800" s="95"/>
      <c r="N1800" s="72"/>
      <c r="O1800" s="9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</row>
    <row r="1801" ht="22.5" customHeight="1">
      <c r="A1801" s="86">
        <v>45996.0</v>
      </c>
      <c r="B1801" s="63" t="s">
        <v>27</v>
      </c>
      <c r="C1801" s="80">
        <v>3572210.05</v>
      </c>
      <c r="D1801" s="79"/>
      <c r="E1801" s="66" t="s">
        <v>1346</v>
      </c>
      <c r="F1801" s="67" t="s">
        <v>608</v>
      </c>
      <c r="G1801" s="68">
        <v>0.0</v>
      </c>
      <c r="H1801" s="69">
        <f t="shared" si="108"/>
        <v>0</v>
      </c>
      <c r="I1801" s="76" t="s">
        <v>1373</v>
      </c>
      <c r="J1801" s="98" t="s">
        <v>1369</v>
      </c>
      <c r="K1801" s="95"/>
      <c r="L1801" s="95"/>
      <c r="M1801" s="95"/>
      <c r="N1801" s="72"/>
      <c r="O1801" s="9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</row>
    <row r="1802" ht="22.5" customHeight="1">
      <c r="A1802" s="86">
        <v>45996.0</v>
      </c>
      <c r="B1802" s="63" t="s">
        <v>27</v>
      </c>
      <c r="C1802" s="79"/>
      <c r="D1802" s="80">
        <v>60000.0</v>
      </c>
      <c r="E1802" s="66" t="s">
        <v>33</v>
      </c>
      <c r="F1802" s="67" t="s">
        <v>604</v>
      </c>
      <c r="G1802" s="68">
        <v>0.0</v>
      </c>
      <c r="H1802" s="69">
        <f t="shared" si="108"/>
        <v>0</v>
      </c>
      <c r="I1802" s="76" t="s">
        <v>61</v>
      </c>
      <c r="J1802" s="98" t="s">
        <v>1132</v>
      </c>
      <c r="K1802" s="95"/>
      <c r="L1802" s="95"/>
      <c r="M1802" s="95"/>
      <c r="N1802" s="72"/>
      <c r="O1802" s="9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</row>
    <row r="1803" ht="22.5" customHeight="1">
      <c r="A1803" s="86">
        <v>45999.0</v>
      </c>
      <c r="B1803" s="63" t="s">
        <v>27</v>
      </c>
      <c r="C1803" s="79"/>
      <c r="D1803" s="80">
        <v>12000.0</v>
      </c>
      <c r="E1803" s="66" t="s">
        <v>33</v>
      </c>
      <c r="F1803" s="67" t="s">
        <v>604</v>
      </c>
      <c r="G1803" s="68">
        <v>0.0</v>
      </c>
      <c r="H1803" s="69">
        <f t="shared" si="108"/>
        <v>0</v>
      </c>
      <c r="I1803" s="76" t="s">
        <v>30</v>
      </c>
      <c r="J1803" s="98" t="s">
        <v>1374</v>
      </c>
      <c r="K1803" s="95"/>
      <c r="L1803" s="95"/>
      <c r="M1803" s="95"/>
      <c r="N1803" s="72"/>
      <c r="O1803" s="9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</row>
    <row r="1804" ht="22.5" customHeight="1">
      <c r="A1804" s="86">
        <v>45999.0</v>
      </c>
      <c r="B1804" s="63" t="s">
        <v>27</v>
      </c>
      <c r="C1804" s="79"/>
      <c r="D1804" s="80">
        <v>6500.0</v>
      </c>
      <c r="E1804" s="66" t="s">
        <v>33</v>
      </c>
      <c r="F1804" s="67" t="s">
        <v>604</v>
      </c>
      <c r="G1804" s="68">
        <v>0.0</v>
      </c>
      <c r="H1804" s="69">
        <f t="shared" si="108"/>
        <v>0</v>
      </c>
      <c r="I1804" s="76" t="s">
        <v>495</v>
      </c>
      <c r="J1804" s="98" t="s">
        <v>1375</v>
      </c>
      <c r="K1804" s="95"/>
      <c r="L1804" s="95"/>
      <c r="M1804" s="95"/>
      <c r="N1804" s="72"/>
      <c r="O1804" s="9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</row>
    <row r="1805" ht="22.5" customHeight="1">
      <c r="A1805" s="86">
        <v>45999.0</v>
      </c>
      <c r="B1805" s="63" t="s">
        <v>27</v>
      </c>
      <c r="C1805" s="79"/>
      <c r="D1805" s="80">
        <v>1150000.0</v>
      </c>
      <c r="E1805" s="66" t="s">
        <v>376</v>
      </c>
      <c r="F1805" s="67" t="s">
        <v>604</v>
      </c>
      <c r="G1805" s="68">
        <v>0.0</v>
      </c>
      <c r="H1805" s="69">
        <f t="shared" si="108"/>
        <v>0</v>
      </c>
      <c r="I1805" s="76" t="s">
        <v>47</v>
      </c>
      <c r="J1805" s="81"/>
      <c r="K1805" s="95"/>
      <c r="L1805" s="95"/>
      <c r="M1805" s="95"/>
      <c r="N1805" s="72"/>
      <c r="O1805" s="9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</row>
    <row r="1806" ht="22.5" customHeight="1">
      <c r="A1806" s="86">
        <v>45999.0</v>
      </c>
      <c r="B1806" s="63" t="s">
        <v>27</v>
      </c>
      <c r="C1806" s="80">
        <v>1150000.0</v>
      </c>
      <c r="D1806" s="79"/>
      <c r="E1806" s="66" t="s">
        <v>28</v>
      </c>
      <c r="F1806" s="67" t="s">
        <v>604</v>
      </c>
      <c r="G1806" s="68">
        <v>0.0</v>
      </c>
      <c r="H1806" s="69">
        <f t="shared" si="108"/>
        <v>0</v>
      </c>
      <c r="I1806" s="76" t="s">
        <v>47</v>
      </c>
      <c r="J1806" s="81"/>
      <c r="K1806" s="95"/>
      <c r="L1806" s="95"/>
      <c r="M1806" s="95"/>
      <c r="N1806" s="72"/>
      <c r="O1806" s="9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</row>
    <row r="1807" ht="22.5" customHeight="1">
      <c r="A1807" s="86">
        <v>46000.0</v>
      </c>
      <c r="B1807" s="63" t="s">
        <v>27</v>
      </c>
      <c r="C1807" s="79"/>
      <c r="D1807" s="80">
        <v>1465699.4</v>
      </c>
      <c r="E1807" s="66" t="s">
        <v>28</v>
      </c>
      <c r="F1807" s="67" t="s">
        <v>1099</v>
      </c>
      <c r="G1807" s="68">
        <v>20.0</v>
      </c>
      <c r="H1807" s="69">
        <f t="shared" si="108"/>
        <v>244283.2333</v>
      </c>
      <c r="I1807" s="76" t="s">
        <v>101</v>
      </c>
      <c r="J1807" s="136" t="s">
        <v>1280</v>
      </c>
      <c r="K1807" s="95"/>
      <c r="L1807" s="95"/>
      <c r="M1807" s="95"/>
      <c r="N1807" s="72"/>
      <c r="O1807" s="140" t="s">
        <v>1376</v>
      </c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</row>
    <row r="1808" ht="22.5" customHeight="1">
      <c r="A1808" s="86">
        <v>46000.0</v>
      </c>
      <c r="B1808" s="63" t="s">
        <v>27</v>
      </c>
      <c r="C1808" s="79"/>
      <c r="D1808" s="80">
        <v>32695.56</v>
      </c>
      <c r="E1808" s="66" t="s">
        <v>28</v>
      </c>
      <c r="F1808" s="67" t="s">
        <v>1099</v>
      </c>
      <c r="G1808" s="68">
        <v>20.0</v>
      </c>
      <c r="H1808" s="69">
        <f t="shared" si="108"/>
        <v>5449.26</v>
      </c>
      <c r="I1808" s="76" t="s">
        <v>101</v>
      </c>
      <c r="J1808" s="136" t="s">
        <v>1030</v>
      </c>
      <c r="K1808" s="95"/>
      <c r="L1808" s="95"/>
      <c r="M1808" s="95"/>
      <c r="N1808" s="72"/>
      <c r="O1808" s="140" t="s">
        <v>1377</v>
      </c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</row>
    <row r="1809" ht="22.5" customHeight="1">
      <c r="A1809" s="86">
        <v>46000.0</v>
      </c>
      <c r="B1809" s="63" t="s">
        <v>27</v>
      </c>
      <c r="C1809" s="79"/>
      <c r="D1809" s="80">
        <v>791404.94</v>
      </c>
      <c r="E1809" s="66" t="s">
        <v>28</v>
      </c>
      <c r="F1809" s="67" t="s">
        <v>1099</v>
      </c>
      <c r="G1809" s="68">
        <v>20.0</v>
      </c>
      <c r="H1809" s="69">
        <f t="shared" si="108"/>
        <v>131900.8233</v>
      </c>
      <c r="I1809" s="76" t="s">
        <v>101</v>
      </c>
      <c r="J1809" s="136" t="s">
        <v>670</v>
      </c>
      <c r="K1809" s="95"/>
      <c r="L1809" s="95"/>
      <c r="M1809" s="95"/>
      <c r="N1809" s="72"/>
      <c r="O1809" s="140" t="s">
        <v>1378</v>
      </c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</row>
    <row r="1810" ht="22.5" customHeight="1">
      <c r="A1810" s="86">
        <v>46000.0</v>
      </c>
      <c r="B1810" s="63" t="s">
        <v>27</v>
      </c>
      <c r="C1810" s="79"/>
      <c r="D1810" s="80">
        <v>37572.36</v>
      </c>
      <c r="E1810" s="66" t="s">
        <v>28</v>
      </c>
      <c r="F1810" s="67" t="s">
        <v>1099</v>
      </c>
      <c r="G1810" s="68">
        <v>20.0</v>
      </c>
      <c r="H1810" s="69">
        <f t="shared" si="108"/>
        <v>6262.06</v>
      </c>
      <c r="I1810" s="76" t="s">
        <v>101</v>
      </c>
      <c r="J1810" s="151" t="s">
        <v>1290</v>
      </c>
      <c r="K1810" s="95"/>
      <c r="L1810" s="95"/>
      <c r="M1810" s="95"/>
      <c r="N1810" s="72"/>
      <c r="O1810" s="140" t="s">
        <v>1379</v>
      </c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</row>
    <row r="1811" ht="22.5" customHeight="1">
      <c r="A1811" s="86">
        <v>46000.0</v>
      </c>
      <c r="B1811" s="63" t="s">
        <v>27</v>
      </c>
      <c r="C1811" s="79"/>
      <c r="D1811" s="80">
        <v>737516.4</v>
      </c>
      <c r="E1811" s="66" t="s">
        <v>28</v>
      </c>
      <c r="F1811" s="67" t="s">
        <v>1099</v>
      </c>
      <c r="G1811" s="68">
        <v>20.0</v>
      </c>
      <c r="H1811" s="69">
        <f t="shared" si="108"/>
        <v>122919.4</v>
      </c>
      <c r="I1811" s="76" t="s">
        <v>101</v>
      </c>
      <c r="J1811" s="136" t="s">
        <v>1284</v>
      </c>
      <c r="K1811" s="95"/>
      <c r="L1811" s="95"/>
      <c r="M1811" s="95"/>
      <c r="N1811" s="72"/>
      <c r="O1811" s="140" t="s">
        <v>1380</v>
      </c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</row>
    <row r="1812" ht="22.5" customHeight="1">
      <c r="A1812" s="86">
        <v>46000.0</v>
      </c>
      <c r="B1812" s="63" t="s">
        <v>27</v>
      </c>
      <c r="C1812" s="79"/>
      <c r="D1812" s="80">
        <v>388308.3</v>
      </c>
      <c r="E1812" s="66" t="s">
        <v>28</v>
      </c>
      <c r="F1812" s="67" t="s">
        <v>1099</v>
      </c>
      <c r="G1812" s="68">
        <v>20.0</v>
      </c>
      <c r="H1812" s="69">
        <f t="shared" si="108"/>
        <v>64718.05</v>
      </c>
      <c r="I1812" s="76" t="s">
        <v>101</v>
      </c>
      <c r="J1812" s="136" t="s">
        <v>1277</v>
      </c>
      <c r="K1812" s="95"/>
      <c r="L1812" s="95"/>
      <c r="M1812" s="95"/>
      <c r="N1812" s="72"/>
      <c r="O1812" s="140" t="s">
        <v>1381</v>
      </c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</row>
    <row r="1813" ht="22.5" customHeight="1">
      <c r="A1813" s="86">
        <v>46000.0</v>
      </c>
      <c r="B1813" s="63" t="s">
        <v>27</v>
      </c>
      <c r="C1813" s="79"/>
      <c r="D1813" s="80">
        <v>255506.7</v>
      </c>
      <c r="E1813" s="66" t="s">
        <v>28</v>
      </c>
      <c r="F1813" s="67" t="s">
        <v>1099</v>
      </c>
      <c r="G1813" s="68">
        <v>20.0</v>
      </c>
      <c r="H1813" s="69">
        <f t="shared" si="108"/>
        <v>42584.45</v>
      </c>
      <c r="I1813" s="76" t="s">
        <v>101</v>
      </c>
      <c r="J1813" s="136" t="s">
        <v>643</v>
      </c>
      <c r="K1813" s="95"/>
      <c r="L1813" s="95"/>
      <c r="M1813" s="95"/>
      <c r="N1813" s="72"/>
      <c r="O1813" s="140" t="s">
        <v>1382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</row>
    <row r="1814" ht="22.5" customHeight="1">
      <c r="A1814" s="86">
        <v>46000.0</v>
      </c>
      <c r="B1814" s="63" t="s">
        <v>27</v>
      </c>
      <c r="C1814" s="79"/>
      <c r="D1814" s="80">
        <v>1275898.96</v>
      </c>
      <c r="E1814" s="66" t="s">
        <v>28</v>
      </c>
      <c r="F1814" s="67" t="s">
        <v>1099</v>
      </c>
      <c r="G1814" s="68">
        <v>20.0</v>
      </c>
      <c r="H1814" s="69">
        <f t="shared" si="108"/>
        <v>212649.8267</v>
      </c>
      <c r="I1814" s="76" t="s">
        <v>101</v>
      </c>
      <c r="J1814" s="136" t="s">
        <v>597</v>
      </c>
      <c r="K1814" s="95"/>
      <c r="L1814" s="95"/>
      <c r="M1814" s="95"/>
      <c r="N1814" s="72"/>
      <c r="O1814" s="140" t="s">
        <v>1383</v>
      </c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</row>
    <row r="1815" ht="22.5" customHeight="1">
      <c r="A1815" s="86">
        <v>46000.0</v>
      </c>
      <c r="B1815" s="63" t="s">
        <v>27</v>
      </c>
      <c r="C1815" s="79"/>
      <c r="D1815" s="80">
        <v>86121.74</v>
      </c>
      <c r="E1815" s="66" t="s">
        <v>28</v>
      </c>
      <c r="F1815" s="67" t="s">
        <v>1099</v>
      </c>
      <c r="G1815" s="68">
        <v>5.0</v>
      </c>
      <c r="H1815" s="69">
        <f t="shared" si="108"/>
        <v>4101.035238</v>
      </c>
      <c r="I1815" s="76" t="s">
        <v>101</v>
      </c>
      <c r="J1815" s="136" t="s">
        <v>1032</v>
      </c>
      <c r="K1815" s="95"/>
      <c r="L1815" s="95"/>
      <c r="M1815" s="95"/>
      <c r="N1815" s="72"/>
      <c r="O1815" s="140" t="s">
        <v>1384</v>
      </c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</row>
    <row r="1816" ht="22.5" customHeight="1">
      <c r="A1816" s="86">
        <v>46000.0</v>
      </c>
      <c r="B1816" s="63" t="s">
        <v>27</v>
      </c>
      <c r="C1816" s="79"/>
      <c r="D1816" s="80">
        <v>140000.0</v>
      </c>
      <c r="E1816" s="66" t="s">
        <v>28</v>
      </c>
      <c r="F1816" s="67" t="s">
        <v>1099</v>
      </c>
      <c r="G1816" s="68">
        <v>0.0</v>
      </c>
      <c r="H1816" s="69">
        <f t="shared" si="108"/>
        <v>0</v>
      </c>
      <c r="I1816" s="76" t="s">
        <v>286</v>
      </c>
      <c r="J1816" s="98" t="s">
        <v>454</v>
      </c>
      <c r="K1816" s="95"/>
      <c r="L1816" s="95"/>
      <c r="M1816" s="95"/>
      <c r="N1816" s="72"/>
      <c r="O1816" s="140" t="s">
        <v>1385</v>
      </c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</row>
    <row r="1817" ht="22.5" customHeight="1">
      <c r="A1817" s="86">
        <v>46000.0</v>
      </c>
      <c r="B1817" s="63" t="s">
        <v>27</v>
      </c>
      <c r="C1817" s="79"/>
      <c r="D1817" s="80">
        <v>154730.0</v>
      </c>
      <c r="E1817" s="66" t="s">
        <v>28</v>
      </c>
      <c r="F1817" s="67" t="s">
        <v>1099</v>
      </c>
      <c r="G1817" s="68">
        <v>0.0</v>
      </c>
      <c r="H1817" s="69">
        <f t="shared" si="108"/>
        <v>0</v>
      </c>
      <c r="I1817" s="76" t="s">
        <v>101</v>
      </c>
      <c r="J1817" s="136" t="s">
        <v>818</v>
      </c>
      <c r="K1817" s="95"/>
      <c r="L1817" s="95"/>
      <c r="M1817" s="95"/>
      <c r="N1817" s="72"/>
      <c r="O1817" s="140" t="s">
        <v>1386</v>
      </c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</row>
    <row r="1818" ht="22.5" customHeight="1">
      <c r="A1818" s="86">
        <v>46000.0</v>
      </c>
      <c r="B1818" s="63" t="s">
        <v>27</v>
      </c>
      <c r="C1818" s="79"/>
      <c r="D1818" s="80">
        <v>14796.72</v>
      </c>
      <c r="E1818" s="66" t="s">
        <v>28</v>
      </c>
      <c r="F1818" s="67" t="s">
        <v>1099</v>
      </c>
      <c r="G1818" s="68">
        <v>20.0</v>
      </c>
      <c r="H1818" s="69">
        <f t="shared" si="108"/>
        <v>2466.12</v>
      </c>
      <c r="I1818" s="76" t="s">
        <v>101</v>
      </c>
      <c r="J1818" s="136" t="s">
        <v>973</v>
      </c>
      <c r="K1818" s="95"/>
      <c r="L1818" s="95"/>
      <c r="M1818" s="95"/>
      <c r="N1818" s="72"/>
      <c r="O1818" s="140" t="s">
        <v>1387</v>
      </c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</row>
    <row r="1819" ht="22.5" customHeight="1">
      <c r="A1819" s="86">
        <v>46000.0</v>
      </c>
      <c r="B1819" s="63" t="s">
        <v>27</v>
      </c>
      <c r="C1819" s="79"/>
      <c r="D1819" s="80">
        <v>15309.0</v>
      </c>
      <c r="E1819" s="66" t="s">
        <v>28</v>
      </c>
      <c r="F1819" s="67" t="s">
        <v>1099</v>
      </c>
      <c r="G1819" s="68">
        <v>20.0</v>
      </c>
      <c r="H1819" s="69">
        <f t="shared" si="108"/>
        <v>2551.5</v>
      </c>
      <c r="I1819" s="76" t="s">
        <v>101</v>
      </c>
      <c r="J1819" s="136" t="s">
        <v>976</v>
      </c>
      <c r="K1819" s="95"/>
      <c r="L1819" s="95"/>
      <c r="M1819" s="95"/>
      <c r="N1819" s="72"/>
      <c r="O1819" s="140" t="s">
        <v>1388</v>
      </c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</row>
    <row r="1820" ht="22.5" customHeight="1">
      <c r="A1820" s="86">
        <v>46000.0</v>
      </c>
      <c r="B1820" s="63" t="s">
        <v>27</v>
      </c>
      <c r="C1820" s="79"/>
      <c r="D1820" s="80">
        <v>36881.7</v>
      </c>
      <c r="E1820" s="66" t="s">
        <v>28</v>
      </c>
      <c r="F1820" s="67" t="s">
        <v>1099</v>
      </c>
      <c r="G1820" s="68">
        <v>0.0</v>
      </c>
      <c r="H1820" s="69">
        <f t="shared" si="108"/>
        <v>0</v>
      </c>
      <c r="I1820" s="76" t="s">
        <v>101</v>
      </c>
      <c r="J1820" s="136" t="s">
        <v>1287</v>
      </c>
      <c r="K1820" s="95"/>
      <c r="L1820" s="95"/>
      <c r="M1820" s="95"/>
      <c r="N1820" s="72"/>
      <c r="O1820" s="140" t="s">
        <v>1389</v>
      </c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</row>
    <row r="1821" ht="22.5" customHeight="1">
      <c r="A1821" s="86">
        <v>46000.0</v>
      </c>
      <c r="B1821" s="63" t="s">
        <v>27</v>
      </c>
      <c r="C1821" s="79"/>
      <c r="D1821" s="80">
        <v>29182.87</v>
      </c>
      <c r="E1821" s="66" t="s">
        <v>28</v>
      </c>
      <c r="F1821" s="67" t="s">
        <v>1099</v>
      </c>
      <c r="G1821" s="68">
        <v>5.0</v>
      </c>
      <c r="H1821" s="69">
        <f t="shared" si="108"/>
        <v>1389.660476</v>
      </c>
      <c r="I1821" s="76" t="s">
        <v>101</v>
      </c>
      <c r="J1821" s="136" t="s">
        <v>671</v>
      </c>
      <c r="K1821" s="95"/>
      <c r="L1821" s="95"/>
      <c r="M1821" s="95"/>
      <c r="N1821" s="72"/>
      <c r="O1821" s="140" t="s">
        <v>1390</v>
      </c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</row>
    <row r="1822" ht="22.5" customHeight="1">
      <c r="A1822" s="86">
        <v>46000.0</v>
      </c>
      <c r="B1822" s="63" t="s">
        <v>27</v>
      </c>
      <c r="C1822" s="79"/>
      <c r="D1822" s="80">
        <v>25865.18</v>
      </c>
      <c r="E1822" s="66" t="s">
        <v>28</v>
      </c>
      <c r="F1822" s="67" t="s">
        <v>1099</v>
      </c>
      <c r="G1822" s="68">
        <v>5.0</v>
      </c>
      <c r="H1822" s="69">
        <f t="shared" si="108"/>
        <v>1231.675238</v>
      </c>
      <c r="I1822" s="76" t="s">
        <v>101</v>
      </c>
      <c r="J1822" s="151" t="s">
        <v>1391</v>
      </c>
      <c r="K1822" s="95"/>
      <c r="L1822" s="95"/>
      <c r="M1822" s="95"/>
      <c r="N1822" s="72"/>
      <c r="O1822" s="140" t="s">
        <v>1392</v>
      </c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</row>
    <row r="1823" ht="22.5" customHeight="1">
      <c r="A1823" s="86">
        <v>46000.0</v>
      </c>
      <c r="B1823" s="63" t="s">
        <v>27</v>
      </c>
      <c r="C1823" s="79"/>
      <c r="D1823" s="80">
        <v>630890.5</v>
      </c>
      <c r="E1823" s="66" t="s">
        <v>28</v>
      </c>
      <c r="F1823" s="67" t="s">
        <v>1099</v>
      </c>
      <c r="G1823" s="68">
        <v>0.0</v>
      </c>
      <c r="H1823" s="69">
        <f t="shared" si="108"/>
        <v>0</v>
      </c>
      <c r="I1823" s="76" t="s">
        <v>101</v>
      </c>
      <c r="J1823" s="151" t="s">
        <v>631</v>
      </c>
      <c r="K1823" s="95"/>
      <c r="L1823" s="95"/>
      <c r="M1823" s="95"/>
      <c r="N1823" s="72"/>
      <c r="O1823" s="140" t="s">
        <v>1393</v>
      </c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</row>
    <row r="1824" ht="22.5" customHeight="1">
      <c r="A1824" s="86">
        <v>46000.0</v>
      </c>
      <c r="B1824" s="63" t="s">
        <v>27</v>
      </c>
      <c r="C1824" s="79"/>
      <c r="D1824" s="80">
        <v>20000.0</v>
      </c>
      <c r="E1824" s="66" t="s">
        <v>33</v>
      </c>
      <c r="F1824" s="67" t="s">
        <v>608</v>
      </c>
      <c r="G1824" s="68">
        <v>0.0</v>
      </c>
      <c r="H1824" s="69">
        <f t="shared" si="108"/>
        <v>0</v>
      </c>
      <c r="I1824" s="76" t="s">
        <v>490</v>
      </c>
      <c r="J1824" s="98" t="s">
        <v>1394</v>
      </c>
      <c r="K1824" s="95"/>
      <c r="L1824" s="95"/>
      <c r="M1824" s="95"/>
      <c r="N1824" s="72"/>
      <c r="O1824" s="9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</row>
    <row r="1825" ht="22.5" customHeight="1">
      <c r="A1825" s="86">
        <v>46001.0</v>
      </c>
      <c r="B1825" s="63" t="s">
        <v>27</v>
      </c>
      <c r="C1825" s="79"/>
      <c r="D1825" s="80">
        <v>19630.0</v>
      </c>
      <c r="E1825" s="66" t="s">
        <v>33</v>
      </c>
      <c r="F1825" s="67" t="s">
        <v>608</v>
      </c>
      <c r="G1825" s="68">
        <v>0.0</v>
      </c>
      <c r="H1825" s="69">
        <f t="shared" si="108"/>
        <v>0</v>
      </c>
      <c r="I1825" s="76" t="s">
        <v>490</v>
      </c>
      <c r="J1825" s="98" t="s">
        <v>1395</v>
      </c>
      <c r="K1825" s="95"/>
      <c r="L1825" s="95"/>
      <c r="M1825" s="95"/>
      <c r="N1825" s="72"/>
      <c r="O1825" s="9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</row>
    <row r="1826" ht="22.5" customHeight="1">
      <c r="A1826" s="86">
        <v>46001.0</v>
      </c>
      <c r="B1826" s="63" t="s">
        <v>27</v>
      </c>
      <c r="C1826" s="79"/>
      <c r="D1826" s="80">
        <v>15000.0</v>
      </c>
      <c r="E1826" s="66" t="s">
        <v>33</v>
      </c>
      <c r="F1826" s="67" t="s">
        <v>608</v>
      </c>
      <c r="G1826" s="68">
        <v>0.0</v>
      </c>
      <c r="H1826" s="69">
        <f t="shared" si="108"/>
        <v>0</v>
      </c>
      <c r="I1826" s="76" t="s">
        <v>53</v>
      </c>
      <c r="J1826" s="98" t="s">
        <v>1175</v>
      </c>
      <c r="K1826" s="95"/>
      <c r="L1826" s="95"/>
      <c r="M1826" s="95"/>
      <c r="N1826" s="72"/>
      <c r="O1826" s="9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</row>
    <row r="1827" ht="22.5" customHeight="1">
      <c r="A1827" s="86">
        <v>46001.0</v>
      </c>
      <c r="B1827" s="63" t="s">
        <v>27</v>
      </c>
      <c r="C1827" s="79"/>
      <c r="D1827" s="80">
        <v>30000.0</v>
      </c>
      <c r="E1827" s="66" t="s">
        <v>33</v>
      </c>
      <c r="F1827" s="67" t="s">
        <v>608</v>
      </c>
      <c r="G1827" s="68">
        <v>0.0</v>
      </c>
      <c r="H1827" s="69">
        <f t="shared" si="108"/>
        <v>0</v>
      </c>
      <c r="I1827" s="76" t="s">
        <v>53</v>
      </c>
      <c r="J1827" s="98" t="s">
        <v>1176</v>
      </c>
      <c r="K1827" s="95"/>
      <c r="L1827" s="95"/>
      <c r="M1827" s="95"/>
      <c r="N1827" s="72"/>
      <c r="O1827" s="9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</row>
    <row r="1828" ht="22.5" customHeight="1">
      <c r="A1828" s="86">
        <v>46001.0</v>
      </c>
      <c r="B1828" s="63" t="s">
        <v>27</v>
      </c>
      <c r="C1828" s="79"/>
      <c r="D1828" s="80">
        <v>50000.0</v>
      </c>
      <c r="E1828" s="66" t="s">
        <v>33</v>
      </c>
      <c r="F1828" s="67" t="s">
        <v>608</v>
      </c>
      <c r="G1828" s="68">
        <v>0.0</v>
      </c>
      <c r="H1828" s="69">
        <f t="shared" si="108"/>
        <v>0</v>
      </c>
      <c r="I1828" s="76" t="s">
        <v>294</v>
      </c>
      <c r="J1828" s="98" t="s">
        <v>1396</v>
      </c>
      <c r="K1828" s="95"/>
      <c r="L1828" s="95"/>
      <c r="M1828" s="95"/>
      <c r="N1828" s="72"/>
      <c r="O1828" s="9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</row>
    <row r="1829" ht="22.5" customHeight="1">
      <c r="A1829" s="86">
        <v>46001.0</v>
      </c>
      <c r="B1829" s="63" t="s">
        <v>27</v>
      </c>
      <c r="C1829" s="79"/>
      <c r="D1829" s="80">
        <v>1482798.29</v>
      </c>
      <c r="E1829" s="66" t="s">
        <v>28</v>
      </c>
      <c r="F1829" s="67" t="s">
        <v>608</v>
      </c>
      <c r="G1829" s="68">
        <v>0.0</v>
      </c>
      <c r="H1829" s="69">
        <f t="shared" si="108"/>
        <v>0</v>
      </c>
      <c r="I1829" s="76" t="s">
        <v>68</v>
      </c>
      <c r="J1829" s="98" t="s">
        <v>565</v>
      </c>
      <c r="K1829" s="95"/>
      <c r="L1829" s="95"/>
      <c r="M1829" s="95"/>
      <c r="N1829" s="72"/>
      <c r="O1829" s="9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</row>
    <row r="1830" ht="22.5" customHeight="1">
      <c r="A1830" s="86">
        <v>46001.0</v>
      </c>
      <c r="B1830" s="63" t="s">
        <v>27</v>
      </c>
      <c r="C1830" s="79"/>
      <c r="D1830" s="80">
        <v>30000.0</v>
      </c>
      <c r="E1830" s="66" t="s">
        <v>33</v>
      </c>
      <c r="F1830" s="67" t="s">
        <v>608</v>
      </c>
      <c r="G1830" s="68">
        <v>0.0</v>
      </c>
      <c r="H1830" s="69">
        <f t="shared" si="108"/>
        <v>0</v>
      </c>
      <c r="I1830" s="76" t="s">
        <v>53</v>
      </c>
      <c r="J1830" s="98" t="s">
        <v>240</v>
      </c>
      <c r="K1830" s="95"/>
      <c r="L1830" s="95"/>
      <c r="M1830" s="95"/>
      <c r="N1830" s="72"/>
      <c r="O1830" s="9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</row>
    <row r="1831" ht="22.5" customHeight="1">
      <c r="A1831" s="86">
        <v>46001.0</v>
      </c>
      <c r="B1831" s="63" t="s">
        <v>27</v>
      </c>
      <c r="C1831" s="79"/>
      <c r="D1831" s="80">
        <v>69000.0</v>
      </c>
      <c r="E1831" s="66" t="s">
        <v>1346</v>
      </c>
      <c r="F1831" s="67" t="s">
        <v>604</v>
      </c>
      <c r="G1831" s="68">
        <v>0.0</v>
      </c>
      <c r="H1831" s="69">
        <f t="shared" si="108"/>
        <v>0</v>
      </c>
      <c r="I1831" s="76" t="s">
        <v>47</v>
      </c>
      <c r="J1831" s="81"/>
      <c r="K1831" s="95"/>
      <c r="L1831" s="95"/>
      <c r="M1831" s="95"/>
      <c r="N1831" s="72"/>
      <c r="O1831" s="9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</row>
    <row r="1832" ht="22.5" customHeight="1">
      <c r="A1832" s="86">
        <v>46001.0</v>
      </c>
      <c r="B1832" s="63" t="s">
        <v>27</v>
      </c>
      <c r="C1832" s="80">
        <v>69000.0</v>
      </c>
      <c r="D1832" s="79"/>
      <c r="E1832" s="66" t="s">
        <v>28</v>
      </c>
      <c r="F1832" s="67" t="s">
        <v>604</v>
      </c>
      <c r="G1832" s="68">
        <v>0.0</v>
      </c>
      <c r="H1832" s="69">
        <f t="shared" si="108"/>
        <v>0</v>
      </c>
      <c r="I1832" s="76" t="s">
        <v>47</v>
      </c>
      <c r="J1832" s="81"/>
      <c r="K1832" s="95"/>
      <c r="L1832" s="95"/>
      <c r="M1832" s="95"/>
      <c r="N1832" s="72"/>
      <c r="O1832" s="9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</row>
    <row r="1833" ht="22.5" customHeight="1">
      <c r="A1833" s="86">
        <v>46001.0</v>
      </c>
      <c r="B1833" s="137" t="s">
        <v>27</v>
      </c>
      <c r="C1833" s="79"/>
      <c r="D1833" s="80">
        <v>20000.0</v>
      </c>
      <c r="E1833" s="66" t="s">
        <v>33</v>
      </c>
      <c r="F1833" s="67" t="s">
        <v>608</v>
      </c>
      <c r="G1833" s="68">
        <v>0.0</v>
      </c>
      <c r="H1833" s="69">
        <f t="shared" si="108"/>
        <v>0</v>
      </c>
      <c r="I1833" s="89" t="s">
        <v>495</v>
      </c>
      <c r="J1833" s="98" t="s">
        <v>1397</v>
      </c>
      <c r="K1833" s="95"/>
      <c r="L1833" s="95"/>
      <c r="M1833" s="95"/>
      <c r="N1833" s="72"/>
      <c r="O1833" s="9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</row>
    <row r="1834" ht="22.5" customHeight="1">
      <c r="A1834" s="86">
        <v>46002.0</v>
      </c>
      <c r="B1834" s="63" t="s">
        <v>27</v>
      </c>
      <c r="C1834" s="80">
        <v>1200000.0</v>
      </c>
      <c r="D1834" s="79"/>
      <c r="E1834" s="66" t="s">
        <v>28</v>
      </c>
      <c r="F1834" s="67" t="s">
        <v>1099</v>
      </c>
      <c r="G1834" s="68">
        <v>20.0</v>
      </c>
      <c r="H1834" s="69">
        <f t="shared" si="108"/>
        <v>200000</v>
      </c>
      <c r="I1834" s="76" t="s">
        <v>37</v>
      </c>
      <c r="J1834" s="98" t="s">
        <v>675</v>
      </c>
      <c r="K1834" s="82" t="s">
        <v>758</v>
      </c>
      <c r="L1834" s="82">
        <v>358.0</v>
      </c>
      <c r="M1834" s="132">
        <v>45941.0</v>
      </c>
      <c r="N1834" s="72">
        <f>TODAY()-M1834-60</f>
        <v>187</v>
      </c>
      <c r="O1834" s="9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</row>
    <row r="1835" ht="22.5" customHeight="1">
      <c r="A1835" s="86">
        <v>46003.0</v>
      </c>
      <c r="B1835" s="63" t="s">
        <v>27</v>
      </c>
      <c r="C1835" s="79"/>
      <c r="D1835" s="80">
        <v>307912.0</v>
      </c>
      <c r="E1835" s="66" t="s">
        <v>28</v>
      </c>
      <c r="F1835" s="67" t="s">
        <v>608</v>
      </c>
      <c r="G1835" s="68">
        <v>0.0</v>
      </c>
      <c r="H1835" s="69">
        <f t="shared" si="108"/>
        <v>0</v>
      </c>
      <c r="I1835" s="76" t="s">
        <v>68</v>
      </c>
      <c r="J1835" s="98" t="s">
        <v>565</v>
      </c>
      <c r="K1835" s="95"/>
      <c r="L1835" s="95"/>
      <c r="M1835" s="95"/>
      <c r="N1835" s="72"/>
      <c r="O1835" s="9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</row>
    <row r="1836" ht="22.5" customHeight="1">
      <c r="A1836" s="86">
        <v>46003.0</v>
      </c>
      <c r="B1836" s="63" t="s">
        <v>27</v>
      </c>
      <c r="C1836" s="80">
        <v>261660.0</v>
      </c>
      <c r="D1836" s="79"/>
      <c r="E1836" s="66" t="s">
        <v>28</v>
      </c>
      <c r="F1836" s="67" t="s">
        <v>1099</v>
      </c>
      <c r="G1836" s="68">
        <v>20.0</v>
      </c>
      <c r="H1836" s="69">
        <f t="shared" si="108"/>
        <v>43610</v>
      </c>
      <c r="I1836" s="76" t="s">
        <v>37</v>
      </c>
      <c r="J1836" s="98" t="s">
        <v>539</v>
      </c>
      <c r="K1836" s="82" t="s">
        <v>1398</v>
      </c>
      <c r="L1836" s="82">
        <v>348.0</v>
      </c>
      <c r="M1836" s="132">
        <v>45940.0</v>
      </c>
      <c r="N1836" s="72">
        <f t="shared" ref="N1836:N1837" si="109">TODAY()-M1836-60</f>
        <v>188</v>
      </c>
      <c r="O1836" s="9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</row>
    <row r="1837" ht="22.5" customHeight="1">
      <c r="A1837" s="86">
        <v>46003.0</v>
      </c>
      <c r="B1837" s="63" t="s">
        <v>27</v>
      </c>
      <c r="C1837" s="80">
        <v>636048.0</v>
      </c>
      <c r="D1837" s="79"/>
      <c r="E1837" s="66" t="s">
        <v>28</v>
      </c>
      <c r="F1837" s="67" t="s">
        <v>1099</v>
      </c>
      <c r="G1837" s="68">
        <v>20.0</v>
      </c>
      <c r="H1837" s="69">
        <f t="shared" si="108"/>
        <v>106008</v>
      </c>
      <c r="I1837" s="76" t="s">
        <v>37</v>
      </c>
      <c r="J1837" s="98" t="s">
        <v>539</v>
      </c>
      <c r="K1837" s="82" t="s">
        <v>1399</v>
      </c>
      <c r="L1837" s="82">
        <v>349.0</v>
      </c>
      <c r="M1837" s="132">
        <v>45940.0</v>
      </c>
      <c r="N1837" s="72">
        <f t="shared" si="109"/>
        <v>188</v>
      </c>
      <c r="O1837" s="9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</row>
    <row r="1838" ht="22.5" customHeight="1">
      <c r="A1838" s="86">
        <v>46003.0</v>
      </c>
      <c r="B1838" s="63" t="s">
        <v>27</v>
      </c>
      <c r="C1838" s="79"/>
      <c r="D1838" s="80">
        <v>360000.0</v>
      </c>
      <c r="E1838" s="66" t="s">
        <v>1346</v>
      </c>
      <c r="F1838" s="67" t="s">
        <v>1179</v>
      </c>
      <c r="G1838" s="68">
        <v>20.0</v>
      </c>
      <c r="H1838" s="69">
        <f t="shared" si="108"/>
        <v>60000</v>
      </c>
      <c r="I1838" s="76" t="s">
        <v>61</v>
      </c>
      <c r="J1838" s="98" t="s">
        <v>609</v>
      </c>
      <c r="K1838" s="95"/>
      <c r="L1838" s="95"/>
      <c r="M1838" s="95"/>
      <c r="N1838" s="72"/>
      <c r="O1838" s="140" t="s">
        <v>1400</v>
      </c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</row>
    <row r="1839" ht="22.5" customHeight="1">
      <c r="A1839" s="86">
        <v>46003.0</v>
      </c>
      <c r="B1839" s="63" t="s">
        <v>27</v>
      </c>
      <c r="C1839" s="80">
        <v>261314.38</v>
      </c>
      <c r="D1839" s="79"/>
      <c r="E1839" s="66" t="s">
        <v>28</v>
      </c>
      <c r="F1839" s="67" t="s">
        <v>1179</v>
      </c>
      <c r="G1839" s="68">
        <v>20.0</v>
      </c>
      <c r="H1839" s="69">
        <f t="shared" si="108"/>
        <v>43552.39667</v>
      </c>
      <c r="I1839" s="76" t="s">
        <v>37</v>
      </c>
      <c r="J1839" s="98" t="s">
        <v>539</v>
      </c>
      <c r="K1839" s="82" t="s">
        <v>1401</v>
      </c>
      <c r="L1839" s="82">
        <v>373.0</v>
      </c>
      <c r="M1839" s="128">
        <v>45968.0</v>
      </c>
      <c r="N1839" s="72"/>
      <c r="O1839" s="9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</row>
    <row r="1840" ht="22.5" customHeight="1">
      <c r="A1840" s="86">
        <v>46003.0</v>
      </c>
      <c r="B1840" s="63" t="s">
        <v>27</v>
      </c>
      <c r="C1840" s="80">
        <v>636048.0</v>
      </c>
      <c r="D1840" s="79"/>
      <c r="E1840" s="66" t="s">
        <v>28</v>
      </c>
      <c r="F1840" s="67" t="s">
        <v>1179</v>
      </c>
      <c r="G1840" s="68">
        <v>20.0</v>
      </c>
      <c r="H1840" s="69">
        <f t="shared" si="108"/>
        <v>106008</v>
      </c>
      <c r="I1840" s="76" t="s">
        <v>37</v>
      </c>
      <c r="J1840" s="98" t="s">
        <v>539</v>
      </c>
      <c r="K1840" s="82" t="s">
        <v>1402</v>
      </c>
      <c r="L1840" s="82">
        <v>374.0</v>
      </c>
      <c r="M1840" s="128">
        <v>45968.0</v>
      </c>
      <c r="N1840" s="72"/>
      <c r="O1840" s="9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</row>
    <row r="1841" ht="22.5" customHeight="1">
      <c r="A1841" s="86">
        <v>46003.0</v>
      </c>
      <c r="B1841" s="63" t="s">
        <v>27</v>
      </c>
      <c r="C1841" s="80">
        <v>413013.16</v>
      </c>
      <c r="D1841" s="79"/>
      <c r="E1841" s="66" t="s">
        <v>28</v>
      </c>
      <c r="F1841" s="67" t="s">
        <v>1179</v>
      </c>
      <c r="G1841" s="68">
        <v>20.0</v>
      </c>
      <c r="H1841" s="69">
        <f t="shared" si="108"/>
        <v>68835.52667</v>
      </c>
      <c r="I1841" s="76" t="s">
        <v>37</v>
      </c>
      <c r="J1841" s="98" t="s">
        <v>539</v>
      </c>
      <c r="K1841" s="82" t="s">
        <v>1403</v>
      </c>
      <c r="L1841" s="82">
        <v>379.0</v>
      </c>
      <c r="M1841" s="132">
        <v>45972.0</v>
      </c>
      <c r="N1841" s="72"/>
      <c r="O1841" s="9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</row>
    <row r="1842" ht="22.5" customHeight="1">
      <c r="A1842" s="86">
        <v>46003.0</v>
      </c>
      <c r="B1842" s="63" t="s">
        <v>27</v>
      </c>
      <c r="C1842" s="79"/>
      <c r="D1842" s="80">
        <v>238920.0</v>
      </c>
      <c r="E1842" s="66" t="s">
        <v>1346</v>
      </c>
      <c r="F1842" s="67" t="s">
        <v>604</v>
      </c>
      <c r="G1842" s="68">
        <v>0.0</v>
      </c>
      <c r="H1842" s="69">
        <f t="shared" si="108"/>
        <v>0</v>
      </c>
      <c r="I1842" s="76" t="s">
        <v>495</v>
      </c>
      <c r="J1842" s="98" t="s">
        <v>691</v>
      </c>
      <c r="K1842" s="95"/>
      <c r="L1842" s="95"/>
      <c r="M1842" s="95"/>
      <c r="N1842" s="72"/>
      <c r="O1842" s="9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</row>
    <row r="1843" ht="22.5" customHeight="1">
      <c r="A1843" s="86">
        <v>46003.0</v>
      </c>
      <c r="B1843" s="63" t="s">
        <v>27</v>
      </c>
      <c r="C1843" s="79"/>
      <c r="D1843" s="80">
        <f>3162971.66-1500000</f>
        <v>1662971.66</v>
      </c>
      <c r="E1843" s="66" t="s">
        <v>1346</v>
      </c>
      <c r="F1843" s="84" t="s">
        <v>941</v>
      </c>
      <c r="G1843" s="68">
        <v>20.0</v>
      </c>
      <c r="H1843" s="69">
        <f t="shared" si="108"/>
        <v>277161.9433</v>
      </c>
      <c r="I1843" s="76" t="s">
        <v>101</v>
      </c>
      <c r="J1843" s="100" t="s">
        <v>102</v>
      </c>
      <c r="K1843" s="95"/>
      <c r="L1843" s="95"/>
      <c r="M1843" s="95"/>
      <c r="N1843" s="72"/>
      <c r="O1843" s="140" t="s">
        <v>1368</v>
      </c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</row>
    <row r="1844" ht="22.5" customHeight="1">
      <c r="A1844" s="86">
        <v>46003.0</v>
      </c>
      <c r="B1844" s="63" t="s">
        <v>27</v>
      </c>
      <c r="C1844" s="79"/>
      <c r="D1844" s="80">
        <v>1287801.99</v>
      </c>
      <c r="E1844" s="66" t="s">
        <v>1346</v>
      </c>
      <c r="F1844" s="67" t="s">
        <v>1002</v>
      </c>
      <c r="G1844" s="68">
        <v>20.0</v>
      </c>
      <c r="H1844" s="69">
        <f t="shared" si="108"/>
        <v>214633.665</v>
      </c>
      <c r="I1844" s="76" t="s">
        <v>101</v>
      </c>
      <c r="J1844" s="100" t="s">
        <v>102</v>
      </c>
      <c r="K1844" s="95"/>
      <c r="L1844" s="95"/>
      <c r="M1844" s="95"/>
      <c r="N1844" s="72"/>
      <c r="O1844" s="140" t="s">
        <v>1404</v>
      </c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</row>
    <row r="1845" ht="22.5" customHeight="1">
      <c r="A1845" s="86">
        <v>46003.0</v>
      </c>
      <c r="B1845" s="63" t="s">
        <v>27</v>
      </c>
      <c r="C1845" s="79"/>
      <c r="D1845" s="80">
        <v>550000.0</v>
      </c>
      <c r="E1845" s="66" t="s">
        <v>28</v>
      </c>
      <c r="F1845" s="67" t="s">
        <v>608</v>
      </c>
      <c r="G1845" s="68">
        <v>0.0</v>
      </c>
      <c r="H1845" s="69">
        <f t="shared" si="108"/>
        <v>0</v>
      </c>
      <c r="I1845" s="76" t="s">
        <v>504</v>
      </c>
      <c r="J1845" s="98" t="s">
        <v>505</v>
      </c>
      <c r="K1845" s="95"/>
      <c r="L1845" s="95"/>
      <c r="M1845" s="95"/>
      <c r="N1845" s="72"/>
      <c r="O1845" s="140" t="s">
        <v>1405</v>
      </c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</row>
    <row r="1846" ht="22.5" customHeight="1">
      <c r="A1846" s="86">
        <v>46006.0</v>
      </c>
      <c r="B1846" s="63" t="s">
        <v>27</v>
      </c>
      <c r="C1846" s="79"/>
      <c r="D1846" s="80">
        <v>350000.0</v>
      </c>
      <c r="E1846" s="66" t="s">
        <v>28</v>
      </c>
      <c r="F1846" s="84" t="s">
        <v>897</v>
      </c>
      <c r="G1846" s="69">
        <v>0.0</v>
      </c>
      <c r="H1846" s="69">
        <f t="shared" si="108"/>
        <v>0</v>
      </c>
      <c r="I1846" s="76" t="s">
        <v>93</v>
      </c>
      <c r="J1846" s="133" t="s">
        <v>516</v>
      </c>
      <c r="K1846" s="95"/>
      <c r="L1846" s="95"/>
      <c r="M1846" s="95"/>
      <c r="N1846" s="72"/>
      <c r="O1846" s="140" t="s">
        <v>1371</v>
      </c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</row>
    <row r="1847" ht="22.5" customHeight="1">
      <c r="A1847" s="86">
        <v>46006.0</v>
      </c>
      <c r="B1847" s="63" t="s">
        <v>27</v>
      </c>
      <c r="C1847" s="79"/>
      <c r="D1847" s="80">
        <v>18000.0</v>
      </c>
      <c r="E1847" s="66" t="s">
        <v>28</v>
      </c>
      <c r="F1847" s="67" t="s">
        <v>608</v>
      </c>
      <c r="G1847" s="68">
        <v>0.0</v>
      </c>
      <c r="H1847" s="69">
        <f t="shared" si="108"/>
        <v>0</v>
      </c>
      <c r="I1847" s="76" t="s">
        <v>30</v>
      </c>
      <c r="J1847" s="98" t="s">
        <v>1406</v>
      </c>
      <c r="K1847" s="95"/>
      <c r="L1847" s="95"/>
      <c r="M1847" s="95"/>
      <c r="N1847" s="72"/>
      <c r="O1847" s="140" t="s">
        <v>1407</v>
      </c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</row>
    <row r="1848" ht="22.5" customHeight="1">
      <c r="A1848" s="86">
        <v>46006.0</v>
      </c>
      <c r="B1848" s="63" t="s">
        <v>27</v>
      </c>
      <c r="C1848" s="79"/>
      <c r="D1848" s="80">
        <v>16000.0</v>
      </c>
      <c r="E1848" s="66" t="s">
        <v>28</v>
      </c>
      <c r="F1848" s="67" t="s">
        <v>1002</v>
      </c>
      <c r="G1848" s="68">
        <v>0.0</v>
      </c>
      <c r="H1848" s="69">
        <f t="shared" si="108"/>
        <v>0</v>
      </c>
      <c r="I1848" s="76" t="s">
        <v>30</v>
      </c>
      <c r="J1848" s="98" t="s">
        <v>1406</v>
      </c>
      <c r="K1848" s="95"/>
      <c r="L1848" s="95"/>
      <c r="M1848" s="95"/>
      <c r="N1848" s="72"/>
      <c r="O1848" s="140" t="s">
        <v>1408</v>
      </c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</row>
    <row r="1849" ht="22.5" customHeight="1">
      <c r="A1849" s="86">
        <v>46006.0</v>
      </c>
      <c r="B1849" s="63" t="s">
        <v>27</v>
      </c>
      <c r="C1849" s="79"/>
      <c r="D1849" s="80">
        <v>14000.0</v>
      </c>
      <c r="E1849" s="66" t="s">
        <v>28</v>
      </c>
      <c r="F1849" s="67" t="s">
        <v>1179</v>
      </c>
      <c r="G1849" s="68">
        <v>0.0</v>
      </c>
      <c r="H1849" s="69">
        <f t="shared" si="108"/>
        <v>0</v>
      </c>
      <c r="I1849" s="76" t="s">
        <v>30</v>
      </c>
      <c r="J1849" s="98" t="s">
        <v>1406</v>
      </c>
      <c r="K1849" s="95"/>
      <c r="L1849" s="95"/>
      <c r="M1849" s="95"/>
      <c r="N1849" s="72"/>
      <c r="O1849" s="140" t="s">
        <v>1409</v>
      </c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</row>
    <row r="1850" ht="22.5" customHeight="1">
      <c r="A1850" s="86">
        <v>46006.0</v>
      </c>
      <c r="B1850" s="63" t="s">
        <v>27</v>
      </c>
      <c r="C1850" s="79"/>
      <c r="D1850" s="80">
        <v>18000.0</v>
      </c>
      <c r="E1850" s="66" t="s">
        <v>28</v>
      </c>
      <c r="F1850" s="67" t="s">
        <v>1099</v>
      </c>
      <c r="G1850" s="68">
        <v>0.0</v>
      </c>
      <c r="H1850" s="69">
        <f t="shared" si="108"/>
        <v>0</v>
      </c>
      <c r="I1850" s="76" t="s">
        <v>30</v>
      </c>
      <c r="J1850" s="98" t="s">
        <v>1406</v>
      </c>
      <c r="K1850" s="95"/>
      <c r="L1850" s="95"/>
      <c r="M1850" s="95"/>
      <c r="N1850" s="72"/>
      <c r="O1850" s="140" t="s">
        <v>1410</v>
      </c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</row>
    <row r="1851" ht="22.5" customHeight="1">
      <c r="A1851" s="86">
        <v>46006.0</v>
      </c>
      <c r="B1851" s="63" t="s">
        <v>27</v>
      </c>
      <c r="C1851" s="79"/>
      <c r="D1851" s="80">
        <v>9586.0</v>
      </c>
      <c r="E1851" s="66" t="s">
        <v>376</v>
      </c>
      <c r="F1851" s="67" t="s">
        <v>604</v>
      </c>
      <c r="G1851" s="68">
        <v>0.0</v>
      </c>
      <c r="H1851" s="69">
        <f t="shared" si="108"/>
        <v>0</v>
      </c>
      <c r="I1851" s="76" t="s">
        <v>294</v>
      </c>
      <c r="J1851" s="87" t="s">
        <v>377</v>
      </c>
      <c r="K1851" s="95"/>
      <c r="L1851" s="95"/>
      <c r="M1851" s="95"/>
      <c r="N1851" s="72"/>
      <c r="O1851" s="83" t="s">
        <v>1411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</row>
    <row r="1852" ht="22.5" customHeight="1">
      <c r="A1852" s="86">
        <v>46006.0</v>
      </c>
      <c r="B1852" s="63" t="s">
        <v>27</v>
      </c>
      <c r="C1852" s="79"/>
      <c r="D1852" s="80">
        <f>144000+2671</f>
        <v>146671</v>
      </c>
      <c r="E1852" s="66" t="s">
        <v>28</v>
      </c>
      <c r="F1852" s="67" t="s">
        <v>608</v>
      </c>
      <c r="G1852" s="68">
        <v>0.0</v>
      </c>
      <c r="H1852" s="69">
        <f t="shared" si="108"/>
        <v>0</v>
      </c>
      <c r="I1852" s="89" t="s">
        <v>61</v>
      </c>
      <c r="J1852" s="98" t="s">
        <v>901</v>
      </c>
      <c r="K1852" s="95"/>
      <c r="L1852" s="95"/>
      <c r="M1852" s="95"/>
      <c r="N1852" s="153"/>
      <c r="O1852" s="9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</row>
    <row r="1853" ht="22.5" customHeight="1">
      <c r="A1853" s="86">
        <v>46006.0</v>
      </c>
      <c r="B1853" s="63" t="s">
        <v>27</v>
      </c>
      <c r="C1853" s="79"/>
      <c r="D1853" s="80">
        <v>7075.35</v>
      </c>
      <c r="E1853" s="66" t="s">
        <v>28</v>
      </c>
      <c r="F1853" s="67" t="s">
        <v>604</v>
      </c>
      <c r="G1853" s="68">
        <v>0.0</v>
      </c>
      <c r="H1853" s="69">
        <f t="shared" si="108"/>
        <v>0</v>
      </c>
      <c r="I1853" s="94" t="s">
        <v>622</v>
      </c>
      <c r="J1853" s="98" t="s">
        <v>309</v>
      </c>
      <c r="K1853" s="95"/>
      <c r="L1853" s="95"/>
      <c r="M1853" s="95"/>
      <c r="N1853" s="72"/>
      <c r="O1853" s="9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</row>
    <row r="1854" ht="22.5" customHeight="1">
      <c r="A1854" s="86">
        <v>46007.0</v>
      </c>
      <c r="B1854" s="139" t="s">
        <v>27</v>
      </c>
      <c r="C1854" s="79"/>
      <c r="D1854" s="80">
        <v>1800000.72</v>
      </c>
      <c r="E1854" s="66" t="s">
        <v>28</v>
      </c>
      <c r="F1854" s="84" t="s">
        <v>951</v>
      </c>
      <c r="G1854" s="68">
        <v>0.0</v>
      </c>
      <c r="H1854" s="69">
        <f t="shared" si="108"/>
        <v>0</v>
      </c>
      <c r="I1854" s="76" t="s">
        <v>322</v>
      </c>
      <c r="J1854" s="87" t="s">
        <v>474</v>
      </c>
      <c r="K1854" s="95"/>
      <c r="L1854" s="95"/>
      <c r="M1854" s="95"/>
      <c r="N1854" s="72"/>
      <c r="O1854" s="140" t="s">
        <v>1412</v>
      </c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</row>
    <row r="1855" ht="22.5" customHeight="1">
      <c r="A1855" s="86">
        <v>46007.0</v>
      </c>
      <c r="B1855" s="157" t="s">
        <v>27</v>
      </c>
      <c r="C1855" s="80">
        <v>600000.24</v>
      </c>
      <c r="D1855" s="80"/>
      <c r="E1855" s="66" t="s">
        <v>28</v>
      </c>
      <c r="F1855" s="67" t="s">
        <v>1002</v>
      </c>
      <c r="G1855" s="68">
        <v>20.0</v>
      </c>
      <c r="H1855" s="69">
        <f t="shared" si="108"/>
        <v>100000.04</v>
      </c>
      <c r="I1855" s="76" t="s">
        <v>37</v>
      </c>
      <c r="J1855" s="98" t="s">
        <v>474</v>
      </c>
      <c r="K1855" s="82" t="s">
        <v>1351</v>
      </c>
      <c r="L1855" s="82">
        <v>320.0</v>
      </c>
      <c r="M1855" s="128">
        <v>45910.0</v>
      </c>
      <c r="N1855" s="72">
        <f t="shared" ref="N1855:N1861" si="110">TODAY()-M1855-60</f>
        <v>218</v>
      </c>
      <c r="O1855" s="9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</row>
    <row r="1856" ht="22.5" customHeight="1">
      <c r="A1856" s="86">
        <v>46007.0</v>
      </c>
      <c r="B1856" s="157" t="s">
        <v>27</v>
      </c>
      <c r="C1856" s="80">
        <v>600000.24</v>
      </c>
      <c r="D1856" s="80"/>
      <c r="E1856" s="66" t="s">
        <v>28</v>
      </c>
      <c r="F1856" s="67" t="s">
        <v>1002</v>
      </c>
      <c r="G1856" s="68">
        <v>20.0</v>
      </c>
      <c r="H1856" s="69">
        <f t="shared" si="108"/>
        <v>100000.04</v>
      </c>
      <c r="I1856" s="76" t="s">
        <v>37</v>
      </c>
      <c r="J1856" s="98" t="s">
        <v>474</v>
      </c>
      <c r="K1856" s="82" t="s">
        <v>1241</v>
      </c>
      <c r="L1856" s="82">
        <v>322.0</v>
      </c>
      <c r="M1856" s="128">
        <v>45910.0</v>
      </c>
      <c r="N1856" s="72">
        <f t="shared" si="110"/>
        <v>218</v>
      </c>
      <c r="O1856" s="9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</row>
    <row r="1857" ht="22.5" customHeight="1">
      <c r="A1857" s="86">
        <v>46007.0</v>
      </c>
      <c r="B1857" s="157" t="s">
        <v>27</v>
      </c>
      <c r="C1857" s="80">
        <v>600000.24</v>
      </c>
      <c r="D1857" s="80"/>
      <c r="E1857" s="66" t="s">
        <v>28</v>
      </c>
      <c r="F1857" s="67" t="s">
        <v>1002</v>
      </c>
      <c r="G1857" s="68">
        <v>20.0</v>
      </c>
      <c r="H1857" s="69">
        <f t="shared" si="108"/>
        <v>100000.04</v>
      </c>
      <c r="I1857" s="76" t="s">
        <v>37</v>
      </c>
      <c r="J1857" s="98" t="s">
        <v>474</v>
      </c>
      <c r="K1857" s="82" t="s">
        <v>1223</v>
      </c>
      <c r="L1857" s="82">
        <v>323.0</v>
      </c>
      <c r="M1857" s="128">
        <v>45910.0</v>
      </c>
      <c r="N1857" s="72">
        <f t="shared" si="110"/>
        <v>218</v>
      </c>
      <c r="O1857" s="9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</row>
    <row r="1858" ht="22.5" customHeight="1">
      <c r="A1858" s="86">
        <v>46007.0</v>
      </c>
      <c r="B1858" s="157" t="s">
        <v>27</v>
      </c>
      <c r="C1858" s="80">
        <v>600000.24</v>
      </c>
      <c r="D1858" s="79"/>
      <c r="E1858" s="66" t="s">
        <v>28</v>
      </c>
      <c r="F1858" s="67" t="s">
        <v>1099</v>
      </c>
      <c r="G1858" s="68">
        <v>20.0</v>
      </c>
      <c r="H1858" s="69">
        <f t="shared" si="108"/>
        <v>100000.04</v>
      </c>
      <c r="I1858" s="76" t="s">
        <v>37</v>
      </c>
      <c r="J1858" s="98" t="s">
        <v>1271</v>
      </c>
      <c r="K1858" s="82" t="s">
        <v>844</v>
      </c>
      <c r="L1858" s="82">
        <v>335.0</v>
      </c>
      <c r="M1858" s="128">
        <v>45935.0</v>
      </c>
      <c r="N1858" s="72">
        <f t="shared" si="110"/>
        <v>193</v>
      </c>
      <c r="O1858" s="9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</row>
    <row r="1859" ht="22.5" customHeight="1">
      <c r="A1859" s="86">
        <v>46007.0</v>
      </c>
      <c r="B1859" s="157" t="s">
        <v>27</v>
      </c>
      <c r="C1859" s="80">
        <v>689270.4</v>
      </c>
      <c r="D1859" s="79"/>
      <c r="E1859" s="66" t="s">
        <v>28</v>
      </c>
      <c r="F1859" s="67" t="s">
        <v>1099</v>
      </c>
      <c r="G1859" s="68">
        <v>20.0</v>
      </c>
      <c r="H1859" s="69">
        <f t="shared" si="108"/>
        <v>114878.4</v>
      </c>
      <c r="I1859" s="76" t="s">
        <v>37</v>
      </c>
      <c r="J1859" s="98" t="s">
        <v>1271</v>
      </c>
      <c r="K1859" s="82" t="s">
        <v>1093</v>
      </c>
      <c r="L1859" s="82">
        <v>336.0</v>
      </c>
      <c r="M1859" s="128">
        <v>45935.0</v>
      </c>
      <c r="N1859" s="72">
        <f t="shared" si="110"/>
        <v>193</v>
      </c>
      <c r="O1859" s="9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</row>
    <row r="1860" ht="22.5" customHeight="1">
      <c r="A1860" s="86">
        <v>46007.0</v>
      </c>
      <c r="B1860" s="157" t="s">
        <v>27</v>
      </c>
      <c r="C1860" s="80">
        <v>1531799.64</v>
      </c>
      <c r="D1860" s="79"/>
      <c r="E1860" s="66" t="s">
        <v>28</v>
      </c>
      <c r="F1860" s="67" t="s">
        <v>1099</v>
      </c>
      <c r="G1860" s="68">
        <v>20.0</v>
      </c>
      <c r="H1860" s="69">
        <f t="shared" si="108"/>
        <v>255299.94</v>
      </c>
      <c r="I1860" s="76" t="s">
        <v>37</v>
      </c>
      <c r="J1860" s="98" t="s">
        <v>1271</v>
      </c>
      <c r="K1860" s="82" t="s">
        <v>753</v>
      </c>
      <c r="L1860" s="82">
        <v>337.0</v>
      </c>
      <c r="M1860" s="128">
        <v>45935.0</v>
      </c>
      <c r="N1860" s="72">
        <f t="shared" si="110"/>
        <v>193</v>
      </c>
      <c r="O1860" s="9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</row>
    <row r="1861" ht="22.5" customHeight="1">
      <c r="A1861" s="86">
        <v>46007.0</v>
      </c>
      <c r="B1861" s="157" t="s">
        <v>27</v>
      </c>
      <c r="C1861" s="80">
        <v>2714635.56</v>
      </c>
      <c r="D1861" s="79"/>
      <c r="E1861" s="66" t="s">
        <v>28</v>
      </c>
      <c r="F1861" s="67" t="s">
        <v>1099</v>
      </c>
      <c r="G1861" s="68">
        <v>20.0</v>
      </c>
      <c r="H1861" s="69">
        <f t="shared" si="108"/>
        <v>452439.26</v>
      </c>
      <c r="I1861" s="76" t="s">
        <v>37</v>
      </c>
      <c r="J1861" s="98" t="s">
        <v>1271</v>
      </c>
      <c r="K1861" s="82" t="s">
        <v>753</v>
      </c>
      <c r="L1861" s="82">
        <v>339.0</v>
      </c>
      <c r="M1861" s="128">
        <v>45935.0</v>
      </c>
      <c r="N1861" s="72">
        <f t="shared" si="110"/>
        <v>193</v>
      </c>
      <c r="O1861" s="9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</row>
    <row r="1862" ht="22.5" customHeight="1">
      <c r="A1862" s="86">
        <v>46007.0</v>
      </c>
      <c r="B1862" s="137" t="s">
        <v>27</v>
      </c>
      <c r="C1862" s="80">
        <v>2000000.0</v>
      </c>
      <c r="D1862" s="79"/>
      <c r="E1862" s="66" t="s">
        <v>28</v>
      </c>
      <c r="F1862" s="67" t="s">
        <v>604</v>
      </c>
      <c r="G1862" s="68">
        <v>0.0</v>
      </c>
      <c r="H1862" s="69">
        <f t="shared" si="108"/>
        <v>0</v>
      </c>
      <c r="I1862" s="94" t="s">
        <v>598</v>
      </c>
      <c r="J1862" s="98" t="s">
        <v>1413</v>
      </c>
      <c r="K1862" s="95"/>
      <c r="L1862" s="95"/>
      <c r="M1862" s="95"/>
      <c r="N1862" s="72"/>
      <c r="O1862" s="9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</row>
    <row r="1863" ht="22.5" customHeight="1">
      <c r="A1863" s="86">
        <v>46008.0</v>
      </c>
      <c r="B1863" s="139" t="s">
        <v>27</v>
      </c>
      <c r="C1863" s="79"/>
      <c r="D1863" s="80">
        <v>1523731.81</v>
      </c>
      <c r="E1863" s="66" t="s">
        <v>28</v>
      </c>
      <c r="F1863" s="67" t="s">
        <v>1099</v>
      </c>
      <c r="G1863" s="68">
        <v>20.0</v>
      </c>
      <c r="H1863" s="69">
        <f t="shared" si="108"/>
        <v>253955.3017</v>
      </c>
      <c r="I1863" s="76" t="s">
        <v>554</v>
      </c>
      <c r="J1863" s="103" t="s">
        <v>228</v>
      </c>
      <c r="K1863" s="95"/>
      <c r="L1863" s="95"/>
      <c r="M1863" s="95"/>
      <c r="N1863" s="72"/>
      <c r="O1863" s="140" t="s">
        <v>1414</v>
      </c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</row>
    <row r="1864" ht="22.5" customHeight="1">
      <c r="A1864" s="86">
        <v>46008.0</v>
      </c>
      <c r="B1864" s="139" t="s">
        <v>27</v>
      </c>
      <c r="C1864" s="79"/>
      <c r="D1864" s="80">
        <v>306000.0</v>
      </c>
      <c r="E1864" s="66" t="s">
        <v>28</v>
      </c>
      <c r="F1864" s="67" t="s">
        <v>1002</v>
      </c>
      <c r="G1864" s="68">
        <v>20.0</v>
      </c>
      <c r="H1864" s="69">
        <f t="shared" si="108"/>
        <v>51000</v>
      </c>
      <c r="I1864" s="76" t="s">
        <v>61</v>
      </c>
      <c r="J1864" s="87" t="s">
        <v>1415</v>
      </c>
      <c r="K1864" s="95"/>
      <c r="L1864" s="95"/>
      <c r="M1864" s="95"/>
      <c r="N1864" s="72"/>
      <c r="O1864" s="140" t="s">
        <v>1416</v>
      </c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</row>
    <row r="1865" ht="22.5" customHeight="1">
      <c r="A1865" s="86">
        <v>46008.0</v>
      </c>
      <c r="B1865" s="139" t="s">
        <v>27</v>
      </c>
      <c r="C1865" s="79"/>
      <c r="D1865" s="80">
        <v>332047.25</v>
      </c>
      <c r="E1865" s="66" t="s">
        <v>28</v>
      </c>
      <c r="F1865" s="67" t="s">
        <v>1179</v>
      </c>
      <c r="G1865" s="68">
        <v>20.0</v>
      </c>
      <c r="H1865" s="69">
        <f t="shared" si="108"/>
        <v>55341.20833</v>
      </c>
      <c r="I1865" s="76" t="s">
        <v>61</v>
      </c>
      <c r="J1865" s="98" t="s">
        <v>509</v>
      </c>
      <c r="K1865" s="95"/>
      <c r="L1865" s="95"/>
      <c r="M1865" s="95"/>
      <c r="N1865" s="72"/>
      <c r="O1865" s="140" t="s">
        <v>1417</v>
      </c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</row>
    <row r="1866" ht="22.5" customHeight="1">
      <c r="A1866" s="86">
        <v>46008.0</v>
      </c>
      <c r="B1866" s="139" t="s">
        <v>27</v>
      </c>
      <c r="C1866" s="79"/>
      <c r="D1866" s="80">
        <v>366922.42</v>
      </c>
      <c r="E1866" s="66" t="s">
        <v>28</v>
      </c>
      <c r="F1866" s="67" t="s">
        <v>1179</v>
      </c>
      <c r="G1866" s="68">
        <v>20.0</v>
      </c>
      <c r="H1866" s="69">
        <f t="shared" si="108"/>
        <v>61153.73667</v>
      </c>
      <c r="I1866" s="76" t="s">
        <v>44</v>
      </c>
      <c r="J1866" s="98" t="s">
        <v>134</v>
      </c>
      <c r="K1866" s="95"/>
      <c r="L1866" s="95"/>
      <c r="M1866" s="95"/>
      <c r="N1866" s="72"/>
      <c r="O1866" s="140" t="s">
        <v>1418</v>
      </c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</row>
    <row r="1867" ht="22.5" customHeight="1">
      <c r="A1867" s="86">
        <v>46008.0</v>
      </c>
      <c r="B1867" s="139" t="s">
        <v>27</v>
      </c>
      <c r="C1867" s="79"/>
      <c r="D1867" s="80">
        <v>2100.0</v>
      </c>
      <c r="E1867" s="66" t="s">
        <v>28</v>
      </c>
      <c r="F1867" s="67" t="s">
        <v>604</v>
      </c>
      <c r="G1867" s="68">
        <v>5.0</v>
      </c>
      <c r="H1867" s="69">
        <f t="shared" si="108"/>
        <v>100</v>
      </c>
      <c r="I1867" s="76" t="s">
        <v>495</v>
      </c>
      <c r="J1867" s="98" t="s">
        <v>1419</v>
      </c>
      <c r="K1867" s="95"/>
      <c r="L1867" s="95"/>
      <c r="M1867" s="95"/>
      <c r="N1867" s="72"/>
      <c r="O1867" s="140" t="s">
        <v>1420</v>
      </c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</row>
    <row r="1868" ht="22.5" customHeight="1">
      <c r="A1868" s="86">
        <v>46008.0</v>
      </c>
      <c r="B1868" s="139" t="s">
        <v>27</v>
      </c>
      <c r="C1868" s="79"/>
      <c r="D1868" s="80">
        <v>22513.4</v>
      </c>
      <c r="E1868" s="66" t="s">
        <v>28</v>
      </c>
      <c r="F1868" s="67" t="s">
        <v>604</v>
      </c>
      <c r="G1868" s="68">
        <v>5.0</v>
      </c>
      <c r="H1868" s="69">
        <f t="shared" si="108"/>
        <v>1072.066667</v>
      </c>
      <c r="I1868" s="76" t="s">
        <v>495</v>
      </c>
      <c r="J1868" s="98" t="s">
        <v>1419</v>
      </c>
      <c r="K1868" s="95"/>
      <c r="L1868" s="95"/>
      <c r="M1868" s="95"/>
      <c r="N1868" s="72"/>
      <c r="O1868" s="140" t="s">
        <v>1421</v>
      </c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</row>
    <row r="1869" ht="22.5" customHeight="1">
      <c r="A1869" s="86">
        <v>46008.0</v>
      </c>
      <c r="B1869" s="139" t="s">
        <v>27</v>
      </c>
      <c r="C1869" s="79"/>
      <c r="D1869" s="80">
        <v>10687.92</v>
      </c>
      <c r="E1869" s="66" t="s">
        <v>28</v>
      </c>
      <c r="F1869" s="67" t="s">
        <v>1179</v>
      </c>
      <c r="G1869" s="68">
        <v>0.0</v>
      </c>
      <c r="H1869" s="69">
        <f t="shared" si="108"/>
        <v>0</v>
      </c>
      <c r="I1869" s="76" t="s">
        <v>495</v>
      </c>
      <c r="J1869" s="98" t="s">
        <v>1419</v>
      </c>
      <c r="K1869" s="95"/>
      <c r="L1869" s="95"/>
      <c r="M1869" s="95"/>
      <c r="N1869" s="72"/>
      <c r="O1869" s="140" t="s">
        <v>1422</v>
      </c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</row>
    <row r="1870" ht="22.5" customHeight="1">
      <c r="A1870" s="86">
        <v>46008.0</v>
      </c>
      <c r="B1870" s="139" t="s">
        <v>27</v>
      </c>
      <c r="C1870" s="79"/>
      <c r="D1870" s="80">
        <v>600.0</v>
      </c>
      <c r="E1870" s="66" t="s">
        <v>28</v>
      </c>
      <c r="F1870" s="67" t="s">
        <v>608</v>
      </c>
      <c r="G1870" s="68">
        <v>20.0</v>
      </c>
      <c r="H1870" s="69">
        <f t="shared" si="108"/>
        <v>100</v>
      </c>
      <c r="I1870" s="76" t="s">
        <v>61</v>
      </c>
      <c r="J1870" s="98" t="s">
        <v>942</v>
      </c>
      <c r="K1870" s="95"/>
      <c r="L1870" s="95"/>
      <c r="M1870" s="95"/>
      <c r="N1870" s="72"/>
      <c r="O1870" s="140" t="s">
        <v>1423</v>
      </c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</row>
    <row r="1871" ht="22.5" customHeight="1">
      <c r="A1871" s="86">
        <v>46008.0</v>
      </c>
      <c r="B1871" s="139" t="s">
        <v>27</v>
      </c>
      <c r="C1871" s="79"/>
      <c r="D1871" s="80">
        <v>189269.96</v>
      </c>
      <c r="E1871" s="66" t="s">
        <v>28</v>
      </c>
      <c r="F1871" s="67" t="s">
        <v>608</v>
      </c>
      <c r="G1871" s="68">
        <v>20.0</v>
      </c>
      <c r="H1871" s="69">
        <f t="shared" si="108"/>
        <v>31544.99333</v>
      </c>
      <c r="I1871" s="76" t="s">
        <v>30</v>
      </c>
      <c r="J1871" s="98" t="s">
        <v>1335</v>
      </c>
      <c r="K1871" s="95"/>
      <c r="L1871" s="95"/>
      <c r="M1871" s="95"/>
      <c r="N1871" s="72"/>
      <c r="O1871" s="96"/>
    </row>
    <row r="1872" ht="22.5" customHeight="1">
      <c r="A1872" s="86">
        <v>46008.0</v>
      </c>
      <c r="B1872" s="139" t="s">
        <v>27</v>
      </c>
      <c r="C1872" s="79"/>
      <c r="D1872" s="80">
        <v>20400.0</v>
      </c>
      <c r="E1872" s="66" t="s">
        <v>28</v>
      </c>
      <c r="F1872" s="67" t="s">
        <v>604</v>
      </c>
      <c r="G1872" s="68">
        <v>20.0</v>
      </c>
      <c r="H1872" s="69">
        <f t="shared" si="108"/>
        <v>3400</v>
      </c>
      <c r="I1872" s="76" t="s">
        <v>495</v>
      </c>
      <c r="J1872" s="98" t="s">
        <v>910</v>
      </c>
      <c r="K1872" s="95"/>
      <c r="L1872" s="95"/>
      <c r="M1872" s="95"/>
      <c r="N1872" s="72"/>
      <c r="O1872" s="140" t="s">
        <v>1424</v>
      </c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</row>
    <row r="1873" ht="22.5" customHeight="1">
      <c r="A1873" s="86">
        <v>46008.0</v>
      </c>
      <c r="B1873" s="139" t="s">
        <v>27</v>
      </c>
      <c r="C1873" s="79"/>
      <c r="D1873" s="80">
        <v>360000.0</v>
      </c>
      <c r="E1873" s="66" t="s">
        <v>28</v>
      </c>
      <c r="F1873" s="67" t="s">
        <v>608</v>
      </c>
      <c r="G1873" s="68">
        <v>20.0</v>
      </c>
      <c r="H1873" s="69">
        <f t="shared" si="108"/>
        <v>60000</v>
      </c>
      <c r="I1873" s="76" t="s">
        <v>61</v>
      </c>
      <c r="J1873" s="98" t="s">
        <v>942</v>
      </c>
      <c r="K1873" s="95"/>
      <c r="L1873" s="95"/>
      <c r="M1873" s="95"/>
      <c r="N1873" s="72"/>
      <c r="O1873" s="163" t="s">
        <v>1425</v>
      </c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</row>
    <row r="1874" ht="22.5" customHeight="1">
      <c r="A1874" s="86">
        <v>46008.0</v>
      </c>
      <c r="B1874" s="137" t="s">
        <v>27</v>
      </c>
      <c r="C1874" s="79"/>
      <c r="D1874" s="80">
        <v>20640.0</v>
      </c>
      <c r="E1874" s="66" t="s">
        <v>28</v>
      </c>
      <c r="F1874" s="67" t="s">
        <v>604</v>
      </c>
      <c r="G1874" s="68">
        <v>0.0</v>
      </c>
      <c r="H1874" s="69">
        <f t="shared" si="108"/>
        <v>0</v>
      </c>
      <c r="I1874" s="89" t="s">
        <v>490</v>
      </c>
      <c r="J1874" s="98" t="s">
        <v>1426</v>
      </c>
      <c r="K1874" s="95"/>
      <c r="L1874" s="95"/>
      <c r="M1874" s="95"/>
      <c r="N1874" s="72"/>
      <c r="O1874" s="83" t="s">
        <v>1427</v>
      </c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</row>
    <row r="1875" ht="22.5" customHeight="1">
      <c r="A1875" s="86">
        <v>46010.0</v>
      </c>
      <c r="B1875" s="157" t="s">
        <v>27</v>
      </c>
      <c r="C1875" s="80">
        <v>2289637.51</v>
      </c>
      <c r="D1875" s="79"/>
      <c r="E1875" s="66" t="s">
        <v>28</v>
      </c>
      <c r="F1875" s="84" t="s">
        <v>941</v>
      </c>
      <c r="G1875" s="68">
        <v>20.0</v>
      </c>
      <c r="H1875" s="69">
        <f t="shared" si="108"/>
        <v>381606.2517</v>
      </c>
      <c r="I1875" s="76" t="s">
        <v>37</v>
      </c>
      <c r="J1875" s="87" t="s">
        <v>1167</v>
      </c>
      <c r="K1875" s="82" t="s">
        <v>1428</v>
      </c>
      <c r="L1875" s="82">
        <v>284.0</v>
      </c>
      <c r="M1875" s="128">
        <v>45876.0</v>
      </c>
      <c r="N1875" s="72">
        <f t="shared" ref="N1875:N1878" si="111">TODAY()-M1875-90</f>
        <v>222</v>
      </c>
      <c r="O1875" s="9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</row>
    <row r="1876" ht="22.5" customHeight="1">
      <c r="A1876" s="86">
        <v>46010.0</v>
      </c>
      <c r="B1876" s="157" t="s">
        <v>27</v>
      </c>
      <c r="C1876" s="80">
        <v>600000.0</v>
      </c>
      <c r="D1876" s="79"/>
      <c r="E1876" s="66" t="s">
        <v>28</v>
      </c>
      <c r="F1876" s="84" t="s">
        <v>941</v>
      </c>
      <c r="G1876" s="68">
        <v>20.0</v>
      </c>
      <c r="H1876" s="69">
        <f t="shared" si="108"/>
        <v>100000</v>
      </c>
      <c r="I1876" s="76" t="s">
        <v>37</v>
      </c>
      <c r="J1876" s="87" t="s">
        <v>1167</v>
      </c>
      <c r="K1876" s="82" t="s">
        <v>1429</v>
      </c>
      <c r="L1876" s="82">
        <v>285.0</v>
      </c>
      <c r="M1876" s="128">
        <v>45877.0</v>
      </c>
      <c r="N1876" s="72">
        <f t="shared" si="111"/>
        <v>221</v>
      </c>
      <c r="O1876" s="9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</row>
    <row r="1877" ht="22.5" customHeight="1">
      <c r="A1877" s="86">
        <v>46010.0</v>
      </c>
      <c r="B1877" s="157" t="s">
        <v>27</v>
      </c>
      <c r="C1877" s="80">
        <v>594323.52</v>
      </c>
      <c r="D1877" s="79"/>
      <c r="E1877" s="66" t="s">
        <v>28</v>
      </c>
      <c r="F1877" s="84" t="s">
        <v>941</v>
      </c>
      <c r="G1877" s="68">
        <v>20.0</v>
      </c>
      <c r="H1877" s="69">
        <f t="shared" si="108"/>
        <v>99053.92</v>
      </c>
      <c r="I1877" s="76" t="s">
        <v>37</v>
      </c>
      <c r="J1877" s="87" t="s">
        <v>1167</v>
      </c>
      <c r="K1877" s="82" t="s">
        <v>1430</v>
      </c>
      <c r="L1877" s="82">
        <v>297.0</v>
      </c>
      <c r="M1877" s="128">
        <v>45880.0</v>
      </c>
      <c r="N1877" s="72">
        <f t="shared" si="111"/>
        <v>218</v>
      </c>
      <c r="O1877" s="9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</row>
    <row r="1878" ht="22.5" customHeight="1">
      <c r="A1878" s="86">
        <v>46010.0</v>
      </c>
      <c r="B1878" s="157" t="s">
        <v>27</v>
      </c>
      <c r="C1878" s="80">
        <v>205694.42</v>
      </c>
      <c r="D1878" s="79"/>
      <c r="E1878" s="66" t="s">
        <v>28</v>
      </c>
      <c r="F1878" s="84" t="s">
        <v>941</v>
      </c>
      <c r="G1878" s="68">
        <v>20.0</v>
      </c>
      <c r="H1878" s="69">
        <f t="shared" si="108"/>
        <v>34282.40333</v>
      </c>
      <c r="I1878" s="76" t="s">
        <v>37</v>
      </c>
      <c r="J1878" s="87" t="s">
        <v>1167</v>
      </c>
      <c r="K1878" s="82" t="s">
        <v>1431</v>
      </c>
      <c r="L1878" s="82">
        <v>298.0</v>
      </c>
      <c r="M1878" s="128">
        <v>45880.0</v>
      </c>
      <c r="N1878" s="72">
        <f t="shared" si="111"/>
        <v>218</v>
      </c>
      <c r="O1878" s="9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</row>
    <row r="1879" ht="22.5" customHeight="1">
      <c r="A1879" s="86">
        <v>46010.0</v>
      </c>
      <c r="B1879" s="157" t="s">
        <v>27</v>
      </c>
      <c r="C1879" s="80">
        <v>1050000.0</v>
      </c>
      <c r="D1879" s="80"/>
      <c r="E1879" s="66" t="s">
        <v>28</v>
      </c>
      <c r="F1879" s="67" t="s">
        <v>608</v>
      </c>
      <c r="G1879" s="68">
        <v>20.0</v>
      </c>
      <c r="H1879" s="69">
        <f t="shared" si="108"/>
        <v>175000</v>
      </c>
      <c r="I1879" s="76" t="s">
        <v>37</v>
      </c>
      <c r="J1879" s="98" t="s">
        <v>605</v>
      </c>
      <c r="K1879" s="82" t="s">
        <v>753</v>
      </c>
      <c r="L1879" s="82">
        <v>416.0</v>
      </c>
      <c r="M1879" s="128">
        <v>45995.0</v>
      </c>
      <c r="N1879" s="153">
        <f>TODAY()-M1879-60</f>
        <v>133</v>
      </c>
      <c r="O1879" s="9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</row>
    <row r="1880" ht="22.5" customHeight="1">
      <c r="A1880" s="86">
        <v>46013.0</v>
      </c>
      <c r="B1880" s="157" t="s">
        <v>27</v>
      </c>
      <c r="C1880" s="80">
        <v>518467.18</v>
      </c>
      <c r="D1880" s="80"/>
      <c r="E1880" s="66" t="s">
        <v>28</v>
      </c>
      <c r="F1880" s="67" t="s">
        <v>1002</v>
      </c>
      <c r="G1880" s="68">
        <v>20.0</v>
      </c>
      <c r="H1880" s="69">
        <f t="shared" si="108"/>
        <v>86411.19667</v>
      </c>
      <c r="I1880" s="76" t="s">
        <v>37</v>
      </c>
      <c r="J1880" s="98" t="s">
        <v>1167</v>
      </c>
      <c r="K1880" s="82" t="s">
        <v>1432</v>
      </c>
      <c r="L1880" s="82">
        <v>310.0</v>
      </c>
      <c r="M1880" s="128">
        <v>45910.0</v>
      </c>
      <c r="N1880" s="72">
        <f t="shared" ref="N1880:N1884" si="112">TODAY()-M1880-90</f>
        <v>188</v>
      </c>
      <c r="O1880" s="9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</row>
    <row r="1881" ht="22.5" customHeight="1">
      <c r="A1881" s="86">
        <v>46013.0</v>
      </c>
      <c r="B1881" s="157" t="s">
        <v>27</v>
      </c>
      <c r="C1881" s="80">
        <v>600040.0</v>
      </c>
      <c r="D1881" s="80"/>
      <c r="E1881" s="66" t="s">
        <v>28</v>
      </c>
      <c r="F1881" s="67" t="s">
        <v>1002</v>
      </c>
      <c r="G1881" s="68">
        <v>20.0</v>
      </c>
      <c r="H1881" s="69">
        <f t="shared" si="108"/>
        <v>100006.6667</v>
      </c>
      <c r="I1881" s="76" t="s">
        <v>37</v>
      </c>
      <c r="J1881" s="98" t="s">
        <v>1167</v>
      </c>
      <c r="K1881" s="82" t="s">
        <v>1433</v>
      </c>
      <c r="L1881" s="82">
        <v>311.0</v>
      </c>
      <c r="M1881" s="128">
        <v>45910.0</v>
      </c>
      <c r="N1881" s="72">
        <f t="shared" si="112"/>
        <v>188</v>
      </c>
      <c r="O1881" s="9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</row>
    <row r="1882" ht="22.5" customHeight="1">
      <c r="A1882" s="86">
        <v>46013.0</v>
      </c>
      <c r="B1882" s="157" t="s">
        <v>27</v>
      </c>
      <c r="C1882" s="80">
        <v>600000.0</v>
      </c>
      <c r="D1882" s="80"/>
      <c r="E1882" s="66" t="s">
        <v>28</v>
      </c>
      <c r="F1882" s="67" t="s">
        <v>1002</v>
      </c>
      <c r="G1882" s="68">
        <v>20.0</v>
      </c>
      <c r="H1882" s="69">
        <f t="shared" si="108"/>
        <v>100000</v>
      </c>
      <c r="I1882" s="76" t="s">
        <v>37</v>
      </c>
      <c r="J1882" s="98" t="s">
        <v>1167</v>
      </c>
      <c r="K1882" s="82" t="s">
        <v>1434</v>
      </c>
      <c r="L1882" s="82">
        <v>312.0</v>
      </c>
      <c r="M1882" s="128">
        <v>45910.0</v>
      </c>
      <c r="N1882" s="72">
        <f t="shared" si="112"/>
        <v>188</v>
      </c>
      <c r="O1882" s="9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</row>
    <row r="1883" ht="22.5" customHeight="1">
      <c r="A1883" s="86">
        <v>46013.0</v>
      </c>
      <c r="B1883" s="157" t="s">
        <v>27</v>
      </c>
      <c r="C1883" s="80">
        <v>1200000.0</v>
      </c>
      <c r="D1883" s="80"/>
      <c r="E1883" s="66" t="s">
        <v>28</v>
      </c>
      <c r="F1883" s="67" t="s">
        <v>1002</v>
      </c>
      <c r="G1883" s="68">
        <v>20.0</v>
      </c>
      <c r="H1883" s="69">
        <f t="shared" si="108"/>
        <v>200000</v>
      </c>
      <c r="I1883" s="76" t="s">
        <v>37</v>
      </c>
      <c r="J1883" s="98" t="s">
        <v>1167</v>
      </c>
      <c r="K1883" s="82" t="s">
        <v>1435</v>
      </c>
      <c r="L1883" s="82">
        <v>313.0</v>
      </c>
      <c r="M1883" s="128">
        <v>45910.0</v>
      </c>
      <c r="N1883" s="72">
        <f t="shared" si="112"/>
        <v>188</v>
      </c>
      <c r="O1883" s="9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</row>
    <row r="1884" ht="22.5" customHeight="1">
      <c r="A1884" s="86">
        <v>46013.0</v>
      </c>
      <c r="B1884" s="157" t="s">
        <v>27</v>
      </c>
      <c r="C1884" s="80">
        <v>600000.0</v>
      </c>
      <c r="D1884" s="80"/>
      <c r="E1884" s="66" t="s">
        <v>28</v>
      </c>
      <c r="F1884" s="67" t="s">
        <v>1002</v>
      </c>
      <c r="G1884" s="68">
        <v>20.0</v>
      </c>
      <c r="H1884" s="69">
        <f t="shared" si="108"/>
        <v>100000</v>
      </c>
      <c r="I1884" s="76" t="s">
        <v>37</v>
      </c>
      <c r="J1884" s="98" t="s">
        <v>1167</v>
      </c>
      <c r="K1884" s="82" t="s">
        <v>1436</v>
      </c>
      <c r="L1884" s="82">
        <v>315.0</v>
      </c>
      <c r="M1884" s="128">
        <v>45910.0</v>
      </c>
      <c r="N1884" s="72">
        <f t="shared" si="112"/>
        <v>188</v>
      </c>
      <c r="O1884" s="9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</row>
    <row r="1885" ht="22.5" customHeight="1">
      <c r="A1885" s="86">
        <v>46013.0</v>
      </c>
      <c r="B1885" s="157" t="s">
        <v>27</v>
      </c>
      <c r="C1885" s="80">
        <v>28289.09</v>
      </c>
      <c r="D1885" s="80"/>
      <c r="E1885" s="66" t="s">
        <v>28</v>
      </c>
      <c r="F1885" s="67" t="s">
        <v>1002</v>
      </c>
      <c r="G1885" s="68">
        <v>20.0</v>
      </c>
      <c r="H1885" s="69">
        <f t="shared" si="108"/>
        <v>4714.848333</v>
      </c>
      <c r="I1885" s="76" t="s">
        <v>37</v>
      </c>
      <c r="J1885" s="98" t="s">
        <v>1167</v>
      </c>
      <c r="K1885" s="82" t="s">
        <v>1437</v>
      </c>
      <c r="L1885" s="82">
        <v>324.0</v>
      </c>
      <c r="M1885" s="128">
        <v>45910.0</v>
      </c>
      <c r="N1885" s="72">
        <f>TODAY()-M1885-60</f>
        <v>218</v>
      </c>
      <c r="O1885" s="9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</row>
    <row r="1886" ht="22.5" customHeight="1">
      <c r="A1886" s="86">
        <v>46014.0</v>
      </c>
      <c r="B1886" s="139" t="s">
        <v>27</v>
      </c>
      <c r="C1886" s="79"/>
      <c r="D1886" s="80">
        <v>623700.0</v>
      </c>
      <c r="E1886" s="66" t="s">
        <v>28</v>
      </c>
      <c r="F1886" s="84" t="s">
        <v>951</v>
      </c>
      <c r="G1886" s="68">
        <v>0.0</v>
      </c>
      <c r="H1886" s="69">
        <f t="shared" si="108"/>
        <v>0</v>
      </c>
      <c r="I1886" s="76" t="s">
        <v>322</v>
      </c>
      <c r="J1886" s="152" t="s">
        <v>1438</v>
      </c>
      <c r="K1886" s="95"/>
      <c r="L1886" s="95"/>
      <c r="M1886" s="95"/>
      <c r="N1886" s="72"/>
      <c r="O1886" s="140" t="s">
        <v>1439</v>
      </c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</row>
    <row r="1887" ht="22.5" customHeight="1">
      <c r="A1887" s="86">
        <v>46014.0</v>
      </c>
      <c r="B1887" s="139" t="s">
        <v>27</v>
      </c>
      <c r="C1887" s="79"/>
      <c r="D1887" s="80">
        <v>1347302.04</v>
      </c>
      <c r="E1887" s="66" t="s">
        <v>28</v>
      </c>
      <c r="F1887" s="84" t="s">
        <v>951</v>
      </c>
      <c r="G1887" s="68">
        <v>0.0</v>
      </c>
      <c r="H1887" s="69">
        <f t="shared" si="108"/>
        <v>0</v>
      </c>
      <c r="I1887" s="76" t="s">
        <v>322</v>
      </c>
      <c r="J1887" s="98" t="s">
        <v>539</v>
      </c>
      <c r="K1887" s="95"/>
      <c r="L1887" s="95"/>
      <c r="M1887" s="95"/>
      <c r="N1887" s="72"/>
      <c r="O1887" s="140" t="s">
        <v>1440</v>
      </c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</row>
    <row r="1888" ht="22.5" customHeight="1">
      <c r="A1888" s="86">
        <v>46014.0</v>
      </c>
      <c r="B1888" s="139" t="s">
        <v>27</v>
      </c>
      <c r="C1888" s="79"/>
      <c r="D1888" s="80">
        <v>98059.52000000002</v>
      </c>
      <c r="E1888" s="66" t="s">
        <v>28</v>
      </c>
      <c r="F1888" s="84" t="s">
        <v>951</v>
      </c>
      <c r="G1888" s="68">
        <v>0.0</v>
      </c>
      <c r="H1888" s="69">
        <f t="shared" si="108"/>
        <v>0</v>
      </c>
      <c r="I1888" s="76" t="s">
        <v>322</v>
      </c>
      <c r="J1888" s="87" t="s">
        <v>474</v>
      </c>
      <c r="K1888" s="95"/>
      <c r="L1888" s="95"/>
      <c r="M1888" s="95"/>
      <c r="N1888" s="72"/>
      <c r="O1888" s="140" t="s">
        <v>1412</v>
      </c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</row>
    <row r="1889" ht="22.5" customHeight="1">
      <c r="A1889" s="86">
        <v>46014.0</v>
      </c>
      <c r="B1889" s="139" t="s">
        <v>27</v>
      </c>
      <c r="C1889" s="79"/>
      <c r="D1889" s="80">
        <v>1383478.54</v>
      </c>
      <c r="E1889" s="66" t="s">
        <v>28</v>
      </c>
      <c r="F1889" s="84" t="s">
        <v>951</v>
      </c>
      <c r="G1889" s="68">
        <v>0.0</v>
      </c>
      <c r="H1889" s="69">
        <f t="shared" si="108"/>
        <v>0</v>
      </c>
      <c r="I1889" s="76" t="s">
        <v>322</v>
      </c>
      <c r="J1889" s="152" t="s">
        <v>549</v>
      </c>
      <c r="K1889" s="95"/>
      <c r="L1889" s="95"/>
      <c r="M1889" s="95"/>
      <c r="N1889" s="72"/>
      <c r="O1889" s="140" t="s">
        <v>1441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</row>
    <row r="1890" ht="22.5" customHeight="1">
      <c r="A1890" s="86">
        <v>46014.0</v>
      </c>
      <c r="B1890" s="139" t="s">
        <v>27</v>
      </c>
      <c r="C1890" s="79"/>
      <c r="D1890" s="80">
        <v>4000000.0</v>
      </c>
      <c r="E1890" s="66" t="s">
        <v>28</v>
      </c>
      <c r="F1890" s="84" t="s">
        <v>674</v>
      </c>
      <c r="G1890" s="68">
        <v>20.0</v>
      </c>
      <c r="H1890" s="69">
        <f t="shared" si="108"/>
        <v>666666.6667</v>
      </c>
      <c r="I1890" s="76" t="s">
        <v>101</v>
      </c>
      <c r="J1890" s="136" t="s">
        <v>725</v>
      </c>
      <c r="K1890" s="95"/>
      <c r="L1890" s="95"/>
      <c r="M1890" s="95"/>
      <c r="N1890" s="72"/>
      <c r="O1890" s="140" t="s">
        <v>1442</v>
      </c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</row>
    <row r="1891" ht="22.5" customHeight="1">
      <c r="A1891" s="86">
        <v>46014.0</v>
      </c>
      <c r="B1891" s="139" t="s">
        <v>27</v>
      </c>
      <c r="C1891" s="79"/>
      <c r="D1891" s="80">
        <v>739498.69</v>
      </c>
      <c r="E1891" s="66" t="s">
        <v>28</v>
      </c>
      <c r="F1891" s="67" t="s">
        <v>941</v>
      </c>
      <c r="G1891" s="69">
        <v>0.0</v>
      </c>
      <c r="H1891" s="69">
        <f t="shared" si="108"/>
        <v>0</v>
      </c>
      <c r="I1891" s="76" t="s">
        <v>93</v>
      </c>
      <c r="J1891" s="133" t="s">
        <v>516</v>
      </c>
      <c r="K1891" s="95"/>
      <c r="L1891" s="95"/>
      <c r="M1891" s="95"/>
      <c r="N1891" s="72"/>
      <c r="O1891" s="140" t="s">
        <v>1443</v>
      </c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</row>
    <row r="1892" ht="22.5" customHeight="1">
      <c r="A1892" s="86">
        <v>46014.0</v>
      </c>
      <c r="B1892" s="139" t="s">
        <v>27</v>
      </c>
      <c r="C1892" s="79"/>
      <c r="D1892" s="80">
        <v>719197.44</v>
      </c>
      <c r="E1892" s="66" t="s">
        <v>28</v>
      </c>
      <c r="F1892" s="67" t="s">
        <v>1179</v>
      </c>
      <c r="G1892" s="68">
        <v>20.0</v>
      </c>
      <c r="H1892" s="69">
        <f t="shared" si="108"/>
        <v>119866.24</v>
      </c>
      <c r="I1892" s="76" t="s">
        <v>61</v>
      </c>
      <c r="J1892" s="103" t="s">
        <v>228</v>
      </c>
      <c r="K1892" s="95"/>
      <c r="L1892" s="95"/>
      <c r="M1892" s="95"/>
      <c r="N1892" s="72"/>
      <c r="O1892" s="140" t="s">
        <v>1444</v>
      </c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</row>
    <row r="1893" ht="22.5" customHeight="1">
      <c r="A1893" s="86">
        <v>46014.0</v>
      </c>
      <c r="B1893" s="137" t="s">
        <v>27</v>
      </c>
      <c r="C1893" s="79"/>
      <c r="D1893" s="80">
        <v>50000.0</v>
      </c>
      <c r="E1893" s="66" t="s">
        <v>33</v>
      </c>
      <c r="F1893" s="67" t="s">
        <v>604</v>
      </c>
      <c r="G1893" s="68">
        <v>0.0</v>
      </c>
      <c r="H1893" s="69">
        <f t="shared" si="108"/>
        <v>0</v>
      </c>
      <c r="I1893" s="89" t="s">
        <v>53</v>
      </c>
      <c r="J1893" s="98" t="s">
        <v>128</v>
      </c>
      <c r="K1893" s="95"/>
      <c r="L1893" s="95"/>
      <c r="M1893" s="95"/>
      <c r="N1893" s="72"/>
      <c r="O1893" s="9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</row>
    <row r="1894" ht="22.5" customHeight="1">
      <c r="A1894" s="86">
        <v>46014.0</v>
      </c>
      <c r="B1894" s="137" t="s">
        <v>27</v>
      </c>
      <c r="C1894" s="79"/>
      <c r="D1894" s="80">
        <v>24500.0</v>
      </c>
      <c r="E1894" s="66" t="s">
        <v>33</v>
      </c>
      <c r="F1894" s="67" t="s">
        <v>604</v>
      </c>
      <c r="G1894" s="68">
        <v>0.0</v>
      </c>
      <c r="H1894" s="69">
        <f t="shared" si="108"/>
        <v>0</v>
      </c>
      <c r="I1894" s="89" t="s">
        <v>490</v>
      </c>
      <c r="J1894" s="98" t="s">
        <v>1445</v>
      </c>
      <c r="K1894" s="95"/>
      <c r="L1894" s="95"/>
      <c r="M1894" s="95"/>
      <c r="N1894" s="72"/>
      <c r="O1894" s="9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</row>
    <row r="1895" ht="22.5" customHeight="1">
      <c r="A1895" s="86">
        <v>46014.0</v>
      </c>
      <c r="B1895" s="137" t="s">
        <v>27</v>
      </c>
      <c r="C1895" s="79"/>
      <c r="D1895" s="80">
        <v>60000.0</v>
      </c>
      <c r="E1895" s="66" t="s">
        <v>33</v>
      </c>
      <c r="F1895" s="67" t="s">
        <v>604</v>
      </c>
      <c r="G1895" s="68">
        <v>0.0</v>
      </c>
      <c r="H1895" s="69">
        <f t="shared" si="108"/>
        <v>0</v>
      </c>
      <c r="I1895" s="89" t="s">
        <v>53</v>
      </c>
      <c r="J1895" s="98" t="s">
        <v>1446</v>
      </c>
      <c r="K1895" s="95"/>
      <c r="L1895" s="95"/>
      <c r="M1895" s="95"/>
      <c r="N1895" s="72"/>
      <c r="O1895" s="9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</row>
    <row r="1896" ht="22.5" customHeight="1">
      <c r="A1896" s="86">
        <v>46014.0</v>
      </c>
      <c r="B1896" s="137" t="s">
        <v>27</v>
      </c>
      <c r="C1896" s="79"/>
      <c r="D1896" s="80">
        <v>9000.0</v>
      </c>
      <c r="E1896" s="66" t="s">
        <v>33</v>
      </c>
      <c r="F1896" s="67" t="s">
        <v>604</v>
      </c>
      <c r="G1896" s="68">
        <v>0.0</v>
      </c>
      <c r="H1896" s="69">
        <f t="shared" si="108"/>
        <v>0</v>
      </c>
      <c r="I1896" s="89" t="s">
        <v>30</v>
      </c>
      <c r="J1896" s="98" t="s">
        <v>1447</v>
      </c>
      <c r="K1896" s="95"/>
      <c r="L1896" s="95"/>
      <c r="M1896" s="95"/>
      <c r="N1896" s="72"/>
      <c r="O1896" s="9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</row>
    <row r="1897" ht="22.5" customHeight="1">
      <c r="A1897" s="86">
        <v>46014.0</v>
      </c>
      <c r="B1897" s="137" t="s">
        <v>27</v>
      </c>
      <c r="C1897" s="79"/>
      <c r="D1897" s="80">
        <v>30000.0</v>
      </c>
      <c r="E1897" s="66" t="s">
        <v>33</v>
      </c>
      <c r="F1897" s="67" t="s">
        <v>608</v>
      </c>
      <c r="G1897" s="68">
        <v>0.0</v>
      </c>
      <c r="H1897" s="69">
        <f t="shared" si="108"/>
        <v>0</v>
      </c>
      <c r="I1897" s="89" t="s">
        <v>53</v>
      </c>
      <c r="J1897" s="98" t="s">
        <v>1347</v>
      </c>
      <c r="K1897" s="95"/>
      <c r="L1897" s="95"/>
      <c r="M1897" s="95"/>
      <c r="N1897" s="72"/>
      <c r="O1897" s="9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</row>
    <row r="1898" ht="22.5" customHeight="1">
      <c r="A1898" s="86">
        <v>46016.0</v>
      </c>
      <c r="B1898" s="157" t="s">
        <v>27</v>
      </c>
      <c r="C1898" s="80">
        <v>960000.0</v>
      </c>
      <c r="D1898" s="79"/>
      <c r="E1898" s="66" t="s">
        <v>28</v>
      </c>
      <c r="F1898" s="67" t="s">
        <v>1179</v>
      </c>
      <c r="G1898" s="68">
        <v>20.0</v>
      </c>
      <c r="H1898" s="69">
        <f t="shared" si="108"/>
        <v>160000</v>
      </c>
      <c r="I1898" s="76" t="s">
        <v>37</v>
      </c>
      <c r="J1898" s="98" t="s">
        <v>624</v>
      </c>
      <c r="K1898" s="82" t="s">
        <v>1234</v>
      </c>
      <c r="L1898" s="82">
        <v>377.0</v>
      </c>
      <c r="M1898" s="132">
        <v>45972.0</v>
      </c>
      <c r="N1898" s="72"/>
      <c r="O1898" s="9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</row>
    <row r="1899" ht="22.5" customHeight="1">
      <c r="A1899" s="86">
        <v>46016.0</v>
      </c>
      <c r="B1899" s="157" t="s">
        <v>27</v>
      </c>
      <c r="C1899" s="80">
        <v>1807626.0</v>
      </c>
      <c r="D1899" s="79"/>
      <c r="E1899" s="66" t="s">
        <v>28</v>
      </c>
      <c r="F1899" s="67" t="s">
        <v>1179</v>
      </c>
      <c r="G1899" s="68">
        <v>20.0</v>
      </c>
      <c r="H1899" s="69">
        <f t="shared" si="108"/>
        <v>301271</v>
      </c>
      <c r="I1899" s="76" t="s">
        <v>37</v>
      </c>
      <c r="J1899" s="87" t="s">
        <v>849</v>
      </c>
      <c r="K1899" s="82" t="s">
        <v>950</v>
      </c>
      <c r="L1899" s="82">
        <v>397.0</v>
      </c>
      <c r="M1899" s="132">
        <v>45972.0</v>
      </c>
      <c r="N1899" s="72"/>
      <c r="O1899" s="9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</row>
    <row r="1900" ht="22.5" customHeight="1">
      <c r="A1900" s="86">
        <v>46016.0</v>
      </c>
      <c r="B1900" s="137" t="s">
        <v>27</v>
      </c>
      <c r="C1900" s="79"/>
      <c r="D1900" s="80">
        <v>27800.0</v>
      </c>
      <c r="E1900" s="66" t="s">
        <v>33</v>
      </c>
      <c r="F1900" s="67" t="s">
        <v>604</v>
      </c>
      <c r="G1900" s="68">
        <v>0.0</v>
      </c>
      <c r="H1900" s="69">
        <f t="shared" si="108"/>
        <v>0</v>
      </c>
      <c r="I1900" s="89" t="s">
        <v>35</v>
      </c>
      <c r="J1900" s="98" t="s">
        <v>1448</v>
      </c>
      <c r="K1900" s="95"/>
      <c r="L1900" s="95"/>
      <c r="M1900" s="95"/>
      <c r="N1900" s="72"/>
      <c r="O1900" s="9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</row>
    <row r="1901" ht="22.5" customHeight="1">
      <c r="A1901" s="86">
        <v>46016.0</v>
      </c>
      <c r="B1901" s="137" t="s">
        <v>27</v>
      </c>
      <c r="C1901" s="79"/>
      <c r="D1901" s="80">
        <v>70000.0</v>
      </c>
      <c r="E1901" s="66" t="s">
        <v>33</v>
      </c>
      <c r="F1901" s="67" t="s">
        <v>604</v>
      </c>
      <c r="G1901" s="68">
        <v>0.0</v>
      </c>
      <c r="H1901" s="69">
        <f t="shared" si="108"/>
        <v>0</v>
      </c>
      <c r="I1901" s="89" t="s">
        <v>490</v>
      </c>
      <c r="J1901" s="98" t="s">
        <v>1449</v>
      </c>
      <c r="K1901" s="95"/>
      <c r="L1901" s="95"/>
      <c r="M1901" s="95"/>
      <c r="N1901" s="72"/>
      <c r="O1901" s="9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</row>
    <row r="1902" ht="22.5" customHeight="1">
      <c r="A1902" s="86">
        <v>46016.0</v>
      </c>
      <c r="B1902" s="137" t="s">
        <v>27</v>
      </c>
      <c r="C1902" s="79"/>
      <c r="D1902" s="79">
        <f>1239411+367.45+16025</f>
        <v>1255803.45</v>
      </c>
      <c r="E1902" s="66" t="s">
        <v>28</v>
      </c>
      <c r="F1902" s="67" t="s">
        <v>604</v>
      </c>
      <c r="G1902" s="68">
        <v>0.0</v>
      </c>
      <c r="H1902" s="69">
        <f t="shared" si="108"/>
        <v>0</v>
      </c>
      <c r="I1902" s="89" t="s">
        <v>280</v>
      </c>
      <c r="J1902" s="81"/>
      <c r="K1902" s="95"/>
      <c r="L1902" s="95"/>
      <c r="M1902" s="95"/>
      <c r="N1902" s="72"/>
      <c r="O1902" s="9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</row>
    <row r="1903" ht="22.5" customHeight="1">
      <c r="A1903" s="86">
        <v>46017.0</v>
      </c>
      <c r="B1903" s="137" t="s">
        <v>27</v>
      </c>
      <c r="C1903" s="79"/>
      <c r="D1903" s="80">
        <v>490000.0</v>
      </c>
      <c r="E1903" s="66" t="s">
        <v>28</v>
      </c>
      <c r="F1903" s="67" t="s">
        <v>604</v>
      </c>
      <c r="G1903" s="68">
        <v>0.0</v>
      </c>
      <c r="H1903" s="69">
        <f t="shared" si="108"/>
        <v>0</v>
      </c>
      <c r="I1903" s="89" t="s">
        <v>504</v>
      </c>
      <c r="J1903" s="98" t="s">
        <v>505</v>
      </c>
      <c r="K1903" s="95"/>
      <c r="L1903" s="95"/>
      <c r="M1903" s="95"/>
      <c r="N1903" s="72"/>
      <c r="O1903" s="140" t="s">
        <v>1450</v>
      </c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</row>
    <row r="1904" ht="22.5" customHeight="1">
      <c r="A1904" s="86">
        <v>46017.0</v>
      </c>
      <c r="B1904" s="157" t="s">
        <v>27</v>
      </c>
      <c r="C1904" s="80">
        <v>1199549.93</v>
      </c>
      <c r="D1904" s="80"/>
      <c r="E1904" s="66" t="s">
        <v>376</v>
      </c>
      <c r="F1904" s="67" t="s">
        <v>608</v>
      </c>
      <c r="G1904" s="68">
        <v>20.0</v>
      </c>
      <c r="H1904" s="69">
        <f t="shared" si="108"/>
        <v>199924.9883</v>
      </c>
      <c r="I1904" s="76" t="s">
        <v>37</v>
      </c>
      <c r="J1904" s="98" t="s">
        <v>641</v>
      </c>
      <c r="K1904" s="82" t="s">
        <v>1078</v>
      </c>
      <c r="L1904" s="82">
        <v>421.0</v>
      </c>
      <c r="M1904" s="128">
        <v>45996.0</v>
      </c>
      <c r="N1904" s="72"/>
      <c r="O1904" s="9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</row>
    <row r="1905" ht="22.5" customHeight="1">
      <c r="A1905" s="86">
        <v>46019.0</v>
      </c>
      <c r="B1905" s="137" t="s">
        <v>27</v>
      </c>
      <c r="C1905" s="79"/>
      <c r="D1905" s="80">
        <v>30000.0</v>
      </c>
      <c r="E1905" s="66" t="s">
        <v>33</v>
      </c>
      <c r="F1905" s="67" t="s">
        <v>604</v>
      </c>
      <c r="G1905" s="68">
        <v>0.0</v>
      </c>
      <c r="H1905" s="69">
        <f t="shared" si="108"/>
        <v>0</v>
      </c>
      <c r="I1905" s="89" t="s">
        <v>53</v>
      </c>
      <c r="J1905" s="98" t="s">
        <v>128</v>
      </c>
      <c r="K1905" s="95"/>
      <c r="L1905" s="95"/>
      <c r="M1905" s="95"/>
      <c r="N1905" s="72"/>
      <c r="O1905" s="9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</row>
    <row r="1906" ht="22.5" customHeight="1">
      <c r="A1906" s="86">
        <v>46019.0</v>
      </c>
      <c r="B1906" s="137" t="s">
        <v>27</v>
      </c>
      <c r="C1906" s="79"/>
      <c r="D1906" s="80">
        <v>50000.0</v>
      </c>
      <c r="E1906" s="66" t="s">
        <v>33</v>
      </c>
      <c r="F1906" s="67" t="s">
        <v>604</v>
      </c>
      <c r="G1906" s="68">
        <v>0.0</v>
      </c>
      <c r="H1906" s="69">
        <f t="shared" si="108"/>
        <v>0</v>
      </c>
      <c r="I1906" s="89" t="s">
        <v>53</v>
      </c>
      <c r="J1906" s="98" t="s">
        <v>1451</v>
      </c>
      <c r="K1906" s="95"/>
      <c r="L1906" s="95"/>
      <c r="M1906" s="95"/>
      <c r="N1906" s="72"/>
      <c r="O1906" s="9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</row>
    <row r="1907" ht="22.5" customHeight="1">
      <c r="A1907" s="86">
        <v>46020.0</v>
      </c>
      <c r="B1907" s="157" t="s">
        <v>27</v>
      </c>
      <c r="C1907" s="80">
        <v>330000.24</v>
      </c>
      <c r="D1907" s="80"/>
      <c r="E1907" s="66" t="s">
        <v>28</v>
      </c>
      <c r="F1907" s="67" t="s">
        <v>1002</v>
      </c>
      <c r="G1907" s="68">
        <v>20.0</v>
      </c>
      <c r="H1907" s="69">
        <f t="shared" si="108"/>
        <v>55000.04</v>
      </c>
      <c r="I1907" s="76" t="s">
        <v>37</v>
      </c>
      <c r="J1907" s="98" t="s">
        <v>944</v>
      </c>
      <c r="K1907" s="82" t="s">
        <v>1234</v>
      </c>
      <c r="L1907" s="82">
        <v>321.0</v>
      </c>
      <c r="M1907" s="128">
        <v>45910.0</v>
      </c>
      <c r="N1907" s="72">
        <f>TODAY()-M1907-120</f>
        <v>158</v>
      </c>
      <c r="O1907" s="9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</row>
    <row r="1908" ht="22.5" customHeight="1">
      <c r="A1908" s="86">
        <v>46020.0</v>
      </c>
      <c r="B1908" s="157" t="s">
        <v>27</v>
      </c>
      <c r="C1908" s="80">
        <v>600000.0</v>
      </c>
      <c r="D1908" s="79"/>
      <c r="E1908" s="66" t="s">
        <v>28</v>
      </c>
      <c r="F1908" s="67" t="s">
        <v>1099</v>
      </c>
      <c r="G1908" s="68">
        <v>20.0</v>
      </c>
      <c r="H1908" s="69">
        <f t="shared" si="108"/>
        <v>100000</v>
      </c>
      <c r="I1908" s="76" t="s">
        <v>37</v>
      </c>
      <c r="J1908" s="98" t="s">
        <v>675</v>
      </c>
      <c r="K1908" s="82" t="s">
        <v>755</v>
      </c>
      <c r="L1908" s="82">
        <v>341.0</v>
      </c>
      <c r="M1908" s="128">
        <v>45935.0</v>
      </c>
      <c r="N1908" s="72">
        <f>TODAY()-M1908-60</f>
        <v>193</v>
      </c>
      <c r="O1908" s="9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</row>
    <row r="1909" ht="22.5" customHeight="1">
      <c r="A1909" s="86">
        <v>46020.0</v>
      </c>
      <c r="B1909" s="137" t="s">
        <v>27</v>
      </c>
      <c r="C1909" s="79"/>
      <c r="D1909" s="80">
        <v>270198.0</v>
      </c>
      <c r="E1909" s="66" t="s">
        <v>28</v>
      </c>
      <c r="F1909" s="67" t="s">
        <v>604</v>
      </c>
      <c r="G1909" s="68">
        <v>0.0</v>
      </c>
      <c r="H1909" s="69">
        <f t="shared" si="108"/>
        <v>0</v>
      </c>
      <c r="I1909" s="94" t="s">
        <v>599</v>
      </c>
      <c r="J1909" s="81"/>
      <c r="K1909" s="95"/>
      <c r="L1909" s="95"/>
      <c r="M1909" s="95"/>
      <c r="N1909" s="72"/>
      <c r="O1909" s="83" t="s">
        <v>1011</v>
      </c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</row>
    <row r="1910" ht="22.5" customHeight="1">
      <c r="A1910" s="86">
        <v>46021.0</v>
      </c>
      <c r="B1910" s="137" t="s">
        <v>27</v>
      </c>
      <c r="C1910" s="79"/>
      <c r="D1910" s="79">
        <f>24038+1859159.18+511.68</f>
        <v>1883708.86</v>
      </c>
      <c r="E1910" s="66" t="s">
        <v>28</v>
      </c>
      <c r="F1910" s="67" t="s">
        <v>604</v>
      </c>
      <c r="G1910" s="68">
        <v>0.0</v>
      </c>
      <c r="H1910" s="69">
        <f t="shared" si="108"/>
        <v>0</v>
      </c>
      <c r="I1910" s="89" t="s">
        <v>68</v>
      </c>
      <c r="J1910" s="81"/>
      <c r="K1910" s="95"/>
      <c r="L1910" s="95"/>
      <c r="M1910" s="95"/>
      <c r="N1910" s="72"/>
      <c r="O1910" s="9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</row>
    <row r="1911" ht="22.5" customHeight="1">
      <c r="A1911" s="86">
        <v>46021.0</v>
      </c>
      <c r="B1911" s="137" t="s">
        <v>27</v>
      </c>
      <c r="C1911" s="79"/>
      <c r="D1911" s="80">
        <v>476923.0</v>
      </c>
      <c r="E1911" s="66" t="s">
        <v>28</v>
      </c>
      <c r="F1911" s="67" t="s">
        <v>604</v>
      </c>
      <c r="G1911" s="68">
        <v>0.0</v>
      </c>
      <c r="H1911" s="69">
        <f t="shared" si="108"/>
        <v>0</v>
      </c>
      <c r="I1911" s="94" t="s">
        <v>599</v>
      </c>
      <c r="J1911" s="81"/>
      <c r="K1911" s="95"/>
      <c r="L1911" s="95"/>
      <c r="M1911" s="95"/>
      <c r="N1911" s="72"/>
      <c r="O1911" s="83" t="s">
        <v>1011</v>
      </c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</row>
    <row r="1912" ht="22.5" customHeight="1">
      <c r="A1912" s="86">
        <v>46021.0</v>
      </c>
      <c r="B1912" s="137" t="s">
        <v>27</v>
      </c>
      <c r="C1912" s="79"/>
      <c r="D1912" s="80">
        <v>1700.0</v>
      </c>
      <c r="E1912" s="66" t="s">
        <v>376</v>
      </c>
      <c r="F1912" s="67" t="s">
        <v>604</v>
      </c>
      <c r="G1912" s="68">
        <v>0.0</v>
      </c>
      <c r="H1912" s="69">
        <f t="shared" si="108"/>
        <v>0</v>
      </c>
      <c r="I1912" s="89" t="s">
        <v>294</v>
      </c>
      <c r="J1912" s="98" t="s">
        <v>1452</v>
      </c>
      <c r="K1912" s="95"/>
      <c r="L1912" s="95"/>
      <c r="M1912" s="95"/>
      <c r="N1912" s="72"/>
      <c r="O1912" s="9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</row>
    <row r="1913" ht="22.5" customHeight="1">
      <c r="A1913" s="86">
        <v>46022.0</v>
      </c>
      <c r="B1913" s="137" t="s">
        <v>27</v>
      </c>
      <c r="C1913" s="79"/>
      <c r="D1913" s="80">
        <v>8532.0</v>
      </c>
      <c r="E1913" s="66" t="s">
        <v>28</v>
      </c>
      <c r="F1913" s="84" t="s">
        <v>1453</v>
      </c>
      <c r="G1913" s="68">
        <v>0.0</v>
      </c>
      <c r="H1913" s="69">
        <f t="shared" si="108"/>
        <v>0</v>
      </c>
      <c r="I1913" s="89" t="s">
        <v>294</v>
      </c>
      <c r="J1913" s="98" t="s">
        <v>1454</v>
      </c>
      <c r="K1913" s="95"/>
      <c r="L1913" s="95"/>
      <c r="M1913" s="95"/>
      <c r="N1913" s="72"/>
      <c r="O1913" s="9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</row>
    <row r="1914" ht="22.5" customHeight="1">
      <c r="A1914" s="86">
        <v>46023.0</v>
      </c>
      <c r="B1914" s="137" t="s">
        <v>27</v>
      </c>
      <c r="C1914" s="79"/>
      <c r="D1914" s="80">
        <v>100000.0</v>
      </c>
      <c r="E1914" s="66" t="s">
        <v>33</v>
      </c>
      <c r="F1914" s="67" t="s">
        <v>1453</v>
      </c>
      <c r="G1914" s="68">
        <v>0.0</v>
      </c>
      <c r="H1914" s="69">
        <f t="shared" si="108"/>
        <v>0</v>
      </c>
      <c r="I1914" s="89" t="s">
        <v>1373</v>
      </c>
      <c r="J1914" s="98" t="s">
        <v>1455</v>
      </c>
      <c r="K1914" s="95"/>
      <c r="L1914" s="95"/>
      <c r="M1914" s="95"/>
      <c r="N1914" s="72"/>
      <c r="O1914" s="9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</row>
    <row r="1915" ht="22.5" customHeight="1">
      <c r="A1915" s="86">
        <v>46034.0</v>
      </c>
      <c r="B1915" s="137" t="s">
        <v>27</v>
      </c>
      <c r="C1915" s="79"/>
      <c r="D1915" s="80">
        <v>33540.0</v>
      </c>
      <c r="E1915" s="66" t="s">
        <v>28</v>
      </c>
      <c r="F1915" s="67" t="s">
        <v>604</v>
      </c>
      <c r="G1915" s="68">
        <v>0.0</v>
      </c>
      <c r="H1915" s="69">
        <f t="shared" si="108"/>
        <v>0</v>
      </c>
      <c r="I1915" s="89" t="s">
        <v>490</v>
      </c>
      <c r="J1915" s="98" t="s">
        <v>1426</v>
      </c>
      <c r="K1915" s="95"/>
      <c r="L1915" s="95"/>
      <c r="M1915" s="95"/>
      <c r="N1915" s="72"/>
      <c r="O1915" s="83" t="s">
        <v>525</v>
      </c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</row>
    <row r="1916" ht="22.5" customHeight="1">
      <c r="A1916" s="86">
        <v>46036.0</v>
      </c>
      <c r="B1916" s="137" t="s">
        <v>27</v>
      </c>
      <c r="C1916" s="80"/>
      <c r="D1916" s="80">
        <v>1500000.0</v>
      </c>
      <c r="E1916" s="66" t="s">
        <v>28</v>
      </c>
      <c r="F1916" s="67" t="s">
        <v>603</v>
      </c>
      <c r="G1916" s="68">
        <v>20.0</v>
      </c>
      <c r="H1916" s="69">
        <f t="shared" si="108"/>
        <v>250000</v>
      </c>
      <c r="I1916" s="89" t="s">
        <v>47</v>
      </c>
      <c r="J1916" s="81"/>
      <c r="K1916" s="95"/>
      <c r="L1916" s="95"/>
      <c r="M1916" s="95"/>
      <c r="N1916" s="72"/>
      <c r="O1916" s="9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</row>
    <row r="1917" ht="22.5" customHeight="1">
      <c r="A1917" s="86">
        <v>46036.0</v>
      </c>
      <c r="B1917" s="137" t="s">
        <v>27</v>
      </c>
      <c r="C1917" s="164">
        <v>1080000.0</v>
      </c>
      <c r="D1917" s="79"/>
      <c r="E1917" s="66" t="s">
        <v>33</v>
      </c>
      <c r="F1917" s="67" t="s">
        <v>603</v>
      </c>
      <c r="G1917" s="68">
        <v>0.0</v>
      </c>
      <c r="H1917" s="69">
        <f t="shared" si="108"/>
        <v>0</v>
      </c>
      <c r="I1917" s="89" t="s">
        <v>47</v>
      </c>
      <c r="J1917" s="81"/>
      <c r="K1917" s="95"/>
      <c r="L1917" s="95"/>
      <c r="M1917" s="95"/>
      <c r="N1917" s="72"/>
      <c r="O1917" s="9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</row>
    <row r="1918" ht="22.5" customHeight="1">
      <c r="A1918" s="86">
        <v>46037.0</v>
      </c>
      <c r="B1918" s="137" t="s">
        <v>27</v>
      </c>
      <c r="C1918" s="80">
        <v>60000.0</v>
      </c>
      <c r="D1918" s="79"/>
      <c r="E1918" s="66" t="s">
        <v>1346</v>
      </c>
      <c r="F1918" s="67" t="s">
        <v>603</v>
      </c>
      <c r="G1918" s="68">
        <v>0.0</v>
      </c>
      <c r="H1918" s="69">
        <f t="shared" si="108"/>
        <v>0</v>
      </c>
      <c r="I1918" s="89" t="s">
        <v>47</v>
      </c>
      <c r="J1918" s="81"/>
      <c r="K1918" s="95"/>
      <c r="L1918" s="95"/>
      <c r="M1918" s="95"/>
      <c r="N1918" s="72"/>
      <c r="O1918" s="9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</row>
    <row r="1919" ht="22.5" customHeight="1">
      <c r="A1919" s="86">
        <v>46037.0</v>
      </c>
      <c r="B1919" s="137" t="s">
        <v>27</v>
      </c>
      <c r="C1919" s="79"/>
      <c r="D1919" s="80">
        <f>46526.27+6322.46+12.64</f>
        <v>52861.37</v>
      </c>
      <c r="E1919" s="66" t="s">
        <v>1346</v>
      </c>
      <c r="F1919" s="67" t="s">
        <v>603</v>
      </c>
      <c r="G1919" s="68">
        <v>0.0</v>
      </c>
      <c r="H1919" s="69">
        <f t="shared" si="108"/>
        <v>0</v>
      </c>
      <c r="I1919" s="89" t="s">
        <v>1373</v>
      </c>
      <c r="J1919" s="98" t="s">
        <v>1456</v>
      </c>
      <c r="K1919" s="95"/>
      <c r="L1919" s="95"/>
      <c r="M1919" s="95"/>
      <c r="N1919" s="72"/>
      <c r="O1919" s="9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</row>
    <row r="1920" ht="22.5" customHeight="1">
      <c r="A1920" s="86">
        <v>46037.0</v>
      </c>
      <c r="B1920" s="137" t="s">
        <v>27</v>
      </c>
      <c r="C1920" s="79"/>
      <c r="D1920" s="80">
        <v>40000.0</v>
      </c>
      <c r="E1920" s="66" t="s">
        <v>33</v>
      </c>
      <c r="F1920" s="67" t="s">
        <v>604</v>
      </c>
      <c r="G1920" s="68">
        <v>0.0</v>
      </c>
      <c r="H1920" s="69">
        <f t="shared" si="108"/>
        <v>0</v>
      </c>
      <c r="I1920" s="89" t="s">
        <v>53</v>
      </c>
      <c r="J1920" s="98" t="s">
        <v>1326</v>
      </c>
      <c r="K1920" s="95"/>
      <c r="L1920" s="95"/>
      <c r="M1920" s="95"/>
      <c r="N1920" s="72"/>
      <c r="O1920" s="9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</row>
    <row r="1921" ht="22.5" customHeight="1">
      <c r="A1921" s="86">
        <v>46037.0</v>
      </c>
      <c r="B1921" s="137" t="s">
        <v>27</v>
      </c>
      <c r="C1921" s="79"/>
      <c r="D1921" s="80">
        <v>15000.0</v>
      </c>
      <c r="E1921" s="66" t="s">
        <v>33</v>
      </c>
      <c r="F1921" s="67" t="s">
        <v>604</v>
      </c>
      <c r="G1921" s="68">
        <v>0.0</v>
      </c>
      <c r="H1921" s="69">
        <f t="shared" si="108"/>
        <v>0</v>
      </c>
      <c r="I1921" s="89" t="s">
        <v>53</v>
      </c>
      <c r="J1921" s="98" t="s">
        <v>1327</v>
      </c>
      <c r="K1921" s="95"/>
      <c r="L1921" s="95"/>
      <c r="M1921" s="95"/>
      <c r="N1921" s="72"/>
      <c r="O1921" s="9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</row>
    <row r="1922" ht="22.5" customHeight="1">
      <c r="A1922" s="86">
        <v>46037.0</v>
      </c>
      <c r="B1922" s="137" t="s">
        <v>27</v>
      </c>
      <c r="C1922" s="79"/>
      <c r="D1922" s="80">
        <v>30000.0</v>
      </c>
      <c r="E1922" s="66" t="s">
        <v>33</v>
      </c>
      <c r="F1922" s="67" t="s">
        <v>604</v>
      </c>
      <c r="G1922" s="68">
        <v>0.0</v>
      </c>
      <c r="H1922" s="69">
        <f t="shared" si="108"/>
        <v>0</v>
      </c>
      <c r="I1922" s="89" t="s">
        <v>53</v>
      </c>
      <c r="J1922" s="98" t="s">
        <v>1347</v>
      </c>
      <c r="K1922" s="95"/>
      <c r="L1922" s="95"/>
      <c r="M1922" s="95"/>
      <c r="N1922" s="72"/>
      <c r="O1922" s="9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</row>
    <row r="1923" ht="22.5" customHeight="1">
      <c r="A1923" s="86">
        <v>46037.0</v>
      </c>
      <c r="B1923" s="137" t="s">
        <v>27</v>
      </c>
      <c r="C1923" s="79"/>
      <c r="D1923" s="80">
        <v>40000.0</v>
      </c>
      <c r="E1923" s="66" t="s">
        <v>33</v>
      </c>
      <c r="F1923" s="67" t="s">
        <v>604</v>
      </c>
      <c r="G1923" s="68">
        <v>0.0</v>
      </c>
      <c r="H1923" s="69">
        <f t="shared" si="108"/>
        <v>0</v>
      </c>
      <c r="I1923" s="89" t="s">
        <v>53</v>
      </c>
      <c r="J1923" s="98" t="s">
        <v>128</v>
      </c>
      <c r="K1923" s="95"/>
      <c r="L1923" s="95"/>
      <c r="M1923" s="95"/>
      <c r="N1923" s="72"/>
      <c r="O1923" s="9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</row>
    <row r="1924" ht="22.5" customHeight="1">
      <c r="A1924" s="86">
        <v>46037.0</v>
      </c>
      <c r="B1924" s="137" t="s">
        <v>27</v>
      </c>
      <c r="C1924" s="79"/>
      <c r="D1924" s="80">
        <v>80000.0</v>
      </c>
      <c r="E1924" s="66" t="s">
        <v>33</v>
      </c>
      <c r="F1924" s="67" t="s">
        <v>604</v>
      </c>
      <c r="G1924" s="68">
        <v>0.0</v>
      </c>
      <c r="H1924" s="69">
        <f t="shared" si="108"/>
        <v>0</v>
      </c>
      <c r="I1924" s="89" t="s">
        <v>53</v>
      </c>
      <c r="J1924" s="98" t="s">
        <v>467</v>
      </c>
      <c r="K1924" s="95"/>
      <c r="L1924" s="95"/>
      <c r="M1924" s="95"/>
      <c r="N1924" s="72"/>
      <c r="O1924" s="9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</row>
    <row r="1925" ht="22.5" customHeight="1">
      <c r="A1925" s="86">
        <v>46037.0</v>
      </c>
      <c r="B1925" s="137" t="s">
        <v>27</v>
      </c>
      <c r="C1925" s="79"/>
      <c r="D1925" s="80">
        <v>20000.0</v>
      </c>
      <c r="E1925" s="66" t="s">
        <v>33</v>
      </c>
      <c r="F1925" s="67" t="s">
        <v>604</v>
      </c>
      <c r="G1925" s="68">
        <v>0.0</v>
      </c>
      <c r="H1925" s="69">
        <f t="shared" si="108"/>
        <v>0</v>
      </c>
      <c r="I1925" s="89" t="s">
        <v>53</v>
      </c>
      <c r="J1925" s="98" t="s">
        <v>147</v>
      </c>
      <c r="K1925" s="95"/>
      <c r="L1925" s="95"/>
      <c r="M1925" s="95"/>
      <c r="N1925" s="72"/>
      <c r="O1925" s="9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</row>
    <row r="1926" ht="22.5" customHeight="1">
      <c r="A1926" s="86">
        <v>46037.0</v>
      </c>
      <c r="B1926" s="137" t="s">
        <v>27</v>
      </c>
      <c r="C1926" s="79"/>
      <c r="D1926" s="80">
        <v>30000.0</v>
      </c>
      <c r="E1926" s="66" t="s">
        <v>33</v>
      </c>
      <c r="F1926" s="67" t="s">
        <v>604</v>
      </c>
      <c r="G1926" s="68">
        <v>0.0</v>
      </c>
      <c r="H1926" s="69">
        <f t="shared" si="108"/>
        <v>0</v>
      </c>
      <c r="I1926" s="89" t="s">
        <v>53</v>
      </c>
      <c r="J1926" s="98" t="s">
        <v>1176</v>
      </c>
      <c r="K1926" s="95"/>
      <c r="L1926" s="95"/>
      <c r="M1926" s="95"/>
      <c r="N1926" s="72"/>
      <c r="O1926" s="9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</row>
    <row r="1927" ht="22.5" customHeight="1">
      <c r="A1927" s="86">
        <v>46037.0</v>
      </c>
      <c r="B1927" s="137" t="s">
        <v>27</v>
      </c>
      <c r="C1927" s="79"/>
      <c r="D1927" s="80">
        <v>15000.0</v>
      </c>
      <c r="E1927" s="66" t="s">
        <v>33</v>
      </c>
      <c r="F1927" s="67" t="s">
        <v>604</v>
      </c>
      <c r="G1927" s="68">
        <v>0.0</v>
      </c>
      <c r="H1927" s="69">
        <f t="shared" si="108"/>
        <v>0</v>
      </c>
      <c r="I1927" s="89" t="s">
        <v>53</v>
      </c>
      <c r="J1927" s="98" t="s">
        <v>1175</v>
      </c>
      <c r="K1927" s="95"/>
      <c r="L1927" s="95"/>
      <c r="M1927" s="95"/>
      <c r="N1927" s="72"/>
      <c r="O1927" s="9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</row>
    <row r="1928" ht="22.5" customHeight="1">
      <c r="A1928" s="86">
        <v>46037.0</v>
      </c>
      <c r="B1928" s="137" t="s">
        <v>27</v>
      </c>
      <c r="C1928" s="79"/>
      <c r="D1928" s="79">
        <f>2000+1473.33</f>
        <v>3473.33</v>
      </c>
      <c r="E1928" s="66" t="s">
        <v>1346</v>
      </c>
      <c r="F1928" s="67" t="s">
        <v>603</v>
      </c>
      <c r="G1928" s="68">
        <v>0.0</v>
      </c>
      <c r="H1928" s="69">
        <f t="shared" si="108"/>
        <v>0</v>
      </c>
      <c r="I1928" s="89" t="s">
        <v>294</v>
      </c>
      <c r="J1928" s="98" t="s">
        <v>1457</v>
      </c>
      <c r="K1928" s="95"/>
      <c r="L1928" s="95"/>
      <c r="M1928" s="95"/>
      <c r="N1928" s="72"/>
      <c r="O1928" s="9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</row>
    <row r="1929" ht="22.5" customHeight="1">
      <c r="A1929" s="86">
        <v>46038.0</v>
      </c>
      <c r="B1929" s="137" t="s">
        <v>27</v>
      </c>
      <c r="C1929" s="79"/>
      <c r="D1929" s="80">
        <v>20000.0</v>
      </c>
      <c r="E1929" s="66" t="s">
        <v>33</v>
      </c>
      <c r="F1929" s="67" t="s">
        <v>604</v>
      </c>
      <c r="G1929" s="68">
        <v>0.0</v>
      </c>
      <c r="H1929" s="69">
        <f t="shared" si="108"/>
        <v>0</v>
      </c>
      <c r="I1929" s="89" t="s">
        <v>495</v>
      </c>
      <c r="J1929" s="98" t="s">
        <v>1458</v>
      </c>
      <c r="K1929" s="95"/>
      <c r="L1929" s="95"/>
      <c r="M1929" s="95"/>
      <c r="N1929" s="72"/>
      <c r="O1929" s="9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</row>
    <row r="1930" ht="22.5" customHeight="1">
      <c r="A1930" s="86">
        <v>46038.0</v>
      </c>
      <c r="B1930" s="157" t="s">
        <v>27</v>
      </c>
      <c r="C1930" s="80">
        <v>672000.0</v>
      </c>
      <c r="D1930" s="80"/>
      <c r="E1930" s="66" t="s">
        <v>28</v>
      </c>
      <c r="F1930" s="67" t="s">
        <v>1002</v>
      </c>
      <c r="G1930" s="68">
        <v>20.0</v>
      </c>
      <c r="H1930" s="69">
        <f t="shared" si="108"/>
        <v>112000</v>
      </c>
      <c r="I1930" s="76" t="s">
        <v>37</v>
      </c>
      <c r="J1930" s="98" t="s">
        <v>1014</v>
      </c>
      <c r="K1930" s="82" t="s">
        <v>1459</v>
      </c>
      <c r="L1930" s="82">
        <v>316.0</v>
      </c>
      <c r="M1930" s="128">
        <v>45910.0</v>
      </c>
      <c r="N1930" s="72">
        <f t="shared" ref="N1930:N1940" si="113">TODAY()-M1930-60</f>
        <v>218</v>
      </c>
      <c r="O1930" s="9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</row>
    <row r="1931" ht="22.5" customHeight="1">
      <c r="A1931" s="86">
        <v>46038.0</v>
      </c>
      <c r="B1931" s="157" t="s">
        <v>27</v>
      </c>
      <c r="C1931" s="80">
        <v>688800.0</v>
      </c>
      <c r="D1931" s="80"/>
      <c r="E1931" s="66" t="s">
        <v>28</v>
      </c>
      <c r="F1931" s="67" t="s">
        <v>1002</v>
      </c>
      <c r="G1931" s="68">
        <v>20.0</v>
      </c>
      <c r="H1931" s="69">
        <f t="shared" si="108"/>
        <v>114800</v>
      </c>
      <c r="I1931" s="76" t="s">
        <v>37</v>
      </c>
      <c r="J1931" s="98" t="s">
        <v>1014</v>
      </c>
      <c r="K1931" s="82" t="s">
        <v>1460</v>
      </c>
      <c r="L1931" s="82">
        <v>317.0</v>
      </c>
      <c r="M1931" s="128">
        <v>45910.0</v>
      </c>
      <c r="N1931" s="72">
        <f t="shared" si="113"/>
        <v>218</v>
      </c>
      <c r="O1931" s="9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</row>
    <row r="1932" ht="22.5" customHeight="1">
      <c r="A1932" s="86">
        <v>46038.0</v>
      </c>
      <c r="B1932" s="157" t="s">
        <v>27</v>
      </c>
      <c r="C1932" s="80">
        <v>604800.0</v>
      </c>
      <c r="D1932" s="80"/>
      <c r="E1932" s="66" t="s">
        <v>28</v>
      </c>
      <c r="F1932" s="67" t="s">
        <v>1002</v>
      </c>
      <c r="G1932" s="68">
        <v>20.0</v>
      </c>
      <c r="H1932" s="69">
        <f t="shared" si="108"/>
        <v>100800</v>
      </c>
      <c r="I1932" s="76" t="s">
        <v>37</v>
      </c>
      <c r="J1932" s="98" t="s">
        <v>1014</v>
      </c>
      <c r="K1932" s="82" t="s">
        <v>1461</v>
      </c>
      <c r="L1932" s="82">
        <v>318.0</v>
      </c>
      <c r="M1932" s="128">
        <v>45910.0</v>
      </c>
      <c r="N1932" s="72">
        <f t="shared" si="113"/>
        <v>218</v>
      </c>
      <c r="O1932" s="9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</row>
    <row r="1933" ht="22.5" customHeight="1">
      <c r="A1933" s="86">
        <v>46038.0</v>
      </c>
      <c r="B1933" s="157" t="s">
        <v>27</v>
      </c>
      <c r="C1933" s="80">
        <v>608160.0</v>
      </c>
      <c r="D1933" s="80"/>
      <c r="E1933" s="66" t="s">
        <v>28</v>
      </c>
      <c r="F1933" s="67" t="s">
        <v>1002</v>
      </c>
      <c r="G1933" s="68">
        <v>20.0</v>
      </c>
      <c r="H1933" s="69">
        <f t="shared" si="108"/>
        <v>101360</v>
      </c>
      <c r="I1933" s="76" t="s">
        <v>37</v>
      </c>
      <c r="J1933" s="98" t="s">
        <v>1014</v>
      </c>
      <c r="K1933" s="82" t="s">
        <v>1462</v>
      </c>
      <c r="L1933" s="82">
        <v>319.0</v>
      </c>
      <c r="M1933" s="128">
        <v>45910.0</v>
      </c>
      <c r="N1933" s="72">
        <f t="shared" si="113"/>
        <v>218</v>
      </c>
      <c r="O1933" s="9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</row>
    <row r="1934" ht="22.5" customHeight="1">
      <c r="A1934" s="86">
        <v>46038.0</v>
      </c>
      <c r="B1934" s="157" t="s">
        <v>27</v>
      </c>
      <c r="C1934" s="80">
        <v>608160.0</v>
      </c>
      <c r="D1934" s="79"/>
      <c r="E1934" s="66" t="s">
        <v>28</v>
      </c>
      <c r="F1934" s="67" t="s">
        <v>1099</v>
      </c>
      <c r="G1934" s="68">
        <v>20.0</v>
      </c>
      <c r="H1934" s="69">
        <f t="shared" si="108"/>
        <v>101360</v>
      </c>
      <c r="I1934" s="76" t="s">
        <v>37</v>
      </c>
      <c r="J1934" s="98" t="s">
        <v>1014</v>
      </c>
      <c r="K1934" s="82" t="s">
        <v>1463</v>
      </c>
      <c r="L1934" s="82">
        <v>346.0</v>
      </c>
      <c r="M1934" s="128">
        <v>45938.0</v>
      </c>
      <c r="N1934" s="72">
        <f t="shared" si="113"/>
        <v>190</v>
      </c>
      <c r="O1934" s="9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</row>
    <row r="1935" ht="22.5" customHeight="1">
      <c r="A1935" s="86">
        <v>46038.0</v>
      </c>
      <c r="B1935" s="157" t="s">
        <v>27</v>
      </c>
      <c r="C1935" s="80">
        <v>688800.0</v>
      </c>
      <c r="D1935" s="79"/>
      <c r="E1935" s="66" t="s">
        <v>28</v>
      </c>
      <c r="F1935" s="67" t="s">
        <v>1099</v>
      </c>
      <c r="G1935" s="68">
        <v>20.0</v>
      </c>
      <c r="H1935" s="69">
        <f t="shared" si="108"/>
        <v>114800</v>
      </c>
      <c r="I1935" s="76" t="s">
        <v>37</v>
      </c>
      <c r="J1935" s="98" t="s">
        <v>1014</v>
      </c>
      <c r="K1935" s="82" t="s">
        <v>1464</v>
      </c>
      <c r="L1935" s="82">
        <v>353.0</v>
      </c>
      <c r="M1935" s="132">
        <v>45941.0</v>
      </c>
      <c r="N1935" s="153">
        <f t="shared" si="113"/>
        <v>187</v>
      </c>
      <c r="O1935" s="9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</row>
    <row r="1936" ht="22.5" customHeight="1">
      <c r="A1936" s="86">
        <v>46038.0</v>
      </c>
      <c r="B1936" s="157" t="s">
        <v>27</v>
      </c>
      <c r="C1936" s="80">
        <v>600000.24</v>
      </c>
      <c r="D1936" s="79"/>
      <c r="E1936" s="66" t="s">
        <v>28</v>
      </c>
      <c r="F1936" s="67" t="s">
        <v>1099</v>
      </c>
      <c r="G1936" s="68">
        <v>20.0</v>
      </c>
      <c r="H1936" s="69">
        <f t="shared" si="108"/>
        <v>100000.04</v>
      </c>
      <c r="I1936" s="76" t="s">
        <v>37</v>
      </c>
      <c r="J1936" s="98" t="s">
        <v>1014</v>
      </c>
      <c r="K1936" s="82" t="s">
        <v>1465</v>
      </c>
      <c r="L1936" s="82">
        <v>354.0</v>
      </c>
      <c r="M1936" s="132">
        <v>45941.0</v>
      </c>
      <c r="N1936" s="72">
        <f t="shared" si="113"/>
        <v>187</v>
      </c>
      <c r="O1936" s="9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</row>
    <row r="1937" ht="22.5" customHeight="1">
      <c r="A1937" s="86">
        <v>46038.0</v>
      </c>
      <c r="B1937" s="157" t="s">
        <v>27</v>
      </c>
      <c r="C1937" s="80">
        <v>991200.0</v>
      </c>
      <c r="D1937" s="79"/>
      <c r="E1937" s="66" t="s">
        <v>28</v>
      </c>
      <c r="F1937" s="67" t="s">
        <v>1099</v>
      </c>
      <c r="G1937" s="68">
        <v>20.0</v>
      </c>
      <c r="H1937" s="69">
        <f t="shared" si="108"/>
        <v>165200</v>
      </c>
      <c r="I1937" s="76" t="s">
        <v>37</v>
      </c>
      <c r="J1937" s="98" t="s">
        <v>1014</v>
      </c>
      <c r="K1937" s="82" t="s">
        <v>1466</v>
      </c>
      <c r="L1937" s="82">
        <v>355.0</v>
      </c>
      <c r="M1937" s="132">
        <v>45941.0</v>
      </c>
      <c r="N1937" s="153">
        <f t="shared" si="113"/>
        <v>187</v>
      </c>
      <c r="O1937" s="9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</row>
    <row r="1938" ht="22.5" customHeight="1">
      <c r="A1938" s="86">
        <v>46038.0</v>
      </c>
      <c r="B1938" s="157" t="s">
        <v>27</v>
      </c>
      <c r="C1938" s="80">
        <v>751968.0</v>
      </c>
      <c r="D1938" s="79"/>
      <c r="E1938" s="66" t="s">
        <v>28</v>
      </c>
      <c r="F1938" s="67" t="s">
        <v>1099</v>
      </c>
      <c r="G1938" s="68">
        <v>20.0</v>
      </c>
      <c r="H1938" s="69">
        <f t="shared" si="108"/>
        <v>125328</v>
      </c>
      <c r="I1938" s="76" t="s">
        <v>37</v>
      </c>
      <c r="J1938" s="98" t="s">
        <v>1014</v>
      </c>
      <c r="K1938" s="82" t="s">
        <v>1467</v>
      </c>
      <c r="L1938" s="82">
        <v>356.0</v>
      </c>
      <c r="M1938" s="132">
        <v>45941.0</v>
      </c>
      <c r="N1938" s="153">
        <f t="shared" si="113"/>
        <v>187</v>
      </c>
      <c r="O1938" s="9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</row>
    <row r="1939" ht="22.5" customHeight="1">
      <c r="A1939" s="86">
        <v>46038.0</v>
      </c>
      <c r="B1939" s="157" t="s">
        <v>27</v>
      </c>
      <c r="C1939" s="80">
        <v>840000.0</v>
      </c>
      <c r="D1939" s="79"/>
      <c r="E1939" s="66" t="s">
        <v>28</v>
      </c>
      <c r="F1939" s="67" t="s">
        <v>1099</v>
      </c>
      <c r="G1939" s="68">
        <v>20.0</v>
      </c>
      <c r="H1939" s="69">
        <f t="shared" si="108"/>
        <v>140000</v>
      </c>
      <c r="I1939" s="76" t="s">
        <v>37</v>
      </c>
      <c r="J1939" s="98" t="s">
        <v>1014</v>
      </c>
      <c r="K1939" s="82" t="s">
        <v>1468</v>
      </c>
      <c r="L1939" s="82">
        <v>357.0</v>
      </c>
      <c r="M1939" s="132">
        <v>45941.0</v>
      </c>
      <c r="N1939" s="153">
        <f t="shared" si="113"/>
        <v>187</v>
      </c>
      <c r="O1939" s="9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</row>
    <row r="1940" ht="22.5" customHeight="1">
      <c r="A1940" s="86">
        <v>46038.0</v>
      </c>
      <c r="B1940" s="157" t="s">
        <v>27</v>
      </c>
      <c r="C1940" s="80">
        <v>636000.24</v>
      </c>
      <c r="D1940" s="79"/>
      <c r="E1940" s="66" t="s">
        <v>28</v>
      </c>
      <c r="F1940" s="67" t="s">
        <v>1179</v>
      </c>
      <c r="G1940" s="68">
        <v>20.0</v>
      </c>
      <c r="H1940" s="69">
        <f t="shared" si="108"/>
        <v>106000.04</v>
      </c>
      <c r="I1940" s="76" t="s">
        <v>37</v>
      </c>
      <c r="J1940" s="98" t="s">
        <v>675</v>
      </c>
      <c r="K1940" s="82" t="s">
        <v>804</v>
      </c>
      <c r="L1940" s="82">
        <v>378.0</v>
      </c>
      <c r="M1940" s="132">
        <v>45972.0</v>
      </c>
      <c r="N1940" s="153">
        <f t="shared" si="113"/>
        <v>156</v>
      </c>
      <c r="O1940" s="9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</row>
    <row r="1941" ht="22.5" customHeight="1">
      <c r="A1941" s="86">
        <v>46041.0</v>
      </c>
      <c r="B1941" s="139" t="s">
        <v>27</v>
      </c>
      <c r="C1941" s="79"/>
      <c r="D1941" s="80">
        <v>765120.0</v>
      </c>
      <c r="E1941" s="66" t="s">
        <v>28</v>
      </c>
      <c r="F1941" s="84" t="s">
        <v>1002</v>
      </c>
      <c r="G1941" s="68">
        <v>0.0</v>
      </c>
      <c r="H1941" s="69">
        <f t="shared" si="108"/>
        <v>0</v>
      </c>
      <c r="I1941" s="76" t="s">
        <v>93</v>
      </c>
      <c r="J1941" s="133" t="s">
        <v>516</v>
      </c>
      <c r="K1941" s="95"/>
      <c r="L1941" s="95"/>
      <c r="M1941" s="95"/>
      <c r="N1941" s="153"/>
      <c r="O1941" s="140" t="s">
        <v>1469</v>
      </c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</row>
    <row r="1942" ht="22.5" customHeight="1">
      <c r="A1942" s="86">
        <v>46041.0</v>
      </c>
      <c r="B1942" s="139" t="s">
        <v>27</v>
      </c>
      <c r="C1942" s="79"/>
      <c r="D1942" s="80">
        <v>107520.0</v>
      </c>
      <c r="E1942" s="66" t="s">
        <v>28</v>
      </c>
      <c r="F1942" s="67" t="s">
        <v>1179</v>
      </c>
      <c r="G1942" s="68">
        <v>20.0</v>
      </c>
      <c r="H1942" s="69">
        <f t="shared" si="108"/>
        <v>17920</v>
      </c>
      <c r="I1942" s="89" t="s">
        <v>1044</v>
      </c>
      <c r="J1942" s="136" t="s">
        <v>1045</v>
      </c>
      <c r="K1942" s="95"/>
      <c r="L1942" s="95"/>
      <c r="M1942" s="95"/>
      <c r="N1942" s="153"/>
      <c r="O1942" s="140" t="s">
        <v>1470</v>
      </c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</row>
    <row r="1943" ht="22.5" customHeight="1">
      <c r="A1943" s="86">
        <v>46041.0</v>
      </c>
      <c r="B1943" s="139" t="s">
        <v>27</v>
      </c>
      <c r="C1943" s="79"/>
      <c r="D1943" s="80">
        <v>96000.0</v>
      </c>
      <c r="E1943" s="66" t="s">
        <v>28</v>
      </c>
      <c r="F1943" s="67" t="s">
        <v>1179</v>
      </c>
      <c r="G1943" s="68">
        <v>20.0</v>
      </c>
      <c r="H1943" s="69">
        <f t="shared" si="108"/>
        <v>16000</v>
      </c>
      <c r="I1943" s="89" t="s">
        <v>1044</v>
      </c>
      <c r="J1943" s="136" t="s">
        <v>1045</v>
      </c>
      <c r="K1943" s="95"/>
      <c r="L1943" s="95"/>
      <c r="M1943" s="95"/>
      <c r="N1943" s="153"/>
      <c r="O1943" s="140" t="s">
        <v>1471</v>
      </c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</row>
    <row r="1944" ht="22.5" customHeight="1">
      <c r="A1944" s="86">
        <v>46041.0</v>
      </c>
      <c r="B1944" s="139" t="s">
        <v>27</v>
      </c>
      <c r="C1944" s="79"/>
      <c r="D1944" s="80">
        <v>124800.0</v>
      </c>
      <c r="E1944" s="66" t="s">
        <v>28</v>
      </c>
      <c r="F1944" s="67" t="s">
        <v>1179</v>
      </c>
      <c r="G1944" s="68">
        <v>20.0</v>
      </c>
      <c r="H1944" s="69">
        <f t="shared" si="108"/>
        <v>20800</v>
      </c>
      <c r="I1944" s="89" t="s">
        <v>1044</v>
      </c>
      <c r="J1944" s="136" t="s">
        <v>1045</v>
      </c>
      <c r="K1944" s="95"/>
      <c r="L1944" s="95"/>
      <c r="M1944" s="95"/>
      <c r="N1944" s="153"/>
      <c r="O1944" s="140" t="s">
        <v>1472</v>
      </c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</row>
    <row r="1945" ht="22.5" customHeight="1">
      <c r="A1945" s="86">
        <v>46041.0</v>
      </c>
      <c r="B1945" s="139" t="s">
        <v>27</v>
      </c>
      <c r="C1945" s="79"/>
      <c r="D1945" s="80">
        <v>106666.75</v>
      </c>
      <c r="E1945" s="66" t="s">
        <v>28</v>
      </c>
      <c r="F1945" s="67" t="s">
        <v>1179</v>
      </c>
      <c r="G1945" s="68">
        <v>20.0</v>
      </c>
      <c r="H1945" s="69">
        <f t="shared" si="108"/>
        <v>17777.79167</v>
      </c>
      <c r="I1945" s="89" t="s">
        <v>1044</v>
      </c>
      <c r="J1945" s="136" t="s">
        <v>1045</v>
      </c>
      <c r="K1945" s="95"/>
      <c r="L1945" s="95"/>
      <c r="M1945" s="95"/>
      <c r="N1945" s="153"/>
      <c r="O1945" s="140" t="s">
        <v>1473</v>
      </c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</row>
    <row r="1946" ht="22.5" customHeight="1">
      <c r="A1946" s="86">
        <v>46041.0</v>
      </c>
      <c r="B1946" s="139" t="s">
        <v>27</v>
      </c>
      <c r="C1946" s="79"/>
      <c r="D1946" s="80">
        <v>320064.0</v>
      </c>
      <c r="E1946" s="66" t="s">
        <v>28</v>
      </c>
      <c r="F1946" s="67" t="s">
        <v>1179</v>
      </c>
      <c r="G1946" s="68">
        <v>20.0</v>
      </c>
      <c r="H1946" s="69">
        <f t="shared" si="108"/>
        <v>53344</v>
      </c>
      <c r="I1946" s="89" t="s">
        <v>1044</v>
      </c>
      <c r="J1946" s="136" t="s">
        <v>1045</v>
      </c>
      <c r="K1946" s="95"/>
      <c r="L1946" s="95"/>
      <c r="M1946" s="95"/>
      <c r="N1946" s="72"/>
      <c r="O1946" s="140" t="s">
        <v>1474</v>
      </c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</row>
    <row r="1947" ht="22.5" customHeight="1">
      <c r="A1947" s="86">
        <v>46041.0</v>
      </c>
      <c r="B1947" s="139" t="s">
        <v>27</v>
      </c>
      <c r="C1947" s="79"/>
      <c r="D1947" s="80">
        <v>641251.1</v>
      </c>
      <c r="E1947" s="66" t="s">
        <v>28</v>
      </c>
      <c r="F1947" s="67" t="s">
        <v>1179</v>
      </c>
      <c r="G1947" s="68">
        <v>0.0</v>
      </c>
      <c r="H1947" s="69">
        <f t="shared" si="108"/>
        <v>0</v>
      </c>
      <c r="I1947" s="76" t="s">
        <v>101</v>
      </c>
      <c r="J1947" s="151" t="s">
        <v>631</v>
      </c>
      <c r="K1947" s="95"/>
      <c r="L1947" s="95"/>
      <c r="M1947" s="95"/>
      <c r="N1947" s="72"/>
      <c r="O1947" s="140" t="s">
        <v>1475</v>
      </c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</row>
    <row r="1948" ht="22.5" customHeight="1">
      <c r="A1948" s="86">
        <v>46041.0</v>
      </c>
      <c r="B1948" s="139" t="s">
        <v>27</v>
      </c>
      <c r="C1948" s="79"/>
      <c r="D1948" s="80">
        <v>109073.37</v>
      </c>
      <c r="E1948" s="66" t="s">
        <v>28</v>
      </c>
      <c r="F1948" s="67" t="s">
        <v>1179</v>
      </c>
      <c r="G1948" s="68">
        <v>5.0</v>
      </c>
      <c r="H1948" s="69">
        <f t="shared" si="108"/>
        <v>5193.97</v>
      </c>
      <c r="I1948" s="76" t="s">
        <v>101</v>
      </c>
      <c r="J1948" s="136" t="s">
        <v>1032</v>
      </c>
      <c r="K1948" s="95"/>
      <c r="L1948" s="95"/>
      <c r="M1948" s="95"/>
      <c r="N1948" s="153"/>
      <c r="O1948" s="140" t="s">
        <v>1476</v>
      </c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</row>
    <row r="1949" ht="22.5" customHeight="1">
      <c r="A1949" s="86">
        <v>46041.0</v>
      </c>
      <c r="B1949" s="139" t="s">
        <v>27</v>
      </c>
      <c r="C1949" s="79"/>
      <c r="D1949" s="80">
        <v>99381.36</v>
      </c>
      <c r="E1949" s="66" t="s">
        <v>28</v>
      </c>
      <c r="F1949" s="67" t="s">
        <v>1179</v>
      </c>
      <c r="G1949" s="68">
        <v>20.0</v>
      </c>
      <c r="H1949" s="69">
        <f t="shared" si="108"/>
        <v>16563.56</v>
      </c>
      <c r="I1949" s="76" t="s">
        <v>101</v>
      </c>
      <c r="J1949" s="151" t="s">
        <v>1477</v>
      </c>
      <c r="K1949" s="95"/>
      <c r="L1949" s="95"/>
      <c r="M1949" s="95"/>
      <c r="N1949" s="153"/>
      <c r="O1949" s="140" t="s">
        <v>1478</v>
      </c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</row>
    <row r="1950" ht="22.5" customHeight="1">
      <c r="A1950" s="86">
        <v>46041.0</v>
      </c>
      <c r="B1950" s="139" t="s">
        <v>27</v>
      </c>
      <c r="C1950" s="79"/>
      <c r="D1950" s="80">
        <v>65564.6</v>
      </c>
      <c r="E1950" s="66" t="s">
        <v>28</v>
      </c>
      <c r="F1950" s="67" t="s">
        <v>1179</v>
      </c>
      <c r="G1950" s="68">
        <v>0.0</v>
      </c>
      <c r="H1950" s="69">
        <f t="shared" si="108"/>
        <v>0</v>
      </c>
      <c r="I1950" s="76" t="s">
        <v>101</v>
      </c>
      <c r="J1950" s="136" t="s">
        <v>1287</v>
      </c>
      <c r="K1950" s="95"/>
      <c r="L1950" s="95"/>
      <c r="M1950" s="95"/>
      <c r="N1950" s="153"/>
      <c r="O1950" s="140" t="s">
        <v>1479</v>
      </c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</row>
    <row r="1951" ht="22.5" customHeight="1">
      <c r="A1951" s="86">
        <v>46041.0</v>
      </c>
      <c r="B1951" s="139" t="s">
        <v>27</v>
      </c>
      <c r="C1951" s="79"/>
      <c r="D1951" s="80">
        <v>416353.3</v>
      </c>
      <c r="E1951" s="66" t="s">
        <v>28</v>
      </c>
      <c r="F1951" s="67" t="s">
        <v>1179</v>
      </c>
      <c r="G1951" s="68">
        <v>0.0</v>
      </c>
      <c r="H1951" s="69">
        <f t="shared" si="108"/>
        <v>0</v>
      </c>
      <c r="I1951" s="76" t="s">
        <v>101</v>
      </c>
      <c r="J1951" s="151" t="s">
        <v>1480</v>
      </c>
      <c r="K1951" s="95"/>
      <c r="L1951" s="95"/>
      <c r="M1951" s="95"/>
      <c r="N1951" s="72"/>
      <c r="O1951" s="140" t="s">
        <v>1481</v>
      </c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</row>
    <row r="1952" ht="22.5" customHeight="1">
      <c r="A1952" s="86">
        <v>46041.0</v>
      </c>
      <c r="B1952" s="139" t="s">
        <v>27</v>
      </c>
      <c r="C1952" s="79"/>
      <c r="D1952" s="80">
        <v>26600.04</v>
      </c>
      <c r="E1952" s="66" t="s">
        <v>28</v>
      </c>
      <c r="F1952" s="67" t="s">
        <v>1179</v>
      </c>
      <c r="G1952" s="68">
        <v>20.0</v>
      </c>
      <c r="H1952" s="69">
        <f t="shared" si="108"/>
        <v>4433.34</v>
      </c>
      <c r="I1952" s="76" t="s">
        <v>101</v>
      </c>
      <c r="J1952" s="136" t="s">
        <v>973</v>
      </c>
      <c r="K1952" s="95"/>
      <c r="L1952" s="95"/>
      <c r="M1952" s="95"/>
      <c r="N1952" s="153"/>
      <c r="O1952" s="140" t="s">
        <v>1482</v>
      </c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</row>
    <row r="1953" ht="22.5" customHeight="1">
      <c r="A1953" s="86">
        <v>46041.0</v>
      </c>
      <c r="B1953" s="139" t="s">
        <v>27</v>
      </c>
      <c r="C1953" s="79"/>
      <c r="D1953" s="80">
        <v>213954.5</v>
      </c>
      <c r="E1953" s="66" t="s">
        <v>28</v>
      </c>
      <c r="F1953" s="67" t="s">
        <v>1179</v>
      </c>
      <c r="G1953" s="68">
        <v>0.0</v>
      </c>
      <c r="H1953" s="69">
        <f t="shared" si="108"/>
        <v>0</v>
      </c>
      <c r="I1953" s="76" t="s">
        <v>101</v>
      </c>
      <c r="J1953" s="136" t="s">
        <v>818</v>
      </c>
      <c r="K1953" s="95"/>
      <c r="L1953" s="95"/>
      <c r="M1953" s="95"/>
      <c r="N1953" s="153"/>
      <c r="O1953" s="140" t="s">
        <v>1483</v>
      </c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</row>
    <row r="1954" ht="22.5" customHeight="1">
      <c r="A1954" s="86">
        <v>46041.0</v>
      </c>
      <c r="B1954" s="139" t="s">
        <v>27</v>
      </c>
      <c r="C1954" s="79"/>
      <c r="D1954" s="80">
        <v>1406828.7</v>
      </c>
      <c r="E1954" s="66" t="s">
        <v>28</v>
      </c>
      <c r="F1954" s="67" t="s">
        <v>1179</v>
      </c>
      <c r="G1954" s="68">
        <v>20.0</v>
      </c>
      <c r="H1954" s="69">
        <f t="shared" si="108"/>
        <v>234471.45</v>
      </c>
      <c r="I1954" s="76" t="s">
        <v>101</v>
      </c>
      <c r="J1954" s="136" t="s">
        <v>597</v>
      </c>
      <c r="K1954" s="95"/>
      <c r="L1954" s="95"/>
      <c r="M1954" s="95"/>
      <c r="N1954" s="72"/>
      <c r="O1954" s="140" t="s">
        <v>1484</v>
      </c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</row>
    <row r="1955" ht="22.5" customHeight="1">
      <c r="A1955" s="86">
        <v>46041.0</v>
      </c>
      <c r="B1955" s="139" t="s">
        <v>27</v>
      </c>
      <c r="C1955" s="79"/>
      <c r="D1955" s="80">
        <v>472898.26</v>
      </c>
      <c r="E1955" s="66" t="s">
        <v>28</v>
      </c>
      <c r="F1955" s="67" t="s">
        <v>1179</v>
      </c>
      <c r="G1955" s="68">
        <v>20.0</v>
      </c>
      <c r="H1955" s="69">
        <f t="shared" si="108"/>
        <v>78816.37667</v>
      </c>
      <c r="I1955" s="76" t="s">
        <v>101</v>
      </c>
      <c r="J1955" s="136" t="s">
        <v>643</v>
      </c>
      <c r="K1955" s="95"/>
      <c r="L1955" s="95"/>
      <c r="M1955" s="95"/>
      <c r="N1955" s="153"/>
      <c r="O1955" s="140" t="s">
        <v>1485</v>
      </c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</row>
    <row r="1956" ht="22.5" customHeight="1">
      <c r="A1956" s="86">
        <v>46041.0</v>
      </c>
      <c r="B1956" s="139" t="s">
        <v>27</v>
      </c>
      <c r="C1956" s="79"/>
      <c r="D1956" s="80">
        <v>305454.16</v>
      </c>
      <c r="E1956" s="66" t="s">
        <v>28</v>
      </c>
      <c r="F1956" s="67" t="s">
        <v>1179</v>
      </c>
      <c r="G1956" s="68">
        <v>20.0</v>
      </c>
      <c r="H1956" s="69">
        <f t="shared" si="108"/>
        <v>50909.02667</v>
      </c>
      <c r="I1956" s="76" t="s">
        <v>101</v>
      </c>
      <c r="J1956" s="136" t="s">
        <v>1277</v>
      </c>
      <c r="K1956" s="95"/>
      <c r="L1956" s="95"/>
      <c r="M1956" s="95"/>
      <c r="N1956" s="153"/>
      <c r="O1956" s="140" t="s">
        <v>1486</v>
      </c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</row>
    <row r="1957" ht="22.5" customHeight="1">
      <c r="A1957" s="86">
        <v>46041.0</v>
      </c>
      <c r="B1957" s="139" t="s">
        <v>27</v>
      </c>
      <c r="C1957" s="79"/>
      <c r="D1957" s="80">
        <v>1699479.29</v>
      </c>
      <c r="E1957" s="66" t="s">
        <v>28</v>
      </c>
      <c r="F1957" s="67" t="s">
        <v>1179</v>
      </c>
      <c r="G1957" s="68">
        <v>20.0</v>
      </c>
      <c r="H1957" s="69">
        <f t="shared" si="108"/>
        <v>283246.5483</v>
      </c>
      <c r="I1957" s="76" t="s">
        <v>101</v>
      </c>
      <c r="J1957" s="136" t="s">
        <v>1280</v>
      </c>
      <c r="K1957" s="95"/>
      <c r="L1957" s="95"/>
      <c r="M1957" s="95"/>
      <c r="N1957" s="153"/>
      <c r="O1957" s="140" t="s">
        <v>1487</v>
      </c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</row>
    <row r="1958" ht="22.5" customHeight="1">
      <c r="A1958" s="86">
        <v>46041.0</v>
      </c>
      <c r="B1958" s="139" t="s">
        <v>27</v>
      </c>
      <c r="C1958" s="79"/>
      <c r="D1958" s="80">
        <v>33879.7</v>
      </c>
      <c r="E1958" s="66" t="s">
        <v>28</v>
      </c>
      <c r="F1958" s="67" t="s">
        <v>1179</v>
      </c>
      <c r="G1958" s="68">
        <v>0.0</v>
      </c>
      <c r="H1958" s="69">
        <f t="shared" si="108"/>
        <v>0</v>
      </c>
      <c r="I1958" s="76" t="s">
        <v>101</v>
      </c>
      <c r="J1958" s="151" t="s">
        <v>1488</v>
      </c>
      <c r="K1958" s="95"/>
      <c r="L1958" s="95"/>
      <c r="M1958" s="95"/>
      <c r="N1958" s="153"/>
      <c r="O1958" s="140" t="s">
        <v>1489</v>
      </c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</row>
    <row r="1959" ht="22.5" customHeight="1">
      <c r="A1959" s="86">
        <v>46041.0</v>
      </c>
      <c r="B1959" s="139" t="s">
        <v>27</v>
      </c>
      <c r="C1959" s="79"/>
      <c r="D1959" s="80">
        <v>1206846.46</v>
      </c>
      <c r="E1959" s="66" t="s">
        <v>28</v>
      </c>
      <c r="F1959" s="67" t="s">
        <v>1179</v>
      </c>
      <c r="G1959" s="68">
        <v>20.0</v>
      </c>
      <c r="H1959" s="69">
        <f t="shared" si="108"/>
        <v>201141.0767</v>
      </c>
      <c r="I1959" s="76" t="s">
        <v>101</v>
      </c>
      <c r="J1959" s="136" t="s">
        <v>1284</v>
      </c>
      <c r="K1959" s="95"/>
      <c r="L1959" s="95"/>
      <c r="M1959" s="95"/>
      <c r="N1959" s="153"/>
      <c r="O1959" s="140" t="s">
        <v>1490</v>
      </c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</row>
    <row r="1960" ht="22.5" customHeight="1">
      <c r="A1960" s="86">
        <v>46041.0</v>
      </c>
      <c r="B1960" s="139" t="s">
        <v>27</v>
      </c>
      <c r="C1960" s="79"/>
      <c r="D1960" s="80">
        <v>85000.38</v>
      </c>
      <c r="E1960" s="66" t="s">
        <v>28</v>
      </c>
      <c r="F1960" s="67" t="s">
        <v>1179</v>
      </c>
      <c r="G1960" s="68">
        <v>5.0</v>
      </c>
      <c r="H1960" s="69">
        <f t="shared" si="108"/>
        <v>4047.637143</v>
      </c>
      <c r="I1960" s="76" t="s">
        <v>101</v>
      </c>
      <c r="J1960" s="136" t="s">
        <v>671</v>
      </c>
      <c r="K1960" s="95"/>
      <c r="L1960" s="95"/>
      <c r="M1960" s="95"/>
      <c r="N1960" s="153"/>
      <c r="O1960" s="140" t="s">
        <v>1491</v>
      </c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</row>
    <row r="1961" ht="22.5" customHeight="1">
      <c r="A1961" s="86">
        <v>46041.0</v>
      </c>
      <c r="B1961" s="139" t="s">
        <v>27</v>
      </c>
      <c r="C1961" s="79"/>
      <c r="D1961" s="80">
        <v>243450.0</v>
      </c>
      <c r="E1961" s="66" t="s">
        <v>28</v>
      </c>
      <c r="F1961" s="67" t="s">
        <v>1179</v>
      </c>
      <c r="G1961" s="68">
        <v>0.0</v>
      </c>
      <c r="H1961" s="69">
        <f t="shared" si="108"/>
        <v>0</v>
      </c>
      <c r="I1961" s="76" t="s">
        <v>286</v>
      </c>
      <c r="J1961" s="98" t="s">
        <v>454</v>
      </c>
      <c r="K1961" s="95"/>
      <c r="L1961" s="95"/>
      <c r="M1961" s="95"/>
      <c r="N1961" s="153"/>
      <c r="O1961" s="140" t="s">
        <v>1492</v>
      </c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</row>
    <row r="1962" ht="22.5" customHeight="1">
      <c r="A1962" s="86">
        <v>46041.0</v>
      </c>
      <c r="B1962" s="139" t="s">
        <v>27</v>
      </c>
      <c r="C1962" s="79"/>
      <c r="D1962" s="80">
        <v>54396.73</v>
      </c>
      <c r="E1962" s="66" t="s">
        <v>28</v>
      </c>
      <c r="F1962" s="67" t="s">
        <v>1179</v>
      </c>
      <c r="G1962" s="68">
        <v>20.0</v>
      </c>
      <c r="H1962" s="69">
        <f t="shared" si="108"/>
        <v>9066.121667</v>
      </c>
      <c r="I1962" s="76" t="s">
        <v>101</v>
      </c>
      <c r="J1962" s="136" t="s">
        <v>1280</v>
      </c>
      <c r="K1962" s="95"/>
      <c r="L1962" s="95"/>
      <c r="M1962" s="95"/>
      <c r="N1962" s="153"/>
      <c r="O1962" s="140" t="s">
        <v>1493</v>
      </c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</row>
    <row r="1963" ht="22.5" customHeight="1">
      <c r="A1963" s="86">
        <v>46041.0</v>
      </c>
      <c r="B1963" s="139" t="s">
        <v>27</v>
      </c>
      <c r="C1963" s="79"/>
      <c r="D1963" s="80">
        <v>43882.32</v>
      </c>
      <c r="E1963" s="66" t="s">
        <v>28</v>
      </c>
      <c r="F1963" s="67" t="s">
        <v>1179</v>
      </c>
      <c r="G1963" s="68">
        <v>20.0</v>
      </c>
      <c r="H1963" s="69">
        <f t="shared" si="108"/>
        <v>7313.72</v>
      </c>
      <c r="I1963" s="76" t="s">
        <v>101</v>
      </c>
      <c r="J1963" s="136" t="s">
        <v>976</v>
      </c>
      <c r="K1963" s="95"/>
      <c r="L1963" s="95"/>
      <c r="M1963" s="95"/>
      <c r="N1963" s="153"/>
      <c r="O1963" s="140" t="s">
        <v>1494</v>
      </c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</row>
    <row r="1964" ht="22.5" customHeight="1">
      <c r="A1964" s="86">
        <v>46041.0</v>
      </c>
      <c r="B1964" s="139" t="s">
        <v>27</v>
      </c>
      <c r="C1964" s="79"/>
      <c r="D1964" s="80">
        <v>7315.2</v>
      </c>
      <c r="E1964" s="66" t="s">
        <v>28</v>
      </c>
      <c r="F1964" s="67" t="s">
        <v>1179</v>
      </c>
      <c r="G1964" s="68">
        <v>20.0</v>
      </c>
      <c r="H1964" s="69">
        <f t="shared" si="108"/>
        <v>1219.2</v>
      </c>
      <c r="I1964" s="89" t="s">
        <v>1044</v>
      </c>
      <c r="J1964" s="136" t="s">
        <v>1045</v>
      </c>
      <c r="K1964" s="95"/>
      <c r="L1964" s="95"/>
      <c r="M1964" s="95"/>
      <c r="N1964" s="153"/>
      <c r="O1964" s="140" t="s">
        <v>1495</v>
      </c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</row>
    <row r="1965" ht="22.5" customHeight="1">
      <c r="A1965" s="86">
        <v>46041.0</v>
      </c>
      <c r="B1965" s="139" t="s">
        <v>27</v>
      </c>
      <c r="C1965" s="79"/>
      <c r="D1965" s="80">
        <v>106666.75</v>
      </c>
      <c r="E1965" s="66" t="s">
        <v>28</v>
      </c>
      <c r="F1965" s="67" t="s">
        <v>1179</v>
      </c>
      <c r="G1965" s="68">
        <v>20.0</v>
      </c>
      <c r="H1965" s="69">
        <f t="shared" si="108"/>
        <v>17777.79167</v>
      </c>
      <c r="I1965" s="89" t="s">
        <v>1044</v>
      </c>
      <c r="J1965" s="136" t="s">
        <v>1045</v>
      </c>
      <c r="K1965" s="95"/>
      <c r="L1965" s="95"/>
      <c r="M1965" s="95"/>
      <c r="N1965" s="153"/>
      <c r="O1965" s="140" t="s">
        <v>1496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</row>
    <row r="1966" ht="22.5" customHeight="1">
      <c r="A1966" s="86">
        <v>46041.0</v>
      </c>
      <c r="B1966" s="139" t="s">
        <v>27</v>
      </c>
      <c r="C1966" s="79"/>
      <c r="D1966" s="80">
        <v>382720.0</v>
      </c>
      <c r="E1966" s="66" t="s">
        <v>28</v>
      </c>
      <c r="F1966" s="67" t="s">
        <v>1179</v>
      </c>
      <c r="G1966" s="68">
        <v>20.0</v>
      </c>
      <c r="H1966" s="69">
        <f t="shared" si="108"/>
        <v>63786.66667</v>
      </c>
      <c r="I1966" s="89" t="s">
        <v>1044</v>
      </c>
      <c r="J1966" s="136" t="s">
        <v>1045</v>
      </c>
      <c r="K1966" s="95"/>
      <c r="L1966" s="95"/>
      <c r="M1966" s="95"/>
      <c r="N1966" s="153"/>
      <c r="O1966" s="140" t="s">
        <v>1497</v>
      </c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</row>
    <row r="1967" ht="22.5" customHeight="1">
      <c r="A1967" s="86">
        <v>46041.0</v>
      </c>
      <c r="B1967" s="139" t="s">
        <v>27</v>
      </c>
      <c r="C1967" s="79"/>
      <c r="D1967" s="80">
        <v>38258.64</v>
      </c>
      <c r="E1967" s="66" t="s">
        <v>28</v>
      </c>
      <c r="F1967" s="67" t="s">
        <v>1179</v>
      </c>
      <c r="G1967" s="68">
        <v>20.0</v>
      </c>
      <c r="H1967" s="69">
        <f t="shared" si="108"/>
        <v>6376.44</v>
      </c>
      <c r="I1967" s="76" t="s">
        <v>101</v>
      </c>
      <c r="J1967" s="151" t="s">
        <v>1498</v>
      </c>
      <c r="K1967" s="95"/>
      <c r="L1967" s="95"/>
      <c r="M1967" s="95"/>
      <c r="N1967" s="153"/>
      <c r="O1967" s="140" t="s">
        <v>1499</v>
      </c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</row>
    <row r="1968" ht="22.5" customHeight="1">
      <c r="A1968" s="86">
        <v>46041.0</v>
      </c>
      <c r="B1968" s="139" t="s">
        <v>27</v>
      </c>
      <c r="C1968" s="79"/>
      <c r="D1968" s="80">
        <v>22516.4</v>
      </c>
      <c r="E1968" s="66" t="s">
        <v>28</v>
      </c>
      <c r="F1968" s="67" t="s">
        <v>603</v>
      </c>
      <c r="G1968" s="68">
        <v>5.0</v>
      </c>
      <c r="H1968" s="69">
        <f t="shared" si="108"/>
        <v>1072.209524</v>
      </c>
      <c r="I1968" s="89" t="s">
        <v>495</v>
      </c>
      <c r="J1968" s="98" t="s">
        <v>1419</v>
      </c>
      <c r="K1968" s="95"/>
      <c r="L1968" s="95"/>
      <c r="M1968" s="95"/>
      <c r="N1968" s="153"/>
      <c r="O1968" s="140" t="s">
        <v>1500</v>
      </c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</row>
    <row r="1969" ht="22.5" customHeight="1">
      <c r="A1969" s="86">
        <v>46041.0</v>
      </c>
      <c r="B1969" s="139" t="s">
        <v>27</v>
      </c>
      <c r="C1969" s="79"/>
      <c r="D1969" s="80">
        <v>2100.0</v>
      </c>
      <c r="E1969" s="66" t="s">
        <v>28</v>
      </c>
      <c r="F1969" s="67" t="s">
        <v>603</v>
      </c>
      <c r="G1969" s="68">
        <v>5.0</v>
      </c>
      <c r="H1969" s="69">
        <f t="shared" si="108"/>
        <v>100</v>
      </c>
      <c r="I1969" s="89" t="s">
        <v>495</v>
      </c>
      <c r="J1969" s="98" t="s">
        <v>1419</v>
      </c>
      <c r="K1969" s="95"/>
      <c r="L1969" s="95"/>
      <c r="M1969" s="95"/>
      <c r="N1969" s="153"/>
      <c r="O1969" s="140" t="s">
        <v>1501</v>
      </c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</row>
    <row r="1970" ht="22.5" customHeight="1">
      <c r="A1970" s="86">
        <v>46041.0</v>
      </c>
      <c r="B1970" s="139" t="s">
        <v>27</v>
      </c>
      <c r="C1970" s="79"/>
      <c r="D1970" s="80">
        <v>10101.343</v>
      </c>
      <c r="E1970" s="66" t="s">
        <v>28</v>
      </c>
      <c r="F1970" s="67" t="s">
        <v>608</v>
      </c>
      <c r="G1970" s="68">
        <v>5.0</v>
      </c>
      <c r="H1970" s="69">
        <f t="shared" si="108"/>
        <v>481.0163333</v>
      </c>
      <c r="I1970" s="89" t="s">
        <v>495</v>
      </c>
      <c r="J1970" s="98" t="s">
        <v>1419</v>
      </c>
      <c r="K1970" s="95"/>
      <c r="L1970" s="95"/>
      <c r="M1970" s="95"/>
      <c r="N1970" s="153"/>
      <c r="O1970" s="140" t="s">
        <v>1502</v>
      </c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</row>
    <row r="1971" ht="22.5" customHeight="1">
      <c r="A1971" s="86">
        <v>46041.0</v>
      </c>
      <c r="B1971" s="139" t="s">
        <v>27</v>
      </c>
      <c r="C1971" s="79"/>
      <c r="D1971" s="80">
        <v>600.0</v>
      </c>
      <c r="E1971" s="66" t="s">
        <v>28</v>
      </c>
      <c r="F1971" s="67" t="s">
        <v>604</v>
      </c>
      <c r="G1971" s="68">
        <v>20.0</v>
      </c>
      <c r="H1971" s="69">
        <f t="shared" si="108"/>
        <v>100</v>
      </c>
      <c r="I1971" s="89" t="s">
        <v>61</v>
      </c>
      <c r="J1971" s="98" t="s">
        <v>942</v>
      </c>
      <c r="K1971" s="95"/>
      <c r="L1971" s="95"/>
      <c r="M1971" s="95"/>
      <c r="N1971" s="153"/>
      <c r="O1971" s="140" t="s">
        <v>1503</v>
      </c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</row>
    <row r="1972" ht="22.5" customHeight="1">
      <c r="A1972" s="86">
        <v>46041.0</v>
      </c>
      <c r="B1972" s="63" t="s">
        <v>27</v>
      </c>
      <c r="C1972" s="79"/>
      <c r="D1972" s="80">
        <v>238920.0</v>
      </c>
      <c r="E1972" s="66" t="s">
        <v>28</v>
      </c>
      <c r="F1972" s="67" t="s">
        <v>594</v>
      </c>
      <c r="G1972" s="68">
        <v>0.0</v>
      </c>
      <c r="H1972" s="69">
        <f t="shared" si="108"/>
        <v>0</v>
      </c>
      <c r="I1972" s="76" t="s">
        <v>495</v>
      </c>
      <c r="J1972" s="98" t="s">
        <v>691</v>
      </c>
      <c r="K1972" s="95"/>
      <c r="L1972" s="95"/>
      <c r="M1972" s="95"/>
      <c r="N1972" s="153"/>
      <c r="O1972" s="9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</row>
    <row r="1973" ht="22.5" customHeight="1">
      <c r="A1973" s="86">
        <v>46041.0</v>
      </c>
      <c r="B1973" s="63" t="s">
        <v>27</v>
      </c>
      <c r="C1973" s="79"/>
      <c r="D1973" s="80">
        <f>144000+2671</f>
        <v>146671</v>
      </c>
      <c r="E1973" s="66" t="s">
        <v>28</v>
      </c>
      <c r="F1973" s="67" t="s">
        <v>604</v>
      </c>
      <c r="G1973" s="68">
        <v>0.0</v>
      </c>
      <c r="H1973" s="69">
        <f t="shared" si="108"/>
        <v>0</v>
      </c>
      <c r="I1973" s="89" t="s">
        <v>61</v>
      </c>
      <c r="J1973" s="98" t="s">
        <v>901</v>
      </c>
      <c r="K1973" s="95"/>
      <c r="L1973" s="95"/>
      <c r="M1973" s="95"/>
      <c r="N1973" s="153"/>
      <c r="O1973" s="9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</row>
    <row r="1974" ht="22.5" customHeight="1">
      <c r="A1974" s="86">
        <v>46041.0</v>
      </c>
      <c r="B1974" s="63" t="s">
        <v>27</v>
      </c>
      <c r="C1974" s="79"/>
      <c r="D1974" s="80">
        <v>116190.05</v>
      </c>
      <c r="E1974" s="66" t="s">
        <v>28</v>
      </c>
      <c r="F1974" s="67" t="s">
        <v>604</v>
      </c>
      <c r="G1974" s="68">
        <v>20.0</v>
      </c>
      <c r="H1974" s="69">
        <f t="shared" si="108"/>
        <v>19365.00833</v>
      </c>
      <c r="I1974" s="76" t="s">
        <v>30</v>
      </c>
      <c r="J1974" s="98" t="s">
        <v>1335</v>
      </c>
      <c r="K1974" s="95"/>
      <c r="L1974" s="95"/>
      <c r="M1974" s="95"/>
      <c r="N1974" s="153"/>
      <c r="O1974" s="9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</row>
    <row r="1975" ht="22.5" customHeight="1">
      <c r="A1975" s="86">
        <v>46041.0</v>
      </c>
      <c r="B1975" s="63" t="s">
        <v>27</v>
      </c>
      <c r="C1975" s="79"/>
      <c r="D1975" s="80">
        <v>816552.76</v>
      </c>
      <c r="E1975" s="66" t="s">
        <v>28</v>
      </c>
      <c r="F1975" s="67" t="s">
        <v>1179</v>
      </c>
      <c r="G1975" s="68">
        <v>20.0</v>
      </c>
      <c r="H1975" s="69">
        <f t="shared" si="108"/>
        <v>136092.1267</v>
      </c>
      <c r="I1975" s="76" t="s">
        <v>101</v>
      </c>
      <c r="J1975" s="136" t="s">
        <v>670</v>
      </c>
      <c r="K1975" s="95"/>
      <c r="L1975" s="95"/>
      <c r="M1975" s="95"/>
      <c r="N1975" s="72"/>
      <c r="O1975" s="140" t="s">
        <v>1504</v>
      </c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</row>
    <row r="1976" ht="22.5" customHeight="1">
      <c r="A1976" s="86">
        <v>46041.0</v>
      </c>
      <c r="B1976" s="139" t="s">
        <v>27</v>
      </c>
      <c r="C1976" s="79"/>
      <c r="D1976" s="80">
        <v>40986.49</v>
      </c>
      <c r="E1976" s="66" t="s">
        <v>28</v>
      </c>
      <c r="F1976" s="67" t="s">
        <v>1179</v>
      </c>
      <c r="G1976" s="68">
        <v>20.0</v>
      </c>
      <c r="H1976" s="69">
        <f t="shared" si="108"/>
        <v>6831.081667</v>
      </c>
      <c r="I1976" s="76" t="s">
        <v>1044</v>
      </c>
      <c r="J1976" s="98" t="s">
        <v>1505</v>
      </c>
      <c r="K1976" s="95"/>
      <c r="L1976" s="95"/>
      <c r="M1976" s="95"/>
      <c r="N1976" s="72"/>
      <c r="O1976" s="140" t="s">
        <v>1506</v>
      </c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</row>
    <row r="1977" ht="22.5" customHeight="1">
      <c r="A1977" s="86">
        <v>46041.0</v>
      </c>
      <c r="B1977" s="137" t="s">
        <v>27</v>
      </c>
      <c r="C1977" s="79"/>
      <c r="D1977" s="80">
        <v>20740.0</v>
      </c>
      <c r="E1977" s="66" t="s">
        <v>28</v>
      </c>
      <c r="F1977" s="67" t="s">
        <v>603</v>
      </c>
      <c r="G1977" s="68">
        <v>22.0</v>
      </c>
      <c r="H1977" s="69">
        <f t="shared" si="108"/>
        <v>3740</v>
      </c>
      <c r="I1977" s="89" t="s">
        <v>495</v>
      </c>
      <c r="J1977" s="98" t="s">
        <v>910</v>
      </c>
      <c r="K1977" s="95"/>
      <c r="L1977" s="95"/>
      <c r="M1977" s="95"/>
      <c r="N1977" s="72"/>
      <c r="O1977" s="140" t="s">
        <v>1507</v>
      </c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</row>
    <row r="1978" ht="22.5" customHeight="1">
      <c r="A1978" s="86">
        <v>46042.0</v>
      </c>
      <c r="B1978" s="157" t="s">
        <v>27</v>
      </c>
      <c r="C1978" s="80">
        <v>1531799.64</v>
      </c>
      <c r="D1978" s="79"/>
      <c r="E1978" s="66" t="s">
        <v>28</v>
      </c>
      <c r="F1978" s="67" t="s">
        <v>1179</v>
      </c>
      <c r="G1978" s="68">
        <v>20.0</v>
      </c>
      <c r="H1978" s="69">
        <f t="shared" si="108"/>
        <v>255299.94</v>
      </c>
      <c r="I1978" s="76" t="s">
        <v>37</v>
      </c>
      <c r="J1978" s="98" t="s">
        <v>1271</v>
      </c>
      <c r="K1978" s="82" t="s">
        <v>993</v>
      </c>
      <c r="L1978" s="82">
        <v>369.0</v>
      </c>
      <c r="M1978" s="128">
        <v>45968.0</v>
      </c>
      <c r="N1978" s="72">
        <f t="shared" ref="N1978:N1981" si="114">TODAY()-M1978-60</f>
        <v>160</v>
      </c>
      <c r="O1978" s="9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</row>
    <row r="1979" ht="22.5" customHeight="1">
      <c r="A1979" s="86">
        <v>46042.0</v>
      </c>
      <c r="B1979" s="157" t="s">
        <v>27</v>
      </c>
      <c r="C1979" s="80">
        <v>2714635.56</v>
      </c>
      <c r="D1979" s="79"/>
      <c r="E1979" s="66" t="s">
        <v>28</v>
      </c>
      <c r="F1979" s="67" t="s">
        <v>1179</v>
      </c>
      <c r="G1979" s="68">
        <v>20.0</v>
      </c>
      <c r="H1979" s="69">
        <f t="shared" si="108"/>
        <v>452439.26</v>
      </c>
      <c r="I1979" s="76" t="s">
        <v>37</v>
      </c>
      <c r="J1979" s="98" t="s">
        <v>1271</v>
      </c>
      <c r="K1979" s="82" t="s">
        <v>994</v>
      </c>
      <c r="L1979" s="82">
        <v>370.0</v>
      </c>
      <c r="M1979" s="128">
        <v>45968.0</v>
      </c>
      <c r="N1979" s="72">
        <f t="shared" si="114"/>
        <v>160</v>
      </c>
      <c r="O1979" s="9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</row>
    <row r="1980" ht="22.5" customHeight="1">
      <c r="A1980" s="86">
        <v>46042.0</v>
      </c>
      <c r="B1980" s="157" t="s">
        <v>27</v>
      </c>
      <c r="C1980" s="80">
        <v>689270.4</v>
      </c>
      <c r="D1980" s="79"/>
      <c r="E1980" s="66" t="s">
        <v>28</v>
      </c>
      <c r="F1980" s="67" t="s">
        <v>1179</v>
      </c>
      <c r="G1980" s="68">
        <v>20.0</v>
      </c>
      <c r="H1980" s="69">
        <f t="shared" si="108"/>
        <v>114878.4</v>
      </c>
      <c r="I1980" s="76" t="s">
        <v>37</v>
      </c>
      <c r="J1980" s="98" t="s">
        <v>1271</v>
      </c>
      <c r="K1980" s="82" t="s">
        <v>607</v>
      </c>
      <c r="L1980" s="82">
        <v>371.0</v>
      </c>
      <c r="M1980" s="128">
        <v>45968.0</v>
      </c>
      <c r="N1980" s="72">
        <f t="shared" si="114"/>
        <v>160</v>
      </c>
      <c r="O1980" s="9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</row>
    <row r="1981" ht="22.5" customHeight="1">
      <c r="A1981" s="86">
        <v>46042.0</v>
      </c>
      <c r="B1981" s="157" t="s">
        <v>27</v>
      </c>
      <c r="C1981" s="80">
        <v>600000.24</v>
      </c>
      <c r="D1981" s="79"/>
      <c r="E1981" s="66" t="s">
        <v>28</v>
      </c>
      <c r="F1981" s="67" t="s">
        <v>1179</v>
      </c>
      <c r="G1981" s="68">
        <v>20.0</v>
      </c>
      <c r="H1981" s="69">
        <f t="shared" si="108"/>
        <v>100000.04</v>
      </c>
      <c r="I1981" s="76" t="s">
        <v>37</v>
      </c>
      <c r="J1981" s="98" t="s">
        <v>1271</v>
      </c>
      <c r="K1981" s="82" t="s">
        <v>949</v>
      </c>
      <c r="L1981" s="82">
        <v>372.0</v>
      </c>
      <c r="M1981" s="128">
        <v>45968.0</v>
      </c>
      <c r="N1981" s="72">
        <f t="shared" si="114"/>
        <v>160</v>
      </c>
      <c r="O1981" s="9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</row>
    <row r="1982" ht="22.5" customHeight="1">
      <c r="A1982" s="86">
        <v>46042.0</v>
      </c>
      <c r="B1982" s="137" t="s">
        <v>27</v>
      </c>
      <c r="C1982" s="79"/>
      <c r="D1982" s="80">
        <v>5000.0</v>
      </c>
      <c r="E1982" s="66" t="s">
        <v>33</v>
      </c>
      <c r="F1982" s="67" t="s">
        <v>603</v>
      </c>
      <c r="G1982" s="68">
        <v>0.0</v>
      </c>
      <c r="H1982" s="69">
        <f t="shared" si="108"/>
        <v>0</v>
      </c>
      <c r="I1982" s="89" t="s">
        <v>490</v>
      </c>
      <c r="J1982" s="98" t="s">
        <v>1508</v>
      </c>
      <c r="K1982" s="95"/>
      <c r="L1982" s="95"/>
      <c r="M1982" s="95"/>
      <c r="N1982" s="72"/>
      <c r="O1982" s="9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</row>
    <row r="1983" ht="22.5" customHeight="1">
      <c r="A1983" s="86">
        <v>46042.0</v>
      </c>
      <c r="B1983" s="157" t="s">
        <v>27</v>
      </c>
      <c r="C1983" s="80">
        <v>204000.0</v>
      </c>
      <c r="D1983" s="79"/>
      <c r="E1983" s="66" t="s">
        <v>28</v>
      </c>
      <c r="F1983" s="67" t="s">
        <v>1179</v>
      </c>
      <c r="G1983" s="68">
        <v>20.0</v>
      </c>
      <c r="H1983" s="69">
        <f t="shared" si="108"/>
        <v>34000</v>
      </c>
      <c r="I1983" s="76" t="s">
        <v>37</v>
      </c>
      <c r="J1983" s="98" t="s">
        <v>675</v>
      </c>
      <c r="K1983" s="82" t="s">
        <v>757</v>
      </c>
      <c r="L1983" s="82">
        <v>376.0</v>
      </c>
      <c r="M1983" s="128">
        <v>45968.0</v>
      </c>
      <c r="N1983" s="72">
        <f>TODAY()-M1983-60</f>
        <v>160</v>
      </c>
      <c r="O1983" s="9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</row>
    <row r="1984" ht="22.5" customHeight="1">
      <c r="A1984" s="86">
        <v>46043.0</v>
      </c>
      <c r="B1984" s="137" t="s">
        <v>27</v>
      </c>
      <c r="C1984" s="79"/>
      <c r="D1984" s="80">
        <v>57736.8</v>
      </c>
      <c r="E1984" s="66" t="s">
        <v>28</v>
      </c>
      <c r="F1984" s="67" t="s">
        <v>1099</v>
      </c>
      <c r="G1984" s="68">
        <v>0.0</v>
      </c>
      <c r="H1984" s="69">
        <f t="shared" si="108"/>
        <v>0</v>
      </c>
      <c r="I1984" s="89" t="s">
        <v>101</v>
      </c>
      <c r="J1984" s="151" t="s">
        <v>1480</v>
      </c>
      <c r="K1984" s="95"/>
      <c r="L1984" s="95"/>
      <c r="M1984" s="95"/>
      <c r="N1984" s="72"/>
      <c r="O1984" s="140" t="s">
        <v>1509</v>
      </c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</row>
    <row r="1985" ht="22.5" customHeight="1">
      <c r="A1985" s="86">
        <v>46043.0</v>
      </c>
      <c r="B1985" s="139" t="s">
        <v>27</v>
      </c>
      <c r="C1985" s="79"/>
      <c r="D1985" s="80">
        <v>284469.0</v>
      </c>
      <c r="E1985" s="66" t="s">
        <v>28</v>
      </c>
      <c r="F1985" s="84" t="s">
        <v>897</v>
      </c>
      <c r="G1985" s="68">
        <v>20.0</v>
      </c>
      <c r="H1985" s="69">
        <f t="shared" si="108"/>
        <v>47411.5</v>
      </c>
      <c r="I1985" s="76" t="s">
        <v>101</v>
      </c>
      <c r="J1985" s="151" t="s">
        <v>1118</v>
      </c>
      <c r="K1985" s="95"/>
      <c r="L1985" s="95"/>
      <c r="M1985" s="95"/>
      <c r="N1985" s="72"/>
      <c r="O1985" s="140" t="s">
        <v>1510</v>
      </c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</row>
    <row r="1986" ht="22.5" customHeight="1">
      <c r="A1986" s="86">
        <v>46043.0</v>
      </c>
      <c r="B1986" s="137" t="s">
        <v>27</v>
      </c>
      <c r="C1986" s="79"/>
      <c r="D1986" s="80">
        <v>201911.1</v>
      </c>
      <c r="E1986" s="66" t="s">
        <v>28</v>
      </c>
      <c r="F1986" s="67" t="s">
        <v>941</v>
      </c>
      <c r="G1986" s="68">
        <v>20.0</v>
      </c>
      <c r="H1986" s="69">
        <f t="shared" si="108"/>
        <v>33651.85</v>
      </c>
      <c r="I1986" s="89" t="s">
        <v>101</v>
      </c>
      <c r="J1986" s="151" t="s">
        <v>1118</v>
      </c>
      <c r="K1986" s="95"/>
      <c r="L1986" s="95"/>
      <c r="M1986" s="95"/>
      <c r="N1986" s="72"/>
      <c r="O1986" s="96"/>
      <c r="P1986" s="36"/>
      <c r="Q1986" s="36"/>
      <c r="R1986" s="36"/>
      <c r="S1986" s="36"/>
      <c r="T1986" s="36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</row>
    <row r="1987" ht="22.5" customHeight="1">
      <c r="A1987" s="86">
        <v>46043.0</v>
      </c>
      <c r="B1987" s="137" t="s">
        <v>27</v>
      </c>
      <c r="C1987" s="79"/>
      <c r="D1987" s="80">
        <v>232713.6</v>
      </c>
      <c r="E1987" s="66" t="s">
        <v>28</v>
      </c>
      <c r="F1987" s="67" t="s">
        <v>1002</v>
      </c>
      <c r="G1987" s="68">
        <v>20.0</v>
      </c>
      <c r="H1987" s="69">
        <f t="shared" si="108"/>
        <v>38785.6</v>
      </c>
      <c r="I1987" s="89" t="s">
        <v>101</v>
      </c>
      <c r="J1987" s="151" t="s">
        <v>1118</v>
      </c>
      <c r="K1987" s="95"/>
      <c r="L1987" s="95"/>
      <c r="M1987" s="95"/>
      <c r="N1987" s="72"/>
      <c r="O1987" s="96"/>
      <c r="P1987" s="36"/>
      <c r="Q1987" s="36"/>
      <c r="R1987" s="36"/>
      <c r="S1987" s="36"/>
      <c r="T1987" s="36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</row>
    <row r="1988" ht="22.5" customHeight="1">
      <c r="A1988" s="86">
        <v>46043.0</v>
      </c>
      <c r="B1988" s="137" t="s">
        <v>27</v>
      </c>
      <c r="C1988" s="79"/>
      <c r="D1988" s="80">
        <v>493398.3</v>
      </c>
      <c r="E1988" s="66" t="s">
        <v>28</v>
      </c>
      <c r="F1988" s="67" t="s">
        <v>1099</v>
      </c>
      <c r="G1988" s="68">
        <v>20.0</v>
      </c>
      <c r="H1988" s="69">
        <f t="shared" si="108"/>
        <v>82233.05</v>
      </c>
      <c r="I1988" s="89" t="s">
        <v>101</v>
      </c>
      <c r="J1988" s="151" t="s">
        <v>1118</v>
      </c>
      <c r="K1988" s="95"/>
      <c r="L1988" s="95"/>
      <c r="M1988" s="95"/>
      <c r="N1988" s="72"/>
      <c r="O1988" s="96"/>
      <c r="P1988" s="36"/>
      <c r="Q1988" s="36"/>
      <c r="R1988" s="36"/>
      <c r="S1988" s="36"/>
      <c r="T1988" s="36"/>
      <c r="U1988" s="36"/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</row>
    <row r="1989" ht="22.5" customHeight="1">
      <c r="A1989" s="86">
        <v>46043.0</v>
      </c>
      <c r="B1989" s="137" t="s">
        <v>27</v>
      </c>
      <c r="C1989" s="79"/>
      <c r="D1989" s="80">
        <v>467017.2</v>
      </c>
      <c r="E1989" s="66" t="s">
        <v>28</v>
      </c>
      <c r="F1989" s="67" t="s">
        <v>1511</v>
      </c>
      <c r="G1989" s="68">
        <v>20.0</v>
      </c>
      <c r="H1989" s="69">
        <f t="shared" si="108"/>
        <v>77836.2</v>
      </c>
      <c r="I1989" s="89" t="s">
        <v>101</v>
      </c>
      <c r="J1989" s="151" t="s">
        <v>1118</v>
      </c>
      <c r="K1989" s="95"/>
      <c r="L1989" s="95"/>
      <c r="M1989" s="95"/>
      <c r="N1989" s="72"/>
      <c r="O1989" s="96"/>
      <c r="P1989" s="36"/>
      <c r="Q1989" s="36"/>
      <c r="R1989" s="36"/>
      <c r="S1989" s="36"/>
      <c r="T1989" s="36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</row>
    <row r="1990" ht="22.5" customHeight="1">
      <c r="A1990" s="86">
        <v>46043.0</v>
      </c>
      <c r="B1990" s="137" t="s">
        <v>27</v>
      </c>
      <c r="C1990" s="79"/>
      <c r="D1990" s="80">
        <v>331897.2</v>
      </c>
      <c r="E1990" s="66" t="s">
        <v>28</v>
      </c>
      <c r="F1990" s="67" t="s">
        <v>608</v>
      </c>
      <c r="G1990" s="68">
        <v>20.0</v>
      </c>
      <c r="H1990" s="69">
        <f t="shared" si="108"/>
        <v>55316.2</v>
      </c>
      <c r="I1990" s="89" t="s">
        <v>101</v>
      </c>
      <c r="J1990" s="151" t="s">
        <v>1118</v>
      </c>
      <c r="K1990" s="95"/>
      <c r="L1990" s="95"/>
      <c r="M1990" s="95"/>
      <c r="N1990" s="72"/>
      <c r="O1990" s="96"/>
      <c r="P1990" s="36"/>
      <c r="Q1990" s="36"/>
      <c r="R1990" s="36"/>
      <c r="S1990" s="36"/>
      <c r="T1990" s="36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</row>
    <row r="1991" ht="22.5" customHeight="1">
      <c r="A1991" s="86">
        <v>46043.0</v>
      </c>
      <c r="B1991" s="137" t="s">
        <v>27</v>
      </c>
      <c r="C1991" s="79"/>
      <c r="D1991" s="80">
        <v>50000.0</v>
      </c>
      <c r="E1991" s="66" t="s">
        <v>33</v>
      </c>
      <c r="F1991" s="67" t="s">
        <v>604</v>
      </c>
      <c r="G1991" s="68">
        <v>0.0</v>
      </c>
      <c r="H1991" s="69">
        <f t="shared" si="108"/>
        <v>0</v>
      </c>
      <c r="I1991" s="89" t="s">
        <v>53</v>
      </c>
      <c r="J1991" s="98" t="s">
        <v>1304</v>
      </c>
      <c r="K1991" s="95"/>
      <c r="L1991" s="95"/>
      <c r="M1991" s="95"/>
      <c r="N1991" s="72"/>
      <c r="O1991" s="96"/>
      <c r="P1991" s="36"/>
      <c r="Q1991" s="36"/>
      <c r="R1991" s="36"/>
      <c r="S1991" s="36"/>
      <c r="T1991" s="36"/>
      <c r="U1991" s="36"/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</row>
    <row r="1992" ht="22.5" customHeight="1">
      <c r="A1992" s="86">
        <v>46044.0</v>
      </c>
      <c r="B1992" s="157" t="s">
        <v>27</v>
      </c>
      <c r="C1992" s="80">
        <v>599760.0</v>
      </c>
      <c r="D1992" s="79"/>
      <c r="E1992" s="66" t="s">
        <v>28</v>
      </c>
      <c r="F1992" s="67" t="s">
        <v>1179</v>
      </c>
      <c r="G1992" s="68">
        <v>20.0</v>
      </c>
      <c r="H1992" s="69">
        <f t="shared" si="108"/>
        <v>99960</v>
      </c>
      <c r="I1992" s="76" t="s">
        <v>37</v>
      </c>
      <c r="J1992" s="87" t="s">
        <v>849</v>
      </c>
      <c r="K1992" s="82" t="s">
        <v>1077</v>
      </c>
      <c r="L1992" s="82">
        <v>393.0</v>
      </c>
      <c r="M1992" s="132">
        <v>45972.0</v>
      </c>
      <c r="N1992" s="72">
        <f t="shared" ref="N1992:N1993" si="115">TODAY()-M1992-60</f>
        <v>156</v>
      </c>
      <c r="O1992" s="96"/>
      <c r="P1992" s="36"/>
      <c r="Q1992" s="36"/>
      <c r="R1992" s="36"/>
      <c r="S1992" s="36"/>
      <c r="T1992" s="36"/>
      <c r="U1992" s="36"/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</row>
    <row r="1993" ht="22.5" customHeight="1">
      <c r="A1993" s="86">
        <v>46044.0</v>
      </c>
      <c r="B1993" s="157" t="s">
        <v>27</v>
      </c>
      <c r="C1993" s="80">
        <v>602430.0</v>
      </c>
      <c r="D1993" s="79"/>
      <c r="E1993" s="66" t="s">
        <v>28</v>
      </c>
      <c r="F1993" s="67" t="s">
        <v>1179</v>
      </c>
      <c r="G1993" s="68">
        <v>20.0</v>
      </c>
      <c r="H1993" s="69">
        <f t="shared" si="108"/>
        <v>100405</v>
      </c>
      <c r="I1993" s="76" t="s">
        <v>37</v>
      </c>
      <c r="J1993" s="87" t="s">
        <v>849</v>
      </c>
      <c r="K1993" s="82" t="s">
        <v>1013</v>
      </c>
      <c r="L1993" s="82">
        <v>396.0</v>
      </c>
      <c r="M1993" s="132">
        <v>45972.0</v>
      </c>
      <c r="N1993" s="72">
        <f t="shared" si="115"/>
        <v>156</v>
      </c>
      <c r="O1993" s="96"/>
      <c r="P1993" s="36"/>
      <c r="Q1993" s="36"/>
      <c r="R1993" s="36"/>
      <c r="S1993" s="36"/>
      <c r="T1993" s="36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</row>
    <row r="1994" ht="22.5" customHeight="1">
      <c r="A1994" s="86">
        <v>46045.0</v>
      </c>
      <c r="B1994" s="137" t="s">
        <v>27</v>
      </c>
      <c r="C1994" s="79"/>
      <c r="D1994" s="80">
        <f>1262188.2+367.45+16025</f>
        <v>1278580.65</v>
      </c>
      <c r="E1994" s="66" t="s">
        <v>28</v>
      </c>
      <c r="F1994" s="67" t="s">
        <v>604</v>
      </c>
      <c r="G1994" s="68">
        <v>0.0</v>
      </c>
      <c r="H1994" s="69">
        <f t="shared" si="108"/>
        <v>0</v>
      </c>
      <c r="I1994" s="89" t="s">
        <v>280</v>
      </c>
      <c r="J1994" s="81"/>
      <c r="K1994" s="95"/>
      <c r="L1994" s="95"/>
      <c r="M1994" s="95"/>
      <c r="N1994" s="72"/>
      <c r="O1994" s="96"/>
      <c r="P1994" s="36"/>
      <c r="Q1994" s="36"/>
      <c r="R1994" s="36"/>
      <c r="S1994" s="36"/>
      <c r="T1994" s="36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</row>
    <row r="1995" ht="22.5" customHeight="1">
      <c r="A1995" s="86">
        <v>46048.0</v>
      </c>
      <c r="B1995" s="137" t="s">
        <v>27</v>
      </c>
      <c r="C1995" s="79"/>
      <c r="D1995" s="80">
        <v>2000000.0</v>
      </c>
      <c r="E1995" s="66" t="s">
        <v>28</v>
      </c>
      <c r="F1995" s="67" t="s">
        <v>603</v>
      </c>
      <c r="G1995" s="68">
        <v>20.0</v>
      </c>
      <c r="H1995" s="69">
        <f t="shared" si="108"/>
        <v>333333.3333</v>
      </c>
      <c r="I1995" s="89" t="s">
        <v>47</v>
      </c>
      <c r="J1995" s="81"/>
      <c r="K1995" s="95"/>
      <c r="L1995" s="95"/>
      <c r="M1995" s="95"/>
      <c r="N1995" s="72"/>
      <c r="O1995" s="96"/>
      <c r="P1995" s="36"/>
      <c r="Q1995" s="36"/>
      <c r="R1995" s="36"/>
      <c r="S1995" s="36"/>
      <c r="T1995" s="36"/>
      <c r="U1995" s="36"/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</row>
    <row r="1996" ht="22.5" customHeight="1">
      <c r="A1996" s="86">
        <v>46048.0</v>
      </c>
      <c r="B1996" s="137" t="s">
        <v>27</v>
      </c>
      <c r="C1996" s="79">
        <f>D1995*0.76</f>
        <v>1520000</v>
      </c>
      <c r="D1996" s="79"/>
      <c r="E1996" s="66" t="s">
        <v>33</v>
      </c>
      <c r="F1996" s="67" t="s">
        <v>603</v>
      </c>
      <c r="G1996" s="68">
        <v>0.0</v>
      </c>
      <c r="H1996" s="69">
        <f t="shared" si="108"/>
        <v>0</v>
      </c>
      <c r="I1996" s="89" t="s">
        <v>47</v>
      </c>
      <c r="J1996" s="81"/>
      <c r="K1996" s="95"/>
      <c r="L1996" s="95"/>
      <c r="M1996" s="95"/>
      <c r="N1996" s="72"/>
      <c r="O1996" s="96"/>
      <c r="P1996" s="36"/>
      <c r="Q1996" s="36"/>
      <c r="R1996" s="36"/>
      <c r="S1996" s="36"/>
      <c r="T1996" s="36"/>
      <c r="U1996" s="36"/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</row>
    <row r="1997" ht="22.5" customHeight="1">
      <c r="A1997" s="86">
        <v>46049.0</v>
      </c>
      <c r="B1997" s="157" t="s">
        <v>27</v>
      </c>
      <c r="C1997" s="80">
        <v>1050000.0</v>
      </c>
      <c r="D1997" s="79"/>
      <c r="E1997" s="66" t="s">
        <v>28</v>
      </c>
      <c r="F1997" s="67" t="s">
        <v>1179</v>
      </c>
      <c r="G1997" s="68">
        <v>20.0</v>
      </c>
      <c r="H1997" s="69">
        <f t="shared" si="108"/>
        <v>175000</v>
      </c>
      <c r="I1997" s="76" t="s">
        <v>37</v>
      </c>
      <c r="J1997" s="87" t="s">
        <v>849</v>
      </c>
      <c r="K1997" s="82" t="s">
        <v>1076</v>
      </c>
      <c r="L1997" s="82">
        <v>394.0</v>
      </c>
      <c r="M1997" s="132">
        <v>45972.0</v>
      </c>
      <c r="N1997" s="72">
        <f t="shared" ref="N1997:N1998" si="116">TODAY()-M1997-60</f>
        <v>156</v>
      </c>
      <c r="O1997" s="96"/>
      <c r="P1997" s="36"/>
      <c r="Q1997" s="36"/>
      <c r="R1997" s="36"/>
      <c r="S1997" s="36"/>
      <c r="T1997" s="36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</row>
    <row r="1998" ht="22.5" customHeight="1">
      <c r="A1998" s="86">
        <v>46049.0</v>
      </c>
      <c r="B1998" s="157" t="s">
        <v>27</v>
      </c>
      <c r="C1998" s="80">
        <v>1200000.0</v>
      </c>
      <c r="D1998" s="79"/>
      <c r="E1998" s="66" t="s">
        <v>28</v>
      </c>
      <c r="F1998" s="67" t="s">
        <v>1179</v>
      </c>
      <c r="G1998" s="68">
        <v>20.0</v>
      </c>
      <c r="H1998" s="69">
        <f t="shared" si="108"/>
        <v>200000</v>
      </c>
      <c r="I1998" s="76" t="s">
        <v>37</v>
      </c>
      <c r="J1998" s="87" t="s">
        <v>849</v>
      </c>
      <c r="K1998" s="82" t="s">
        <v>1462</v>
      </c>
      <c r="L1998" s="82">
        <v>395.0</v>
      </c>
      <c r="M1998" s="132">
        <v>45972.0</v>
      </c>
      <c r="N1998" s="72">
        <f t="shared" si="116"/>
        <v>156</v>
      </c>
      <c r="O1998" s="96"/>
      <c r="P1998" s="36"/>
      <c r="Q1998" s="36"/>
      <c r="R1998" s="36"/>
      <c r="S1998" s="36"/>
      <c r="T1998" s="36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</row>
    <row r="1999" ht="22.5" customHeight="1">
      <c r="A1999" s="86">
        <v>46049.0</v>
      </c>
      <c r="B1999" s="137" t="s">
        <v>27</v>
      </c>
      <c r="C1999" s="79"/>
      <c r="D1999" s="80">
        <v>386260.0</v>
      </c>
      <c r="E1999" s="66" t="s">
        <v>33</v>
      </c>
      <c r="F1999" s="67" t="s">
        <v>1160</v>
      </c>
      <c r="G1999" s="68">
        <v>0.0</v>
      </c>
      <c r="H1999" s="69">
        <f t="shared" si="108"/>
        <v>0</v>
      </c>
      <c r="I1999" s="89" t="s">
        <v>65</v>
      </c>
      <c r="J1999" s="98" t="s">
        <v>1347</v>
      </c>
      <c r="K1999" s="95"/>
      <c r="L1999" s="95"/>
      <c r="M1999" s="95"/>
      <c r="N1999" s="72"/>
      <c r="O1999" s="96"/>
      <c r="P1999" s="36"/>
      <c r="Q1999" s="36"/>
      <c r="R1999" s="36"/>
      <c r="S1999" s="36"/>
      <c r="T1999" s="36"/>
      <c r="U1999" s="36"/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</row>
    <row r="2000" ht="22.5" customHeight="1">
      <c r="A2000" s="86">
        <v>46049.0</v>
      </c>
      <c r="B2000" s="137" t="s">
        <v>27</v>
      </c>
      <c r="C2000" s="79"/>
      <c r="D2000" s="80">
        <v>42000.0</v>
      </c>
      <c r="E2000" s="66" t="s">
        <v>33</v>
      </c>
      <c r="F2000" s="67" t="s">
        <v>1160</v>
      </c>
      <c r="G2000" s="68">
        <v>0.0</v>
      </c>
      <c r="H2000" s="69">
        <f t="shared" si="108"/>
        <v>0</v>
      </c>
      <c r="I2000" s="89" t="s">
        <v>65</v>
      </c>
      <c r="J2000" s="98" t="s">
        <v>1512</v>
      </c>
      <c r="K2000" s="95"/>
      <c r="L2000" s="95"/>
      <c r="M2000" s="95"/>
      <c r="N2000" s="72"/>
      <c r="O2000" s="9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</row>
    <row r="2001" ht="22.5" customHeight="1">
      <c r="A2001" s="86">
        <v>46049.0</v>
      </c>
      <c r="B2001" s="137" t="s">
        <v>27</v>
      </c>
      <c r="C2001" s="79"/>
      <c r="D2001" s="80">
        <v>182920.0</v>
      </c>
      <c r="E2001" s="66" t="s">
        <v>33</v>
      </c>
      <c r="F2001" s="67" t="s">
        <v>1160</v>
      </c>
      <c r="G2001" s="68">
        <v>0.0</v>
      </c>
      <c r="H2001" s="69">
        <f t="shared" si="108"/>
        <v>0</v>
      </c>
      <c r="I2001" s="89" t="s">
        <v>65</v>
      </c>
      <c r="J2001" s="98" t="s">
        <v>1513</v>
      </c>
      <c r="K2001" s="95"/>
      <c r="L2001" s="95"/>
      <c r="M2001" s="95"/>
      <c r="N2001" s="72"/>
      <c r="O2001" s="9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</row>
    <row r="2002" ht="22.5" customHeight="1">
      <c r="A2002" s="86">
        <v>46049.0</v>
      </c>
      <c r="B2002" s="137" t="s">
        <v>27</v>
      </c>
      <c r="C2002" s="79"/>
      <c r="D2002" s="80">
        <v>426000.0</v>
      </c>
      <c r="E2002" s="66" t="s">
        <v>33</v>
      </c>
      <c r="F2002" s="67" t="s">
        <v>604</v>
      </c>
      <c r="G2002" s="68">
        <v>0.0</v>
      </c>
      <c r="H2002" s="69">
        <f t="shared" si="108"/>
        <v>0</v>
      </c>
      <c r="I2002" s="89" t="s">
        <v>93</v>
      </c>
      <c r="J2002" s="98" t="s">
        <v>1514</v>
      </c>
      <c r="K2002" s="95"/>
      <c r="L2002" s="95"/>
      <c r="M2002" s="95"/>
      <c r="N2002" s="72"/>
      <c r="O2002" s="96"/>
      <c r="P2002" s="36"/>
      <c r="Q2002" s="36"/>
      <c r="R2002" s="36"/>
      <c r="S2002" s="36"/>
      <c r="T2002" s="36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</row>
    <row r="2003" ht="22.5" customHeight="1">
      <c r="A2003" s="86">
        <v>46049.0</v>
      </c>
      <c r="B2003" s="137" t="s">
        <v>27</v>
      </c>
      <c r="C2003" s="79"/>
      <c r="D2003" s="80">
        <v>16120.0</v>
      </c>
      <c r="E2003" s="66" t="s">
        <v>33</v>
      </c>
      <c r="F2003" s="67" t="s">
        <v>604</v>
      </c>
      <c r="G2003" s="68">
        <v>0.0</v>
      </c>
      <c r="H2003" s="69">
        <f t="shared" si="108"/>
        <v>0</v>
      </c>
      <c r="I2003" s="89" t="s">
        <v>490</v>
      </c>
      <c r="J2003" s="98" t="s">
        <v>1513</v>
      </c>
      <c r="K2003" s="95"/>
      <c r="L2003" s="95"/>
      <c r="M2003" s="95"/>
      <c r="N2003" s="72"/>
      <c r="O2003" s="96"/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</row>
    <row r="2004" ht="22.5" customHeight="1">
      <c r="A2004" s="86">
        <v>46049.0</v>
      </c>
      <c r="B2004" s="137" t="s">
        <v>27</v>
      </c>
      <c r="C2004" s="79"/>
      <c r="D2004" s="80">
        <v>50000.0</v>
      </c>
      <c r="E2004" s="66" t="s">
        <v>33</v>
      </c>
      <c r="F2004" s="67" t="s">
        <v>603</v>
      </c>
      <c r="G2004" s="68">
        <v>0.0</v>
      </c>
      <c r="H2004" s="69">
        <f t="shared" si="108"/>
        <v>0</v>
      </c>
      <c r="I2004" s="89" t="s">
        <v>53</v>
      </c>
      <c r="J2004" s="98" t="s">
        <v>1451</v>
      </c>
      <c r="K2004" s="95"/>
      <c r="L2004" s="95"/>
      <c r="M2004" s="95"/>
      <c r="N2004" s="72"/>
      <c r="O2004" s="96"/>
      <c r="P2004" s="36"/>
      <c r="Q2004" s="36"/>
      <c r="R2004" s="36"/>
      <c r="S2004" s="36"/>
      <c r="T2004" s="36"/>
      <c r="U2004" s="36"/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</row>
    <row r="2005" ht="22.5" customHeight="1">
      <c r="A2005" s="86">
        <v>46049.0</v>
      </c>
      <c r="B2005" s="137" t="s">
        <v>27</v>
      </c>
      <c r="C2005" s="79"/>
      <c r="D2005" s="80">
        <v>20000.0</v>
      </c>
      <c r="E2005" s="66" t="s">
        <v>33</v>
      </c>
      <c r="F2005" s="67" t="s">
        <v>608</v>
      </c>
      <c r="G2005" s="68">
        <v>0.0</v>
      </c>
      <c r="H2005" s="69">
        <f t="shared" si="108"/>
        <v>0</v>
      </c>
      <c r="I2005" s="89" t="s">
        <v>53</v>
      </c>
      <c r="J2005" s="98" t="s">
        <v>1334</v>
      </c>
      <c r="K2005" s="95"/>
      <c r="L2005" s="95"/>
      <c r="M2005" s="95"/>
      <c r="N2005" s="153"/>
      <c r="O2005" s="96"/>
      <c r="P2005" s="36"/>
      <c r="Q2005" s="36"/>
      <c r="R2005" s="36"/>
      <c r="S2005" s="36"/>
      <c r="T2005" s="36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</row>
    <row r="2006" ht="22.5" customHeight="1">
      <c r="A2006" s="86">
        <v>46049.0</v>
      </c>
      <c r="B2006" s="137" t="s">
        <v>27</v>
      </c>
      <c r="C2006" s="79"/>
      <c r="D2006" s="80">
        <v>20000.0</v>
      </c>
      <c r="E2006" s="66" t="s">
        <v>33</v>
      </c>
      <c r="F2006" s="67" t="s">
        <v>604</v>
      </c>
      <c r="G2006" s="68">
        <v>0.0</v>
      </c>
      <c r="H2006" s="69">
        <f t="shared" si="108"/>
        <v>0</v>
      </c>
      <c r="I2006" s="89" t="s">
        <v>53</v>
      </c>
      <c r="J2006" s="98" t="s">
        <v>1334</v>
      </c>
      <c r="K2006" s="95"/>
      <c r="L2006" s="95"/>
      <c r="M2006" s="95"/>
      <c r="N2006" s="153"/>
      <c r="O2006" s="96"/>
      <c r="P2006" s="36"/>
      <c r="Q2006" s="36"/>
      <c r="R2006" s="36"/>
      <c r="S2006" s="36"/>
      <c r="T2006" s="36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</row>
    <row r="2007" ht="22.5" customHeight="1">
      <c r="A2007" s="86">
        <v>46049.0</v>
      </c>
      <c r="B2007" s="137" t="s">
        <v>27</v>
      </c>
      <c r="C2007" s="79"/>
      <c r="D2007" s="80">
        <v>20000.0</v>
      </c>
      <c r="E2007" s="66" t="s">
        <v>33</v>
      </c>
      <c r="F2007" s="67" t="s">
        <v>603</v>
      </c>
      <c r="G2007" s="68">
        <v>0.0</v>
      </c>
      <c r="H2007" s="69">
        <f t="shared" si="108"/>
        <v>0</v>
      </c>
      <c r="I2007" s="89" t="s">
        <v>53</v>
      </c>
      <c r="J2007" s="98" t="s">
        <v>1334</v>
      </c>
      <c r="K2007" s="95"/>
      <c r="L2007" s="95"/>
      <c r="M2007" s="95"/>
      <c r="N2007" s="153"/>
      <c r="O2007" s="96"/>
      <c r="P2007" s="36"/>
      <c r="Q2007" s="36"/>
      <c r="R2007" s="36"/>
      <c r="S2007" s="36"/>
      <c r="T2007" s="36"/>
      <c r="U2007" s="36"/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</row>
    <row r="2008" ht="22.5" customHeight="1">
      <c r="A2008" s="86">
        <v>46049.0</v>
      </c>
      <c r="B2008" s="157" t="s">
        <v>27</v>
      </c>
      <c r="C2008" s="80">
        <v>300000.12</v>
      </c>
      <c r="D2008" s="79"/>
      <c r="E2008" s="66" t="s">
        <v>376</v>
      </c>
      <c r="F2008" s="67" t="s">
        <v>1099</v>
      </c>
      <c r="G2008" s="68">
        <v>20.0</v>
      </c>
      <c r="H2008" s="69">
        <f t="shared" si="108"/>
        <v>50000.02</v>
      </c>
      <c r="I2008" s="76" t="s">
        <v>37</v>
      </c>
      <c r="J2008" s="98" t="s">
        <v>807</v>
      </c>
      <c r="K2008" s="82" t="s">
        <v>1093</v>
      </c>
      <c r="L2008" s="82">
        <v>340.0</v>
      </c>
      <c r="M2008" s="128">
        <v>45935.0</v>
      </c>
      <c r="N2008" s="153">
        <f>TODAY()-M2008-60</f>
        <v>193</v>
      </c>
      <c r="O2008" s="9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</row>
    <row r="2009" ht="22.5" customHeight="1">
      <c r="A2009" s="86">
        <v>46050.0</v>
      </c>
      <c r="B2009" s="137" t="s">
        <v>27</v>
      </c>
      <c r="C2009" s="79"/>
      <c r="D2009" s="80">
        <v>4273386.0</v>
      </c>
      <c r="E2009" s="66" t="s">
        <v>28</v>
      </c>
      <c r="F2009" s="67" t="s">
        <v>1453</v>
      </c>
      <c r="G2009" s="68">
        <v>0.0</v>
      </c>
      <c r="H2009" s="69">
        <f t="shared" si="108"/>
        <v>0</v>
      </c>
      <c r="I2009" s="94" t="s">
        <v>623</v>
      </c>
      <c r="J2009" s="81"/>
      <c r="K2009" s="95"/>
      <c r="L2009" s="95"/>
      <c r="M2009" s="95"/>
      <c r="N2009" s="153"/>
      <c r="O2009" s="9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</row>
    <row r="2010" ht="22.5" customHeight="1">
      <c r="A2010" s="86">
        <v>46050.0</v>
      </c>
      <c r="B2010" s="137" t="s">
        <v>27</v>
      </c>
      <c r="C2010" s="79"/>
      <c r="D2010" s="80">
        <v>628205.0</v>
      </c>
      <c r="E2010" s="66" t="s">
        <v>28</v>
      </c>
      <c r="F2010" s="67" t="s">
        <v>603</v>
      </c>
      <c r="G2010" s="68">
        <v>0.0</v>
      </c>
      <c r="H2010" s="69">
        <f t="shared" si="108"/>
        <v>0</v>
      </c>
      <c r="I2010" s="94" t="s">
        <v>622</v>
      </c>
      <c r="J2010" s="81"/>
      <c r="K2010" s="95"/>
      <c r="L2010" s="95"/>
      <c r="M2010" s="95"/>
      <c r="N2010" s="153"/>
      <c r="O2010" s="96"/>
      <c r="P2010" s="36"/>
      <c r="Q2010" s="36"/>
      <c r="R2010" s="36"/>
      <c r="S2010" s="36"/>
      <c r="T2010" s="36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</row>
    <row r="2011" ht="22.5" customHeight="1">
      <c r="A2011" s="86">
        <v>46050.0</v>
      </c>
      <c r="B2011" s="157" t="s">
        <v>27</v>
      </c>
      <c r="C2011" s="80">
        <v>330000.24</v>
      </c>
      <c r="D2011" s="80"/>
      <c r="E2011" s="66" t="s">
        <v>28</v>
      </c>
      <c r="F2011" s="67" t="s">
        <v>1099</v>
      </c>
      <c r="G2011" s="68">
        <v>20.0</v>
      </c>
      <c r="H2011" s="69">
        <f t="shared" si="108"/>
        <v>55000.04</v>
      </c>
      <c r="I2011" s="76" t="s">
        <v>37</v>
      </c>
      <c r="J2011" s="98" t="s">
        <v>944</v>
      </c>
      <c r="K2011" s="82" t="s">
        <v>1130</v>
      </c>
      <c r="L2011" s="82">
        <v>361.0</v>
      </c>
      <c r="M2011" s="132">
        <v>45945.0</v>
      </c>
      <c r="N2011" s="153">
        <f t="shared" ref="N2011:N2016" si="117">TODAY()-M2011-120</f>
        <v>123</v>
      </c>
      <c r="O2011" s="96"/>
      <c r="P2011" s="36"/>
      <c r="Q2011" s="36"/>
      <c r="R2011" s="36"/>
      <c r="S2011" s="36"/>
      <c r="T2011" s="36"/>
      <c r="U2011" s="36"/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</row>
    <row r="2012" ht="22.5" customHeight="1">
      <c r="A2012" s="86">
        <v>46050.0</v>
      </c>
      <c r="B2012" s="157" t="s">
        <v>27</v>
      </c>
      <c r="C2012" s="80">
        <v>330000.13</v>
      </c>
      <c r="D2012" s="80"/>
      <c r="E2012" s="66" t="s">
        <v>28</v>
      </c>
      <c r="F2012" s="67" t="s">
        <v>1099</v>
      </c>
      <c r="G2012" s="68">
        <v>20.0</v>
      </c>
      <c r="H2012" s="69">
        <f t="shared" si="108"/>
        <v>55000.02167</v>
      </c>
      <c r="I2012" s="76" t="s">
        <v>37</v>
      </c>
      <c r="J2012" s="98" t="s">
        <v>944</v>
      </c>
      <c r="K2012" s="82" t="s">
        <v>1130</v>
      </c>
      <c r="L2012" s="82">
        <v>362.0</v>
      </c>
      <c r="M2012" s="132">
        <v>45945.0</v>
      </c>
      <c r="N2012" s="153">
        <f t="shared" si="117"/>
        <v>123</v>
      </c>
      <c r="O2012" s="96"/>
      <c r="P2012" s="36"/>
      <c r="Q2012" s="36"/>
      <c r="R2012" s="36"/>
      <c r="S2012" s="36"/>
      <c r="T2012" s="36"/>
      <c r="U2012" s="36"/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</row>
    <row r="2013" ht="22.5" customHeight="1">
      <c r="A2013" s="86">
        <v>46050.0</v>
      </c>
      <c r="B2013" s="157" t="s">
        <v>27</v>
      </c>
      <c r="C2013" s="80">
        <v>334683.89</v>
      </c>
      <c r="D2013" s="80"/>
      <c r="E2013" s="66" t="s">
        <v>28</v>
      </c>
      <c r="F2013" s="67" t="s">
        <v>1099</v>
      </c>
      <c r="G2013" s="68">
        <v>20.0</v>
      </c>
      <c r="H2013" s="69">
        <f t="shared" si="108"/>
        <v>55780.64833</v>
      </c>
      <c r="I2013" s="76" t="s">
        <v>37</v>
      </c>
      <c r="J2013" s="98" t="s">
        <v>944</v>
      </c>
      <c r="K2013" s="82" t="s">
        <v>1130</v>
      </c>
      <c r="L2013" s="82">
        <v>363.0</v>
      </c>
      <c r="M2013" s="132">
        <v>45945.0</v>
      </c>
      <c r="N2013" s="153">
        <f t="shared" si="117"/>
        <v>123</v>
      </c>
      <c r="O2013" s="96"/>
      <c r="P2013" s="36"/>
      <c r="Q2013" s="36"/>
      <c r="R2013" s="36"/>
      <c r="S2013" s="36"/>
      <c r="T2013" s="36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</row>
    <row r="2014" ht="22.5" customHeight="1">
      <c r="A2014" s="86">
        <v>46050.0</v>
      </c>
      <c r="B2014" s="157" t="s">
        <v>27</v>
      </c>
      <c r="C2014" s="80">
        <v>367403.88</v>
      </c>
      <c r="D2014" s="80"/>
      <c r="E2014" s="66" t="s">
        <v>28</v>
      </c>
      <c r="F2014" s="67" t="s">
        <v>1099</v>
      </c>
      <c r="G2014" s="68">
        <v>20.0</v>
      </c>
      <c r="H2014" s="69">
        <f t="shared" si="108"/>
        <v>61233.98</v>
      </c>
      <c r="I2014" s="76" t="s">
        <v>37</v>
      </c>
      <c r="J2014" s="98" t="s">
        <v>944</v>
      </c>
      <c r="K2014" s="82" t="s">
        <v>1130</v>
      </c>
      <c r="L2014" s="82">
        <v>364.0</v>
      </c>
      <c r="M2014" s="132">
        <v>45945.0</v>
      </c>
      <c r="N2014" s="72">
        <f t="shared" si="117"/>
        <v>123</v>
      </c>
      <c r="O2014" s="96"/>
      <c r="P2014" s="36"/>
      <c r="Q2014" s="36"/>
      <c r="R2014" s="36"/>
      <c r="S2014" s="36"/>
      <c r="T2014" s="36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</row>
    <row r="2015" ht="22.5" customHeight="1">
      <c r="A2015" s="86">
        <v>46050.0</v>
      </c>
      <c r="B2015" s="157" t="s">
        <v>27</v>
      </c>
      <c r="C2015" s="80">
        <v>148500.0</v>
      </c>
      <c r="D2015" s="80"/>
      <c r="E2015" s="66" t="s">
        <v>28</v>
      </c>
      <c r="F2015" s="67" t="s">
        <v>1099</v>
      </c>
      <c r="G2015" s="68">
        <v>20.0</v>
      </c>
      <c r="H2015" s="69">
        <f t="shared" si="108"/>
        <v>24750</v>
      </c>
      <c r="I2015" s="76" t="s">
        <v>37</v>
      </c>
      <c r="J2015" s="98" t="s">
        <v>944</v>
      </c>
      <c r="K2015" s="82" t="s">
        <v>1130</v>
      </c>
      <c r="L2015" s="82">
        <v>365.0</v>
      </c>
      <c r="M2015" s="132">
        <v>45945.0</v>
      </c>
      <c r="N2015" s="153">
        <f t="shared" si="117"/>
        <v>123</v>
      </c>
      <c r="O2015" s="96"/>
      <c r="P2015" s="36"/>
      <c r="Q2015" s="36"/>
      <c r="R2015" s="36"/>
      <c r="S2015" s="36"/>
      <c r="T2015" s="36"/>
      <c r="U2015" s="36"/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</row>
    <row r="2016" ht="22.5" customHeight="1">
      <c r="A2016" s="86">
        <v>46050.0</v>
      </c>
      <c r="B2016" s="157" t="s">
        <v>27</v>
      </c>
      <c r="C2016" s="80">
        <v>184800.0</v>
      </c>
      <c r="D2016" s="80"/>
      <c r="E2016" s="66" t="s">
        <v>28</v>
      </c>
      <c r="F2016" s="67" t="s">
        <v>1099</v>
      </c>
      <c r="G2016" s="68">
        <v>20.0</v>
      </c>
      <c r="H2016" s="69">
        <f t="shared" si="108"/>
        <v>30800</v>
      </c>
      <c r="I2016" s="76" t="s">
        <v>37</v>
      </c>
      <c r="J2016" s="98" t="s">
        <v>944</v>
      </c>
      <c r="K2016" s="82" t="s">
        <v>1130</v>
      </c>
      <c r="L2016" s="82">
        <v>366.0</v>
      </c>
      <c r="M2016" s="132">
        <v>45945.0</v>
      </c>
      <c r="N2016" s="153">
        <f t="shared" si="117"/>
        <v>123</v>
      </c>
      <c r="O2016" s="96"/>
      <c r="P2016" s="36"/>
      <c r="Q2016" s="36"/>
      <c r="R2016" s="36"/>
      <c r="S2016" s="36"/>
      <c r="T2016" s="36"/>
      <c r="U2016" s="36"/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</row>
    <row r="2017" ht="22.5" customHeight="1">
      <c r="A2017" s="86">
        <v>46050.0</v>
      </c>
      <c r="B2017" s="157" t="s">
        <v>27</v>
      </c>
      <c r="C2017" s="80">
        <v>960000.0</v>
      </c>
      <c r="D2017" s="80"/>
      <c r="E2017" s="66" t="s">
        <v>28</v>
      </c>
      <c r="F2017" s="67" t="s">
        <v>608</v>
      </c>
      <c r="G2017" s="68">
        <v>20.0</v>
      </c>
      <c r="H2017" s="69">
        <f t="shared" si="108"/>
        <v>160000</v>
      </c>
      <c r="I2017" s="76" t="s">
        <v>37</v>
      </c>
      <c r="J2017" s="98" t="s">
        <v>624</v>
      </c>
      <c r="K2017" s="82" t="s">
        <v>1130</v>
      </c>
      <c r="L2017" s="82">
        <v>442.0</v>
      </c>
      <c r="M2017" s="128">
        <v>46000.0</v>
      </c>
      <c r="N2017" s="153">
        <f>TODAY()-M2017-60</f>
        <v>128</v>
      </c>
      <c r="O2017" s="96"/>
      <c r="P2017" s="36"/>
      <c r="Q2017" s="36"/>
      <c r="R2017" s="36"/>
      <c r="S2017" s="36"/>
      <c r="T2017" s="36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</row>
    <row r="2018" ht="22.5" customHeight="1">
      <c r="A2018" s="86">
        <v>46051.0</v>
      </c>
      <c r="B2018" s="137" t="s">
        <v>27</v>
      </c>
      <c r="C2018" s="79"/>
      <c r="D2018" s="80">
        <v>2450000.0</v>
      </c>
      <c r="E2018" s="66" t="s">
        <v>28</v>
      </c>
      <c r="F2018" s="67" t="s">
        <v>603</v>
      </c>
      <c r="G2018" s="68">
        <v>0.0</v>
      </c>
      <c r="H2018" s="69">
        <f t="shared" si="108"/>
        <v>0</v>
      </c>
      <c r="I2018" s="89" t="s">
        <v>47</v>
      </c>
      <c r="J2018" s="81"/>
      <c r="K2018" s="95"/>
      <c r="L2018" s="95"/>
      <c r="M2018" s="95"/>
      <c r="N2018" s="72"/>
      <c r="O2018" s="9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</row>
    <row r="2019" ht="22.5" customHeight="1">
      <c r="A2019" s="86">
        <v>46051.0</v>
      </c>
      <c r="B2019" s="139" t="s">
        <v>27</v>
      </c>
      <c r="C2019" s="79"/>
      <c r="D2019" s="80">
        <v>2431836.29</v>
      </c>
      <c r="E2019" s="66" t="s">
        <v>1346</v>
      </c>
      <c r="F2019" s="67" t="s">
        <v>608</v>
      </c>
      <c r="G2019" s="68">
        <v>20.0</v>
      </c>
      <c r="H2019" s="69">
        <f t="shared" si="108"/>
        <v>405306.0483</v>
      </c>
      <c r="I2019" s="76" t="s">
        <v>101</v>
      </c>
      <c r="J2019" s="151" t="s">
        <v>1515</v>
      </c>
      <c r="K2019" s="95"/>
      <c r="L2019" s="95"/>
      <c r="M2019" s="95"/>
      <c r="N2019" s="153"/>
      <c r="O2019" s="140" t="s">
        <v>1516</v>
      </c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</row>
    <row r="2020" ht="22.5" customHeight="1">
      <c r="A2020" s="86">
        <v>46051.0</v>
      </c>
      <c r="B2020" s="137" t="s">
        <v>27</v>
      </c>
      <c r="C2020" s="80">
        <v>2450000.0</v>
      </c>
      <c r="D2020" s="79"/>
      <c r="E2020" s="66" t="s">
        <v>1346</v>
      </c>
      <c r="F2020" s="67" t="s">
        <v>603</v>
      </c>
      <c r="G2020" s="68">
        <v>0.0</v>
      </c>
      <c r="H2020" s="69">
        <f t="shared" si="108"/>
        <v>0</v>
      </c>
      <c r="I2020" s="89" t="s">
        <v>47</v>
      </c>
      <c r="J2020" s="81"/>
      <c r="K2020" s="95"/>
      <c r="L2020" s="95"/>
      <c r="M2020" s="95"/>
      <c r="N2020" s="153"/>
      <c r="O2020" s="96"/>
      <c r="P2020" s="36"/>
      <c r="Q2020" s="36"/>
      <c r="R2020" s="36"/>
      <c r="S2020" s="36"/>
      <c r="T2020" s="36"/>
      <c r="U2020" s="36"/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</row>
    <row r="2021" ht="22.5" customHeight="1">
      <c r="A2021" s="86">
        <v>46052.0</v>
      </c>
      <c r="B2021" s="137" t="s">
        <v>27</v>
      </c>
      <c r="C2021" s="79"/>
      <c r="D2021" s="80">
        <v>22000.0</v>
      </c>
      <c r="E2021" s="66" t="s">
        <v>33</v>
      </c>
      <c r="F2021" s="67" t="s">
        <v>603</v>
      </c>
      <c r="G2021" s="68">
        <v>0.0</v>
      </c>
      <c r="H2021" s="69">
        <f t="shared" si="108"/>
        <v>0</v>
      </c>
      <c r="I2021" s="89" t="s">
        <v>53</v>
      </c>
      <c r="J2021" s="98" t="s">
        <v>1517</v>
      </c>
      <c r="K2021" s="95"/>
      <c r="L2021" s="95"/>
      <c r="M2021" s="95"/>
      <c r="N2021" s="153"/>
      <c r="O2021" s="96"/>
      <c r="P2021" s="36"/>
      <c r="Q2021" s="36"/>
      <c r="R2021" s="36"/>
      <c r="S2021" s="36"/>
      <c r="T2021" s="36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</row>
    <row r="2022" ht="22.5" customHeight="1">
      <c r="A2022" s="86">
        <v>46052.0</v>
      </c>
      <c r="B2022" s="137" t="s">
        <v>27</v>
      </c>
      <c r="C2022" s="80">
        <v>953475.19</v>
      </c>
      <c r="D2022" s="79"/>
      <c r="E2022" s="66" t="s">
        <v>376</v>
      </c>
      <c r="F2022" s="67" t="s">
        <v>604</v>
      </c>
      <c r="G2022" s="68">
        <v>20.0</v>
      </c>
      <c r="H2022" s="69">
        <f t="shared" si="108"/>
        <v>158912.5317</v>
      </c>
      <c r="I2022" s="89" t="s">
        <v>37</v>
      </c>
      <c r="J2022" s="98" t="s">
        <v>641</v>
      </c>
      <c r="K2022" s="82" t="s">
        <v>1192</v>
      </c>
      <c r="L2022" s="82">
        <v>28.0</v>
      </c>
      <c r="M2022" s="128">
        <v>46042.0</v>
      </c>
      <c r="N2022" s="153">
        <f>TODAY()-M2022-60</f>
        <v>86</v>
      </c>
      <c r="O2022" s="96"/>
      <c r="P2022" s="36"/>
      <c r="Q2022" s="36"/>
      <c r="R2022" s="36"/>
      <c r="S2022" s="36"/>
      <c r="T2022" s="36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</row>
    <row r="2023" ht="22.5" customHeight="1">
      <c r="A2023" s="86">
        <v>46052.0</v>
      </c>
      <c r="B2023" s="137" t="s">
        <v>27</v>
      </c>
      <c r="C2023" s="79"/>
      <c r="D2023" s="80">
        <v>30000.0</v>
      </c>
      <c r="E2023" s="66" t="s">
        <v>33</v>
      </c>
      <c r="F2023" s="67" t="s">
        <v>603</v>
      </c>
      <c r="G2023" s="68">
        <v>0.0</v>
      </c>
      <c r="H2023" s="69">
        <f t="shared" si="108"/>
        <v>0</v>
      </c>
      <c r="I2023" s="89" t="s">
        <v>53</v>
      </c>
      <c r="J2023" s="98" t="s">
        <v>128</v>
      </c>
      <c r="K2023" s="95"/>
      <c r="L2023" s="95"/>
      <c r="M2023" s="95"/>
      <c r="N2023" s="153"/>
      <c r="O2023" s="96"/>
      <c r="P2023" s="36"/>
      <c r="Q2023" s="36"/>
      <c r="R2023" s="36"/>
      <c r="S2023" s="36"/>
      <c r="T2023" s="36"/>
      <c r="U2023" s="36"/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</row>
    <row r="2024" ht="22.5" customHeight="1">
      <c r="A2024" s="86">
        <v>46052.0</v>
      </c>
      <c r="B2024" s="137" t="s">
        <v>27</v>
      </c>
      <c r="C2024" s="79"/>
      <c r="D2024" s="80">
        <v>128245.35</v>
      </c>
      <c r="E2024" s="66" t="s">
        <v>28</v>
      </c>
      <c r="F2024" s="67" t="s">
        <v>603</v>
      </c>
      <c r="G2024" s="68">
        <v>0.0</v>
      </c>
      <c r="H2024" s="69">
        <f t="shared" si="108"/>
        <v>0</v>
      </c>
      <c r="I2024" s="89" t="s">
        <v>68</v>
      </c>
      <c r="J2024" s="98" t="s">
        <v>1518</v>
      </c>
      <c r="K2024" s="95"/>
      <c r="L2024" s="95"/>
      <c r="M2024" s="95"/>
      <c r="N2024" s="153"/>
      <c r="O2024" s="96"/>
      <c r="P2024" s="36"/>
      <c r="Q2024" s="36"/>
      <c r="R2024" s="36"/>
      <c r="S2024" s="36"/>
      <c r="T2024" s="36"/>
      <c r="U2024" s="36"/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</row>
    <row r="2025" ht="22.5" customHeight="1">
      <c r="A2025" s="86">
        <v>46055.0</v>
      </c>
      <c r="B2025" s="137" t="s">
        <v>27</v>
      </c>
      <c r="C2025" s="79"/>
      <c r="D2025" s="80">
        <v>744.39</v>
      </c>
      <c r="E2025" s="66" t="s">
        <v>28</v>
      </c>
      <c r="F2025" s="67" t="s">
        <v>604</v>
      </c>
      <c r="G2025" s="68">
        <v>20.0</v>
      </c>
      <c r="H2025" s="69">
        <f t="shared" si="108"/>
        <v>124.065</v>
      </c>
      <c r="I2025" s="89" t="s">
        <v>259</v>
      </c>
      <c r="J2025" s="98" t="s">
        <v>1519</v>
      </c>
      <c r="K2025" s="95"/>
      <c r="L2025" s="95"/>
      <c r="M2025" s="95"/>
      <c r="N2025" s="153"/>
      <c r="O2025" s="140" t="s">
        <v>1520</v>
      </c>
      <c r="P2025" s="36"/>
      <c r="Q2025" s="36"/>
      <c r="R2025" s="36"/>
      <c r="S2025" s="36"/>
      <c r="T2025" s="36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</row>
    <row r="2026" ht="22.5" customHeight="1">
      <c r="A2026" s="86">
        <v>46056.0</v>
      </c>
      <c r="B2026" s="157" t="s">
        <v>27</v>
      </c>
      <c r="C2026" s="80">
        <v>600000.43</v>
      </c>
      <c r="D2026" s="79"/>
      <c r="E2026" s="66" t="s">
        <v>28</v>
      </c>
      <c r="F2026" s="67" t="s">
        <v>1099</v>
      </c>
      <c r="G2026" s="68">
        <v>20.0</v>
      </c>
      <c r="H2026" s="69">
        <f t="shared" si="108"/>
        <v>100000.0717</v>
      </c>
      <c r="I2026" s="76" t="s">
        <v>37</v>
      </c>
      <c r="J2026" s="98" t="s">
        <v>627</v>
      </c>
      <c r="K2026" s="82" t="s">
        <v>830</v>
      </c>
      <c r="L2026" s="82">
        <v>342.0</v>
      </c>
      <c r="M2026" s="128">
        <v>45936.0</v>
      </c>
      <c r="N2026" s="153">
        <f t="shared" ref="N2026:N2029" si="118">TODAY()-M2026-60</f>
        <v>192</v>
      </c>
      <c r="O2026" s="96"/>
      <c r="P2026" s="36"/>
      <c r="Q2026" s="36"/>
      <c r="R2026" s="36"/>
      <c r="S2026" s="36"/>
      <c r="T2026" s="36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</row>
    <row r="2027" ht="22.5" customHeight="1">
      <c r="A2027" s="86">
        <v>46056.0</v>
      </c>
      <c r="B2027" s="157" t="s">
        <v>27</v>
      </c>
      <c r="C2027" s="80">
        <v>600000.24</v>
      </c>
      <c r="D2027" s="79"/>
      <c r="E2027" s="66" t="s">
        <v>28</v>
      </c>
      <c r="F2027" s="67" t="s">
        <v>1179</v>
      </c>
      <c r="G2027" s="68">
        <v>20.0</v>
      </c>
      <c r="H2027" s="69">
        <f t="shared" si="108"/>
        <v>100000.04</v>
      </c>
      <c r="I2027" s="76" t="s">
        <v>37</v>
      </c>
      <c r="J2027" s="98" t="s">
        <v>627</v>
      </c>
      <c r="K2027" s="82" t="s">
        <v>850</v>
      </c>
      <c r="L2027" s="82">
        <v>390.0</v>
      </c>
      <c r="M2027" s="132">
        <v>45972.0</v>
      </c>
      <c r="N2027" s="153">
        <f t="shared" si="118"/>
        <v>156</v>
      </c>
      <c r="O2027" s="96"/>
      <c r="P2027" s="36"/>
      <c r="Q2027" s="36"/>
      <c r="R2027" s="36"/>
      <c r="S2027" s="36"/>
      <c r="T2027" s="36"/>
      <c r="U2027" s="36"/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</row>
    <row r="2028" ht="22.5" customHeight="1">
      <c r="A2028" s="86">
        <v>46056.0</v>
      </c>
      <c r="B2028" s="157" t="s">
        <v>27</v>
      </c>
      <c r="C2028" s="80">
        <v>96614.48</v>
      </c>
      <c r="D2028" s="80"/>
      <c r="E2028" s="66" t="s">
        <v>28</v>
      </c>
      <c r="F2028" s="67" t="s">
        <v>608</v>
      </c>
      <c r="G2028" s="68">
        <v>20.0</v>
      </c>
      <c r="H2028" s="69">
        <f t="shared" si="108"/>
        <v>16102.41333</v>
      </c>
      <c r="I2028" s="76" t="s">
        <v>37</v>
      </c>
      <c r="J2028" s="98" t="s">
        <v>627</v>
      </c>
      <c r="K2028" s="82" t="s">
        <v>855</v>
      </c>
      <c r="L2028" s="82">
        <v>426.0</v>
      </c>
      <c r="M2028" s="128">
        <v>45996.0</v>
      </c>
      <c r="N2028" s="153">
        <f t="shared" si="118"/>
        <v>132</v>
      </c>
      <c r="O2028" s="96"/>
      <c r="P2028" s="36"/>
      <c r="Q2028" s="36"/>
      <c r="R2028" s="36"/>
      <c r="S2028" s="36"/>
      <c r="T2028" s="36"/>
      <c r="U2028" s="36"/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</row>
    <row r="2029" ht="22.5" customHeight="1">
      <c r="A2029" s="86">
        <v>46056.0</v>
      </c>
      <c r="B2029" s="157" t="s">
        <v>27</v>
      </c>
      <c r="C2029" s="80">
        <v>317877.62</v>
      </c>
      <c r="D2029" s="80"/>
      <c r="E2029" s="66" t="s">
        <v>28</v>
      </c>
      <c r="F2029" s="67" t="s">
        <v>608</v>
      </c>
      <c r="G2029" s="68">
        <v>20.0</v>
      </c>
      <c r="H2029" s="69">
        <f t="shared" si="108"/>
        <v>52979.60333</v>
      </c>
      <c r="I2029" s="76" t="s">
        <v>37</v>
      </c>
      <c r="J2029" s="98" t="s">
        <v>627</v>
      </c>
      <c r="K2029" s="82" t="s">
        <v>851</v>
      </c>
      <c r="L2029" s="82">
        <v>427.0</v>
      </c>
      <c r="M2029" s="128">
        <v>45996.0</v>
      </c>
      <c r="N2029" s="153">
        <f t="shared" si="118"/>
        <v>132</v>
      </c>
      <c r="O2029" s="96"/>
      <c r="P2029" s="36"/>
      <c r="Q2029" s="36"/>
      <c r="R2029" s="36"/>
      <c r="S2029" s="36"/>
      <c r="T2029" s="36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</row>
    <row r="2030" ht="22.5" customHeight="1">
      <c r="A2030" s="86">
        <v>46057.0</v>
      </c>
      <c r="B2030" s="137" t="s">
        <v>27</v>
      </c>
      <c r="C2030" s="79"/>
      <c r="D2030" s="80">
        <v>15000.0</v>
      </c>
      <c r="E2030" s="66" t="s">
        <v>33</v>
      </c>
      <c r="F2030" s="67" t="s">
        <v>603</v>
      </c>
      <c r="G2030" s="68">
        <v>0.0</v>
      </c>
      <c r="H2030" s="69">
        <f t="shared" si="108"/>
        <v>0</v>
      </c>
      <c r="I2030" s="89" t="s">
        <v>53</v>
      </c>
      <c r="J2030" s="98" t="s">
        <v>1176</v>
      </c>
      <c r="K2030" s="95"/>
      <c r="L2030" s="95"/>
      <c r="M2030" s="95"/>
      <c r="N2030" s="153"/>
      <c r="O2030" s="9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</row>
    <row r="2031" ht="22.5" customHeight="1">
      <c r="A2031" s="86">
        <v>46057.0</v>
      </c>
      <c r="B2031" s="137" t="s">
        <v>27</v>
      </c>
      <c r="C2031" s="79"/>
      <c r="D2031" s="80">
        <v>30000.0</v>
      </c>
      <c r="E2031" s="66" t="s">
        <v>33</v>
      </c>
      <c r="F2031" s="67" t="s">
        <v>603</v>
      </c>
      <c r="G2031" s="68">
        <v>0.0</v>
      </c>
      <c r="H2031" s="69">
        <f t="shared" si="108"/>
        <v>0</v>
      </c>
      <c r="I2031" s="89" t="s">
        <v>53</v>
      </c>
      <c r="J2031" s="98" t="s">
        <v>1175</v>
      </c>
      <c r="K2031" s="95"/>
      <c r="L2031" s="95"/>
      <c r="M2031" s="95"/>
      <c r="N2031" s="153"/>
      <c r="O2031" s="96"/>
      <c r="P2031" s="36"/>
      <c r="Q2031" s="36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</row>
    <row r="2032" ht="22.5" customHeight="1">
      <c r="A2032" s="86">
        <v>46057.0</v>
      </c>
      <c r="B2032" s="137" t="s">
        <v>27</v>
      </c>
      <c r="C2032" s="79"/>
      <c r="D2032" s="80">
        <v>80000.0</v>
      </c>
      <c r="E2032" s="66" t="s">
        <v>33</v>
      </c>
      <c r="F2032" s="67" t="s">
        <v>603</v>
      </c>
      <c r="G2032" s="68">
        <v>0.0</v>
      </c>
      <c r="H2032" s="69">
        <f t="shared" si="108"/>
        <v>0</v>
      </c>
      <c r="I2032" s="89" t="s">
        <v>53</v>
      </c>
      <c r="J2032" s="98" t="s">
        <v>467</v>
      </c>
      <c r="K2032" s="95"/>
      <c r="L2032" s="95"/>
      <c r="M2032" s="95"/>
      <c r="N2032" s="153"/>
      <c r="O2032" s="96"/>
      <c r="P2032" s="36"/>
      <c r="Q2032" s="36"/>
      <c r="R2032" s="36"/>
      <c r="S2032" s="36"/>
      <c r="T2032" s="36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</row>
    <row r="2033" ht="22.5" customHeight="1">
      <c r="A2033" s="86">
        <v>46057.0</v>
      </c>
      <c r="B2033" s="137" t="s">
        <v>27</v>
      </c>
      <c r="C2033" s="79"/>
      <c r="D2033" s="80">
        <v>50000.0</v>
      </c>
      <c r="E2033" s="66" t="s">
        <v>33</v>
      </c>
      <c r="F2033" s="67" t="s">
        <v>603</v>
      </c>
      <c r="G2033" s="68">
        <v>0.0</v>
      </c>
      <c r="H2033" s="69">
        <f t="shared" si="108"/>
        <v>0</v>
      </c>
      <c r="I2033" s="89" t="s">
        <v>53</v>
      </c>
      <c r="J2033" s="98" t="s">
        <v>1304</v>
      </c>
      <c r="K2033" s="95"/>
      <c r="L2033" s="95"/>
      <c r="M2033" s="95"/>
      <c r="N2033" s="153"/>
      <c r="O2033" s="96"/>
      <c r="P2033" s="36"/>
      <c r="Q2033" s="36"/>
      <c r="R2033" s="36"/>
      <c r="S2033" s="36"/>
      <c r="T2033" s="36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</row>
    <row r="2034" ht="22.5" customHeight="1">
      <c r="A2034" s="86">
        <v>46059.0</v>
      </c>
      <c r="B2034" s="157" t="s">
        <v>27</v>
      </c>
      <c r="C2034" s="80">
        <v>751632.0</v>
      </c>
      <c r="D2034" s="79"/>
      <c r="E2034" s="66" t="s">
        <v>28</v>
      </c>
      <c r="F2034" s="67" t="s">
        <v>1179</v>
      </c>
      <c r="G2034" s="68">
        <v>20.0</v>
      </c>
      <c r="H2034" s="69">
        <f t="shared" si="108"/>
        <v>125272</v>
      </c>
      <c r="I2034" s="76" t="s">
        <v>37</v>
      </c>
      <c r="J2034" s="98" t="s">
        <v>1014</v>
      </c>
      <c r="K2034" s="82" t="s">
        <v>1521</v>
      </c>
      <c r="L2034" s="82">
        <v>387.0</v>
      </c>
      <c r="M2034" s="132">
        <v>45972.0</v>
      </c>
      <c r="N2034" s="153">
        <f t="shared" ref="N2034:N2042" si="119">TODAY()-M2034-60</f>
        <v>156</v>
      </c>
      <c r="O2034" s="96"/>
      <c r="P2034" s="36"/>
      <c r="Q2034" s="36"/>
      <c r="R2034" s="36"/>
      <c r="S2034" s="36"/>
      <c r="T2034" s="36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</row>
    <row r="2035" ht="22.5" customHeight="1">
      <c r="A2035" s="86">
        <v>46059.0</v>
      </c>
      <c r="B2035" s="157" t="s">
        <v>27</v>
      </c>
      <c r="C2035" s="80">
        <v>631680.0</v>
      </c>
      <c r="D2035" s="79"/>
      <c r="E2035" s="66" t="s">
        <v>28</v>
      </c>
      <c r="F2035" s="67" t="s">
        <v>1179</v>
      </c>
      <c r="G2035" s="68">
        <v>20.0</v>
      </c>
      <c r="H2035" s="69">
        <f t="shared" si="108"/>
        <v>105280</v>
      </c>
      <c r="I2035" s="76" t="s">
        <v>37</v>
      </c>
      <c r="J2035" s="98" t="s">
        <v>1014</v>
      </c>
      <c r="K2035" s="82" t="s">
        <v>1522</v>
      </c>
      <c r="L2035" s="82">
        <v>392.0</v>
      </c>
      <c r="M2035" s="132">
        <v>45972.0</v>
      </c>
      <c r="N2035" s="153">
        <f t="shared" si="119"/>
        <v>156</v>
      </c>
      <c r="O2035" s="96"/>
      <c r="P2035" s="36"/>
      <c r="Q2035" s="36"/>
      <c r="R2035" s="36"/>
      <c r="S2035" s="36"/>
      <c r="T2035" s="36"/>
      <c r="U2035" s="36"/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</row>
    <row r="2036" ht="22.5" customHeight="1">
      <c r="A2036" s="86">
        <v>46059.0</v>
      </c>
      <c r="B2036" s="157" t="s">
        <v>27</v>
      </c>
      <c r="C2036" s="80">
        <v>1058400.0</v>
      </c>
      <c r="D2036" s="79"/>
      <c r="E2036" s="66" t="s">
        <v>28</v>
      </c>
      <c r="F2036" s="67" t="s">
        <v>1179</v>
      </c>
      <c r="G2036" s="68">
        <v>20.0</v>
      </c>
      <c r="H2036" s="69">
        <f t="shared" si="108"/>
        <v>176400</v>
      </c>
      <c r="I2036" s="76" t="s">
        <v>37</v>
      </c>
      <c r="J2036" s="98" t="s">
        <v>1014</v>
      </c>
      <c r="K2036" s="82" t="s">
        <v>1523</v>
      </c>
      <c r="L2036" s="82">
        <v>398.0</v>
      </c>
      <c r="M2036" s="132">
        <v>45972.0</v>
      </c>
      <c r="N2036" s="153">
        <f t="shared" si="119"/>
        <v>156</v>
      </c>
      <c r="O2036" s="96"/>
      <c r="P2036" s="36"/>
      <c r="Q2036" s="36"/>
      <c r="R2036" s="36"/>
      <c r="S2036" s="36"/>
      <c r="T2036" s="36"/>
      <c r="U2036" s="36"/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</row>
    <row r="2037" ht="22.5" customHeight="1">
      <c r="A2037" s="86">
        <v>46059.0</v>
      </c>
      <c r="B2037" s="157" t="s">
        <v>27</v>
      </c>
      <c r="C2037" s="80">
        <v>608160.0</v>
      </c>
      <c r="D2037" s="79"/>
      <c r="E2037" s="66" t="s">
        <v>28</v>
      </c>
      <c r="F2037" s="67" t="s">
        <v>1179</v>
      </c>
      <c r="G2037" s="68">
        <v>20.0</v>
      </c>
      <c r="H2037" s="69">
        <f t="shared" si="108"/>
        <v>101360</v>
      </c>
      <c r="I2037" s="76" t="s">
        <v>37</v>
      </c>
      <c r="J2037" s="98" t="s">
        <v>1014</v>
      </c>
      <c r="K2037" s="82" t="s">
        <v>1524</v>
      </c>
      <c r="L2037" s="82">
        <v>399.0</v>
      </c>
      <c r="M2037" s="132">
        <v>45972.0</v>
      </c>
      <c r="N2037" s="153">
        <f t="shared" si="119"/>
        <v>156</v>
      </c>
      <c r="O2037" s="96"/>
      <c r="P2037" s="36"/>
      <c r="Q2037" s="36"/>
      <c r="R2037" s="36"/>
      <c r="S2037" s="36"/>
      <c r="T2037" s="36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</row>
    <row r="2038" ht="22.5" customHeight="1">
      <c r="A2038" s="86">
        <v>46059.0</v>
      </c>
      <c r="B2038" s="157" t="s">
        <v>27</v>
      </c>
      <c r="C2038" s="80">
        <v>1200192.0</v>
      </c>
      <c r="D2038" s="79"/>
      <c r="E2038" s="66" t="s">
        <v>28</v>
      </c>
      <c r="F2038" s="67" t="s">
        <v>1179</v>
      </c>
      <c r="G2038" s="68">
        <v>20.0</v>
      </c>
      <c r="H2038" s="69">
        <f t="shared" si="108"/>
        <v>200032</v>
      </c>
      <c r="I2038" s="76" t="s">
        <v>37</v>
      </c>
      <c r="J2038" s="98" t="s">
        <v>1014</v>
      </c>
      <c r="K2038" s="82" t="s">
        <v>1525</v>
      </c>
      <c r="L2038" s="82">
        <v>400.0</v>
      </c>
      <c r="M2038" s="132">
        <v>45972.0</v>
      </c>
      <c r="N2038" s="153">
        <f t="shared" si="119"/>
        <v>156</v>
      </c>
      <c r="O2038" s="96"/>
      <c r="P2038" s="36"/>
      <c r="Q2038" s="36"/>
      <c r="R2038" s="36"/>
      <c r="S2038" s="36"/>
      <c r="T2038" s="36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</row>
    <row r="2039" ht="22.5" customHeight="1">
      <c r="A2039" s="86">
        <v>46059.0</v>
      </c>
      <c r="B2039" s="157" t="s">
        <v>27</v>
      </c>
      <c r="C2039" s="80">
        <v>840000.0</v>
      </c>
      <c r="D2039" s="79"/>
      <c r="E2039" s="66" t="s">
        <v>28</v>
      </c>
      <c r="F2039" s="67" t="s">
        <v>1179</v>
      </c>
      <c r="G2039" s="68">
        <v>20.0</v>
      </c>
      <c r="H2039" s="69">
        <f t="shared" si="108"/>
        <v>140000</v>
      </c>
      <c r="I2039" s="76" t="s">
        <v>37</v>
      </c>
      <c r="J2039" s="98" t="s">
        <v>1014</v>
      </c>
      <c r="K2039" s="82" t="s">
        <v>1526</v>
      </c>
      <c r="L2039" s="82">
        <v>401.0</v>
      </c>
      <c r="M2039" s="132">
        <v>45973.0</v>
      </c>
      <c r="N2039" s="153">
        <f t="shared" si="119"/>
        <v>155</v>
      </c>
      <c r="O2039" s="96"/>
      <c r="P2039" s="36"/>
      <c r="Q2039" s="36"/>
      <c r="R2039" s="36"/>
      <c r="S2039" s="36"/>
      <c r="T2039" s="36"/>
      <c r="U2039" s="36"/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</row>
    <row r="2040" ht="22.5" customHeight="1">
      <c r="A2040" s="86">
        <v>46059.0</v>
      </c>
      <c r="B2040" s="157" t="s">
        <v>27</v>
      </c>
      <c r="C2040" s="80">
        <v>600600.0</v>
      </c>
      <c r="D2040" s="79"/>
      <c r="E2040" s="66" t="s">
        <v>28</v>
      </c>
      <c r="F2040" s="67" t="s">
        <v>1179</v>
      </c>
      <c r="G2040" s="68">
        <v>20.0</v>
      </c>
      <c r="H2040" s="69">
        <f t="shared" si="108"/>
        <v>100100</v>
      </c>
      <c r="I2040" s="76" t="s">
        <v>37</v>
      </c>
      <c r="J2040" s="98" t="s">
        <v>1014</v>
      </c>
      <c r="K2040" s="82" t="s">
        <v>1527</v>
      </c>
      <c r="L2040" s="82">
        <v>402.0</v>
      </c>
      <c r="M2040" s="132">
        <v>45973.0</v>
      </c>
      <c r="N2040" s="153">
        <f t="shared" si="119"/>
        <v>155</v>
      </c>
      <c r="O2040" s="9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</row>
    <row r="2041" ht="22.5" customHeight="1">
      <c r="A2041" s="86">
        <v>46059.0</v>
      </c>
      <c r="B2041" s="157" t="s">
        <v>27</v>
      </c>
      <c r="C2041" s="80">
        <v>688800.0</v>
      </c>
      <c r="D2041" s="79"/>
      <c r="E2041" s="66" t="s">
        <v>28</v>
      </c>
      <c r="F2041" s="67" t="s">
        <v>1179</v>
      </c>
      <c r="G2041" s="68">
        <v>20.0</v>
      </c>
      <c r="H2041" s="69">
        <f t="shared" si="108"/>
        <v>114800</v>
      </c>
      <c r="I2041" s="76" t="s">
        <v>37</v>
      </c>
      <c r="J2041" s="98" t="s">
        <v>1014</v>
      </c>
      <c r="K2041" s="82" t="s">
        <v>1528</v>
      </c>
      <c r="L2041" s="82">
        <v>403.0</v>
      </c>
      <c r="M2041" s="132">
        <v>45973.0</v>
      </c>
      <c r="N2041" s="153">
        <f t="shared" si="119"/>
        <v>155</v>
      </c>
      <c r="O2041" s="9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</row>
    <row r="2042" ht="22.5" customHeight="1">
      <c r="A2042" s="86">
        <v>46059.0</v>
      </c>
      <c r="B2042" s="157" t="s">
        <v>27</v>
      </c>
      <c r="C2042" s="80">
        <v>819000.0</v>
      </c>
      <c r="D2042" s="80"/>
      <c r="E2042" s="66" t="s">
        <v>28</v>
      </c>
      <c r="F2042" s="67" t="s">
        <v>608</v>
      </c>
      <c r="G2042" s="68">
        <v>20.0</v>
      </c>
      <c r="H2042" s="69">
        <f t="shared" si="108"/>
        <v>136500</v>
      </c>
      <c r="I2042" s="76" t="s">
        <v>37</v>
      </c>
      <c r="J2042" s="98" t="s">
        <v>1529</v>
      </c>
      <c r="K2042" s="82" t="s">
        <v>1530</v>
      </c>
      <c r="L2042" s="82">
        <v>446.0</v>
      </c>
      <c r="M2042" s="128">
        <v>46000.0</v>
      </c>
      <c r="N2042" s="153">
        <f t="shared" si="119"/>
        <v>128</v>
      </c>
      <c r="O2042" s="96"/>
      <c r="P2042" s="36"/>
      <c r="Q2042" s="36"/>
      <c r="R2042" s="36"/>
      <c r="S2042" s="36"/>
      <c r="T2042" s="36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</row>
    <row r="2043" ht="22.5" customHeight="1">
      <c r="A2043" s="86">
        <v>46060.0</v>
      </c>
      <c r="B2043" s="137" t="s">
        <v>27</v>
      </c>
      <c r="C2043" s="79"/>
      <c r="D2043" s="80">
        <v>41430.8</v>
      </c>
      <c r="E2043" s="66" t="s">
        <v>28</v>
      </c>
      <c r="F2043" s="67" t="s">
        <v>1531</v>
      </c>
      <c r="G2043" s="68">
        <v>0.0</v>
      </c>
      <c r="H2043" s="69">
        <f t="shared" si="108"/>
        <v>0</v>
      </c>
      <c r="I2043" s="89" t="s">
        <v>68</v>
      </c>
      <c r="J2043" s="98" t="s">
        <v>1532</v>
      </c>
      <c r="K2043" s="95"/>
      <c r="L2043" s="95"/>
      <c r="M2043" s="95"/>
      <c r="N2043" s="153"/>
      <c r="O2043" s="96"/>
      <c r="P2043" s="36"/>
      <c r="Q2043" s="36"/>
      <c r="R2043" s="36"/>
      <c r="S2043" s="36"/>
      <c r="T2043" s="36"/>
      <c r="U2043" s="36"/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</row>
    <row r="2044" ht="22.5" customHeight="1">
      <c r="A2044" s="86">
        <v>46062.0</v>
      </c>
      <c r="B2044" s="137" t="s">
        <v>27</v>
      </c>
      <c r="C2044" s="79"/>
      <c r="D2044" s="79">
        <f>61224+11564</f>
        <v>72788</v>
      </c>
      <c r="E2044" s="66" t="s">
        <v>28</v>
      </c>
      <c r="F2044" s="67" t="s">
        <v>1531</v>
      </c>
      <c r="G2044" s="68">
        <v>0.0</v>
      </c>
      <c r="H2044" s="68">
        <v>0.0</v>
      </c>
      <c r="I2044" s="89" t="s">
        <v>383</v>
      </c>
      <c r="J2044" s="98" t="s">
        <v>1533</v>
      </c>
      <c r="K2044" s="95"/>
      <c r="L2044" s="95"/>
      <c r="M2044" s="95"/>
      <c r="N2044" s="153"/>
      <c r="O2044" s="98" t="s">
        <v>1534</v>
      </c>
      <c r="P2044" s="36"/>
      <c r="Q2044" s="36"/>
      <c r="R2044" s="36"/>
      <c r="S2044" s="36"/>
      <c r="T2044" s="36"/>
      <c r="U2044" s="36"/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</row>
    <row r="2045" ht="22.5" customHeight="1">
      <c r="A2045" s="86">
        <v>46062.0</v>
      </c>
      <c r="B2045" s="137" t="s">
        <v>27</v>
      </c>
      <c r="C2045" s="79"/>
      <c r="D2045" s="80">
        <v>73000.0</v>
      </c>
      <c r="E2045" s="66" t="s">
        <v>28</v>
      </c>
      <c r="F2045" s="67" t="s">
        <v>1531</v>
      </c>
      <c r="G2045" s="68">
        <v>0.0</v>
      </c>
      <c r="H2045" s="68">
        <v>0.0</v>
      </c>
      <c r="I2045" s="89" t="s">
        <v>383</v>
      </c>
      <c r="J2045" s="98" t="s">
        <v>1535</v>
      </c>
      <c r="K2045" s="95"/>
      <c r="L2045" s="95"/>
      <c r="M2045" s="95"/>
      <c r="N2045" s="153"/>
      <c r="O2045" s="98" t="s">
        <v>1534</v>
      </c>
      <c r="P2045" s="36"/>
      <c r="Q2045" s="36"/>
      <c r="R2045" s="36"/>
      <c r="S2045" s="36"/>
      <c r="T2045" s="36"/>
      <c r="U2045" s="36"/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</row>
    <row r="2046" ht="22.5" customHeight="1">
      <c r="A2046" s="86">
        <v>46062.0</v>
      </c>
      <c r="B2046" s="137" t="s">
        <v>27</v>
      </c>
      <c r="C2046" s="79"/>
      <c r="D2046" s="80">
        <v>210161.0</v>
      </c>
      <c r="E2046" s="66" t="s">
        <v>28</v>
      </c>
      <c r="F2046" s="67" t="s">
        <v>1531</v>
      </c>
      <c r="G2046" s="68">
        <v>0.0</v>
      </c>
      <c r="H2046" s="69">
        <f t="shared" ref="H2046:H2091" si="120">SUM(C2046:D2046)*G2046/(G2046+100)</f>
        <v>0</v>
      </c>
      <c r="I2046" s="94" t="s">
        <v>599</v>
      </c>
      <c r="J2046" s="98" t="s">
        <v>72</v>
      </c>
      <c r="K2046" s="95"/>
      <c r="L2046" s="95"/>
      <c r="M2046" s="95"/>
      <c r="N2046" s="153"/>
      <c r="O2046" s="83" t="s">
        <v>748</v>
      </c>
      <c r="P2046" s="36"/>
      <c r="Q2046" s="36"/>
      <c r="R2046" s="36"/>
      <c r="S2046" s="36"/>
      <c r="T2046" s="36"/>
      <c r="U2046" s="36"/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</row>
    <row r="2047" ht="22.5" customHeight="1">
      <c r="A2047" s="86">
        <v>46063.0</v>
      </c>
      <c r="B2047" s="139" t="s">
        <v>27</v>
      </c>
      <c r="C2047" s="79"/>
      <c r="D2047" s="80">
        <v>144000.0</v>
      </c>
      <c r="E2047" s="66" t="s">
        <v>28</v>
      </c>
      <c r="F2047" s="67" t="s">
        <v>608</v>
      </c>
      <c r="G2047" s="68">
        <v>20.0</v>
      </c>
      <c r="H2047" s="69">
        <f t="shared" si="120"/>
        <v>24000</v>
      </c>
      <c r="I2047" s="89" t="s">
        <v>1044</v>
      </c>
      <c r="J2047" s="136" t="s">
        <v>1045</v>
      </c>
      <c r="K2047" s="95"/>
      <c r="L2047" s="95"/>
      <c r="M2047" s="95"/>
      <c r="N2047" s="153"/>
      <c r="O2047" s="140" t="s">
        <v>1536</v>
      </c>
      <c r="P2047" s="36"/>
      <c r="Q2047" s="36"/>
      <c r="R2047" s="36"/>
      <c r="S2047" s="36"/>
      <c r="T2047" s="36"/>
      <c r="U2047" s="36"/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</row>
    <row r="2048" ht="22.5" customHeight="1">
      <c r="A2048" s="86">
        <v>46063.0</v>
      </c>
      <c r="B2048" s="139" t="s">
        <v>27</v>
      </c>
      <c r="C2048" s="79"/>
      <c r="D2048" s="80">
        <v>107520.0</v>
      </c>
      <c r="E2048" s="66" t="s">
        <v>28</v>
      </c>
      <c r="F2048" s="67" t="s">
        <v>608</v>
      </c>
      <c r="G2048" s="68">
        <v>20.0</v>
      </c>
      <c r="H2048" s="69">
        <f t="shared" si="120"/>
        <v>17920</v>
      </c>
      <c r="I2048" s="89" t="s">
        <v>1044</v>
      </c>
      <c r="J2048" s="136" t="s">
        <v>1045</v>
      </c>
      <c r="K2048" s="95"/>
      <c r="L2048" s="95"/>
      <c r="M2048" s="95"/>
      <c r="N2048" s="153"/>
      <c r="O2048" s="140" t="s">
        <v>1537</v>
      </c>
      <c r="P2048" s="36"/>
      <c r="Q2048" s="36"/>
      <c r="R2048" s="36"/>
      <c r="S2048" s="36"/>
      <c r="T2048" s="36"/>
      <c r="U2048" s="36"/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</row>
    <row r="2049" ht="22.5" customHeight="1">
      <c r="A2049" s="86">
        <v>46063.0</v>
      </c>
      <c r="B2049" s="139" t="s">
        <v>27</v>
      </c>
      <c r="C2049" s="79"/>
      <c r="D2049" s="80">
        <v>170666.66</v>
      </c>
      <c r="E2049" s="66" t="s">
        <v>28</v>
      </c>
      <c r="F2049" s="67" t="s">
        <v>608</v>
      </c>
      <c r="G2049" s="68">
        <v>20.0</v>
      </c>
      <c r="H2049" s="69">
        <f t="shared" si="120"/>
        <v>28444.44333</v>
      </c>
      <c r="I2049" s="89" t="s">
        <v>1044</v>
      </c>
      <c r="J2049" s="136" t="s">
        <v>1045</v>
      </c>
      <c r="K2049" s="95"/>
      <c r="L2049" s="95"/>
      <c r="M2049" s="95"/>
      <c r="N2049" s="153"/>
      <c r="O2049" s="140" t="s">
        <v>1538</v>
      </c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</row>
    <row r="2050" ht="22.5" customHeight="1">
      <c r="A2050" s="86">
        <v>46063.0</v>
      </c>
      <c r="B2050" s="139" t="s">
        <v>27</v>
      </c>
      <c r="C2050" s="79"/>
      <c r="D2050" s="80">
        <v>73115.53</v>
      </c>
      <c r="E2050" s="66" t="s">
        <v>28</v>
      </c>
      <c r="F2050" s="67" t="s">
        <v>608</v>
      </c>
      <c r="G2050" s="68">
        <v>20.0</v>
      </c>
      <c r="H2050" s="69">
        <f t="shared" si="120"/>
        <v>12185.92167</v>
      </c>
      <c r="I2050" s="89" t="s">
        <v>1044</v>
      </c>
      <c r="J2050" s="136" t="s">
        <v>1045</v>
      </c>
      <c r="K2050" s="95"/>
      <c r="L2050" s="95"/>
      <c r="M2050" s="95"/>
      <c r="N2050" s="153"/>
      <c r="O2050" s="140" t="s">
        <v>1539</v>
      </c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</row>
    <row r="2051" ht="22.5" customHeight="1">
      <c r="A2051" s="86">
        <v>46063.0</v>
      </c>
      <c r="B2051" s="139" t="s">
        <v>27</v>
      </c>
      <c r="C2051" s="79"/>
      <c r="D2051" s="80">
        <v>213333.5</v>
      </c>
      <c r="E2051" s="66" t="s">
        <v>28</v>
      </c>
      <c r="F2051" s="67" t="s">
        <v>608</v>
      </c>
      <c r="G2051" s="68">
        <v>20.0</v>
      </c>
      <c r="H2051" s="69">
        <f t="shared" si="120"/>
        <v>35555.58333</v>
      </c>
      <c r="I2051" s="89" t="s">
        <v>1044</v>
      </c>
      <c r="J2051" s="136" t="s">
        <v>1045</v>
      </c>
      <c r="K2051" s="95"/>
      <c r="L2051" s="95"/>
      <c r="M2051" s="95"/>
      <c r="N2051" s="153"/>
      <c r="O2051" s="140" t="s">
        <v>1540</v>
      </c>
      <c r="P2051" s="36"/>
      <c r="Q2051" s="36"/>
      <c r="R2051" s="36"/>
      <c r="S2051" s="36"/>
      <c r="T2051" s="36"/>
      <c r="U2051" s="36"/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</row>
    <row r="2052" ht="22.5" customHeight="1">
      <c r="A2052" s="86">
        <v>46063.0</v>
      </c>
      <c r="B2052" s="139" t="s">
        <v>27</v>
      </c>
      <c r="C2052" s="79"/>
      <c r="D2052" s="80">
        <v>382720.0</v>
      </c>
      <c r="E2052" s="66" t="s">
        <v>28</v>
      </c>
      <c r="F2052" s="67" t="s">
        <v>608</v>
      </c>
      <c r="G2052" s="68">
        <v>20.0</v>
      </c>
      <c r="H2052" s="69">
        <f t="shared" si="120"/>
        <v>63786.66667</v>
      </c>
      <c r="I2052" s="89" t="s">
        <v>1044</v>
      </c>
      <c r="J2052" s="136" t="s">
        <v>1045</v>
      </c>
      <c r="K2052" s="95"/>
      <c r="L2052" s="95"/>
      <c r="M2052" s="95"/>
      <c r="N2052" s="153"/>
      <c r="O2052" s="140" t="s">
        <v>1541</v>
      </c>
      <c r="P2052" s="36"/>
      <c r="Q2052" s="36"/>
      <c r="R2052" s="36"/>
      <c r="S2052" s="36"/>
      <c r="T2052" s="36"/>
      <c r="U2052" s="36"/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</row>
    <row r="2053" ht="22.5" customHeight="1">
      <c r="A2053" s="86">
        <v>46063.0</v>
      </c>
      <c r="B2053" s="139" t="s">
        <v>27</v>
      </c>
      <c r="C2053" s="79"/>
      <c r="D2053" s="80">
        <v>1491002.56</v>
      </c>
      <c r="E2053" s="66" t="s">
        <v>28</v>
      </c>
      <c r="F2053" s="67" t="s">
        <v>608</v>
      </c>
      <c r="G2053" s="68">
        <v>20.0</v>
      </c>
      <c r="H2053" s="69">
        <f t="shared" si="120"/>
        <v>248500.4267</v>
      </c>
      <c r="I2053" s="76" t="s">
        <v>101</v>
      </c>
      <c r="J2053" s="136" t="s">
        <v>597</v>
      </c>
      <c r="K2053" s="95"/>
      <c r="L2053" s="95"/>
      <c r="M2053" s="95"/>
      <c r="N2053" s="153"/>
      <c r="O2053" s="140" t="s">
        <v>1542</v>
      </c>
      <c r="P2053" s="36"/>
      <c r="Q2053" s="36"/>
      <c r="R2053" s="36"/>
      <c r="S2053" s="36"/>
      <c r="T2053" s="36"/>
      <c r="U2053" s="36"/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</row>
    <row r="2054" ht="22.5" customHeight="1">
      <c r="A2054" s="86">
        <v>46063.0</v>
      </c>
      <c r="B2054" s="139" t="s">
        <v>27</v>
      </c>
      <c r="C2054" s="79"/>
      <c r="D2054" s="80">
        <v>437821.36</v>
      </c>
      <c r="E2054" s="66" t="s">
        <v>28</v>
      </c>
      <c r="F2054" s="67" t="s">
        <v>608</v>
      </c>
      <c r="G2054" s="68">
        <v>20.0</v>
      </c>
      <c r="H2054" s="69">
        <f t="shared" si="120"/>
        <v>72970.22667</v>
      </c>
      <c r="I2054" s="76" t="s">
        <v>101</v>
      </c>
      <c r="J2054" s="136" t="s">
        <v>643</v>
      </c>
      <c r="K2054" s="95"/>
      <c r="L2054" s="95"/>
      <c r="M2054" s="95"/>
      <c r="N2054" s="153"/>
      <c r="O2054" s="140" t="s">
        <v>1543</v>
      </c>
      <c r="P2054" s="36"/>
      <c r="Q2054" s="36"/>
      <c r="R2054" s="36"/>
      <c r="S2054" s="36"/>
      <c r="T2054" s="36"/>
      <c r="U2054" s="36"/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</row>
    <row r="2055" ht="22.5" customHeight="1">
      <c r="A2055" s="86">
        <v>46063.0</v>
      </c>
      <c r="B2055" s="137" t="s">
        <v>27</v>
      </c>
      <c r="C2055" s="79"/>
      <c r="D2055" s="80">
        <v>54831.5</v>
      </c>
      <c r="E2055" s="66" t="s">
        <v>28</v>
      </c>
      <c r="F2055" s="67" t="s">
        <v>608</v>
      </c>
      <c r="G2055" s="68">
        <v>20.0</v>
      </c>
      <c r="H2055" s="69">
        <f t="shared" si="120"/>
        <v>9138.583333</v>
      </c>
      <c r="I2055" s="89" t="s">
        <v>101</v>
      </c>
      <c r="J2055" s="136" t="s">
        <v>1280</v>
      </c>
      <c r="K2055" s="95"/>
      <c r="L2055" s="95"/>
      <c r="M2055" s="95"/>
      <c r="N2055" s="153"/>
      <c r="O2055" s="140" t="s">
        <v>1544</v>
      </c>
      <c r="P2055" s="36"/>
      <c r="Q2055" s="36"/>
      <c r="R2055" s="36"/>
      <c r="S2055" s="36"/>
      <c r="T2055" s="36"/>
      <c r="U2055" s="36"/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</row>
    <row r="2056" ht="22.5" customHeight="1">
      <c r="A2056" s="86">
        <v>46063.0</v>
      </c>
      <c r="B2056" s="139" t="s">
        <v>27</v>
      </c>
      <c r="C2056" s="79"/>
      <c r="D2056" s="80">
        <v>157950.0</v>
      </c>
      <c r="E2056" s="66" t="s">
        <v>28</v>
      </c>
      <c r="F2056" s="67" t="s">
        <v>608</v>
      </c>
      <c r="G2056" s="68">
        <v>0.0</v>
      </c>
      <c r="H2056" s="69">
        <f t="shared" si="120"/>
        <v>0</v>
      </c>
      <c r="I2056" s="76" t="s">
        <v>286</v>
      </c>
      <c r="J2056" s="98" t="s">
        <v>454</v>
      </c>
      <c r="K2056" s="95"/>
      <c r="L2056" s="95"/>
      <c r="M2056" s="95"/>
      <c r="N2056" s="153"/>
      <c r="O2056" s="140" t="s">
        <v>1545</v>
      </c>
      <c r="P2056" s="36"/>
      <c r="Q2056" s="36"/>
      <c r="R2056" s="36"/>
      <c r="S2056" s="36"/>
      <c r="T2056" s="36"/>
      <c r="U2056" s="36"/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</row>
    <row r="2057" ht="22.5" customHeight="1">
      <c r="A2057" s="86">
        <v>46063.0</v>
      </c>
      <c r="B2057" s="139" t="s">
        <v>27</v>
      </c>
      <c r="C2057" s="79"/>
      <c r="D2057" s="80">
        <v>365032.78</v>
      </c>
      <c r="E2057" s="66" t="s">
        <v>28</v>
      </c>
      <c r="F2057" s="67" t="s">
        <v>608</v>
      </c>
      <c r="G2057" s="68">
        <v>20.0</v>
      </c>
      <c r="H2057" s="69">
        <f t="shared" si="120"/>
        <v>60838.79667</v>
      </c>
      <c r="I2057" s="76" t="s">
        <v>44</v>
      </c>
      <c r="J2057" s="98" t="s">
        <v>134</v>
      </c>
      <c r="K2057" s="95"/>
      <c r="L2057" s="95"/>
      <c r="M2057" s="95"/>
      <c r="N2057" s="153"/>
      <c r="O2057" s="140" t="s">
        <v>1546</v>
      </c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</row>
    <row r="2058" ht="22.5" customHeight="1">
      <c r="A2058" s="86">
        <v>46063.0</v>
      </c>
      <c r="B2058" s="139" t="s">
        <v>27</v>
      </c>
      <c r="C2058" s="79"/>
      <c r="D2058" s="80">
        <v>526295.3</v>
      </c>
      <c r="E2058" s="66" t="s">
        <v>28</v>
      </c>
      <c r="F2058" s="67" t="s">
        <v>1099</v>
      </c>
      <c r="G2058" s="68">
        <v>0.0</v>
      </c>
      <c r="H2058" s="69">
        <f t="shared" si="120"/>
        <v>0</v>
      </c>
      <c r="I2058" s="76" t="s">
        <v>93</v>
      </c>
      <c r="J2058" s="158" t="s">
        <v>516</v>
      </c>
      <c r="K2058" s="95"/>
      <c r="L2058" s="95"/>
      <c r="M2058" s="95"/>
      <c r="N2058" s="153"/>
      <c r="O2058" s="140" t="s">
        <v>1547</v>
      </c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</row>
    <row r="2059" ht="22.5" customHeight="1">
      <c r="A2059" s="86">
        <v>46063.0</v>
      </c>
      <c r="B2059" s="139" t="s">
        <v>27</v>
      </c>
      <c r="C2059" s="79"/>
      <c r="D2059" s="80">
        <v>520000.0</v>
      </c>
      <c r="E2059" s="66" t="s">
        <v>28</v>
      </c>
      <c r="F2059" s="84" t="s">
        <v>594</v>
      </c>
      <c r="G2059" s="68">
        <v>20.0</v>
      </c>
      <c r="H2059" s="69">
        <f t="shared" si="120"/>
        <v>86666.66667</v>
      </c>
      <c r="I2059" s="76" t="s">
        <v>101</v>
      </c>
      <c r="J2059" s="136" t="s">
        <v>1548</v>
      </c>
      <c r="K2059" s="95"/>
      <c r="L2059" s="95"/>
      <c r="M2059" s="95"/>
      <c r="N2059" s="153"/>
      <c r="O2059" s="140" t="s">
        <v>1549</v>
      </c>
      <c r="P2059" s="36"/>
      <c r="Q2059" s="36"/>
      <c r="R2059" s="36"/>
      <c r="S2059" s="36"/>
      <c r="T2059" s="36"/>
      <c r="U2059" s="36"/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</row>
    <row r="2060" ht="22.5" customHeight="1">
      <c r="A2060" s="86">
        <v>46063.0</v>
      </c>
      <c r="B2060" s="139" t="s">
        <v>27</v>
      </c>
      <c r="C2060" s="79"/>
      <c r="D2060" s="80">
        <v>1199223.01</v>
      </c>
      <c r="E2060" s="66" t="s">
        <v>28</v>
      </c>
      <c r="F2060" s="67" t="s">
        <v>608</v>
      </c>
      <c r="G2060" s="68">
        <v>20.0</v>
      </c>
      <c r="H2060" s="69">
        <f t="shared" si="120"/>
        <v>199870.5017</v>
      </c>
      <c r="I2060" s="76" t="s">
        <v>101</v>
      </c>
      <c r="J2060" s="136" t="s">
        <v>1280</v>
      </c>
      <c r="K2060" s="95"/>
      <c r="L2060" s="95"/>
      <c r="M2060" s="95"/>
      <c r="N2060" s="153"/>
      <c r="O2060" s="140" t="s">
        <v>1550</v>
      </c>
      <c r="P2060" s="36"/>
      <c r="Q2060" s="36"/>
      <c r="R2060" s="36"/>
      <c r="S2060" s="36"/>
      <c r="T2060" s="36"/>
      <c r="U2060" s="36"/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</row>
    <row r="2061" ht="22.5" customHeight="1">
      <c r="A2061" s="86">
        <v>46063.0</v>
      </c>
      <c r="B2061" s="137" t="s">
        <v>27</v>
      </c>
      <c r="C2061" s="79"/>
      <c r="D2061" s="80">
        <v>8000.0</v>
      </c>
      <c r="E2061" s="66" t="s">
        <v>33</v>
      </c>
      <c r="F2061" s="67" t="s">
        <v>1531</v>
      </c>
      <c r="G2061" s="68">
        <v>0.0</v>
      </c>
      <c r="H2061" s="69">
        <f t="shared" si="120"/>
        <v>0</v>
      </c>
      <c r="I2061" s="89" t="s">
        <v>490</v>
      </c>
      <c r="J2061" s="98" t="s">
        <v>1551</v>
      </c>
      <c r="K2061" s="95"/>
      <c r="L2061" s="95"/>
      <c r="M2061" s="95"/>
      <c r="N2061" s="153"/>
      <c r="O2061" s="96"/>
      <c r="P2061" s="36"/>
      <c r="Q2061" s="36"/>
      <c r="R2061" s="36"/>
      <c r="S2061" s="36"/>
      <c r="T2061" s="36"/>
      <c r="U2061" s="36"/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</row>
    <row r="2062" ht="22.5" customHeight="1">
      <c r="A2062" s="86">
        <v>46063.0</v>
      </c>
      <c r="B2062" s="137" t="s">
        <v>27</v>
      </c>
      <c r="C2062" s="79"/>
      <c r="D2062" s="80">
        <v>1250000.0</v>
      </c>
      <c r="E2062" s="66" t="s">
        <v>376</v>
      </c>
      <c r="F2062" s="67" t="s">
        <v>1531</v>
      </c>
      <c r="G2062" s="68">
        <v>0.0</v>
      </c>
      <c r="H2062" s="69">
        <f t="shared" si="120"/>
        <v>0</v>
      </c>
      <c r="I2062" s="89" t="s">
        <v>47</v>
      </c>
      <c r="J2062" s="81"/>
      <c r="K2062" s="95"/>
      <c r="L2062" s="95"/>
      <c r="M2062" s="95"/>
      <c r="N2062" s="153"/>
      <c r="O2062" s="96"/>
      <c r="P2062" s="36"/>
      <c r="Q2062" s="36"/>
      <c r="R2062" s="36"/>
      <c r="S2062" s="36"/>
      <c r="T2062" s="36"/>
      <c r="U2062" s="36"/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</row>
    <row r="2063" ht="22.5" customHeight="1">
      <c r="A2063" s="86">
        <v>46063.0</v>
      </c>
      <c r="B2063" s="137" t="s">
        <v>27</v>
      </c>
      <c r="C2063" s="80">
        <v>1250000.0</v>
      </c>
      <c r="D2063" s="79"/>
      <c r="E2063" s="66" t="s">
        <v>28</v>
      </c>
      <c r="F2063" s="67" t="s">
        <v>1531</v>
      </c>
      <c r="G2063" s="68">
        <v>0.0</v>
      </c>
      <c r="H2063" s="69">
        <f t="shared" si="120"/>
        <v>0</v>
      </c>
      <c r="I2063" s="89" t="s">
        <v>47</v>
      </c>
      <c r="J2063" s="81"/>
      <c r="K2063" s="95"/>
      <c r="L2063" s="95"/>
      <c r="M2063" s="95"/>
      <c r="N2063" s="153"/>
      <c r="O2063" s="96"/>
      <c r="P2063" s="36"/>
      <c r="Q2063" s="36"/>
      <c r="R2063" s="36"/>
      <c r="S2063" s="36"/>
      <c r="T2063" s="36"/>
      <c r="U2063" s="36"/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</row>
    <row r="2064" ht="22.5" customHeight="1">
      <c r="A2064" s="86">
        <v>46063.0</v>
      </c>
      <c r="B2064" s="137" t="s">
        <v>27</v>
      </c>
      <c r="C2064" s="79"/>
      <c r="D2064" s="79">
        <f>24038+511.68+1893281.8</f>
        <v>1917831.48</v>
      </c>
      <c r="E2064" s="66" t="s">
        <v>28</v>
      </c>
      <c r="F2064" s="67" t="s">
        <v>603</v>
      </c>
      <c r="G2064" s="68">
        <v>0.0</v>
      </c>
      <c r="H2064" s="69">
        <f t="shared" si="120"/>
        <v>0</v>
      </c>
      <c r="I2064" s="89" t="s">
        <v>68</v>
      </c>
      <c r="J2064" s="81"/>
      <c r="K2064" s="95"/>
      <c r="L2064" s="95"/>
      <c r="M2064" s="95"/>
      <c r="N2064" s="153"/>
      <c r="O2064" s="96"/>
      <c r="P2064" s="36"/>
      <c r="Q2064" s="36"/>
      <c r="R2064" s="36"/>
      <c r="S2064" s="36"/>
      <c r="T2064" s="36"/>
      <c r="U2064" s="36"/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</row>
    <row r="2065" ht="22.5" customHeight="1">
      <c r="A2065" s="86">
        <v>46063.0</v>
      </c>
      <c r="B2065" s="137" t="s">
        <v>27</v>
      </c>
      <c r="C2065" s="79"/>
      <c r="D2065" s="80">
        <v>15000.0</v>
      </c>
      <c r="E2065" s="66" t="s">
        <v>33</v>
      </c>
      <c r="F2065" s="67" t="s">
        <v>1531</v>
      </c>
      <c r="G2065" s="68">
        <v>0.0</v>
      </c>
      <c r="H2065" s="69">
        <f t="shared" si="120"/>
        <v>0</v>
      </c>
      <c r="I2065" s="89" t="s">
        <v>495</v>
      </c>
      <c r="J2065" s="98" t="s">
        <v>848</v>
      </c>
      <c r="K2065" s="95"/>
      <c r="L2065" s="95"/>
      <c r="M2065" s="95"/>
      <c r="N2065" s="153"/>
      <c r="O2065" s="96"/>
      <c r="P2065" s="36"/>
      <c r="Q2065" s="36"/>
      <c r="R2065" s="36"/>
      <c r="S2065" s="36"/>
      <c r="T2065" s="36"/>
      <c r="U2065" s="36"/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</row>
    <row r="2066" ht="22.5" customHeight="1">
      <c r="A2066" s="86">
        <v>46063.0</v>
      </c>
      <c r="B2066" s="137" t="s">
        <v>27</v>
      </c>
      <c r="C2066" s="79"/>
      <c r="D2066" s="80">
        <v>25000.0</v>
      </c>
      <c r="E2066" s="66" t="s">
        <v>33</v>
      </c>
      <c r="F2066" s="67" t="s">
        <v>604</v>
      </c>
      <c r="G2066" s="68">
        <v>0.0</v>
      </c>
      <c r="H2066" s="69">
        <f t="shared" si="120"/>
        <v>0</v>
      </c>
      <c r="I2066" s="89" t="s">
        <v>490</v>
      </c>
      <c r="J2066" s="98" t="s">
        <v>1552</v>
      </c>
      <c r="K2066" s="95"/>
      <c r="L2066" s="95"/>
      <c r="M2066" s="95"/>
      <c r="N2066" s="153"/>
      <c r="O2066" s="96"/>
      <c r="P2066" s="36"/>
      <c r="Q2066" s="36"/>
      <c r="R2066" s="36"/>
      <c r="S2066" s="36"/>
      <c r="T2066" s="36"/>
      <c r="U2066" s="36"/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</row>
    <row r="2067" ht="22.5" customHeight="1">
      <c r="A2067" s="86">
        <v>46063.0</v>
      </c>
      <c r="B2067" s="137" t="s">
        <v>27</v>
      </c>
      <c r="C2067" s="79"/>
      <c r="D2067" s="80">
        <v>68050.08</v>
      </c>
      <c r="E2067" s="66" t="s">
        <v>28</v>
      </c>
      <c r="F2067" s="67" t="s">
        <v>1179</v>
      </c>
      <c r="G2067" s="68">
        <v>20.0</v>
      </c>
      <c r="H2067" s="69">
        <f t="shared" si="120"/>
        <v>11341.68</v>
      </c>
      <c r="I2067" s="89" t="s">
        <v>1044</v>
      </c>
      <c r="J2067" s="98" t="s">
        <v>1514</v>
      </c>
      <c r="K2067" s="95"/>
      <c r="L2067" s="95"/>
      <c r="M2067" s="95"/>
      <c r="N2067" s="153"/>
      <c r="O2067" s="96"/>
      <c r="P2067" s="36"/>
      <c r="Q2067" s="36"/>
      <c r="R2067" s="36"/>
      <c r="S2067" s="36"/>
      <c r="T2067" s="36"/>
      <c r="U2067" s="36"/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</row>
    <row r="2068" ht="22.5" customHeight="1">
      <c r="A2068" s="86">
        <v>46064.0</v>
      </c>
      <c r="B2068" s="157" t="s">
        <v>27</v>
      </c>
      <c r="C2068" s="80">
        <v>120000.0</v>
      </c>
      <c r="D2068" s="79"/>
      <c r="E2068" s="66" t="s">
        <v>28</v>
      </c>
      <c r="F2068" s="67" t="s">
        <v>1179</v>
      </c>
      <c r="G2068" s="68">
        <v>20.0</v>
      </c>
      <c r="H2068" s="69">
        <f t="shared" si="120"/>
        <v>20000</v>
      </c>
      <c r="I2068" s="76" t="s">
        <v>37</v>
      </c>
      <c r="J2068" s="98" t="s">
        <v>675</v>
      </c>
      <c r="K2068" s="82" t="s">
        <v>801</v>
      </c>
      <c r="L2068" s="82">
        <v>414.0</v>
      </c>
      <c r="M2068" s="132">
        <v>45987.0</v>
      </c>
      <c r="N2068" s="153">
        <f t="shared" ref="N2068:N2077" si="121">TODAY()-M2068-60</f>
        <v>141</v>
      </c>
      <c r="O2068" s="96"/>
      <c r="P2068" s="36"/>
      <c r="Q2068" s="36"/>
      <c r="R2068" s="36"/>
      <c r="S2068" s="36"/>
      <c r="T2068" s="36"/>
      <c r="U2068" s="36"/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</row>
    <row r="2069" ht="22.5" customHeight="1">
      <c r="A2069" s="86">
        <v>46064.0</v>
      </c>
      <c r="B2069" s="157" t="s">
        <v>27</v>
      </c>
      <c r="C2069" s="80">
        <v>600000.24</v>
      </c>
      <c r="D2069" s="80"/>
      <c r="E2069" s="66" t="s">
        <v>28</v>
      </c>
      <c r="F2069" s="67" t="s">
        <v>608</v>
      </c>
      <c r="G2069" s="68">
        <v>20.0</v>
      </c>
      <c r="H2069" s="69">
        <f t="shared" si="120"/>
        <v>100000.04</v>
      </c>
      <c r="I2069" s="76" t="s">
        <v>37</v>
      </c>
      <c r="J2069" s="98" t="s">
        <v>1271</v>
      </c>
      <c r="K2069" s="82" t="s">
        <v>830</v>
      </c>
      <c r="L2069" s="82">
        <v>417.0</v>
      </c>
      <c r="M2069" s="128">
        <v>45995.0</v>
      </c>
      <c r="N2069" s="153">
        <f t="shared" si="121"/>
        <v>133</v>
      </c>
      <c r="O2069" s="96"/>
      <c r="P2069" s="36"/>
      <c r="Q2069" s="36"/>
      <c r="R2069" s="36"/>
      <c r="S2069" s="36"/>
      <c r="T2069" s="36"/>
      <c r="U2069" s="36"/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</row>
    <row r="2070" ht="22.5" customHeight="1">
      <c r="A2070" s="86">
        <v>46064.0</v>
      </c>
      <c r="B2070" s="157" t="s">
        <v>27</v>
      </c>
      <c r="C2070" s="80">
        <v>2714635.56</v>
      </c>
      <c r="D2070" s="80"/>
      <c r="E2070" s="66" t="s">
        <v>28</v>
      </c>
      <c r="F2070" s="67" t="s">
        <v>608</v>
      </c>
      <c r="G2070" s="68">
        <v>20.0</v>
      </c>
      <c r="H2070" s="69">
        <f t="shared" si="120"/>
        <v>452439.26</v>
      </c>
      <c r="I2070" s="76" t="s">
        <v>37</v>
      </c>
      <c r="J2070" s="98" t="s">
        <v>1271</v>
      </c>
      <c r="K2070" s="82" t="s">
        <v>805</v>
      </c>
      <c r="L2070" s="82">
        <v>418.0</v>
      </c>
      <c r="M2070" s="128">
        <v>45995.0</v>
      </c>
      <c r="N2070" s="153">
        <f t="shared" si="121"/>
        <v>133</v>
      </c>
      <c r="O2070" s="96"/>
      <c r="P2070" s="36"/>
      <c r="Q2070" s="36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</row>
    <row r="2071" ht="22.5" customHeight="1">
      <c r="A2071" s="86">
        <v>46064.0</v>
      </c>
      <c r="B2071" s="157" t="s">
        <v>27</v>
      </c>
      <c r="C2071" s="80">
        <v>1531799.64</v>
      </c>
      <c r="D2071" s="80"/>
      <c r="E2071" s="66" t="s">
        <v>28</v>
      </c>
      <c r="F2071" s="67" t="s">
        <v>608</v>
      </c>
      <c r="G2071" s="68">
        <v>20.0</v>
      </c>
      <c r="H2071" s="69">
        <f t="shared" si="120"/>
        <v>255299.94</v>
      </c>
      <c r="I2071" s="76" t="s">
        <v>37</v>
      </c>
      <c r="J2071" s="98" t="s">
        <v>1271</v>
      </c>
      <c r="K2071" s="82" t="s">
        <v>829</v>
      </c>
      <c r="L2071" s="82">
        <v>419.0</v>
      </c>
      <c r="M2071" s="128">
        <v>45995.0</v>
      </c>
      <c r="N2071" s="153">
        <f t="shared" si="121"/>
        <v>133</v>
      </c>
      <c r="O2071" s="96"/>
      <c r="P2071" s="36"/>
      <c r="Q2071" s="36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</row>
    <row r="2072" ht="22.5" customHeight="1">
      <c r="A2072" s="86">
        <v>46064.0</v>
      </c>
      <c r="B2072" s="157" t="s">
        <v>27</v>
      </c>
      <c r="C2072" s="80">
        <v>1200000.0</v>
      </c>
      <c r="D2072" s="80"/>
      <c r="E2072" s="66" t="s">
        <v>28</v>
      </c>
      <c r="F2072" s="67" t="s">
        <v>608</v>
      </c>
      <c r="G2072" s="68">
        <v>20.0</v>
      </c>
      <c r="H2072" s="69">
        <f t="shared" si="120"/>
        <v>200000</v>
      </c>
      <c r="I2072" s="76" t="s">
        <v>37</v>
      </c>
      <c r="J2072" s="98" t="s">
        <v>675</v>
      </c>
      <c r="K2072" s="82" t="s">
        <v>858</v>
      </c>
      <c r="L2072" s="82">
        <v>422.0</v>
      </c>
      <c r="M2072" s="128">
        <v>45996.0</v>
      </c>
      <c r="N2072" s="153">
        <f t="shared" si="121"/>
        <v>132</v>
      </c>
      <c r="O2072" s="96"/>
      <c r="P2072" s="36"/>
      <c r="Q2072" s="36"/>
      <c r="R2072" s="36"/>
      <c r="S2072" s="36"/>
      <c r="T2072" s="36"/>
      <c r="U2072" s="36"/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</row>
    <row r="2073" ht="22.5" customHeight="1">
      <c r="A2073" s="86">
        <v>46064.0</v>
      </c>
      <c r="B2073" s="137" t="s">
        <v>27</v>
      </c>
      <c r="C2073" s="80">
        <v>600000.0</v>
      </c>
      <c r="D2073" s="79"/>
      <c r="E2073" s="66" t="s">
        <v>28</v>
      </c>
      <c r="F2073" s="67" t="s">
        <v>608</v>
      </c>
      <c r="G2073" s="68">
        <v>20.0</v>
      </c>
      <c r="H2073" s="69">
        <f t="shared" si="120"/>
        <v>100000</v>
      </c>
      <c r="I2073" s="89" t="s">
        <v>37</v>
      </c>
      <c r="J2073" s="98" t="s">
        <v>675</v>
      </c>
      <c r="K2073" s="82" t="s">
        <v>856</v>
      </c>
      <c r="L2073" s="82">
        <v>447.0</v>
      </c>
      <c r="M2073" s="132">
        <v>46003.0</v>
      </c>
      <c r="N2073" s="153">
        <f t="shared" si="121"/>
        <v>125</v>
      </c>
      <c r="O2073" s="96"/>
      <c r="P2073" s="36"/>
      <c r="Q2073" s="36"/>
      <c r="R2073" s="36"/>
      <c r="S2073" s="36"/>
      <c r="T2073" s="36"/>
      <c r="U2073" s="36"/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</row>
    <row r="2074" ht="22.5" customHeight="1">
      <c r="A2074" s="86">
        <v>46064.0</v>
      </c>
      <c r="B2074" s="137" t="s">
        <v>27</v>
      </c>
      <c r="C2074" s="80">
        <v>840000.0</v>
      </c>
      <c r="D2074" s="79"/>
      <c r="E2074" s="66" t="s">
        <v>28</v>
      </c>
      <c r="F2074" s="67" t="s">
        <v>608</v>
      </c>
      <c r="G2074" s="68">
        <v>20.0</v>
      </c>
      <c r="H2074" s="69">
        <f t="shared" si="120"/>
        <v>140000</v>
      </c>
      <c r="I2074" s="89" t="s">
        <v>37</v>
      </c>
      <c r="J2074" s="98" t="s">
        <v>675</v>
      </c>
      <c r="K2074" s="82" t="s">
        <v>802</v>
      </c>
      <c r="L2074" s="82">
        <v>450.0</v>
      </c>
      <c r="M2074" s="132">
        <v>46003.0</v>
      </c>
      <c r="N2074" s="153">
        <f t="shared" si="121"/>
        <v>125</v>
      </c>
      <c r="O2074" s="96"/>
      <c r="P2074" s="36"/>
      <c r="Q2074" s="36"/>
      <c r="R2074" s="36"/>
      <c r="S2074" s="36"/>
      <c r="T2074" s="36"/>
      <c r="U2074" s="36"/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</row>
    <row r="2075" ht="22.5" customHeight="1">
      <c r="A2075" s="86">
        <v>46064.0</v>
      </c>
      <c r="B2075" s="137" t="s">
        <v>27</v>
      </c>
      <c r="C2075" s="80">
        <v>1800000.0</v>
      </c>
      <c r="D2075" s="79"/>
      <c r="E2075" s="66" t="s">
        <v>28</v>
      </c>
      <c r="F2075" s="67" t="s">
        <v>608</v>
      </c>
      <c r="G2075" s="68">
        <v>20.0</v>
      </c>
      <c r="H2075" s="69">
        <f t="shared" si="120"/>
        <v>300000</v>
      </c>
      <c r="I2075" s="89" t="s">
        <v>37</v>
      </c>
      <c r="J2075" s="98" t="s">
        <v>675</v>
      </c>
      <c r="K2075" s="82" t="s">
        <v>950</v>
      </c>
      <c r="L2075" s="82">
        <v>451.0</v>
      </c>
      <c r="M2075" s="132">
        <v>46003.0</v>
      </c>
      <c r="N2075" s="153">
        <f t="shared" si="121"/>
        <v>125</v>
      </c>
      <c r="O2075" s="96"/>
      <c r="P2075" s="36"/>
      <c r="Q2075" s="36"/>
      <c r="R2075" s="36"/>
      <c r="S2075" s="36"/>
      <c r="T2075" s="36"/>
      <c r="U2075" s="36"/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</row>
    <row r="2076" ht="22.5" customHeight="1">
      <c r="A2076" s="86">
        <v>46064.0</v>
      </c>
      <c r="B2076" s="137" t="s">
        <v>27</v>
      </c>
      <c r="C2076" s="80">
        <v>1680000.0</v>
      </c>
      <c r="D2076" s="79"/>
      <c r="E2076" s="66" t="s">
        <v>28</v>
      </c>
      <c r="F2076" s="67" t="s">
        <v>608</v>
      </c>
      <c r="G2076" s="68">
        <v>20.0</v>
      </c>
      <c r="H2076" s="69">
        <f t="shared" si="120"/>
        <v>280000</v>
      </c>
      <c r="I2076" s="89" t="s">
        <v>37</v>
      </c>
      <c r="J2076" s="98" t="s">
        <v>675</v>
      </c>
      <c r="K2076" s="82" t="s">
        <v>803</v>
      </c>
      <c r="L2076" s="82">
        <v>452.0</v>
      </c>
      <c r="M2076" s="132">
        <v>46003.0</v>
      </c>
      <c r="N2076" s="153">
        <f t="shared" si="121"/>
        <v>125</v>
      </c>
      <c r="O2076" s="96"/>
      <c r="P2076" s="36"/>
      <c r="Q2076" s="36"/>
      <c r="R2076" s="36"/>
      <c r="S2076" s="36"/>
      <c r="T2076" s="36"/>
      <c r="U2076" s="36"/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</row>
    <row r="2077" ht="22.5" customHeight="1">
      <c r="A2077" s="86">
        <v>46064.0</v>
      </c>
      <c r="B2077" s="137" t="s">
        <v>27</v>
      </c>
      <c r="C2077" s="80">
        <v>600000.0</v>
      </c>
      <c r="D2077" s="79"/>
      <c r="E2077" s="66" t="s">
        <v>28</v>
      </c>
      <c r="F2077" s="67" t="s">
        <v>608</v>
      </c>
      <c r="G2077" s="68">
        <v>20.0</v>
      </c>
      <c r="H2077" s="69">
        <f t="shared" si="120"/>
        <v>100000</v>
      </c>
      <c r="I2077" s="89" t="s">
        <v>37</v>
      </c>
      <c r="J2077" s="98" t="s">
        <v>675</v>
      </c>
      <c r="K2077" s="82" t="s">
        <v>803</v>
      </c>
      <c r="L2077" s="82">
        <v>453.0</v>
      </c>
      <c r="M2077" s="132">
        <v>46003.0</v>
      </c>
      <c r="N2077" s="153">
        <f t="shared" si="121"/>
        <v>125</v>
      </c>
      <c r="O2077" s="96"/>
      <c r="P2077" s="36"/>
      <c r="Q2077" s="36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</row>
    <row r="2078" ht="22.5" customHeight="1">
      <c r="A2078" s="86">
        <v>46064.0</v>
      </c>
      <c r="B2078" s="137" t="s">
        <v>27</v>
      </c>
      <c r="C2078" s="79"/>
      <c r="D2078" s="80">
        <v>4500.0</v>
      </c>
      <c r="E2078" s="66" t="s">
        <v>33</v>
      </c>
      <c r="F2078" s="67" t="s">
        <v>1531</v>
      </c>
      <c r="G2078" s="68">
        <v>0.0</v>
      </c>
      <c r="H2078" s="69">
        <f t="shared" si="120"/>
        <v>0</v>
      </c>
      <c r="I2078" s="89" t="s">
        <v>490</v>
      </c>
      <c r="J2078" s="98" t="s">
        <v>1553</v>
      </c>
      <c r="K2078" s="95"/>
      <c r="L2078" s="95"/>
      <c r="M2078" s="95"/>
      <c r="N2078" s="153"/>
      <c r="O2078" s="96"/>
      <c r="P2078" s="36"/>
      <c r="Q2078" s="36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</row>
    <row r="2079" ht="22.5" customHeight="1">
      <c r="A2079" s="86">
        <v>46064.0</v>
      </c>
      <c r="B2079" s="137" t="s">
        <v>27</v>
      </c>
      <c r="C2079" s="79"/>
      <c r="D2079" s="80">
        <v>40000.0</v>
      </c>
      <c r="E2079" s="66" t="s">
        <v>33</v>
      </c>
      <c r="F2079" s="67" t="s">
        <v>603</v>
      </c>
      <c r="G2079" s="68">
        <v>0.0</v>
      </c>
      <c r="H2079" s="69">
        <f t="shared" si="120"/>
        <v>0</v>
      </c>
      <c r="I2079" s="89" t="s">
        <v>53</v>
      </c>
      <c r="J2079" s="98" t="s">
        <v>1326</v>
      </c>
      <c r="K2079" s="95"/>
      <c r="L2079" s="95"/>
      <c r="M2079" s="95"/>
      <c r="N2079" s="153"/>
      <c r="O2079" s="96"/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</row>
    <row r="2080" ht="22.5" customHeight="1">
      <c r="A2080" s="86">
        <v>46064.0</v>
      </c>
      <c r="B2080" s="137" t="s">
        <v>27</v>
      </c>
      <c r="C2080" s="79"/>
      <c r="D2080" s="80">
        <v>15000.0</v>
      </c>
      <c r="E2080" s="66" t="s">
        <v>33</v>
      </c>
      <c r="F2080" s="67" t="s">
        <v>603</v>
      </c>
      <c r="G2080" s="68">
        <v>0.0</v>
      </c>
      <c r="H2080" s="69">
        <f t="shared" si="120"/>
        <v>0</v>
      </c>
      <c r="I2080" s="89" t="s">
        <v>53</v>
      </c>
      <c r="J2080" s="98" t="s">
        <v>1327</v>
      </c>
      <c r="K2080" s="95"/>
      <c r="L2080" s="95"/>
      <c r="M2080" s="95"/>
      <c r="N2080" s="153"/>
      <c r="O2080" s="96"/>
      <c r="P2080" s="36"/>
      <c r="Q2080" s="36"/>
      <c r="R2080" s="36"/>
      <c r="S2080" s="36"/>
      <c r="T2080" s="36"/>
      <c r="U2080" s="36"/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</row>
    <row r="2081" ht="22.5" customHeight="1">
      <c r="A2081" s="86">
        <v>46064.0</v>
      </c>
      <c r="B2081" s="137" t="s">
        <v>27</v>
      </c>
      <c r="C2081" s="79"/>
      <c r="D2081" s="80">
        <v>30000.0</v>
      </c>
      <c r="E2081" s="66" t="s">
        <v>33</v>
      </c>
      <c r="F2081" s="67" t="s">
        <v>603</v>
      </c>
      <c r="G2081" s="68">
        <v>0.0</v>
      </c>
      <c r="H2081" s="69">
        <f t="shared" si="120"/>
        <v>0</v>
      </c>
      <c r="I2081" s="89" t="s">
        <v>53</v>
      </c>
      <c r="J2081" s="98" t="s">
        <v>1347</v>
      </c>
      <c r="K2081" s="95"/>
      <c r="L2081" s="95"/>
      <c r="M2081" s="95"/>
      <c r="N2081" s="153"/>
      <c r="O2081" s="96"/>
      <c r="P2081" s="36"/>
      <c r="Q2081" s="36"/>
      <c r="R2081" s="36"/>
      <c r="S2081" s="36"/>
      <c r="T2081" s="36"/>
      <c r="U2081" s="36"/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</row>
    <row r="2082" ht="22.5" customHeight="1">
      <c r="A2082" s="86">
        <v>46064.0</v>
      </c>
      <c r="B2082" s="137" t="s">
        <v>27</v>
      </c>
      <c r="C2082" s="79"/>
      <c r="D2082" s="80">
        <v>20000.0</v>
      </c>
      <c r="E2082" s="66" t="s">
        <v>33</v>
      </c>
      <c r="F2082" s="67" t="s">
        <v>603</v>
      </c>
      <c r="G2082" s="68">
        <v>0.0</v>
      </c>
      <c r="H2082" s="69">
        <f t="shared" si="120"/>
        <v>0</v>
      </c>
      <c r="I2082" s="89" t="s">
        <v>53</v>
      </c>
      <c r="J2082" s="98" t="s">
        <v>147</v>
      </c>
      <c r="K2082" s="95"/>
      <c r="L2082" s="95"/>
      <c r="M2082" s="95"/>
      <c r="N2082" s="153"/>
      <c r="O2082" s="96"/>
      <c r="P2082" s="36"/>
      <c r="Q2082" s="36"/>
      <c r="R2082" s="36"/>
      <c r="S2082" s="36"/>
      <c r="T2082" s="36"/>
      <c r="U2082" s="36"/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</row>
    <row r="2083" ht="22.5" customHeight="1">
      <c r="A2083" s="86">
        <v>46064.0</v>
      </c>
      <c r="B2083" s="137" t="s">
        <v>27</v>
      </c>
      <c r="C2083" s="79"/>
      <c r="D2083" s="80">
        <v>15000.0</v>
      </c>
      <c r="E2083" s="66" t="s">
        <v>33</v>
      </c>
      <c r="F2083" s="67" t="s">
        <v>603</v>
      </c>
      <c r="G2083" s="68">
        <v>0.0</v>
      </c>
      <c r="H2083" s="69">
        <f t="shared" si="120"/>
        <v>0</v>
      </c>
      <c r="I2083" s="89" t="s">
        <v>495</v>
      </c>
      <c r="J2083" s="98" t="s">
        <v>1554</v>
      </c>
      <c r="K2083" s="95"/>
      <c r="L2083" s="95"/>
      <c r="M2083" s="95"/>
      <c r="N2083" s="153"/>
      <c r="O2083" s="96"/>
      <c r="P2083" s="36"/>
      <c r="Q2083" s="36"/>
      <c r="R2083" s="36"/>
      <c r="S2083" s="36"/>
      <c r="T2083" s="36"/>
      <c r="U2083" s="36"/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</row>
    <row r="2084" ht="22.5" customHeight="1">
      <c r="A2084" s="86">
        <v>46064.0</v>
      </c>
      <c r="B2084" s="137" t="s">
        <v>27</v>
      </c>
      <c r="C2084" s="79"/>
      <c r="D2084" s="80">
        <v>5000.0</v>
      </c>
      <c r="E2084" s="66" t="s">
        <v>33</v>
      </c>
      <c r="F2084" s="67" t="s">
        <v>603</v>
      </c>
      <c r="G2084" s="68">
        <v>0.0</v>
      </c>
      <c r="H2084" s="69">
        <f t="shared" si="120"/>
        <v>0</v>
      </c>
      <c r="I2084" s="89" t="s">
        <v>490</v>
      </c>
      <c r="J2084" s="98" t="s">
        <v>1555</v>
      </c>
      <c r="K2084" s="95"/>
      <c r="L2084" s="95"/>
      <c r="M2084" s="95"/>
      <c r="N2084" s="153"/>
      <c r="O2084" s="96"/>
      <c r="P2084" s="36"/>
      <c r="Q2084" s="36"/>
      <c r="R2084" s="36"/>
      <c r="S2084" s="36"/>
      <c r="T2084" s="36"/>
      <c r="U2084" s="36"/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</row>
    <row r="2085" ht="22.5" customHeight="1">
      <c r="A2085" s="86">
        <v>46064.0</v>
      </c>
      <c r="B2085" s="137" t="s">
        <v>27</v>
      </c>
      <c r="C2085" s="79"/>
      <c r="D2085" s="80">
        <v>48000.0</v>
      </c>
      <c r="E2085" s="66" t="s">
        <v>33</v>
      </c>
      <c r="F2085" s="67" t="s">
        <v>603</v>
      </c>
      <c r="G2085" s="68">
        <v>0.0</v>
      </c>
      <c r="H2085" s="69">
        <f t="shared" si="120"/>
        <v>0</v>
      </c>
      <c r="I2085" s="89" t="s">
        <v>53</v>
      </c>
      <c r="J2085" s="98" t="s">
        <v>128</v>
      </c>
      <c r="K2085" s="95"/>
      <c r="L2085" s="95"/>
      <c r="M2085" s="95"/>
      <c r="N2085" s="153"/>
      <c r="O2085" s="96"/>
      <c r="P2085" s="36"/>
      <c r="Q2085" s="36"/>
      <c r="R2085" s="36"/>
      <c r="S2085" s="36"/>
      <c r="T2085" s="36"/>
      <c r="U2085" s="36"/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</row>
    <row r="2086" ht="22.5" customHeight="1">
      <c r="A2086" s="86">
        <v>46065.0</v>
      </c>
      <c r="B2086" s="137" t="s">
        <v>27</v>
      </c>
      <c r="C2086" s="79"/>
      <c r="D2086" s="80">
        <v>360000.0</v>
      </c>
      <c r="E2086" s="66" t="s">
        <v>28</v>
      </c>
      <c r="F2086" s="67" t="s">
        <v>604</v>
      </c>
      <c r="G2086" s="68">
        <v>20.0</v>
      </c>
      <c r="H2086" s="69">
        <f t="shared" si="120"/>
        <v>60000</v>
      </c>
      <c r="I2086" s="76" t="s">
        <v>30</v>
      </c>
      <c r="J2086" s="98" t="s">
        <v>609</v>
      </c>
      <c r="K2086" s="95"/>
      <c r="L2086" s="95"/>
      <c r="M2086" s="95"/>
      <c r="N2086" s="153"/>
      <c r="O2086" s="140" t="s">
        <v>1556</v>
      </c>
      <c r="P2086" s="36"/>
      <c r="Q2086" s="36"/>
      <c r="R2086" s="36"/>
      <c r="S2086" s="36"/>
      <c r="T2086" s="36"/>
      <c r="U2086" s="36"/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</row>
    <row r="2087" ht="22.5" customHeight="1">
      <c r="A2087" s="86">
        <v>46065.0</v>
      </c>
      <c r="B2087" s="137" t="s">
        <v>27</v>
      </c>
      <c r="C2087" s="79"/>
      <c r="D2087" s="80">
        <v>22165.0</v>
      </c>
      <c r="E2087" s="66" t="s">
        <v>28</v>
      </c>
      <c r="F2087" s="67" t="s">
        <v>604</v>
      </c>
      <c r="G2087" s="68">
        <v>0.0</v>
      </c>
      <c r="H2087" s="69">
        <f t="shared" si="120"/>
        <v>0</v>
      </c>
      <c r="I2087" s="89" t="s">
        <v>30</v>
      </c>
      <c r="J2087" s="98" t="s">
        <v>1557</v>
      </c>
      <c r="K2087" s="95"/>
      <c r="L2087" s="95"/>
      <c r="M2087" s="95"/>
      <c r="N2087" s="153"/>
      <c r="O2087" s="140" t="s">
        <v>1558</v>
      </c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</row>
    <row r="2088" ht="22.5" customHeight="1">
      <c r="A2088" s="86">
        <v>46065.0</v>
      </c>
      <c r="B2088" s="137" t="s">
        <v>27</v>
      </c>
      <c r="C2088" s="79"/>
      <c r="D2088" s="80">
        <v>550000.0</v>
      </c>
      <c r="E2088" s="66" t="s">
        <v>28</v>
      </c>
      <c r="F2088" s="67" t="s">
        <v>603</v>
      </c>
      <c r="G2088" s="68">
        <v>0.0</v>
      </c>
      <c r="H2088" s="69">
        <f t="shared" si="120"/>
        <v>0</v>
      </c>
      <c r="I2088" s="89" t="s">
        <v>504</v>
      </c>
      <c r="J2088" s="98" t="s">
        <v>1132</v>
      </c>
      <c r="K2088" s="95"/>
      <c r="L2088" s="95"/>
      <c r="M2088" s="95"/>
      <c r="N2088" s="153"/>
      <c r="O2088" s="140" t="s">
        <v>1559</v>
      </c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</row>
    <row r="2089" ht="22.5" customHeight="1">
      <c r="A2089" s="86">
        <v>46065.0</v>
      </c>
      <c r="B2089" s="137" t="s">
        <v>27</v>
      </c>
      <c r="C2089" s="79"/>
      <c r="D2089" s="80">
        <v>20740.0</v>
      </c>
      <c r="E2089" s="66" t="s">
        <v>28</v>
      </c>
      <c r="F2089" s="67" t="s">
        <v>1531</v>
      </c>
      <c r="G2089" s="68">
        <v>22.0</v>
      </c>
      <c r="H2089" s="69">
        <f t="shared" si="120"/>
        <v>3740</v>
      </c>
      <c r="I2089" s="89" t="s">
        <v>495</v>
      </c>
      <c r="J2089" s="98" t="s">
        <v>910</v>
      </c>
      <c r="K2089" s="95"/>
      <c r="L2089" s="95"/>
      <c r="M2089" s="95"/>
      <c r="N2089" s="153"/>
      <c r="O2089" s="140" t="s">
        <v>1560</v>
      </c>
      <c r="P2089" s="36"/>
      <c r="Q2089" s="36"/>
      <c r="R2089" s="36"/>
      <c r="S2089" s="36"/>
      <c r="T2089" s="36"/>
      <c r="U2089" s="36"/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</row>
    <row r="2090" ht="22.5" customHeight="1">
      <c r="A2090" s="86">
        <v>46065.0</v>
      </c>
      <c r="B2090" s="137" t="s">
        <v>27</v>
      </c>
      <c r="C2090" s="79"/>
      <c r="D2090" s="80">
        <v>22516.4</v>
      </c>
      <c r="E2090" s="66" t="s">
        <v>28</v>
      </c>
      <c r="F2090" s="67" t="s">
        <v>1531</v>
      </c>
      <c r="G2090" s="68">
        <v>5.0</v>
      </c>
      <c r="H2090" s="69">
        <f t="shared" si="120"/>
        <v>1072.209524</v>
      </c>
      <c r="I2090" s="89" t="s">
        <v>495</v>
      </c>
      <c r="J2090" s="98" t="s">
        <v>1419</v>
      </c>
      <c r="K2090" s="95"/>
      <c r="L2090" s="95"/>
      <c r="M2090" s="95"/>
      <c r="N2090" s="153"/>
      <c r="O2090" s="140" t="s">
        <v>1561</v>
      </c>
      <c r="P2090" s="36"/>
      <c r="Q2090" s="36"/>
      <c r="R2090" s="36"/>
      <c r="S2090" s="36"/>
      <c r="T2090" s="36"/>
      <c r="U2090" s="36"/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</row>
    <row r="2091" ht="22.5" customHeight="1">
      <c r="A2091" s="86">
        <v>46065.0</v>
      </c>
      <c r="B2091" s="137" t="s">
        <v>27</v>
      </c>
      <c r="C2091" s="79"/>
      <c r="D2091" s="80">
        <v>2100.0</v>
      </c>
      <c r="E2091" s="66" t="s">
        <v>28</v>
      </c>
      <c r="F2091" s="67" t="s">
        <v>1531</v>
      </c>
      <c r="G2091" s="68">
        <v>5.0</v>
      </c>
      <c r="H2091" s="69">
        <f t="shared" si="120"/>
        <v>100</v>
      </c>
      <c r="I2091" s="89" t="s">
        <v>495</v>
      </c>
      <c r="J2091" s="98" t="s">
        <v>1419</v>
      </c>
      <c r="K2091" s="95"/>
      <c r="L2091" s="95"/>
      <c r="M2091" s="95"/>
      <c r="N2091" s="153"/>
      <c r="O2091" s="140" t="s">
        <v>1562</v>
      </c>
      <c r="P2091" s="36"/>
      <c r="Q2091" s="36"/>
      <c r="R2091" s="36"/>
      <c r="S2091" s="36"/>
      <c r="T2091" s="36"/>
      <c r="U2091" s="36"/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</row>
    <row r="2092" ht="22.5" customHeight="1">
      <c r="A2092" s="86">
        <v>46065.0</v>
      </c>
      <c r="B2092" s="137" t="s">
        <v>27</v>
      </c>
      <c r="C2092" s="79"/>
      <c r="D2092" s="80">
        <v>238920.0</v>
      </c>
      <c r="E2092" s="66" t="s">
        <v>28</v>
      </c>
      <c r="F2092" s="67" t="s">
        <v>1531</v>
      </c>
      <c r="G2092" s="68">
        <v>0.0</v>
      </c>
      <c r="H2092" s="68">
        <v>0.0</v>
      </c>
      <c r="I2092" s="89" t="s">
        <v>495</v>
      </c>
      <c r="J2092" s="98" t="s">
        <v>1563</v>
      </c>
      <c r="K2092" s="95"/>
      <c r="L2092" s="95"/>
      <c r="M2092" s="95"/>
      <c r="N2092" s="153"/>
      <c r="O2092" s="96"/>
      <c r="P2092" s="36"/>
      <c r="Q2092" s="36"/>
      <c r="R2092" s="36"/>
      <c r="S2092" s="36"/>
      <c r="T2092" s="36"/>
      <c r="U2092" s="36"/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</row>
    <row r="2093" ht="22.5" customHeight="1">
      <c r="A2093" s="86">
        <v>46065.0</v>
      </c>
      <c r="B2093" s="139" t="s">
        <v>27</v>
      </c>
      <c r="C2093" s="79"/>
      <c r="D2093" s="80">
        <v>40029.96</v>
      </c>
      <c r="E2093" s="66" t="s">
        <v>28</v>
      </c>
      <c r="F2093" s="67" t="s">
        <v>608</v>
      </c>
      <c r="G2093" s="68">
        <v>20.0</v>
      </c>
      <c r="H2093" s="69">
        <f t="shared" ref="H2093:H2109" si="122">SUM(C2093:D2093)*G2093/(G2093+100)</f>
        <v>6671.66</v>
      </c>
      <c r="I2093" s="76" t="s">
        <v>101</v>
      </c>
      <c r="J2093" s="151" t="s">
        <v>1498</v>
      </c>
      <c r="K2093" s="95"/>
      <c r="L2093" s="95"/>
      <c r="M2093" s="95"/>
      <c r="N2093" s="153"/>
      <c r="O2093" s="140" t="s">
        <v>1564</v>
      </c>
      <c r="P2093" s="36"/>
      <c r="Q2093" s="36"/>
      <c r="R2093" s="36"/>
      <c r="S2093" s="36"/>
      <c r="T2093" s="36"/>
      <c r="U2093" s="36"/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</row>
    <row r="2094" ht="22.5" customHeight="1">
      <c r="A2094" s="86">
        <v>46065.0</v>
      </c>
      <c r="B2094" s="137" t="s">
        <v>27</v>
      </c>
      <c r="C2094" s="79"/>
      <c r="D2094" s="80">
        <v>507806.04</v>
      </c>
      <c r="E2094" s="66" t="s">
        <v>1346</v>
      </c>
      <c r="F2094" s="67" t="s">
        <v>608</v>
      </c>
      <c r="G2094" s="68">
        <v>20.0</v>
      </c>
      <c r="H2094" s="69">
        <f t="shared" si="122"/>
        <v>84634.34</v>
      </c>
      <c r="I2094" s="89" t="s">
        <v>1044</v>
      </c>
      <c r="J2094" s="98" t="s">
        <v>1514</v>
      </c>
      <c r="K2094" s="95"/>
      <c r="L2094" s="95"/>
      <c r="M2094" s="95"/>
      <c r="N2094" s="153"/>
      <c r="O2094" s="96"/>
      <c r="P2094" s="36"/>
      <c r="Q2094" s="36"/>
      <c r="R2094" s="36"/>
      <c r="S2094" s="36"/>
      <c r="T2094" s="36"/>
      <c r="U2094" s="36"/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</row>
    <row r="2095" ht="22.5" customHeight="1">
      <c r="A2095" s="86">
        <v>46065.0</v>
      </c>
      <c r="B2095" s="139" t="s">
        <v>27</v>
      </c>
      <c r="C2095" s="79"/>
      <c r="D2095" s="80">
        <v>98477.16</v>
      </c>
      <c r="E2095" s="66" t="s">
        <v>28</v>
      </c>
      <c r="F2095" s="67" t="s">
        <v>608</v>
      </c>
      <c r="G2095" s="68">
        <v>20.0</v>
      </c>
      <c r="H2095" s="69">
        <f t="shared" si="122"/>
        <v>16412.86</v>
      </c>
      <c r="I2095" s="76" t="s">
        <v>101</v>
      </c>
      <c r="J2095" s="151" t="s">
        <v>1477</v>
      </c>
      <c r="K2095" s="95"/>
      <c r="L2095" s="95"/>
      <c r="M2095" s="95"/>
      <c r="N2095" s="153"/>
      <c r="O2095" s="140" t="s">
        <v>1565</v>
      </c>
      <c r="P2095" s="36"/>
      <c r="Q2095" s="36"/>
      <c r="R2095" s="36"/>
      <c r="S2095" s="36"/>
      <c r="T2095" s="36"/>
      <c r="U2095" s="36"/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</row>
    <row r="2096" ht="22.5" customHeight="1">
      <c r="A2096" s="86">
        <v>46065.0</v>
      </c>
      <c r="B2096" s="139" t="s">
        <v>27</v>
      </c>
      <c r="C2096" s="79"/>
      <c r="D2096" s="80">
        <v>518850.3</v>
      </c>
      <c r="E2096" s="66" t="s">
        <v>1346</v>
      </c>
      <c r="F2096" s="67" t="s">
        <v>608</v>
      </c>
      <c r="G2096" s="68">
        <v>20.0</v>
      </c>
      <c r="H2096" s="69">
        <f t="shared" si="122"/>
        <v>86475.05</v>
      </c>
      <c r="I2096" s="76" t="s">
        <v>101</v>
      </c>
      <c r="J2096" s="136" t="s">
        <v>670</v>
      </c>
      <c r="K2096" s="95"/>
      <c r="L2096" s="95"/>
      <c r="M2096" s="95"/>
      <c r="N2096" s="153"/>
      <c r="O2096" s="140" t="s">
        <v>1566</v>
      </c>
      <c r="P2096" s="36"/>
      <c r="Q2096" s="36"/>
      <c r="R2096" s="36"/>
      <c r="S2096" s="36"/>
      <c r="T2096" s="36"/>
      <c r="U2096" s="36"/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</row>
    <row r="2097" ht="22.5" customHeight="1">
      <c r="A2097" s="86">
        <v>46065.0</v>
      </c>
      <c r="B2097" s="139" t="s">
        <v>27</v>
      </c>
      <c r="C2097" s="79"/>
      <c r="D2097" s="80">
        <v>104102.25</v>
      </c>
      <c r="E2097" s="66" t="s">
        <v>28</v>
      </c>
      <c r="F2097" s="67" t="s">
        <v>608</v>
      </c>
      <c r="G2097" s="68">
        <v>20.0</v>
      </c>
      <c r="H2097" s="69">
        <f t="shared" si="122"/>
        <v>17350.375</v>
      </c>
      <c r="I2097" s="76" t="s">
        <v>101</v>
      </c>
      <c r="J2097" s="136" t="s">
        <v>1032</v>
      </c>
      <c r="K2097" s="95"/>
      <c r="L2097" s="95"/>
      <c r="M2097" s="95"/>
      <c r="N2097" s="153"/>
      <c r="O2097" s="140" t="s">
        <v>1567</v>
      </c>
      <c r="P2097" s="36"/>
      <c r="Q2097" s="36"/>
      <c r="R2097" s="36"/>
      <c r="S2097" s="36"/>
      <c r="T2097" s="36"/>
      <c r="U2097" s="36"/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</row>
    <row r="2098" ht="22.5" customHeight="1">
      <c r="A2098" s="86">
        <v>46065.0</v>
      </c>
      <c r="B2098" s="139" t="s">
        <v>27</v>
      </c>
      <c r="C2098" s="79"/>
      <c r="D2098" s="80">
        <v>407267.4</v>
      </c>
      <c r="E2098" s="66" t="s">
        <v>28</v>
      </c>
      <c r="F2098" s="67" t="s">
        <v>608</v>
      </c>
      <c r="G2098" s="68">
        <v>20.0</v>
      </c>
      <c r="H2098" s="69">
        <f t="shared" si="122"/>
        <v>67877.9</v>
      </c>
      <c r="I2098" s="76" t="s">
        <v>101</v>
      </c>
      <c r="J2098" s="136" t="s">
        <v>1277</v>
      </c>
      <c r="K2098" s="95"/>
      <c r="L2098" s="95"/>
      <c r="M2098" s="95"/>
      <c r="N2098" s="153"/>
      <c r="O2098" s="140" t="s">
        <v>1568</v>
      </c>
      <c r="P2098" s="36"/>
      <c r="Q2098" s="36"/>
      <c r="R2098" s="36"/>
      <c r="S2098" s="36"/>
      <c r="T2098" s="36"/>
      <c r="U2098" s="36"/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</row>
    <row r="2099" ht="22.5" customHeight="1">
      <c r="A2099" s="86">
        <v>46065.0</v>
      </c>
      <c r="B2099" s="139" t="s">
        <v>27</v>
      </c>
      <c r="C2099" s="79"/>
      <c r="D2099" s="80">
        <v>582687.9</v>
      </c>
      <c r="E2099" s="66" t="s">
        <v>28</v>
      </c>
      <c r="F2099" s="67" t="s">
        <v>608</v>
      </c>
      <c r="G2099" s="68">
        <v>0.0</v>
      </c>
      <c r="H2099" s="69">
        <f t="shared" si="122"/>
        <v>0</v>
      </c>
      <c r="I2099" s="76" t="s">
        <v>101</v>
      </c>
      <c r="J2099" s="151" t="s">
        <v>631</v>
      </c>
      <c r="K2099" s="95"/>
      <c r="L2099" s="95"/>
      <c r="M2099" s="95"/>
      <c r="N2099" s="153"/>
      <c r="O2099" s="140" t="s">
        <v>1569</v>
      </c>
      <c r="P2099" s="36"/>
      <c r="Q2099" s="36"/>
      <c r="R2099" s="36"/>
      <c r="S2099" s="36"/>
      <c r="T2099" s="36"/>
      <c r="U2099" s="36"/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</row>
    <row r="2100" ht="22.5" customHeight="1">
      <c r="A2100" s="86">
        <v>46065.0</v>
      </c>
      <c r="B2100" s="139" t="s">
        <v>27</v>
      </c>
      <c r="C2100" s="79"/>
      <c r="D2100" s="80">
        <v>565465.67</v>
      </c>
      <c r="E2100" s="66" t="s">
        <v>28</v>
      </c>
      <c r="F2100" s="67" t="s">
        <v>608</v>
      </c>
      <c r="G2100" s="68">
        <v>0.0</v>
      </c>
      <c r="H2100" s="69">
        <f t="shared" si="122"/>
        <v>0</v>
      </c>
      <c r="I2100" s="76" t="s">
        <v>101</v>
      </c>
      <c r="J2100" s="151" t="s">
        <v>1480</v>
      </c>
      <c r="K2100" s="95"/>
      <c r="L2100" s="95"/>
      <c r="M2100" s="95"/>
      <c r="N2100" s="153"/>
      <c r="O2100" s="140" t="s">
        <v>1570</v>
      </c>
      <c r="P2100" s="36"/>
      <c r="Q2100" s="36"/>
      <c r="R2100" s="36"/>
      <c r="S2100" s="36"/>
      <c r="T2100" s="36"/>
      <c r="U2100" s="36"/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</row>
    <row r="2101" ht="22.5" customHeight="1">
      <c r="A2101" s="86">
        <v>46065.0</v>
      </c>
      <c r="B2101" s="139" t="s">
        <v>27</v>
      </c>
      <c r="C2101" s="79"/>
      <c r="D2101" s="80">
        <v>266723.1</v>
      </c>
      <c r="E2101" s="66" t="s">
        <v>28</v>
      </c>
      <c r="F2101" s="67" t="s">
        <v>608</v>
      </c>
      <c r="G2101" s="68">
        <v>0.0</v>
      </c>
      <c r="H2101" s="69">
        <f t="shared" si="122"/>
        <v>0</v>
      </c>
      <c r="I2101" s="76" t="s">
        <v>101</v>
      </c>
      <c r="J2101" s="151" t="s">
        <v>818</v>
      </c>
      <c r="K2101" s="95"/>
      <c r="L2101" s="95"/>
      <c r="M2101" s="95"/>
      <c r="N2101" s="153"/>
      <c r="O2101" s="140" t="s">
        <v>1571</v>
      </c>
      <c r="P2101" s="36"/>
      <c r="Q2101" s="36"/>
      <c r="R2101" s="36"/>
      <c r="S2101" s="36"/>
      <c r="T2101" s="36"/>
      <c r="U2101" s="36"/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</row>
    <row r="2102" ht="22.5" customHeight="1">
      <c r="A2102" s="86">
        <v>46065.0</v>
      </c>
      <c r="B2102" s="137" t="s">
        <v>27</v>
      </c>
      <c r="C2102" s="79"/>
      <c r="D2102" s="80">
        <v>61674.2</v>
      </c>
      <c r="E2102" s="66" t="s">
        <v>28</v>
      </c>
      <c r="F2102" s="67" t="s">
        <v>608</v>
      </c>
      <c r="G2102" s="68">
        <v>0.0</v>
      </c>
      <c r="H2102" s="69">
        <f t="shared" si="122"/>
        <v>0</v>
      </c>
      <c r="I2102" s="89" t="s">
        <v>101</v>
      </c>
      <c r="J2102" s="136" t="s">
        <v>1287</v>
      </c>
      <c r="K2102" s="95"/>
      <c r="L2102" s="95"/>
      <c r="M2102" s="95"/>
      <c r="N2102" s="153"/>
      <c r="O2102" s="140" t="s">
        <v>1572</v>
      </c>
      <c r="P2102" s="36"/>
      <c r="Q2102" s="36"/>
      <c r="R2102" s="36"/>
      <c r="S2102" s="36"/>
      <c r="T2102" s="36"/>
      <c r="U2102" s="36"/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</row>
    <row r="2103" ht="22.5" customHeight="1">
      <c r="A2103" s="86">
        <v>46065.0</v>
      </c>
      <c r="B2103" s="137" t="s">
        <v>27</v>
      </c>
      <c r="C2103" s="79"/>
      <c r="D2103" s="80">
        <v>25787.88</v>
      </c>
      <c r="E2103" s="66" t="s">
        <v>28</v>
      </c>
      <c r="F2103" s="67" t="s">
        <v>608</v>
      </c>
      <c r="G2103" s="68">
        <v>20.0</v>
      </c>
      <c r="H2103" s="69">
        <f t="shared" si="122"/>
        <v>4297.98</v>
      </c>
      <c r="I2103" s="89" t="s">
        <v>101</v>
      </c>
      <c r="J2103" s="136" t="s">
        <v>973</v>
      </c>
      <c r="K2103" s="95"/>
      <c r="L2103" s="95"/>
      <c r="M2103" s="95"/>
      <c r="N2103" s="153"/>
      <c r="O2103" s="140" t="s">
        <v>1573</v>
      </c>
      <c r="P2103" s="36"/>
      <c r="Q2103" s="36"/>
      <c r="R2103" s="36"/>
      <c r="S2103" s="36"/>
      <c r="T2103" s="36"/>
      <c r="U2103" s="36"/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</row>
    <row r="2104" ht="22.5" customHeight="1">
      <c r="A2104" s="86">
        <v>46065.0</v>
      </c>
      <c r="B2104" s="137" t="s">
        <v>27</v>
      </c>
      <c r="C2104" s="79"/>
      <c r="D2104" s="80">
        <v>48362.88</v>
      </c>
      <c r="E2104" s="66" t="s">
        <v>28</v>
      </c>
      <c r="F2104" s="67" t="s">
        <v>608</v>
      </c>
      <c r="G2104" s="68">
        <v>20.0</v>
      </c>
      <c r="H2104" s="69">
        <f t="shared" si="122"/>
        <v>8060.48</v>
      </c>
      <c r="I2104" s="89" t="s">
        <v>101</v>
      </c>
      <c r="J2104" s="136" t="s">
        <v>976</v>
      </c>
      <c r="K2104" s="95"/>
      <c r="L2104" s="95"/>
      <c r="M2104" s="95"/>
      <c r="N2104" s="153"/>
      <c r="O2104" s="140" t="s">
        <v>1574</v>
      </c>
      <c r="P2104" s="36"/>
      <c r="Q2104" s="36"/>
      <c r="R2104" s="36"/>
      <c r="S2104" s="36"/>
      <c r="T2104" s="36"/>
      <c r="U2104" s="36"/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</row>
    <row r="2105" ht="22.5" customHeight="1">
      <c r="A2105" s="86">
        <v>46065.0</v>
      </c>
      <c r="B2105" s="139" t="s">
        <v>27</v>
      </c>
      <c r="C2105" s="79"/>
      <c r="D2105" s="80">
        <v>3410.42</v>
      </c>
      <c r="E2105" s="66" t="s">
        <v>28</v>
      </c>
      <c r="F2105" s="67" t="s">
        <v>608</v>
      </c>
      <c r="G2105" s="68">
        <v>20.0</v>
      </c>
      <c r="H2105" s="69">
        <f t="shared" si="122"/>
        <v>568.4033333</v>
      </c>
      <c r="I2105" s="76" t="s">
        <v>61</v>
      </c>
      <c r="J2105" s="98" t="s">
        <v>1575</v>
      </c>
      <c r="K2105" s="95"/>
      <c r="L2105" s="95"/>
      <c r="M2105" s="95"/>
      <c r="N2105" s="153"/>
      <c r="O2105" s="140" t="s">
        <v>1576</v>
      </c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</row>
    <row r="2106" ht="22.5" customHeight="1">
      <c r="A2106" s="86">
        <v>46065.0</v>
      </c>
      <c r="B2106" s="137" t="s">
        <v>27</v>
      </c>
      <c r="C2106" s="79"/>
      <c r="D2106" s="80">
        <v>30140.4</v>
      </c>
      <c r="E2106" s="66" t="s">
        <v>28</v>
      </c>
      <c r="F2106" s="67" t="s">
        <v>608</v>
      </c>
      <c r="G2106" s="68">
        <v>0.0</v>
      </c>
      <c r="H2106" s="69">
        <f t="shared" si="122"/>
        <v>0</v>
      </c>
      <c r="I2106" s="89" t="s">
        <v>101</v>
      </c>
      <c r="J2106" s="151" t="s">
        <v>1577</v>
      </c>
      <c r="K2106" s="95"/>
      <c r="L2106" s="95"/>
      <c r="M2106" s="95"/>
      <c r="N2106" s="153"/>
      <c r="O2106" s="140" t="s">
        <v>1578</v>
      </c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</row>
    <row r="2107" ht="22.5" customHeight="1">
      <c r="A2107" s="86">
        <v>46065.0</v>
      </c>
      <c r="B2107" s="139" t="s">
        <v>27</v>
      </c>
      <c r="C2107" s="79"/>
      <c r="D2107" s="80">
        <v>651084.16</v>
      </c>
      <c r="E2107" s="66" t="s">
        <v>1346</v>
      </c>
      <c r="F2107" s="67" t="s">
        <v>608</v>
      </c>
      <c r="G2107" s="68">
        <v>20.0</v>
      </c>
      <c r="H2107" s="69">
        <f t="shared" si="122"/>
        <v>108514.0267</v>
      </c>
      <c r="I2107" s="76" t="s">
        <v>101</v>
      </c>
      <c r="J2107" s="136" t="s">
        <v>1284</v>
      </c>
      <c r="K2107" s="95"/>
      <c r="L2107" s="95"/>
      <c r="M2107" s="95"/>
      <c r="N2107" s="153"/>
      <c r="O2107" s="140" t="s">
        <v>1579</v>
      </c>
      <c r="P2107" s="36"/>
      <c r="Q2107" s="36"/>
      <c r="R2107" s="36"/>
      <c r="S2107" s="36"/>
      <c r="T2107" s="36"/>
      <c r="U2107" s="36"/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</row>
    <row r="2108" ht="22.5" customHeight="1">
      <c r="A2108" s="86">
        <v>46065.0</v>
      </c>
      <c r="B2108" s="137" t="s">
        <v>27</v>
      </c>
      <c r="C2108" s="79"/>
      <c r="D2108" s="80">
        <v>11992.91</v>
      </c>
      <c r="E2108" s="66" t="s">
        <v>28</v>
      </c>
      <c r="F2108" s="67" t="s">
        <v>603</v>
      </c>
      <c r="G2108" s="68">
        <v>0.0</v>
      </c>
      <c r="H2108" s="69">
        <f t="shared" si="122"/>
        <v>0</v>
      </c>
      <c r="I2108" s="89" t="s">
        <v>495</v>
      </c>
      <c r="J2108" s="98" t="s">
        <v>1419</v>
      </c>
      <c r="K2108" s="95"/>
      <c r="L2108" s="95"/>
      <c r="M2108" s="95"/>
      <c r="N2108" s="153"/>
      <c r="O2108" s="140" t="s">
        <v>1580</v>
      </c>
      <c r="P2108" s="36"/>
      <c r="Q2108" s="36"/>
      <c r="R2108" s="36"/>
      <c r="S2108" s="36"/>
      <c r="T2108" s="36"/>
      <c r="U2108" s="36"/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</row>
    <row r="2109" ht="22.5" customHeight="1">
      <c r="A2109" s="86">
        <v>46065.0</v>
      </c>
      <c r="B2109" s="137" t="s">
        <v>27</v>
      </c>
      <c r="C2109" s="79"/>
      <c r="D2109" s="80">
        <v>160650.0</v>
      </c>
      <c r="E2109" s="66" t="s">
        <v>28</v>
      </c>
      <c r="F2109" s="67" t="s">
        <v>1531</v>
      </c>
      <c r="G2109" s="68">
        <v>5.0</v>
      </c>
      <c r="H2109" s="69">
        <f t="shared" si="122"/>
        <v>7650</v>
      </c>
      <c r="I2109" s="89" t="s">
        <v>383</v>
      </c>
      <c r="J2109" s="98" t="s">
        <v>1581</v>
      </c>
      <c r="K2109" s="95"/>
      <c r="L2109" s="95"/>
      <c r="M2109" s="95"/>
      <c r="N2109" s="153"/>
      <c r="O2109" s="96"/>
      <c r="P2109" s="36"/>
      <c r="Q2109" s="36"/>
      <c r="R2109" s="36"/>
      <c r="S2109" s="36"/>
      <c r="T2109" s="36"/>
      <c r="U2109" s="36"/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</row>
    <row r="2110" ht="22.5" customHeight="1">
      <c r="A2110" s="86">
        <v>46065.0</v>
      </c>
      <c r="B2110" s="137" t="s">
        <v>27</v>
      </c>
      <c r="C2110" s="79"/>
      <c r="D2110" s="80">
        <v>29500.0</v>
      </c>
      <c r="E2110" s="66" t="s">
        <v>33</v>
      </c>
      <c r="F2110" s="67" t="s">
        <v>1531</v>
      </c>
      <c r="G2110" s="68">
        <v>0.0</v>
      </c>
      <c r="H2110" s="68">
        <v>0.0</v>
      </c>
      <c r="I2110" s="89" t="s">
        <v>383</v>
      </c>
      <c r="J2110" s="98" t="s">
        <v>1582</v>
      </c>
      <c r="K2110" s="95"/>
      <c r="L2110" s="95"/>
      <c r="M2110" s="95"/>
      <c r="N2110" s="153"/>
      <c r="O2110" s="96"/>
      <c r="P2110" s="36"/>
      <c r="Q2110" s="36"/>
      <c r="R2110" s="36"/>
      <c r="S2110" s="36"/>
      <c r="T2110" s="36"/>
      <c r="U2110" s="36"/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</row>
    <row r="2111" ht="22.5" customHeight="1">
      <c r="A2111" s="86">
        <v>46065.0</v>
      </c>
      <c r="B2111" s="137" t="s">
        <v>27</v>
      </c>
      <c r="C2111" s="79"/>
      <c r="D2111" s="80">
        <v>3150000.0</v>
      </c>
      <c r="E2111" s="66" t="s">
        <v>28</v>
      </c>
      <c r="F2111" s="67" t="s">
        <v>1531</v>
      </c>
      <c r="G2111" s="68">
        <v>0.0</v>
      </c>
      <c r="H2111" s="69">
        <f t="shared" ref="H2111:H2119" si="123">SUM(C2111:D2111)*G2111/(G2111+100)</f>
        <v>0</v>
      </c>
      <c r="I2111" s="89" t="s">
        <v>47</v>
      </c>
      <c r="J2111" s="81"/>
      <c r="K2111" s="95"/>
      <c r="L2111" s="95"/>
      <c r="M2111" s="95"/>
      <c r="N2111" s="153"/>
      <c r="O2111" s="96"/>
      <c r="P2111" s="36"/>
      <c r="Q2111" s="36"/>
      <c r="R2111" s="36"/>
      <c r="S2111" s="36"/>
      <c r="T2111" s="36"/>
      <c r="U2111" s="36"/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</row>
    <row r="2112" ht="22.5" customHeight="1">
      <c r="A2112" s="86">
        <v>46065.0</v>
      </c>
      <c r="B2112" s="139" t="s">
        <v>27</v>
      </c>
      <c r="C2112" s="79"/>
      <c r="D2112" s="80">
        <v>1348740.56</v>
      </c>
      <c r="E2112" s="66" t="s">
        <v>1346</v>
      </c>
      <c r="F2112" s="67" t="s">
        <v>1179</v>
      </c>
      <c r="G2112" s="68">
        <v>20.0</v>
      </c>
      <c r="H2112" s="69">
        <f t="shared" si="123"/>
        <v>224790.0933</v>
      </c>
      <c r="I2112" s="76" t="s">
        <v>61</v>
      </c>
      <c r="J2112" s="103" t="s">
        <v>228</v>
      </c>
      <c r="K2112" s="95"/>
      <c r="L2112" s="95"/>
      <c r="M2112" s="95"/>
      <c r="N2112" s="153"/>
      <c r="O2112" s="140" t="s">
        <v>1583</v>
      </c>
      <c r="P2112" s="36"/>
      <c r="Q2112" s="36"/>
      <c r="R2112" s="36"/>
      <c r="S2112" s="36"/>
      <c r="T2112" s="36"/>
      <c r="U2112" s="36"/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</row>
    <row r="2113" ht="22.5" customHeight="1">
      <c r="A2113" s="86">
        <v>46065.0</v>
      </c>
      <c r="B2113" s="137" t="s">
        <v>27</v>
      </c>
      <c r="C2113" s="80">
        <v>3150000.0</v>
      </c>
      <c r="D2113" s="79"/>
      <c r="E2113" s="66" t="s">
        <v>1346</v>
      </c>
      <c r="F2113" s="67" t="s">
        <v>1531</v>
      </c>
      <c r="G2113" s="68">
        <v>0.0</v>
      </c>
      <c r="H2113" s="69">
        <f t="shared" si="123"/>
        <v>0</v>
      </c>
      <c r="I2113" s="89" t="s">
        <v>47</v>
      </c>
      <c r="J2113" s="81"/>
      <c r="K2113" s="95"/>
      <c r="L2113" s="95"/>
      <c r="M2113" s="95"/>
      <c r="N2113" s="153"/>
      <c r="O2113" s="9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</row>
    <row r="2114" ht="22.5" customHeight="1">
      <c r="A2114" s="86">
        <v>46066.0</v>
      </c>
      <c r="B2114" s="157" t="s">
        <v>27</v>
      </c>
      <c r="C2114" s="80">
        <v>2001260.0</v>
      </c>
      <c r="D2114" s="79"/>
      <c r="E2114" s="66" t="s">
        <v>28</v>
      </c>
      <c r="F2114" s="67" t="s">
        <v>1179</v>
      </c>
      <c r="G2114" s="68">
        <v>20.0</v>
      </c>
      <c r="H2114" s="69">
        <f t="shared" si="123"/>
        <v>333543.3333</v>
      </c>
      <c r="I2114" s="76" t="s">
        <v>37</v>
      </c>
      <c r="J2114" s="98" t="s">
        <v>539</v>
      </c>
      <c r="K2114" s="82" t="s">
        <v>1584</v>
      </c>
      <c r="L2114" s="82">
        <v>386.0</v>
      </c>
      <c r="M2114" s="132">
        <v>45972.0</v>
      </c>
      <c r="N2114" s="153">
        <f>TODAY()-M2114-60</f>
        <v>156</v>
      </c>
      <c r="O2114" s="9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</row>
    <row r="2115" ht="22.5" customHeight="1">
      <c r="A2115" s="86">
        <v>46069.0</v>
      </c>
      <c r="B2115" s="157" t="s">
        <v>27</v>
      </c>
      <c r="C2115" s="80">
        <v>600040.0</v>
      </c>
      <c r="D2115" s="79"/>
      <c r="E2115" s="66" t="s">
        <v>28</v>
      </c>
      <c r="F2115" s="67" t="s">
        <v>1099</v>
      </c>
      <c r="G2115" s="68">
        <v>20.0</v>
      </c>
      <c r="H2115" s="69">
        <f t="shared" si="123"/>
        <v>100006.6667</v>
      </c>
      <c r="I2115" s="76" t="s">
        <v>37</v>
      </c>
      <c r="J2115" s="98" t="s">
        <v>1167</v>
      </c>
      <c r="K2115" s="82" t="s">
        <v>1585</v>
      </c>
      <c r="L2115" s="82">
        <v>343.0</v>
      </c>
      <c r="M2115" s="128">
        <v>45937.0</v>
      </c>
      <c r="N2115" s="153">
        <f t="shared" ref="N2115:N2119" si="124">TODAY()-M2115-90</f>
        <v>161</v>
      </c>
      <c r="O2115" s="96"/>
      <c r="P2115" s="36"/>
      <c r="Q2115" s="36"/>
      <c r="R2115" s="36"/>
      <c r="S2115" s="36"/>
      <c r="T2115" s="36"/>
      <c r="U2115" s="36"/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</row>
    <row r="2116" ht="22.5" customHeight="1">
      <c r="A2116" s="86">
        <v>46069.0</v>
      </c>
      <c r="B2116" s="157" t="s">
        <v>27</v>
      </c>
      <c r="C2116" s="80">
        <v>639000.0</v>
      </c>
      <c r="D2116" s="79"/>
      <c r="E2116" s="66" t="s">
        <v>28</v>
      </c>
      <c r="F2116" s="67" t="s">
        <v>1099</v>
      </c>
      <c r="G2116" s="68">
        <v>20.0</v>
      </c>
      <c r="H2116" s="69">
        <f t="shared" si="123"/>
        <v>106500</v>
      </c>
      <c r="I2116" s="76" t="s">
        <v>37</v>
      </c>
      <c r="J2116" s="98" t="s">
        <v>1167</v>
      </c>
      <c r="K2116" s="82" t="s">
        <v>1586</v>
      </c>
      <c r="L2116" s="82">
        <v>344.0</v>
      </c>
      <c r="M2116" s="128">
        <v>45938.0</v>
      </c>
      <c r="N2116" s="153">
        <f t="shared" si="124"/>
        <v>160</v>
      </c>
      <c r="O2116" s="96"/>
      <c r="P2116" s="36"/>
      <c r="Q2116" s="36"/>
      <c r="R2116" s="36"/>
      <c r="S2116" s="36"/>
      <c r="T2116" s="36"/>
      <c r="U2116" s="36"/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</row>
    <row r="2117" ht="22.5" customHeight="1">
      <c r="A2117" s="86">
        <v>46069.0</v>
      </c>
      <c r="B2117" s="157" t="s">
        <v>27</v>
      </c>
      <c r="C2117" s="80">
        <v>600000.0</v>
      </c>
      <c r="D2117" s="79"/>
      <c r="E2117" s="66" t="s">
        <v>28</v>
      </c>
      <c r="F2117" s="67" t="s">
        <v>1099</v>
      </c>
      <c r="G2117" s="68">
        <v>20.0</v>
      </c>
      <c r="H2117" s="69">
        <f t="shared" si="123"/>
        <v>100000</v>
      </c>
      <c r="I2117" s="76" t="s">
        <v>37</v>
      </c>
      <c r="J2117" s="98" t="s">
        <v>1167</v>
      </c>
      <c r="K2117" s="82" t="s">
        <v>1587</v>
      </c>
      <c r="L2117" s="82">
        <v>345.0</v>
      </c>
      <c r="M2117" s="128">
        <v>45938.0</v>
      </c>
      <c r="N2117" s="153">
        <f t="shared" si="124"/>
        <v>160</v>
      </c>
      <c r="O2117" s="96"/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</row>
    <row r="2118" ht="22.5" customHeight="1">
      <c r="A2118" s="86">
        <v>46069.0</v>
      </c>
      <c r="B2118" s="157" t="s">
        <v>27</v>
      </c>
      <c r="C2118" s="80">
        <v>358694.03</v>
      </c>
      <c r="D2118" s="80"/>
      <c r="E2118" s="66" t="s">
        <v>28</v>
      </c>
      <c r="F2118" s="67" t="s">
        <v>1099</v>
      </c>
      <c r="G2118" s="68">
        <v>20.0</v>
      </c>
      <c r="H2118" s="69">
        <f t="shared" si="123"/>
        <v>59782.33833</v>
      </c>
      <c r="I2118" s="76" t="s">
        <v>37</v>
      </c>
      <c r="J2118" s="98" t="s">
        <v>1167</v>
      </c>
      <c r="K2118" s="82" t="s">
        <v>1588</v>
      </c>
      <c r="L2118" s="82">
        <v>359.0</v>
      </c>
      <c r="M2118" s="132">
        <v>45944.0</v>
      </c>
      <c r="N2118" s="153">
        <f t="shared" si="124"/>
        <v>154</v>
      </c>
      <c r="O2118" s="96"/>
      <c r="P2118" s="36"/>
      <c r="Q2118" s="36"/>
      <c r="R2118" s="36"/>
      <c r="S2118" s="36"/>
      <c r="T2118" s="36"/>
      <c r="U2118" s="36"/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</row>
    <row r="2119" ht="22.5" customHeight="1">
      <c r="A2119" s="86">
        <v>46069.0</v>
      </c>
      <c r="B2119" s="157" t="s">
        <v>27</v>
      </c>
      <c r="C2119" s="80">
        <v>532500.16</v>
      </c>
      <c r="D2119" s="80"/>
      <c r="E2119" s="66" t="s">
        <v>28</v>
      </c>
      <c r="F2119" s="67" t="s">
        <v>1099</v>
      </c>
      <c r="G2119" s="68">
        <v>20.0</v>
      </c>
      <c r="H2119" s="69">
        <f t="shared" si="123"/>
        <v>88750.02667</v>
      </c>
      <c r="I2119" s="76" t="s">
        <v>37</v>
      </c>
      <c r="J2119" s="98" t="s">
        <v>1167</v>
      </c>
      <c r="K2119" s="82" t="s">
        <v>1589</v>
      </c>
      <c r="L2119" s="82">
        <v>360.0</v>
      </c>
      <c r="M2119" s="132">
        <v>45944.0</v>
      </c>
      <c r="N2119" s="153">
        <f t="shared" si="124"/>
        <v>154</v>
      </c>
      <c r="O2119" s="96"/>
      <c r="P2119" s="36"/>
      <c r="Q2119" s="36"/>
      <c r="R2119" s="36"/>
      <c r="S2119" s="36"/>
      <c r="T2119" s="36"/>
      <c r="U2119" s="36"/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</row>
    <row r="2120" ht="22.5" customHeight="1">
      <c r="A2120" s="86">
        <v>46069.0</v>
      </c>
      <c r="B2120" s="137" t="s">
        <v>27</v>
      </c>
      <c r="C2120" s="79"/>
      <c r="D2120" s="80">
        <v>69200.0</v>
      </c>
      <c r="E2120" s="66" t="s">
        <v>28</v>
      </c>
      <c r="F2120" s="67" t="s">
        <v>1531</v>
      </c>
      <c r="G2120" s="68">
        <v>0.0</v>
      </c>
      <c r="H2120" s="68">
        <v>0.0</v>
      </c>
      <c r="I2120" s="89" t="s">
        <v>280</v>
      </c>
      <c r="J2120" s="98" t="s">
        <v>1590</v>
      </c>
      <c r="K2120" s="95"/>
      <c r="L2120" s="95"/>
      <c r="M2120" s="95"/>
      <c r="N2120" s="153"/>
      <c r="O2120" s="96"/>
      <c r="P2120" s="36"/>
      <c r="Q2120" s="36"/>
      <c r="R2120" s="36"/>
      <c r="S2120" s="36"/>
      <c r="T2120" s="36"/>
      <c r="U2120" s="36"/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</row>
    <row r="2121" ht="22.5" customHeight="1">
      <c r="A2121" s="86">
        <v>46069.0</v>
      </c>
      <c r="B2121" s="137" t="s">
        <v>27</v>
      </c>
      <c r="C2121" s="79"/>
      <c r="D2121" s="80">
        <v>81916.16</v>
      </c>
      <c r="E2121" s="66" t="s">
        <v>1346</v>
      </c>
      <c r="F2121" s="67" t="s">
        <v>1531</v>
      </c>
      <c r="G2121" s="68">
        <v>0.0</v>
      </c>
      <c r="H2121" s="69">
        <f t="shared" ref="H2121:H2131" si="125">SUM(C2121:D2121)*G2121/(G2121+100)</f>
        <v>0</v>
      </c>
      <c r="I2121" s="89" t="s">
        <v>1373</v>
      </c>
      <c r="J2121" s="98" t="s">
        <v>1591</v>
      </c>
      <c r="K2121" s="95"/>
      <c r="L2121" s="95"/>
      <c r="M2121" s="95"/>
      <c r="N2121" s="153"/>
      <c r="O2121" s="96"/>
      <c r="P2121" s="36"/>
      <c r="Q2121" s="36"/>
      <c r="R2121" s="36"/>
      <c r="S2121" s="36"/>
      <c r="T2121" s="36"/>
      <c r="U2121" s="36"/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</row>
    <row r="2122" ht="22.5" customHeight="1">
      <c r="A2122" s="86">
        <v>46070.0</v>
      </c>
      <c r="B2122" s="137" t="s">
        <v>27</v>
      </c>
      <c r="C2122" s="79"/>
      <c r="D2122" s="80">
        <v>1000.0</v>
      </c>
      <c r="E2122" s="66" t="s">
        <v>33</v>
      </c>
      <c r="F2122" s="67" t="s">
        <v>1531</v>
      </c>
      <c r="G2122" s="68">
        <v>0.0</v>
      </c>
      <c r="H2122" s="69">
        <f t="shared" si="125"/>
        <v>0</v>
      </c>
      <c r="I2122" s="89" t="s">
        <v>495</v>
      </c>
      <c r="J2122" s="98" t="s">
        <v>848</v>
      </c>
      <c r="K2122" s="95"/>
      <c r="L2122" s="95"/>
      <c r="M2122" s="95"/>
      <c r="N2122" s="153"/>
      <c r="O2122" s="9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</row>
    <row r="2123" ht="22.5" customHeight="1">
      <c r="A2123" s="86">
        <v>46070.0</v>
      </c>
      <c r="B2123" s="157" t="s">
        <v>27</v>
      </c>
      <c r="C2123" s="80">
        <v>2001260.0</v>
      </c>
      <c r="D2123" s="80"/>
      <c r="E2123" s="66" t="s">
        <v>28</v>
      </c>
      <c r="F2123" s="67" t="s">
        <v>608</v>
      </c>
      <c r="G2123" s="68">
        <v>20.0</v>
      </c>
      <c r="H2123" s="69">
        <f t="shared" si="125"/>
        <v>333543.3333</v>
      </c>
      <c r="I2123" s="76" t="s">
        <v>37</v>
      </c>
      <c r="J2123" s="98" t="s">
        <v>539</v>
      </c>
      <c r="K2123" s="82" t="s">
        <v>1592</v>
      </c>
      <c r="L2123" s="82">
        <v>436.0</v>
      </c>
      <c r="M2123" s="128">
        <v>46000.0</v>
      </c>
      <c r="N2123" s="153">
        <f>TODAY()-M2123-60</f>
        <v>128</v>
      </c>
      <c r="O2123" s="9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</row>
    <row r="2124" ht="22.5" customHeight="1">
      <c r="A2124" s="86">
        <v>46071.0</v>
      </c>
      <c r="B2124" s="157" t="s">
        <v>27</v>
      </c>
      <c r="C2124" s="80">
        <v>600000.0</v>
      </c>
      <c r="D2124" s="79"/>
      <c r="E2124" s="66" t="s">
        <v>28</v>
      </c>
      <c r="F2124" s="67" t="s">
        <v>1179</v>
      </c>
      <c r="G2124" s="68">
        <v>20.0</v>
      </c>
      <c r="H2124" s="69">
        <f t="shared" si="125"/>
        <v>100000</v>
      </c>
      <c r="I2124" s="76" t="s">
        <v>37</v>
      </c>
      <c r="J2124" s="98" t="s">
        <v>1167</v>
      </c>
      <c r="K2124" s="82" t="s">
        <v>1593</v>
      </c>
      <c r="L2124" s="82">
        <v>381.0</v>
      </c>
      <c r="M2124" s="132">
        <v>45972.0</v>
      </c>
      <c r="N2124" s="153">
        <f t="shared" ref="N2124:N2128" si="126">TODAY()-M2124-90</f>
        <v>126</v>
      </c>
      <c r="O2124" s="96"/>
      <c r="P2124" s="36"/>
      <c r="Q2124" s="36"/>
      <c r="R2124" s="36"/>
      <c r="S2124" s="36"/>
      <c r="T2124" s="36"/>
      <c r="U2124" s="36"/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</row>
    <row r="2125" ht="22.5" customHeight="1">
      <c r="A2125" s="86">
        <v>46071.0</v>
      </c>
      <c r="B2125" s="157" t="s">
        <v>27</v>
      </c>
      <c r="C2125" s="80">
        <v>639000.0</v>
      </c>
      <c r="D2125" s="79"/>
      <c r="E2125" s="66" t="s">
        <v>28</v>
      </c>
      <c r="F2125" s="67" t="s">
        <v>1179</v>
      </c>
      <c r="G2125" s="68">
        <v>20.0</v>
      </c>
      <c r="H2125" s="69">
        <f t="shared" si="125"/>
        <v>106500</v>
      </c>
      <c r="I2125" s="76" t="s">
        <v>37</v>
      </c>
      <c r="J2125" s="98" t="s">
        <v>1167</v>
      </c>
      <c r="K2125" s="82" t="s">
        <v>1594</v>
      </c>
      <c r="L2125" s="82">
        <v>382.0</v>
      </c>
      <c r="M2125" s="132">
        <v>45972.0</v>
      </c>
      <c r="N2125" s="153">
        <f t="shared" si="126"/>
        <v>126</v>
      </c>
      <c r="O2125" s="96"/>
      <c r="P2125" s="36"/>
      <c r="Q2125" s="36"/>
      <c r="R2125" s="36"/>
      <c r="S2125" s="36"/>
      <c r="T2125" s="36"/>
      <c r="U2125" s="36"/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</row>
    <row r="2126" ht="22.5" customHeight="1">
      <c r="A2126" s="86">
        <v>46071.0</v>
      </c>
      <c r="B2126" s="157" t="s">
        <v>27</v>
      </c>
      <c r="C2126" s="80">
        <v>600040.0</v>
      </c>
      <c r="D2126" s="79"/>
      <c r="E2126" s="66" t="s">
        <v>28</v>
      </c>
      <c r="F2126" s="67" t="s">
        <v>1179</v>
      </c>
      <c r="G2126" s="68">
        <v>20.0</v>
      </c>
      <c r="H2126" s="69">
        <f t="shared" si="125"/>
        <v>100006.6667</v>
      </c>
      <c r="I2126" s="76" t="s">
        <v>37</v>
      </c>
      <c r="J2126" s="98" t="s">
        <v>1167</v>
      </c>
      <c r="K2126" s="82" t="s">
        <v>1595</v>
      </c>
      <c r="L2126" s="82">
        <v>384.0</v>
      </c>
      <c r="M2126" s="132">
        <v>45972.0</v>
      </c>
      <c r="N2126" s="153">
        <f t="shared" si="126"/>
        <v>126</v>
      </c>
      <c r="O2126" s="96"/>
      <c r="P2126" s="36"/>
      <c r="Q2126" s="36"/>
      <c r="R2126" s="36"/>
      <c r="S2126" s="36"/>
      <c r="T2126" s="36"/>
      <c r="U2126" s="36"/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</row>
    <row r="2127" ht="22.5" customHeight="1">
      <c r="A2127" s="86">
        <v>46071.0</v>
      </c>
      <c r="B2127" s="157" t="s">
        <v>27</v>
      </c>
      <c r="C2127" s="80">
        <v>802070.76</v>
      </c>
      <c r="D2127" s="79"/>
      <c r="E2127" s="66" t="s">
        <v>28</v>
      </c>
      <c r="F2127" s="67" t="s">
        <v>1179</v>
      </c>
      <c r="G2127" s="68">
        <v>20.0</v>
      </c>
      <c r="H2127" s="69">
        <f t="shared" si="125"/>
        <v>133678.46</v>
      </c>
      <c r="I2127" s="76" t="s">
        <v>37</v>
      </c>
      <c r="J2127" s="98" t="s">
        <v>1167</v>
      </c>
      <c r="K2127" s="82" t="s">
        <v>1596</v>
      </c>
      <c r="L2127" s="82">
        <v>385.0</v>
      </c>
      <c r="M2127" s="132">
        <v>45972.0</v>
      </c>
      <c r="N2127" s="153">
        <f t="shared" si="126"/>
        <v>126</v>
      </c>
      <c r="O2127" s="96"/>
      <c r="P2127" s="36"/>
      <c r="Q2127" s="36"/>
      <c r="R2127" s="36"/>
      <c r="S2127" s="36"/>
      <c r="T2127" s="36"/>
      <c r="U2127" s="36"/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</row>
    <row r="2128" ht="22.5" customHeight="1">
      <c r="A2128" s="86">
        <v>46071.0</v>
      </c>
      <c r="B2128" s="157" t="s">
        <v>27</v>
      </c>
      <c r="C2128" s="80">
        <v>1200000.04</v>
      </c>
      <c r="D2128" s="79"/>
      <c r="E2128" s="66" t="s">
        <v>28</v>
      </c>
      <c r="F2128" s="67" t="s">
        <v>1179</v>
      </c>
      <c r="G2128" s="68">
        <v>20.0</v>
      </c>
      <c r="H2128" s="69">
        <f t="shared" si="125"/>
        <v>200000.0067</v>
      </c>
      <c r="I2128" s="76" t="s">
        <v>37</v>
      </c>
      <c r="J2128" s="98" t="s">
        <v>1167</v>
      </c>
      <c r="K2128" s="82" t="s">
        <v>1597</v>
      </c>
      <c r="L2128" s="82">
        <v>391.0</v>
      </c>
      <c r="M2128" s="132">
        <v>45972.0</v>
      </c>
      <c r="N2128" s="153">
        <f t="shared" si="126"/>
        <v>126</v>
      </c>
      <c r="O2128" s="96"/>
      <c r="P2128" s="36"/>
      <c r="Q2128" s="36"/>
      <c r="R2128" s="36"/>
      <c r="S2128" s="36"/>
      <c r="T2128" s="36"/>
      <c r="U2128" s="36"/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</row>
    <row r="2129" ht="22.5" customHeight="1">
      <c r="A2129" s="86">
        <v>46071.0</v>
      </c>
      <c r="B2129" s="137" t="s">
        <v>27</v>
      </c>
      <c r="C2129" s="79"/>
      <c r="D2129" s="79">
        <f>1249.05</f>
        <v>1249.05</v>
      </c>
      <c r="E2129" s="66" t="s">
        <v>28</v>
      </c>
      <c r="F2129" s="67" t="s">
        <v>1531</v>
      </c>
      <c r="G2129" s="68">
        <v>0.0</v>
      </c>
      <c r="H2129" s="69">
        <f t="shared" si="125"/>
        <v>0</v>
      </c>
      <c r="I2129" s="94" t="s">
        <v>622</v>
      </c>
      <c r="J2129" s="98" t="s">
        <v>1010</v>
      </c>
      <c r="K2129" s="95"/>
      <c r="L2129" s="95"/>
      <c r="M2129" s="95"/>
      <c r="N2129" s="153"/>
      <c r="O2129" s="96"/>
      <c r="P2129" s="36"/>
      <c r="Q2129" s="36"/>
      <c r="R2129" s="36"/>
      <c r="S2129" s="36"/>
      <c r="T2129" s="36"/>
      <c r="U2129" s="36"/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</row>
    <row r="2130" ht="22.5" customHeight="1">
      <c r="A2130" s="86">
        <v>46071.0</v>
      </c>
      <c r="B2130" s="137" t="s">
        <v>27</v>
      </c>
      <c r="C2130" s="79"/>
      <c r="D2130" s="79">
        <f>181.17</f>
        <v>181.17</v>
      </c>
      <c r="E2130" s="66" t="s">
        <v>28</v>
      </c>
      <c r="F2130" s="67" t="s">
        <v>1531</v>
      </c>
      <c r="G2130" s="68">
        <v>0.0</v>
      </c>
      <c r="H2130" s="69">
        <f t="shared" si="125"/>
        <v>0</v>
      </c>
      <c r="I2130" s="94" t="s">
        <v>600</v>
      </c>
      <c r="J2130" s="98"/>
      <c r="K2130" s="95"/>
      <c r="L2130" s="95"/>
      <c r="M2130" s="95"/>
      <c r="N2130" s="153"/>
      <c r="O2130" s="96"/>
      <c r="P2130" s="36"/>
      <c r="Q2130" s="36"/>
      <c r="R2130" s="36"/>
      <c r="S2130" s="36"/>
      <c r="T2130" s="36"/>
      <c r="U2130" s="36"/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</row>
    <row r="2131" ht="22.5" customHeight="1">
      <c r="A2131" s="86">
        <v>46071.0</v>
      </c>
      <c r="B2131" s="137" t="s">
        <v>27</v>
      </c>
      <c r="C2131" s="79"/>
      <c r="D2131" s="79">
        <f>7640.87</f>
        <v>7640.87</v>
      </c>
      <c r="E2131" s="66" t="s">
        <v>28</v>
      </c>
      <c r="F2131" s="67" t="s">
        <v>1531</v>
      </c>
      <c r="G2131" s="68">
        <v>0.0</v>
      </c>
      <c r="H2131" s="69">
        <f t="shared" si="125"/>
        <v>0</v>
      </c>
      <c r="I2131" s="94" t="s">
        <v>622</v>
      </c>
      <c r="J2131" s="98"/>
      <c r="K2131" s="95"/>
      <c r="L2131" s="95"/>
      <c r="M2131" s="95"/>
      <c r="N2131" s="153"/>
      <c r="O2131" s="96"/>
      <c r="P2131" s="36"/>
      <c r="Q2131" s="36"/>
      <c r="R2131" s="36"/>
      <c r="S2131" s="36"/>
      <c r="T2131" s="36"/>
      <c r="U2131" s="36"/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</row>
    <row r="2132" ht="22.5" customHeight="1">
      <c r="A2132" s="86">
        <v>46072.0</v>
      </c>
      <c r="B2132" s="137" t="s">
        <v>27</v>
      </c>
      <c r="C2132" s="79"/>
      <c r="D2132" s="80">
        <v>5500.0</v>
      </c>
      <c r="E2132" s="66" t="s">
        <v>33</v>
      </c>
      <c r="F2132" s="67" t="s">
        <v>1531</v>
      </c>
      <c r="G2132" s="68">
        <v>0.0</v>
      </c>
      <c r="H2132" s="68">
        <v>0.0</v>
      </c>
      <c r="I2132" s="89" t="s">
        <v>490</v>
      </c>
      <c r="J2132" s="98" t="s">
        <v>1598</v>
      </c>
      <c r="K2132" s="95"/>
      <c r="L2132" s="95"/>
      <c r="M2132" s="95"/>
      <c r="N2132" s="153"/>
      <c r="O2132" s="96"/>
      <c r="P2132" s="36"/>
      <c r="Q2132" s="36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</row>
    <row r="2133" ht="22.5" customHeight="1">
      <c r="A2133" s="86">
        <v>46072.0</v>
      </c>
      <c r="B2133" s="137" t="s">
        <v>27</v>
      </c>
      <c r="C2133" s="79"/>
      <c r="D2133" s="80">
        <v>32000.0</v>
      </c>
      <c r="E2133" s="66" t="s">
        <v>33</v>
      </c>
      <c r="F2133" s="67" t="s">
        <v>1531</v>
      </c>
      <c r="G2133" s="68">
        <v>0.0</v>
      </c>
      <c r="H2133" s="68">
        <v>0.0</v>
      </c>
      <c r="I2133" s="89" t="s">
        <v>490</v>
      </c>
      <c r="J2133" s="98" t="s">
        <v>1599</v>
      </c>
      <c r="K2133" s="95"/>
      <c r="L2133" s="95"/>
      <c r="M2133" s="95"/>
      <c r="N2133" s="153"/>
      <c r="O2133" s="96"/>
      <c r="P2133" s="36"/>
      <c r="Q2133" s="36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</row>
    <row r="2134" ht="22.5" customHeight="1">
      <c r="A2134" s="86">
        <v>46073.0</v>
      </c>
      <c r="B2134" s="139" t="s">
        <v>27</v>
      </c>
      <c r="C2134" s="80"/>
      <c r="D2134" s="80">
        <v>1000000.0</v>
      </c>
      <c r="E2134" s="147" t="s">
        <v>28</v>
      </c>
      <c r="F2134" s="84" t="s">
        <v>839</v>
      </c>
      <c r="G2134" s="68">
        <v>20.0</v>
      </c>
      <c r="H2134" s="69">
        <f t="shared" ref="H2134:H2232" si="127">SUM(C2134:D2134)*G2134/(G2134+100)</f>
        <v>166666.6667</v>
      </c>
      <c r="I2134" s="76" t="s">
        <v>322</v>
      </c>
      <c r="J2134" s="149" t="s">
        <v>878</v>
      </c>
      <c r="K2134" s="95"/>
      <c r="L2134" s="95"/>
      <c r="M2134" s="95"/>
      <c r="N2134" s="153"/>
      <c r="O2134" s="140" t="s">
        <v>1306</v>
      </c>
      <c r="P2134" s="36"/>
      <c r="Q2134" s="36"/>
      <c r="R2134" s="36"/>
      <c r="S2134" s="36"/>
      <c r="T2134" s="36"/>
      <c r="U2134" s="36"/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</row>
    <row r="2135" ht="22.5" customHeight="1">
      <c r="A2135" s="86">
        <v>46073.0</v>
      </c>
      <c r="B2135" s="139" t="s">
        <v>27</v>
      </c>
      <c r="C2135" s="79"/>
      <c r="D2135" s="80">
        <v>1200000.0</v>
      </c>
      <c r="E2135" s="66" t="s">
        <v>28</v>
      </c>
      <c r="F2135" s="84" t="s">
        <v>1160</v>
      </c>
      <c r="G2135" s="68">
        <v>0.0</v>
      </c>
      <c r="H2135" s="69">
        <f t="shared" si="127"/>
        <v>0</v>
      </c>
      <c r="I2135" s="76" t="s">
        <v>322</v>
      </c>
      <c r="J2135" s="98" t="s">
        <v>675</v>
      </c>
      <c r="K2135" s="95"/>
      <c r="L2135" s="95"/>
      <c r="M2135" s="95"/>
      <c r="N2135" s="153"/>
      <c r="O2135" s="140" t="s">
        <v>1600</v>
      </c>
      <c r="P2135" s="36"/>
      <c r="Q2135" s="36"/>
      <c r="R2135" s="36"/>
      <c r="S2135" s="36"/>
      <c r="T2135" s="36"/>
      <c r="U2135" s="36"/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</row>
    <row r="2136" ht="22.5" customHeight="1">
      <c r="A2136" s="86">
        <v>46073.0</v>
      </c>
      <c r="B2136" s="137" t="s">
        <v>27</v>
      </c>
      <c r="C2136" s="79"/>
      <c r="D2136" s="80">
        <v>500000.0</v>
      </c>
      <c r="E2136" s="66" t="s">
        <v>28</v>
      </c>
      <c r="F2136" s="67" t="s">
        <v>1099</v>
      </c>
      <c r="G2136" s="68">
        <v>0.0</v>
      </c>
      <c r="H2136" s="69">
        <f t="shared" si="127"/>
        <v>0</v>
      </c>
      <c r="I2136" s="76" t="s">
        <v>93</v>
      </c>
      <c r="J2136" s="158" t="s">
        <v>516</v>
      </c>
      <c r="K2136" s="95"/>
      <c r="L2136" s="95"/>
      <c r="M2136" s="95"/>
      <c r="N2136" s="153"/>
      <c r="O2136" s="140" t="s">
        <v>1547</v>
      </c>
      <c r="P2136" s="36"/>
      <c r="Q2136" s="36"/>
      <c r="R2136" s="36"/>
      <c r="S2136" s="36"/>
      <c r="T2136" s="36"/>
      <c r="U2136" s="36"/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</row>
    <row r="2137" ht="22.5" customHeight="1">
      <c r="A2137" s="86">
        <v>46073.0</v>
      </c>
      <c r="B2137" s="137" t="s">
        <v>27</v>
      </c>
      <c r="C2137" s="79"/>
      <c r="D2137" s="80">
        <v>225000.0</v>
      </c>
      <c r="E2137" s="66" t="s">
        <v>28</v>
      </c>
      <c r="F2137" s="67" t="s">
        <v>1531</v>
      </c>
      <c r="G2137" s="68">
        <v>7.0</v>
      </c>
      <c r="H2137" s="69">
        <f t="shared" si="127"/>
        <v>14719.62617</v>
      </c>
      <c r="I2137" s="89" t="s">
        <v>616</v>
      </c>
      <c r="J2137" s="98" t="s">
        <v>617</v>
      </c>
      <c r="K2137" s="95"/>
      <c r="L2137" s="95"/>
      <c r="M2137" s="95"/>
      <c r="N2137" s="153"/>
      <c r="O2137" s="140" t="s">
        <v>1601</v>
      </c>
      <c r="P2137" s="36"/>
      <c r="Q2137" s="36"/>
      <c r="R2137" s="36"/>
      <c r="S2137" s="36"/>
      <c r="T2137" s="36"/>
      <c r="U2137" s="36"/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</row>
    <row r="2138" ht="22.5" customHeight="1">
      <c r="A2138" s="86">
        <v>46073.0</v>
      </c>
      <c r="B2138" s="137" t="s">
        <v>27</v>
      </c>
      <c r="C2138" s="79"/>
      <c r="D2138" s="80">
        <v>51900.0</v>
      </c>
      <c r="E2138" s="66" t="s">
        <v>28</v>
      </c>
      <c r="F2138" s="67" t="s">
        <v>1531</v>
      </c>
      <c r="G2138" s="68">
        <v>0.0</v>
      </c>
      <c r="H2138" s="69">
        <f t="shared" si="127"/>
        <v>0</v>
      </c>
      <c r="I2138" s="89" t="s">
        <v>259</v>
      </c>
      <c r="J2138" s="98" t="s">
        <v>1602</v>
      </c>
      <c r="K2138" s="95"/>
      <c r="L2138" s="95"/>
      <c r="M2138" s="95"/>
      <c r="N2138" s="153"/>
      <c r="O2138" s="96"/>
      <c r="P2138" s="36"/>
      <c r="Q2138" s="36"/>
      <c r="R2138" s="36"/>
      <c r="S2138" s="36"/>
      <c r="T2138" s="36"/>
      <c r="U2138" s="36"/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</row>
    <row r="2139" ht="22.5" customHeight="1">
      <c r="A2139" s="86">
        <v>46073.0</v>
      </c>
      <c r="B2139" s="137" t="s">
        <v>27</v>
      </c>
      <c r="C2139" s="79"/>
      <c r="D2139" s="80">
        <v>222893.63</v>
      </c>
      <c r="E2139" s="66" t="s">
        <v>28</v>
      </c>
      <c r="F2139" s="67" t="s">
        <v>1531</v>
      </c>
      <c r="G2139" s="68">
        <v>0.0</v>
      </c>
      <c r="H2139" s="69">
        <f t="shared" si="127"/>
        <v>0</v>
      </c>
      <c r="I2139" s="89" t="s">
        <v>68</v>
      </c>
      <c r="J2139" s="98" t="s">
        <v>1603</v>
      </c>
      <c r="K2139" s="95"/>
      <c r="L2139" s="95"/>
      <c r="M2139" s="95"/>
      <c r="N2139" s="153"/>
      <c r="O2139" s="96"/>
      <c r="P2139" s="36"/>
      <c r="Q2139" s="36"/>
      <c r="R2139" s="36"/>
      <c r="S2139" s="36"/>
      <c r="T2139" s="36"/>
      <c r="U2139" s="36"/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</row>
    <row r="2140" ht="22.5" customHeight="1">
      <c r="A2140" s="86">
        <v>46073.0</v>
      </c>
      <c r="B2140" s="137" t="s">
        <v>27</v>
      </c>
      <c r="C2140" s="79"/>
      <c r="D2140" s="80">
        <v>85622.64</v>
      </c>
      <c r="E2140" s="66" t="s">
        <v>28</v>
      </c>
      <c r="F2140" s="67" t="s">
        <v>1531</v>
      </c>
      <c r="G2140" s="68">
        <v>0.0</v>
      </c>
      <c r="H2140" s="69">
        <f t="shared" si="127"/>
        <v>0</v>
      </c>
      <c r="I2140" s="89" t="s">
        <v>68</v>
      </c>
      <c r="J2140" s="98" t="s">
        <v>1604</v>
      </c>
      <c r="K2140" s="95"/>
      <c r="L2140" s="95"/>
      <c r="M2140" s="95"/>
      <c r="N2140" s="153"/>
      <c r="O2140" s="96"/>
      <c r="P2140" s="36"/>
      <c r="Q2140" s="36"/>
      <c r="R2140" s="36"/>
      <c r="S2140" s="36"/>
      <c r="T2140" s="36"/>
      <c r="U2140" s="36"/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</row>
    <row r="2141" ht="22.5" customHeight="1">
      <c r="A2141" s="86">
        <v>46078.0</v>
      </c>
      <c r="B2141" s="157" t="s">
        <v>27</v>
      </c>
      <c r="C2141" s="80">
        <v>1123920.0</v>
      </c>
      <c r="D2141" s="80"/>
      <c r="E2141" s="66" t="s">
        <v>28</v>
      </c>
      <c r="F2141" s="67" t="s">
        <v>608</v>
      </c>
      <c r="G2141" s="68">
        <v>20.0</v>
      </c>
      <c r="H2141" s="69">
        <f t="shared" si="127"/>
        <v>187320</v>
      </c>
      <c r="I2141" s="76" t="s">
        <v>37</v>
      </c>
      <c r="J2141" s="98" t="s">
        <v>1529</v>
      </c>
      <c r="K2141" s="82" t="s">
        <v>1605</v>
      </c>
      <c r="L2141" s="82">
        <v>445.0</v>
      </c>
      <c r="M2141" s="128">
        <v>46000.0</v>
      </c>
      <c r="N2141" s="153">
        <f>TODAY()-M2141-60</f>
        <v>128</v>
      </c>
      <c r="O2141" s="96"/>
      <c r="P2141" s="36"/>
      <c r="Q2141" s="36"/>
      <c r="R2141" s="36"/>
      <c r="S2141" s="36"/>
      <c r="T2141" s="36"/>
      <c r="U2141" s="36"/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</row>
    <row r="2142" ht="22.5" customHeight="1">
      <c r="A2142" s="86">
        <v>46078.0</v>
      </c>
      <c r="B2142" s="137" t="s">
        <v>27</v>
      </c>
      <c r="C2142" s="79"/>
      <c r="D2142" s="79">
        <f>1039119.2+364.47+16026</f>
        <v>1055509.67</v>
      </c>
      <c r="E2142" s="66" t="s">
        <v>28</v>
      </c>
      <c r="F2142" s="67" t="s">
        <v>1531</v>
      </c>
      <c r="G2142" s="68">
        <v>0.0</v>
      </c>
      <c r="H2142" s="69">
        <f t="shared" si="127"/>
        <v>0</v>
      </c>
      <c r="I2142" s="89" t="s">
        <v>280</v>
      </c>
      <c r="J2142" s="98" t="s">
        <v>1606</v>
      </c>
      <c r="K2142" s="95"/>
      <c r="L2142" s="95"/>
      <c r="M2142" s="95"/>
      <c r="N2142" s="153"/>
      <c r="O2142" s="96"/>
      <c r="P2142" s="36"/>
      <c r="Q2142" s="36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</row>
    <row r="2143" ht="22.5" customHeight="1">
      <c r="A2143" s="86">
        <v>46078.0</v>
      </c>
      <c r="B2143" s="137" t="s">
        <v>27</v>
      </c>
      <c r="C2143" s="79"/>
      <c r="D2143" s="80">
        <v>50000.0</v>
      </c>
      <c r="E2143" s="66" t="s">
        <v>33</v>
      </c>
      <c r="F2143" s="67" t="s">
        <v>626</v>
      </c>
      <c r="G2143" s="68">
        <v>0.0</v>
      </c>
      <c r="H2143" s="69">
        <f t="shared" si="127"/>
        <v>0</v>
      </c>
      <c r="I2143" s="89" t="s">
        <v>53</v>
      </c>
      <c r="J2143" s="98" t="s">
        <v>128</v>
      </c>
      <c r="K2143" s="95"/>
      <c r="L2143" s="95"/>
      <c r="M2143" s="95"/>
      <c r="N2143" s="153"/>
      <c r="O2143" s="96"/>
      <c r="P2143" s="36"/>
      <c r="Q2143" s="36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</row>
    <row r="2144" ht="22.5" customHeight="1">
      <c r="A2144" s="86">
        <v>46080.0</v>
      </c>
      <c r="B2144" s="157" t="s">
        <v>27</v>
      </c>
      <c r="C2144" s="80">
        <v>333300.0</v>
      </c>
      <c r="D2144" s="79"/>
      <c r="E2144" s="66" t="s">
        <v>28</v>
      </c>
      <c r="F2144" s="67" t="s">
        <v>1179</v>
      </c>
      <c r="G2144" s="68">
        <v>20.0</v>
      </c>
      <c r="H2144" s="69">
        <f t="shared" si="127"/>
        <v>55550</v>
      </c>
      <c r="I2144" s="76" t="s">
        <v>37</v>
      </c>
      <c r="J2144" s="98" t="s">
        <v>944</v>
      </c>
      <c r="K2144" s="82" t="s">
        <v>1302</v>
      </c>
      <c r="L2144" s="165">
        <v>405.0</v>
      </c>
      <c r="M2144" s="132">
        <v>45979.0</v>
      </c>
      <c r="N2144" s="153">
        <f t="shared" ref="N2144:N2151" si="128">TODAY()-M2144-120</f>
        <v>89</v>
      </c>
      <c r="O2144" s="96"/>
      <c r="P2144" s="36"/>
      <c r="Q2144" s="36"/>
      <c r="R2144" s="36"/>
      <c r="S2144" s="36"/>
      <c r="T2144" s="36"/>
      <c r="U2144" s="36"/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</row>
    <row r="2145" ht="22.5" customHeight="1">
      <c r="A2145" s="86">
        <v>46080.0</v>
      </c>
      <c r="B2145" s="157" t="s">
        <v>27</v>
      </c>
      <c r="C2145" s="80">
        <v>330000.25</v>
      </c>
      <c r="D2145" s="79"/>
      <c r="E2145" s="66" t="s">
        <v>28</v>
      </c>
      <c r="F2145" s="67" t="s">
        <v>1179</v>
      </c>
      <c r="G2145" s="68">
        <v>20.0</v>
      </c>
      <c r="H2145" s="69">
        <f t="shared" si="127"/>
        <v>55000.04167</v>
      </c>
      <c r="I2145" s="76" t="s">
        <v>37</v>
      </c>
      <c r="J2145" s="98" t="s">
        <v>944</v>
      </c>
      <c r="K2145" s="82" t="s">
        <v>1302</v>
      </c>
      <c r="L2145" s="165">
        <v>406.0</v>
      </c>
      <c r="M2145" s="132">
        <v>45979.0</v>
      </c>
      <c r="N2145" s="153">
        <f t="shared" si="128"/>
        <v>89</v>
      </c>
      <c r="O2145" s="96"/>
      <c r="P2145" s="36"/>
      <c r="Q2145" s="36"/>
      <c r="R2145" s="36"/>
      <c r="S2145" s="36"/>
      <c r="T2145" s="36"/>
      <c r="U2145" s="36"/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</row>
    <row r="2146" ht="22.5" customHeight="1">
      <c r="A2146" s="86">
        <v>46080.0</v>
      </c>
      <c r="B2146" s="157" t="s">
        <v>27</v>
      </c>
      <c r="C2146" s="80">
        <v>178199.64</v>
      </c>
      <c r="D2146" s="79"/>
      <c r="E2146" s="66" t="s">
        <v>28</v>
      </c>
      <c r="F2146" s="67" t="s">
        <v>1179</v>
      </c>
      <c r="G2146" s="68">
        <v>20.0</v>
      </c>
      <c r="H2146" s="69">
        <f t="shared" si="127"/>
        <v>29699.94</v>
      </c>
      <c r="I2146" s="76" t="s">
        <v>37</v>
      </c>
      <c r="J2146" s="98" t="s">
        <v>944</v>
      </c>
      <c r="K2146" s="82" t="s">
        <v>1302</v>
      </c>
      <c r="L2146" s="165">
        <v>407.0</v>
      </c>
      <c r="M2146" s="132">
        <v>45979.0</v>
      </c>
      <c r="N2146" s="153">
        <f t="shared" si="128"/>
        <v>89</v>
      </c>
      <c r="O2146" s="96"/>
      <c r="P2146" s="36"/>
      <c r="Q2146" s="36"/>
      <c r="R2146" s="36"/>
      <c r="S2146" s="36"/>
      <c r="T2146" s="36"/>
      <c r="U2146" s="36"/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</row>
    <row r="2147" ht="22.5" customHeight="1">
      <c r="A2147" s="86">
        <v>46080.0</v>
      </c>
      <c r="B2147" s="157" t="s">
        <v>27</v>
      </c>
      <c r="C2147" s="80">
        <v>659999.99</v>
      </c>
      <c r="D2147" s="79"/>
      <c r="E2147" s="66" t="s">
        <v>28</v>
      </c>
      <c r="F2147" s="67" t="s">
        <v>1179</v>
      </c>
      <c r="G2147" s="68">
        <v>20.0</v>
      </c>
      <c r="H2147" s="69">
        <f t="shared" si="127"/>
        <v>109999.9983</v>
      </c>
      <c r="I2147" s="76" t="s">
        <v>37</v>
      </c>
      <c r="J2147" s="98" t="s">
        <v>944</v>
      </c>
      <c r="K2147" s="82" t="s">
        <v>1302</v>
      </c>
      <c r="L2147" s="165">
        <v>408.0</v>
      </c>
      <c r="M2147" s="132">
        <v>45979.0</v>
      </c>
      <c r="N2147" s="153">
        <f t="shared" si="128"/>
        <v>89</v>
      </c>
      <c r="O2147" s="96"/>
      <c r="P2147" s="36"/>
      <c r="Q2147" s="36"/>
      <c r="R2147" s="36"/>
      <c r="S2147" s="36"/>
      <c r="T2147" s="36"/>
      <c r="U2147" s="36"/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</row>
    <row r="2148" ht="22.5" customHeight="1">
      <c r="A2148" s="86">
        <v>46080.0</v>
      </c>
      <c r="B2148" s="157" t="s">
        <v>27</v>
      </c>
      <c r="C2148" s="80">
        <v>330000.24</v>
      </c>
      <c r="D2148" s="79"/>
      <c r="E2148" s="66" t="s">
        <v>28</v>
      </c>
      <c r="F2148" s="67" t="s">
        <v>1179</v>
      </c>
      <c r="G2148" s="68">
        <v>20.0</v>
      </c>
      <c r="H2148" s="69">
        <f t="shared" si="127"/>
        <v>55000.04</v>
      </c>
      <c r="I2148" s="76" t="s">
        <v>37</v>
      </c>
      <c r="J2148" s="98" t="s">
        <v>944</v>
      </c>
      <c r="K2148" s="82" t="s">
        <v>1302</v>
      </c>
      <c r="L2148" s="165">
        <v>409.0</v>
      </c>
      <c r="M2148" s="132">
        <v>45979.0</v>
      </c>
      <c r="N2148" s="153">
        <f t="shared" si="128"/>
        <v>89</v>
      </c>
      <c r="O2148" s="96"/>
      <c r="P2148" s="36"/>
      <c r="Q2148" s="36"/>
      <c r="R2148" s="36"/>
      <c r="S2148" s="36"/>
      <c r="T2148" s="36"/>
      <c r="U2148" s="36"/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</row>
    <row r="2149" ht="22.5" customHeight="1">
      <c r="A2149" s="86">
        <v>46080.0</v>
      </c>
      <c r="B2149" s="157" t="s">
        <v>27</v>
      </c>
      <c r="C2149" s="80">
        <v>33000.17</v>
      </c>
      <c r="D2149" s="79"/>
      <c r="E2149" s="66" t="s">
        <v>28</v>
      </c>
      <c r="F2149" s="67" t="s">
        <v>1179</v>
      </c>
      <c r="G2149" s="68">
        <v>20.0</v>
      </c>
      <c r="H2149" s="69">
        <f t="shared" si="127"/>
        <v>5500.028333</v>
      </c>
      <c r="I2149" s="76" t="s">
        <v>37</v>
      </c>
      <c r="J2149" s="98" t="s">
        <v>944</v>
      </c>
      <c r="K2149" s="82" t="s">
        <v>1302</v>
      </c>
      <c r="L2149" s="165">
        <v>410.0</v>
      </c>
      <c r="M2149" s="132">
        <v>45979.0</v>
      </c>
      <c r="N2149" s="153">
        <f t="shared" si="128"/>
        <v>89</v>
      </c>
      <c r="O2149" s="96"/>
      <c r="P2149" s="36"/>
      <c r="Q2149" s="36"/>
      <c r="R2149" s="36"/>
      <c r="S2149" s="36"/>
      <c r="T2149" s="36"/>
      <c r="U2149" s="36"/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</row>
    <row r="2150" ht="22.5" customHeight="1">
      <c r="A2150" s="86">
        <v>46080.0</v>
      </c>
      <c r="B2150" s="157" t="s">
        <v>27</v>
      </c>
      <c r="C2150" s="80">
        <v>330000.25</v>
      </c>
      <c r="D2150" s="79"/>
      <c r="E2150" s="66" t="s">
        <v>28</v>
      </c>
      <c r="F2150" s="67" t="s">
        <v>1179</v>
      </c>
      <c r="G2150" s="68">
        <v>20.0</v>
      </c>
      <c r="H2150" s="69">
        <f t="shared" si="127"/>
        <v>55000.04167</v>
      </c>
      <c r="I2150" s="76" t="s">
        <v>37</v>
      </c>
      <c r="J2150" s="98" t="s">
        <v>944</v>
      </c>
      <c r="K2150" s="82" t="s">
        <v>1302</v>
      </c>
      <c r="L2150" s="165">
        <v>411.0</v>
      </c>
      <c r="M2150" s="132">
        <v>45979.0</v>
      </c>
      <c r="N2150" s="153">
        <f t="shared" si="128"/>
        <v>89</v>
      </c>
      <c r="O2150" s="96"/>
      <c r="P2150" s="36"/>
      <c r="Q2150" s="36"/>
      <c r="R2150" s="36"/>
      <c r="S2150" s="36"/>
      <c r="T2150" s="36"/>
      <c r="U2150" s="36"/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</row>
    <row r="2151" ht="22.5" customHeight="1">
      <c r="A2151" s="86">
        <v>46080.0</v>
      </c>
      <c r="B2151" s="157" t="s">
        <v>27</v>
      </c>
      <c r="C2151" s="80">
        <v>255000.0</v>
      </c>
      <c r="D2151" s="80"/>
      <c r="E2151" s="66" t="s">
        <v>28</v>
      </c>
      <c r="F2151" s="67" t="s">
        <v>1179</v>
      </c>
      <c r="G2151" s="68">
        <v>20.0</v>
      </c>
      <c r="H2151" s="69">
        <f t="shared" si="127"/>
        <v>42500</v>
      </c>
      <c r="I2151" s="76" t="s">
        <v>37</v>
      </c>
      <c r="J2151" s="98" t="s">
        <v>944</v>
      </c>
      <c r="K2151" s="82" t="s">
        <v>1265</v>
      </c>
      <c r="L2151" s="165">
        <v>412.0</v>
      </c>
      <c r="M2151" s="132">
        <v>45979.0</v>
      </c>
      <c r="N2151" s="153">
        <f t="shared" si="128"/>
        <v>89</v>
      </c>
      <c r="O2151" s="83"/>
      <c r="P2151" s="36"/>
      <c r="Q2151" s="36"/>
      <c r="R2151" s="36"/>
      <c r="S2151" s="36"/>
      <c r="T2151" s="36"/>
      <c r="U2151" s="36"/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</row>
    <row r="2152" ht="22.5" customHeight="1">
      <c r="A2152" s="86">
        <v>46080.0</v>
      </c>
      <c r="B2152" s="139" t="s">
        <v>27</v>
      </c>
      <c r="C2152" s="79"/>
      <c r="D2152" s="80">
        <v>2290773.31</v>
      </c>
      <c r="E2152" s="66" t="s">
        <v>28</v>
      </c>
      <c r="F2152" s="67" t="s">
        <v>604</v>
      </c>
      <c r="G2152" s="68">
        <v>20.0</v>
      </c>
      <c r="H2152" s="69">
        <f t="shared" si="127"/>
        <v>381795.5517</v>
      </c>
      <c r="I2152" s="76" t="s">
        <v>101</v>
      </c>
      <c r="J2152" s="151" t="s">
        <v>1515</v>
      </c>
      <c r="K2152" s="95"/>
      <c r="L2152" s="95"/>
      <c r="M2152" s="95"/>
      <c r="N2152" s="153"/>
      <c r="O2152" s="140" t="s">
        <v>1607</v>
      </c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</row>
    <row r="2153" ht="22.5" customHeight="1">
      <c r="A2153" s="86">
        <v>46080.0</v>
      </c>
      <c r="B2153" s="137" t="s">
        <v>27</v>
      </c>
      <c r="C2153" s="80">
        <v>600060.0</v>
      </c>
      <c r="D2153" s="79"/>
      <c r="E2153" s="66" t="s">
        <v>376</v>
      </c>
      <c r="F2153" s="67" t="s">
        <v>604</v>
      </c>
      <c r="G2153" s="68">
        <v>20.0</v>
      </c>
      <c r="H2153" s="69">
        <f t="shared" si="127"/>
        <v>100010</v>
      </c>
      <c r="I2153" s="89" t="s">
        <v>37</v>
      </c>
      <c r="J2153" s="98" t="s">
        <v>1608</v>
      </c>
      <c r="K2153" s="82" t="s">
        <v>808</v>
      </c>
      <c r="L2153" s="82">
        <v>24.0</v>
      </c>
      <c r="M2153" s="166">
        <v>46038.0</v>
      </c>
      <c r="N2153" s="153">
        <f>TODAY()-M2153-60</f>
        <v>90</v>
      </c>
      <c r="O2153" s="9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</row>
    <row r="2154" ht="22.5" customHeight="1">
      <c r="A2154" s="86">
        <v>46083.0</v>
      </c>
      <c r="B2154" s="137" t="s">
        <v>27</v>
      </c>
      <c r="C2154" s="79"/>
      <c r="D2154" s="80">
        <v>1928691.3</v>
      </c>
      <c r="E2154" s="66" t="s">
        <v>28</v>
      </c>
      <c r="F2154" s="67" t="s">
        <v>1453</v>
      </c>
      <c r="G2154" s="68">
        <v>0.0</v>
      </c>
      <c r="H2154" s="69">
        <f t="shared" si="127"/>
        <v>0</v>
      </c>
      <c r="I2154" s="94" t="s">
        <v>1097</v>
      </c>
      <c r="J2154" s="98" t="s">
        <v>1098</v>
      </c>
      <c r="K2154" s="95"/>
      <c r="L2154" s="95"/>
      <c r="M2154" s="95"/>
      <c r="N2154" s="153"/>
      <c r="O2154" s="96"/>
      <c r="P2154" s="36"/>
      <c r="Q2154" s="36"/>
      <c r="R2154" s="36"/>
      <c r="S2154" s="36"/>
      <c r="T2154" s="36"/>
      <c r="U2154" s="36"/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</row>
    <row r="2155" ht="22.5" customHeight="1">
      <c r="A2155" s="86">
        <v>46083.0</v>
      </c>
      <c r="B2155" s="137" t="s">
        <v>27</v>
      </c>
      <c r="C2155" s="79"/>
      <c r="D2155" s="80">
        <v>20000.0</v>
      </c>
      <c r="E2155" s="66" t="s">
        <v>28</v>
      </c>
      <c r="F2155" s="67" t="s">
        <v>1609</v>
      </c>
      <c r="G2155" s="68">
        <v>22.0</v>
      </c>
      <c r="H2155" s="69">
        <f t="shared" si="127"/>
        <v>3606.557377</v>
      </c>
      <c r="I2155" s="89" t="s">
        <v>30</v>
      </c>
      <c r="J2155" s="98" t="s">
        <v>1610</v>
      </c>
      <c r="K2155" s="95"/>
      <c r="L2155" s="95"/>
      <c r="M2155" s="95"/>
      <c r="N2155" s="153"/>
      <c r="O2155" s="96"/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</row>
    <row r="2156" ht="22.5" customHeight="1">
      <c r="A2156" s="86">
        <v>46083.0</v>
      </c>
      <c r="B2156" s="137" t="s">
        <v>27</v>
      </c>
      <c r="C2156" s="80">
        <v>360000.0</v>
      </c>
      <c r="D2156" s="79"/>
      <c r="E2156" s="66" t="s">
        <v>28</v>
      </c>
      <c r="F2156" s="67" t="s">
        <v>604</v>
      </c>
      <c r="G2156" s="68">
        <v>20.0</v>
      </c>
      <c r="H2156" s="69">
        <f t="shared" si="127"/>
        <v>60000</v>
      </c>
      <c r="I2156" s="89" t="s">
        <v>37</v>
      </c>
      <c r="J2156" s="98" t="s">
        <v>539</v>
      </c>
      <c r="K2156" s="82" t="s">
        <v>879</v>
      </c>
      <c r="L2156" s="165">
        <v>26.0</v>
      </c>
      <c r="M2156" s="166">
        <v>46041.0</v>
      </c>
      <c r="N2156" s="153">
        <f t="shared" ref="N2156:N2158" si="129">TODAY()-M2156-60</f>
        <v>87</v>
      </c>
      <c r="O2156" s="96"/>
      <c r="P2156" s="36"/>
      <c r="Q2156" s="36"/>
      <c r="R2156" s="36"/>
      <c r="S2156" s="36"/>
      <c r="T2156" s="36"/>
      <c r="U2156" s="36"/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</row>
    <row r="2157" ht="22.5" customHeight="1">
      <c r="A2157" s="86">
        <v>46083.0</v>
      </c>
      <c r="B2157" s="137" t="s">
        <v>27</v>
      </c>
      <c r="C2157" s="80">
        <v>1922760.0</v>
      </c>
      <c r="D2157" s="79"/>
      <c r="E2157" s="66" t="s">
        <v>28</v>
      </c>
      <c r="F2157" s="67" t="s">
        <v>604</v>
      </c>
      <c r="G2157" s="68">
        <v>20.0</v>
      </c>
      <c r="H2157" s="69">
        <f t="shared" si="127"/>
        <v>320460</v>
      </c>
      <c r="I2157" s="89" t="s">
        <v>37</v>
      </c>
      <c r="J2157" s="98" t="s">
        <v>1611</v>
      </c>
      <c r="K2157" s="82" t="s">
        <v>1612</v>
      </c>
      <c r="L2157" s="165">
        <v>33.0</v>
      </c>
      <c r="M2157" s="128">
        <v>46042.0</v>
      </c>
      <c r="N2157" s="153">
        <f t="shared" si="129"/>
        <v>86</v>
      </c>
      <c r="O2157" s="96"/>
      <c r="P2157" s="36"/>
      <c r="Q2157" s="36"/>
      <c r="R2157" s="36"/>
      <c r="S2157" s="36"/>
      <c r="T2157" s="36"/>
      <c r="U2157" s="36"/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</row>
    <row r="2158" ht="22.5" customHeight="1">
      <c r="A2158" s="86">
        <v>46083.0</v>
      </c>
      <c r="B2158" s="137" t="s">
        <v>27</v>
      </c>
      <c r="C2158" s="80">
        <v>614040.0</v>
      </c>
      <c r="D2158" s="79"/>
      <c r="E2158" s="66" t="s">
        <v>28</v>
      </c>
      <c r="F2158" s="67" t="s">
        <v>604</v>
      </c>
      <c r="G2158" s="68">
        <v>20.0</v>
      </c>
      <c r="H2158" s="69">
        <f t="shared" si="127"/>
        <v>102340</v>
      </c>
      <c r="I2158" s="89" t="s">
        <v>37</v>
      </c>
      <c r="J2158" s="98" t="s">
        <v>1611</v>
      </c>
      <c r="K2158" s="82" t="s">
        <v>703</v>
      </c>
      <c r="L2158" s="165">
        <v>37.0</v>
      </c>
      <c r="M2158" s="128">
        <v>46042.0</v>
      </c>
      <c r="N2158" s="153">
        <f t="shared" si="129"/>
        <v>86</v>
      </c>
      <c r="O2158" s="96"/>
      <c r="P2158" s="36"/>
      <c r="Q2158" s="36"/>
      <c r="R2158" s="36"/>
      <c r="S2158" s="36"/>
      <c r="T2158" s="36"/>
      <c r="U2158" s="36"/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</row>
    <row r="2159" ht="22.5" customHeight="1">
      <c r="A2159" s="86">
        <v>46083.0</v>
      </c>
      <c r="B2159" s="137" t="s">
        <v>27</v>
      </c>
      <c r="C2159" s="79"/>
      <c r="D2159" s="80">
        <v>4273385.0</v>
      </c>
      <c r="E2159" s="66" t="s">
        <v>28</v>
      </c>
      <c r="F2159" s="67" t="s">
        <v>1453</v>
      </c>
      <c r="G2159" s="68">
        <v>0.0</v>
      </c>
      <c r="H2159" s="69">
        <f t="shared" si="127"/>
        <v>0</v>
      </c>
      <c r="I2159" s="94" t="s">
        <v>623</v>
      </c>
      <c r="J2159" s="81"/>
      <c r="K2159" s="95"/>
      <c r="L2159" s="95"/>
      <c r="M2159" s="95"/>
      <c r="N2159" s="153"/>
      <c r="O2159" s="96"/>
      <c r="P2159" s="36"/>
      <c r="Q2159" s="36"/>
      <c r="R2159" s="36"/>
      <c r="S2159" s="36"/>
      <c r="T2159" s="36"/>
      <c r="U2159" s="36"/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</row>
    <row r="2160" ht="22.5" customHeight="1">
      <c r="A2160" s="86">
        <v>46083.0</v>
      </c>
      <c r="B2160" s="137" t="s">
        <v>27</v>
      </c>
      <c r="C2160" s="79"/>
      <c r="D2160" s="80">
        <v>39846.0</v>
      </c>
      <c r="E2160" s="66" t="s">
        <v>28</v>
      </c>
      <c r="F2160" s="67" t="s">
        <v>1453</v>
      </c>
      <c r="G2160" s="68">
        <v>0.0</v>
      </c>
      <c r="H2160" s="69">
        <f t="shared" si="127"/>
        <v>0</v>
      </c>
      <c r="I2160" s="94" t="s">
        <v>598</v>
      </c>
      <c r="J2160" s="81"/>
      <c r="K2160" s="95"/>
      <c r="L2160" s="95"/>
      <c r="M2160" s="95"/>
      <c r="N2160" s="153"/>
      <c r="O2160" s="96"/>
      <c r="P2160" s="36"/>
      <c r="Q2160" s="36"/>
      <c r="R2160" s="36"/>
      <c r="S2160" s="36"/>
      <c r="T2160" s="36"/>
      <c r="U2160" s="36"/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</row>
    <row r="2161" ht="22.5" customHeight="1">
      <c r="A2161" s="86">
        <v>46083.0</v>
      </c>
      <c r="B2161" s="137" t="s">
        <v>27</v>
      </c>
      <c r="C2161" s="79"/>
      <c r="D2161" s="80">
        <v>3506.0</v>
      </c>
      <c r="E2161" s="66" t="s">
        <v>28</v>
      </c>
      <c r="F2161" s="67" t="s">
        <v>1609</v>
      </c>
      <c r="G2161" s="68">
        <v>0.0</v>
      </c>
      <c r="H2161" s="69">
        <f t="shared" si="127"/>
        <v>0</v>
      </c>
      <c r="I2161" s="94" t="s">
        <v>659</v>
      </c>
      <c r="J2161" s="81"/>
      <c r="K2161" s="95"/>
      <c r="L2161" s="95"/>
      <c r="M2161" s="95"/>
      <c r="N2161" s="153"/>
      <c r="O2161" s="96"/>
      <c r="P2161" s="36"/>
      <c r="Q2161" s="36"/>
      <c r="R2161" s="36"/>
      <c r="S2161" s="36"/>
      <c r="T2161" s="36"/>
      <c r="U2161" s="36"/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</row>
    <row r="2162" ht="22.5" customHeight="1">
      <c r="A2162" s="86">
        <v>46084.0</v>
      </c>
      <c r="B2162" s="137" t="s">
        <v>27</v>
      </c>
      <c r="C2162" s="80">
        <v>640500.0</v>
      </c>
      <c r="D2162" s="79"/>
      <c r="E2162" s="66" t="s">
        <v>28</v>
      </c>
      <c r="F2162" s="67" t="s">
        <v>603</v>
      </c>
      <c r="G2162" s="68">
        <v>22.0</v>
      </c>
      <c r="H2162" s="69">
        <f t="shared" si="127"/>
        <v>115500</v>
      </c>
      <c r="I2162" s="89" t="s">
        <v>37</v>
      </c>
      <c r="J2162" s="98" t="s">
        <v>605</v>
      </c>
      <c r="K2162" s="82" t="s">
        <v>993</v>
      </c>
      <c r="L2162" s="165">
        <v>47.0</v>
      </c>
      <c r="M2162" s="128">
        <v>46062.0</v>
      </c>
      <c r="N2162" s="153">
        <f>TODAY()-M2162-60</f>
        <v>66</v>
      </c>
      <c r="O2162" s="96"/>
      <c r="P2162" s="36"/>
      <c r="Q2162" s="36"/>
      <c r="R2162" s="36"/>
      <c r="S2162" s="36"/>
      <c r="T2162" s="36"/>
      <c r="U2162" s="36"/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</row>
    <row r="2163" ht="22.5" customHeight="1">
      <c r="A2163" s="86">
        <v>46084.0</v>
      </c>
      <c r="B2163" s="137" t="s">
        <v>27</v>
      </c>
      <c r="C2163" s="79"/>
      <c r="D2163" s="80">
        <v>105000.0</v>
      </c>
      <c r="E2163" s="66" t="s">
        <v>33</v>
      </c>
      <c r="F2163" s="67" t="s">
        <v>1453</v>
      </c>
      <c r="G2163" s="68">
        <v>0.0</v>
      </c>
      <c r="H2163" s="69">
        <f t="shared" si="127"/>
        <v>0</v>
      </c>
      <c r="I2163" s="89" t="s">
        <v>93</v>
      </c>
      <c r="J2163" s="98" t="s">
        <v>1613</v>
      </c>
      <c r="K2163" s="95"/>
      <c r="L2163" s="95"/>
      <c r="M2163" s="95"/>
      <c r="N2163" s="153"/>
      <c r="O2163" s="96"/>
      <c r="P2163" s="36"/>
      <c r="Q2163" s="36"/>
      <c r="R2163" s="36"/>
      <c r="S2163" s="36"/>
      <c r="T2163" s="36"/>
      <c r="U2163" s="36"/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</row>
    <row r="2164" ht="22.5" customHeight="1">
      <c r="A2164" s="86">
        <v>46084.0</v>
      </c>
      <c r="B2164" s="137" t="s">
        <v>27</v>
      </c>
      <c r="C2164" s="79"/>
      <c r="D2164" s="80">
        <v>245000.0</v>
      </c>
      <c r="E2164" s="66" t="s">
        <v>33</v>
      </c>
      <c r="F2164" s="67" t="s">
        <v>1453</v>
      </c>
      <c r="G2164" s="68">
        <v>0.0</v>
      </c>
      <c r="H2164" s="69">
        <f t="shared" si="127"/>
        <v>0</v>
      </c>
      <c r="I2164" s="89" t="s">
        <v>93</v>
      </c>
      <c r="J2164" s="98" t="s">
        <v>1614</v>
      </c>
      <c r="K2164" s="95"/>
      <c r="L2164" s="95"/>
      <c r="M2164" s="95"/>
      <c r="N2164" s="153"/>
      <c r="O2164" s="9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</row>
    <row r="2165" ht="22.5" customHeight="1">
      <c r="A2165" s="86">
        <v>46084.0</v>
      </c>
      <c r="B2165" s="137" t="s">
        <v>27</v>
      </c>
      <c r="C2165" s="79"/>
      <c r="D2165" s="80">
        <v>80000.0</v>
      </c>
      <c r="E2165" s="66" t="s">
        <v>33</v>
      </c>
      <c r="F2165" s="67" t="s">
        <v>1531</v>
      </c>
      <c r="G2165" s="68">
        <v>0.0</v>
      </c>
      <c r="H2165" s="69">
        <f t="shared" si="127"/>
        <v>0</v>
      </c>
      <c r="I2165" s="89" t="s">
        <v>53</v>
      </c>
      <c r="J2165" s="98" t="s">
        <v>1185</v>
      </c>
      <c r="K2165" s="95"/>
      <c r="L2165" s="95"/>
      <c r="M2165" s="95"/>
      <c r="N2165" s="153"/>
      <c r="O2165" s="96"/>
      <c r="P2165" s="36"/>
      <c r="Q2165" s="36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</row>
    <row r="2166" ht="22.5" customHeight="1">
      <c r="A2166" s="86">
        <v>46084.0</v>
      </c>
      <c r="B2166" s="137" t="s">
        <v>27</v>
      </c>
      <c r="C2166" s="79"/>
      <c r="D2166" s="80">
        <v>20000.0</v>
      </c>
      <c r="E2166" s="66" t="s">
        <v>33</v>
      </c>
      <c r="F2166" s="67" t="s">
        <v>1531</v>
      </c>
      <c r="G2166" s="68">
        <v>0.0</v>
      </c>
      <c r="H2166" s="69">
        <f t="shared" si="127"/>
        <v>0</v>
      </c>
      <c r="I2166" s="89" t="s">
        <v>53</v>
      </c>
      <c r="J2166" s="98" t="s">
        <v>1186</v>
      </c>
      <c r="K2166" s="95"/>
      <c r="L2166" s="95"/>
      <c r="M2166" s="95"/>
      <c r="N2166" s="153"/>
      <c r="O2166" s="96"/>
      <c r="P2166" s="36"/>
      <c r="Q2166" s="36"/>
      <c r="R2166" s="36"/>
      <c r="S2166" s="36"/>
      <c r="T2166" s="36"/>
      <c r="U2166" s="36"/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</row>
    <row r="2167" ht="22.5" customHeight="1">
      <c r="A2167" s="86">
        <v>46084.0</v>
      </c>
      <c r="B2167" s="137" t="s">
        <v>27</v>
      </c>
      <c r="C2167" s="79"/>
      <c r="D2167" s="80">
        <v>50000.0</v>
      </c>
      <c r="E2167" s="66" t="s">
        <v>33</v>
      </c>
      <c r="F2167" s="67" t="s">
        <v>1531</v>
      </c>
      <c r="G2167" s="68">
        <v>0.0</v>
      </c>
      <c r="H2167" s="69">
        <f t="shared" si="127"/>
        <v>0</v>
      </c>
      <c r="I2167" s="89" t="s">
        <v>53</v>
      </c>
      <c r="J2167" s="98" t="s">
        <v>1615</v>
      </c>
      <c r="K2167" s="95"/>
      <c r="L2167" s="95"/>
      <c r="M2167" s="95"/>
      <c r="N2167" s="153"/>
      <c r="O2167" s="96"/>
      <c r="P2167" s="36"/>
      <c r="Q2167" s="36"/>
      <c r="R2167" s="36"/>
      <c r="S2167" s="36"/>
      <c r="T2167" s="36"/>
      <c r="U2167" s="36"/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</row>
    <row r="2168" ht="22.5" customHeight="1">
      <c r="A2168" s="86">
        <v>46084.0</v>
      </c>
      <c r="B2168" s="137" t="s">
        <v>27</v>
      </c>
      <c r="C2168" s="79"/>
      <c r="D2168" s="80">
        <v>20000.0</v>
      </c>
      <c r="E2168" s="66" t="s">
        <v>33</v>
      </c>
      <c r="F2168" s="67" t="s">
        <v>1609</v>
      </c>
      <c r="G2168" s="68">
        <v>0.0</v>
      </c>
      <c r="H2168" s="69">
        <f t="shared" si="127"/>
        <v>0</v>
      </c>
      <c r="I2168" s="89" t="s">
        <v>490</v>
      </c>
      <c r="J2168" s="98" t="s">
        <v>1616</v>
      </c>
      <c r="K2168" s="95"/>
      <c r="L2168" s="95"/>
      <c r="M2168" s="95"/>
      <c r="N2168" s="153"/>
      <c r="O2168" s="96"/>
      <c r="P2168" s="36"/>
      <c r="Q2168" s="36"/>
      <c r="R2168" s="36"/>
      <c r="S2168" s="36"/>
      <c r="T2168" s="36"/>
      <c r="U2168" s="36"/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</row>
    <row r="2169" ht="22.5" customHeight="1">
      <c r="A2169" s="86">
        <v>46085.0</v>
      </c>
      <c r="B2169" s="157" t="s">
        <v>27</v>
      </c>
      <c r="C2169" s="80">
        <v>876540.0</v>
      </c>
      <c r="D2169" s="80"/>
      <c r="E2169" s="66" t="s">
        <v>28</v>
      </c>
      <c r="F2169" s="67" t="s">
        <v>608</v>
      </c>
      <c r="G2169" s="68">
        <v>20.0</v>
      </c>
      <c r="H2169" s="69">
        <f t="shared" si="127"/>
        <v>146090</v>
      </c>
      <c r="I2169" s="76" t="s">
        <v>37</v>
      </c>
      <c r="J2169" s="98" t="s">
        <v>539</v>
      </c>
      <c r="K2169" s="82" t="s">
        <v>813</v>
      </c>
      <c r="L2169" s="165">
        <v>428.0</v>
      </c>
      <c r="M2169" s="128">
        <v>45999.0</v>
      </c>
      <c r="N2169" s="153">
        <f t="shared" ref="N2169:N2174" si="130">TODAY()-M2169-60</f>
        <v>129</v>
      </c>
      <c r="O2169" s="96"/>
      <c r="P2169" s="36"/>
      <c r="Q2169" s="36"/>
      <c r="R2169" s="36"/>
      <c r="S2169" s="36"/>
      <c r="T2169" s="36"/>
      <c r="U2169" s="36"/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</row>
    <row r="2170" ht="22.5" customHeight="1">
      <c r="A2170" s="86">
        <v>46085.0</v>
      </c>
      <c r="B2170" s="157" t="s">
        <v>27</v>
      </c>
      <c r="C2170" s="80">
        <v>636048.0</v>
      </c>
      <c r="D2170" s="80"/>
      <c r="E2170" s="66" t="s">
        <v>28</v>
      </c>
      <c r="F2170" s="67" t="s">
        <v>608</v>
      </c>
      <c r="G2170" s="68">
        <v>20.0</v>
      </c>
      <c r="H2170" s="69">
        <f t="shared" si="127"/>
        <v>106008</v>
      </c>
      <c r="I2170" s="76" t="s">
        <v>37</v>
      </c>
      <c r="J2170" s="98" t="s">
        <v>539</v>
      </c>
      <c r="K2170" s="82" t="s">
        <v>1617</v>
      </c>
      <c r="L2170" s="165">
        <v>435.0</v>
      </c>
      <c r="M2170" s="128">
        <v>46000.0</v>
      </c>
      <c r="N2170" s="153">
        <f t="shared" si="130"/>
        <v>128</v>
      </c>
      <c r="O2170" s="96"/>
      <c r="P2170" s="36"/>
      <c r="Q2170" s="36"/>
      <c r="R2170" s="36"/>
      <c r="S2170" s="36"/>
      <c r="T2170" s="36"/>
      <c r="U2170" s="36"/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</row>
    <row r="2171" ht="22.5" customHeight="1">
      <c r="A2171" s="86">
        <v>46085.0</v>
      </c>
      <c r="B2171" s="157" t="s">
        <v>27</v>
      </c>
      <c r="C2171" s="80">
        <v>180180.0</v>
      </c>
      <c r="D2171" s="80"/>
      <c r="E2171" s="66" t="s">
        <v>28</v>
      </c>
      <c r="F2171" s="67" t="s">
        <v>608</v>
      </c>
      <c r="G2171" s="68">
        <v>20.0</v>
      </c>
      <c r="H2171" s="69">
        <f t="shared" si="127"/>
        <v>30030</v>
      </c>
      <c r="I2171" s="76" t="s">
        <v>37</v>
      </c>
      <c r="J2171" s="98" t="s">
        <v>539</v>
      </c>
      <c r="K2171" s="82" t="s">
        <v>783</v>
      </c>
      <c r="L2171" s="165">
        <v>444.0</v>
      </c>
      <c r="M2171" s="128">
        <v>46000.0</v>
      </c>
      <c r="N2171" s="153">
        <f t="shared" si="130"/>
        <v>128</v>
      </c>
      <c r="O2171" s="96"/>
      <c r="P2171" s="36"/>
      <c r="Q2171" s="36"/>
      <c r="R2171" s="36"/>
      <c r="S2171" s="36"/>
      <c r="T2171" s="36"/>
      <c r="U2171" s="36"/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</row>
    <row r="2172" ht="22.5" customHeight="1">
      <c r="A2172" s="86">
        <v>46085.0</v>
      </c>
      <c r="B2172" s="137" t="s">
        <v>27</v>
      </c>
      <c r="C2172" s="80">
        <v>180180.0</v>
      </c>
      <c r="D2172" s="79"/>
      <c r="E2172" s="66" t="s">
        <v>28</v>
      </c>
      <c r="F2172" s="67" t="s">
        <v>604</v>
      </c>
      <c r="G2172" s="68">
        <v>20.0</v>
      </c>
      <c r="H2172" s="69">
        <f t="shared" si="127"/>
        <v>30030</v>
      </c>
      <c r="I2172" s="89" t="s">
        <v>37</v>
      </c>
      <c r="J2172" s="98" t="s">
        <v>539</v>
      </c>
      <c r="K2172" s="82" t="s">
        <v>810</v>
      </c>
      <c r="L2172" s="165">
        <v>21.0</v>
      </c>
      <c r="M2172" s="166">
        <v>46038.0</v>
      </c>
      <c r="N2172" s="153">
        <f t="shared" si="130"/>
        <v>90</v>
      </c>
      <c r="O2172" s="96"/>
      <c r="P2172" s="36"/>
      <c r="Q2172" s="36"/>
      <c r="R2172" s="36"/>
      <c r="S2172" s="36"/>
      <c r="T2172" s="36"/>
      <c r="U2172" s="36"/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</row>
    <row r="2173" ht="22.5" customHeight="1">
      <c r="A2173" s="86">
        <v>46085.0</v>
      </c>
      <c r="B2173" s="137" t="s">
        <v>27</v>
      </c>
      <c r="C2173" s="80">
        <v>636048.0</v>
      </c>
      <c r="D2173" s="79"/>
      <c r="E2173" s="66" t="s">
        <v>28</v>
      </c>
      <c r="F2173" s="67" t="s">
        <v>604</v>
      </c>
      <c r="G2173" s="68">
        <v>20.0</v>
      </c>
      <c r="H2173" s="69">
        <f t="shared" si="127"/>
        <v>106008</v>
      </c>
      <c r="I2173" s="89" t="s">
        <v>37</v>
      </c>
      <c r="J2173" s="98" t="s">
        <v>539</v>
      </c>
      <c r="K2173" s="82" t="s">
        <v>812</v>
      </c>
      <c r="L2173" s="165">
        <v>22.0</v>
      </c>
      <c r="M2173" s="166">
        <v>46038.0</v>
      </c>
      <c r="N2173" s="153">
        <f t="shared" si="130"/>
        <v>90</v>
      </c>
      <c r="O2173" s="96"/>
      <c r="P2173" s="36"/>
      <c r="Q2173" s="36"/>
      <c r="R2173" s="36"/>
      <c r="S2173" s="36"/>
      <c r="T2173" s="36"/>
      <c r="U2173" s="36"/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</row>
    <row r="2174" ht="22.5" customHeight="1">
      <c r="A2174" s="86">
        <v>46085.0</v>
      </c>
      <c r="B2174" s="137" t="s">
        <v>27</v>
      </c>
      <c r="C2174" s="80">
        <v>822174.67</v>
      </c>
      <c r="D2174" s="79"/>
      <c r="E2174" s="66" t="s">
        <v>28</v>
      </c>
      <c r="F2174" s="67" t="s">
        <v>604</v>
      </c>
      <c r="G2174" s="68">
        <v>20.0</v>
      </c>
      <c r="H2174" s="69">
        <f t="shared" si="127"/>
        <v>137029.1117</v>
      </c>
      <c r="I2174" s="89" t="s">
        <v>37</v>
      </c>
      <c r="J2174" s="98" t="s">
        <v>539</v>
      </c>
      <c r="K2174" s="82" t="s">
        <v>809</v>
      </c>
      <c r="L2174" s="165">
        <v>23.0</v>
      </c>
      <c r="M2174" s="166">
        <v>46038.0</v>
      </c>
      <c r="N2174" s="153">
        <f t="shared" si="130"/>
        <v>90</v>
      </c>
      <c r="O2174" s="96"/>
      <c r="P2174" s="36"/>
      <c r="Q2174" s="36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</row>
    <row r="2175" ht="22.5" customHeight="1">
      <c r="A2175" s="86">
        <v>46085.0</v>
      </c>
      <c r="B2175" s="137" t="s">
        <v>27</v>
      </c>
      <c r="C2175" s="79"/>
      <c r="D2175" s="80">
        <v>2050000.0</v>
      </c>
      <c r="E2175" s="66" t="s">
        <v>28</v>
      </c>
      <c r="F2175" s="67" t="s">
        <v>1609</v>
      </c>
      <c r="G2175" s="68">
        <v>22.0</v>
      </c>
      <c r="H2175" s="69">
        <f t="shared" si="127"/>
        <v>369672.1311</v>
      </c>
      <c r="I2175" s="89" t="s">
        <v>47</v>
      </c>
      <c r="J2175" s="81"/>
      <c r="K2175" s="95"/>
      <c r="L2175" s="95"/>
      <c r="M2175" s="95"/>
      <c r="N2175" s="153"/>
      <c r="O2175" s="96"/>
      <c r="P2175" s="36"/>
      <c r="Q2175" s="36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</row>
    <row r="2176" ht="22.5" customHeight="1">
      <c r="A2176" s="86">
        <v>46085.0</v>
      </c>
      <c r="B2176" s="137" t="s">
        <v>27</v>
      </c>
      <c r="C2176" s="80">
        <f>D2175*0.76</f>
        <v>1558000</v>
      </c>
      <c r="D2176" s="79"/>
      <c r="E2176" s="66" t="s">
        <v>33</v>
      </c>
      <c r="F2176" s="67" t="s">
        <v>1609</v>
      </c>
      <c r="G2176" s="68">
        <v>0.0</v>
      </c>
      <c r="H2176" s="69">
        <f t="shared" si="127"/>
        <v>0</v>
      </c>
      <c r="I2176" s="89" t="s">
        <v>47</v>
      </c>
      <c r="J2176" s="81"/>
      <c r="K2176" s="95"/>
      <c r="L2176" s="95"/>
      <c r="M2176" s="95"/>
      <c r="N2176" s="153"/>
      <c r="O2176" s="96"/>
      <c r="P2176" s="36"/>
      <c r="Q2176" s="36"/>
      <c r="R2176" s="36"/>
      <c r="S2176" s="36"/>
      <c r="T2176" s="36"/>
      <c r="U2176" s="36"/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</row>
    <row r="2177" ht="22.5" customHeight="1">
      <c r="A2177" s="86">
        <v>46086.0</v>
      </c>
      <c r="B2177" s="157" t="s">
        <v>27</v>
      </c>
      <c r="C2177" s="80">
        <v>313622.03</v>
      </c>
      <c r="D2177" s="80"/>
      <c r="E2177" s="66" t="s">
        <v>376</v>
      </c>
      <c r="F2177" s="67" t="s">
        <v>608</v>
      </c>
      <c r="G2177" s="68">
        <v>20.0</v>
      </c>
      <c r="H2177" s="69">
        <f t="shared" si="127"/>
        <v>52270.33833</v>
      </c>
      <c r="I2177" s="76" t="s">
        <v>37</v>
      </c>
      <c r="J2177" s="98" t="s">
        <v>677</v>
      </c>
      <c r="K2177" s="82" t="s">
        <v>1093</v>
      </c>
      <c r="L2177" s="82">
        <v>425.0</v>
      </c>
      <c r="M2177" s="128">
        <v>45996.0</v>
      </c>
      <c r="N2177" s="153">
        <f t="shared" ref="N2177:N2179" si="131">TODAY()-M2177-60</f>
        <v>132</v>
      </c>
      <c r="O2177" s="96"/>
      <c r="P2177" s="36"/>
      <c r="Q2177" s="36"/>
      <c r="R2177" s="36"/>
      <c r="S2177" s="36"/>
      <c r="T2177" s="36"/>
      <c r="U2177" s="36"/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</row>
    <row r="2178" ht="22.5" customHeight="1">
      <c r="A2178" s="86">
        <v>46086.0</v>
      </c>
      <c r="B2178" s="157" t="s">
        <v>27</v>
      </c>
      <c r="C2178" s="80">
        <v>318120.19</v>
      </c>
      <c r="D2178" s="80"/>
      <c r="E2178" s="66" t="s">
        <v>376</v>
      </c>
      <c r="F2178" s="67" t="s">
        <v>608</v>
      </c>
      <c r="G2178" s="68">
        <v>20.0</v>
      </c>
      <c r="H2178" s="69">
        <f t="shared" si="127"/>
        <v>53020.03167</v>
      </c>
      <c r="I2178" s="76" t="s">
        <v>37</v>
      </c>
      <c r="J2178" s="98" t="s">
        <v>677</v>
      </c>
      <c r="K2178" s="82" t="s">
        <v>754</v>
      </c>
      <c r="L2178" s="82">
        <v>429.0</v>
      </c>
      <c r="M2178" s="128">
        <v>46000.0</v>
      </c>
      <c r="N2178" s="153">
        <f t="shared" si="131"/>
        <v>128</v>
      </c>
      <c r="O2178" s="96"/>
      <c r="P2178" s="36"/>
      <c r="Q2178" s="36"/>
      <c r="R2178" s="36"/>
      <c r="S2178" s="36"/>
      <c r="T2178" s="36"/>
      <c r="U2178" s="36"/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</row>
    <row r="2179" ht="22.5" customHeight="1">
      <c r="A2179" s="86">
        <v>46087.0</v>
      </c>
      <c r="B2179" s="137" t="s">
        <v>27</v>
      </c>
      <c r="C2179" s="80">
        <v>2001260.0</v>
      </c>
      <c r="D2179" s="79"/>
      <c r="E2179" s="66" t="s">
        <v>28</v>
      </c>
      <c r="F2179" s="67" t="s">
        <v>604</v>
      </c>
      <c r="G2179" s="68">
        <v>20.0</v>
      </c>
      <c r="H2179" s="69">
        <f t="shared" si="127"/>
        <v>333543.3333</v>
      </c>
      <c r="I2179" s="89" t="s">
        <v>37</v>
      </c>
      <c r="J2179" s="98" t="s">
        <v>539</v>
      </c>
      <c r="K2179" s="82" t="s">
        <v>811</v>
      </c>
      <c r="L2179" s="82">
        <v>20.0</v>
      </c>
      <c r="M2179" s="166">
        <v>46038.0</v>
      </c>
      <c r="N2179" s="153">
        <f t="shared" si="131"/>
        <v>90</v>
      </c>
      <c r="O2179" s="9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</row>
    <row r="2180" ht="22.5" customHeight="1">
      <c r="A2180" s="86">
        <v>46087.0</v>
      </c>
      <c r="B2180" s="137" t="s">
        <v>27</v>
      </c>
      <c r="C2180" s="80"/>
      <c r="D2180" s="80">
        <v>47500.0</v>
      </c>
      <c r="E2180" s="66" t="s">
        <v>33</v>
      </c>
      <c r="F2180" s="67" t="s">
        <v>1609</v>
      </c>
      <c r="G2180" s="68">
        <v>0.0</v>
      </c>
      <c r="H2180" s="69">
        <f t="shared" si="127"/>
        <v>0</v>
      </c>
      <c r="I2180" s="89" t="s">
        <v>490</v>
      </c>
      <c r="J2180" s="98" t="s">
        <v>1618</v>
      </c>
      <c r="K2180" s="95"/>
      <c r="L2180" s="95"/>
      <c r="M2180" s="95"/>
      <c r="N2180" s="153"/>
      <c r="O2180" s="96"/>
      <c r="P2180" s="36"/>
      <c r="Q2180" s="36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</row>
    <row r="2181" ht="22.5" customHeight="1">
      <c r="A2181" s="86">
        <v>46087.0</v>
      </c>
      <c r="B2181" s="137" t="s">
        <v>27</v>
      </c>
      <c r="C2181" s="79"/>
      <c r="D2181" s="80">
        <v>18000.0</v>
      </c>
      <c r="E2181" s="66" t="s">
        <v>33</v>
      </c>
      <c r="F2181" s="67" t="s">
        <v>1531</v>
      </c>
      <c r="G2181" s="68">
        <v>0.0</v>
      </c>
      <c r="H2181" s="69">
        <f t="shared" si="127"/>
        <v>0</v>
      </c>
      <c r="I2181" s="89" t="s">
        <v>495</v>
      </c>
      <c r="J2181" s="98" t="s">
        <v>1619</v>
      </c>
      <c r="K2181" s="95"/>
      <c r="L2181" s="95"/>
      <c r="M2181" s="95"/>
      <c r="N2181" s="153"/>
      <c r="O2181" s="96"/>
      <c r="P2181" s="36"/>
      <c r="Q2181" s="36"/>
      <c r="R2181" s="36"/>
      <c r="S2181" s="36"/>
      <c r="T2181" s="36"/>
      <c r="U2181" s="36"/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</row>
    <row r="2182" ht="22.5" customHeight="1">
      <c r="A2182" s="86">
        <v>46087.0</v>
      </c>
      <c r="B2182" s="137" t="s">
        <v>27</v>
      </c>
      <c r="C2182" s="79"/>
      <c r="D2182" s="80">
        <v>157666.0</v>
      </c>
      <c r="E2182" s="66" t="s">
        <v>28</v>
      </c>
      <c r="F2182" s="67" t="s">
        <v>1531</v>
      </c>
      <c r="G2182" s="68">
        <v>0.0</v>
      </c>
      <c r="H2182" s="69">
        <f t="shared" si="127"/>
        <v>0</v>
      </c>
      <c r="I2182" s="94" t="s">
        <v>599</v>
      </c>
      <c r="J2182" s="98" t="s">
        <v>1011</v>
      </c>
      <c r="K2182" s="95"/>
      <c r="L2182" s="95"/>
      <c r="M2182" s="95"/>
      <c r="N2182" s="153"/>
      <c r="O2182" s="96"/>
      <c r="P2182" s="36"/>
      <c r="Q2182" s="36"/>
      <c r="R2182" s="36"/>
      <c r="S2182" s="36"/>
      <c r="T2182" s="36"/>
      <c r="U2182" s="36"/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</row>
    <row r="2183" ht="22.5" customHeight="1">
      <c r="A2183" s="86">
        <v>46087.0</v>
      </c>
      <c r="B2183" s="137" t="s">
        <v>27</v>
      </c>
      <c r="C2183" s="79"/>
      <c r="D2183" s="80">
        <v>46694.65</v>
      </c>
      <c r="E2183" s="66" t="s">
        <v>28</v>
      </c>
      <c r="F2183" s="67" t="s">
        <v>1531</v>
      </c>
      <c r="G2183" s="68">
        <v>22.0</v>
      </c>
      <c r="H2183" s="69">
        <f t="shared" si="127"/>
        <v>8420.346721</v>
      </c>
      <c r="I2183" s="89" t="s">
        <v>61</v>
      </c>
      <c r="J2183" s="98" t="s">
        <v>1335</v>
      </c>
      <c r="K2183" s="95"/>
      <c r="L2183" s="95"/>
      <c r="M2183" s="95"/>
      <c r="N2183" s="153"/>
      <c r="O2183" s="96"/>
      <c r="P2183" s="36"/>
      <c r="Q2183" s="36"/>
      <c r="R2183" s="36"/>
      <c r="S2183" s="36"/>
      <c r="T2183" s="36"/>
      <c r="U2183" s="36"/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</row>
    <row r="2184" ht="22.5" customHeight="1">
      <c r="A2184" s="86">
        <v>46091.0</v>
      </c>
      <c r="B2184" s="137" t="s">
        <v>27</v>
      </c>
      <c r="C2184" s="80">
        <v>797647.2</v>
      </c>
      <c r="D2184" s="79"/>
      <c r="E2184" s="66" t="s">
        <v>28</v>
      </c>
      <c r="F2184" s="67" t="s">
        <v>604</v>
      </c>
      <c r="G2184" s="68">
        <v>20.0</v>
      </c>
      <c r="H2184" s="69">
        <f t="shared" si="127"/>
        <v>132941.2</v>
      </c>
      <c r="I2184" s="89" t="s">
        <v>37</v>
      </c>
      <c r="J2184" s="98" t="s">
        <v>624</v>
      </c>
      <c r="K2184" s="82" t="s">
        <v>1302</v>
      </c>
      <c r="L2184" s="82">
        <v>18.0</v>
      </c>
      <c r="M2184" s="166">
        <v>46037.0</v>
      </c>
      <c r="N2184" s="153">
        <f>TODAY()-M2184-60</f>
        <v>91</v>
      </c>
      <c r="O2184" s="96"/>
      <c r="P2184" s="36"/>
      <c r="Q2184" s="36"/>
      <c r="R2184" s="36"/>
      <c r="S2184" s="36"/>
      <c r="T2184" s="36"/>
      <c r="U2184" s="36"/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</row>
    <row r="2185" ht="22.5" customHeight="1">
      <c r="A2185" s="86">
        <v>46091.0</v>
      </c>
      <c r="B2185" s="137" t="s">
        <v>27</v>
      </c>
      <c r="C2185" s="79"/>
      <c r="D2185" s="79">
        <f>24038+511.68+1598848.63</f>
        <v>1623398.31</v>
      </c>
      <c r="E2185" s="66" t="s">
        <v>28</v>
      </c>
      <c r="F2185" s="67" t="s">
        <v>1531</v>
      </c>
      <c r="G2185" s="68">
        <v>0.0</v>
      </c>
      <c r="H2185" s="69">
        <f t="shared" si="127"/>
        <v>0</v>
      </c>
      <c r="I2185" s="89" t="s">
        <v>68</v>
      </c>
      <c r="J2185" s="81"/>
      <c r="K2185" s="95"/>
      <c r="L2185" s="95"/>
      <c r="M2185" s="95"/>
      <c r="N2185" s="153"/>
      <c r="O2185" s="96"/>
      <c r="P2185" s="36"/>
      <c r="Q2185" s="36"/>
      <c r="R2185" s="36"/>
      <c r="S2185" s="36"/>
      <c r="T2185" s="36"/>
      <c r="U2185" s="36"/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</row>
    <row r="2186" ht="22.5" customHeight="1">
      <c r="A2186" s="86">
        <v>46091.0</v>
      </c>
      <c r="B2186" s="137" t="s">
        <v>27</v>
      </c>
      <c r="C2186" s="79"/>
      <c r="D2186" s="80">
        <v>50000.0</v>
      </c>
      <c r="E2186" s="66" t="s">
        <v>33</v>
      </c>
      <c r="F2186" s="67" t="s">
        <v>1531</v>
      </c>
      <c r="G2186" s="68">
        <v>0.0</v>
      </c>
      <c r="H2186" s="69">
        <f t="shared" si="127"/>
        <v>0</v>
      </c>
      <c r="I2186" s="89" t="s">
        <v>53</v>
      </c>
      <c r="J2186" s="98" t="s">
        <v>1347</v>
      </c>
      <c r="K2186" s="95"/>
      <c r="L2186" s="95"/>
      <c r="M2186" s="95"/>
      <c r="N2186" s="153"/>
      <c r="O2186" s="96"/>
      <c r="P2186" s="36"/>
      <c r="Q2186" s="36"/>
      <c r="R2186" s="36"/>
      <c r="S2186" s="36"/>
      <c r="T2186" s="36"/>
      <c r="U2186" s="36"/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</row>
    <row r="2187" ht="22.5" customHeight="1">
      <c r="A2187" s="86">
        <v>46091.0</v>
      </c>
      <c r="B2187" s="137" t="s">
        <v>27</v>
      </c>
      <c r="C2187" s="79"/>
      <c r="D2187" s="167">
        <v>85900.0</v>
      </c>
      <c r="E2187" s="66" t="s">
        <v>33</v>
      </c>
      <c r="F2187" s="67" t="s">
        <v>1531</v>
      </c>
      <c r="G2187" s="68">
        <v>0.0</v>
      </c>
      <c r="H2187" s="69">
        <f t="shared" si="127"/>
        <v>0</v>
      </c>
      <c r="I2187" s="89" t="s">
        <v>490</v>
      </c>
      <c r="J2187" s="98" t="s">
        <v>1620</v>
      </c>
      <c r="K2187" s="95"/>
      <c r="L2187" s="95"/>
      <c r="M2187" s="95"/>
      <c r="N2187" s="153"/>
      <c r="O2187" s="96"/>
      <c r="P2187" s="36"/>
      <c r="Q2187" s="36"/>
      <c r="R2187" s="36"/>
      <c r="S2187" s="36"/>
      <c r="T2187" s="36"/>
      <c r="U2187" s="36"/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</row>
    <row r="2188" ht="22.5" customHeight="1">
      <c r="A2188" s="86">
        <v>46092.0</v>
      </c>
      <c r="B2188" s="139" t="s">
        <v>27</v>
      </c>
      <c r="C2188" s="79"/>
      <c r="D2188" s="167">
        <v>213333.5</v>
      </c>
      <c r="E2188" s="66" t="s">
        <v>28</v>
      </c>
      <c r="F2188" s="67" t="s">
        <v>604</v>
      </c>
      <c r="G2188" s="68">
        <v>20.0</v>
      </c>
      <c r="H2188" s="69">
        <f t="shared" si="127"/>
        <v>35555.58333</v>
      </c>
      <c r="I2188" s="89" t="s">
        <v>1044</v>
      </c>
      <c r="J2188" s="136" t="s">
        <v>1045</v>
      </c>
      <c r="K2188" s="95"/>
      <c r="L2188" s="95"/>
      <c r="M2188" s="95"/>
      <c r="N2188" s="153"/>
      <c r="O2188" s="140" t="s">
        <v>1621</v>
      </c>
      <c r="P2188" s="36"/>
      <c r="Q2188" s="36"/>
      <c r="R2188" s="36"/>
      <c r="S2188" s="36"/>
      <c r="T2188" s="36"/>
      <c r="U2188" s="36"/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</row>
    <row r="2189" ht="22.5" customHeight="1">
      <c r="A2189" s="86">
        <v>46092.0</v>
      </c>
      <c r="B2189" s="139" t="s">
        <v>27</v>
      </c>
      <c r="C2189" s="79"/>
      <c r="D2189" s="167">
        <v>47342.48</v>
      </c>
      <c r="E2189" s="66" t="s">
        <v>28</v>
      </c>
      <c r="F2189" s="67" t="s">
        <v>604</v>
      </c>
      <c r="G2189" s="68">
        <v>20.0</v>
      </c>
      <c r="H2189" s="69">
        <f t="shared" si="127"/>
        <v>7890.413333</v>
      </c>
      <c r="I2189" s="89" t="s">
        <v>1044</v>
      </c>
      <c r="J2189" s="136" t="s">
        <v>1045</v>
      </c>
      <c r="K2189" s="95"/>
      <c r="L2189" s="95"/>
      <c r="M2189" s="95"/>
      <c r="N2189" s="153"/>
      <c r="O2189" s="140" t="s">
        <v>1622</v>
      </c>
      <c r="P2189" s="36"/>
      <c r="Q2189" s="36"/>
      <c r="R2189" s="36"/>
      <c r="S2189" s="36"/>
      <c r="T2189" s="36"/>
      <c r="U2189" s="36"/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</row>
    <row r="2190" ht="22.5" customHeight="1">
      <c r="A2190" s="86">
        <v>46092.0</v>
      </c>
      <c r="B2190" s="139" t="s">
        <v>27</v>
      </c>
      <c r="C2190" s="79"/>
      <c r="D2190" s="167">
        <v>170666.66</v>
      </c>
      <c r="E2190" s="66" t="s">
        <v>28</v>
      </c>
      <c r="F2190" s="67" t="s">
        <v>604</v>
      </c>
      <c r="G2190" s="68">
        <v>20.0</v>
      </c>
      <c r="H2190" s="69">
        <f t="shared" si="127"/>
        <v>28444.44333</v>
      </c>
      <c r="I2190" s="89" t="s">
        <v>1044</v>
      </c>
      <c r="J2190" s="136" t="s">
        <v>1045</v>
      </c>
      <c r="K2190" s="95"/>
      <c r="L2190" s="95"/>
      <c r="M2190" s="95"/>
      <c r="N2190" s="153"/>
      <c r="O2190" s="140" t="s">
        <v>1623</v>
      </c>
      <c r="P2190" s="36"/>
      <c r="Q2190" s="36"/>
      <c r="R2190" s="36"/>
      <c r="S2190" s="36"/>
      <c r="T2190" s="36"/>
      <c r="U2190" s="36"/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</row>
    <row r="2191" ht="22.5" customHeight="1">
      <c r="A2191" s="86">
        <v>46092.0</v>
      </c>
      <c r="B2191" s="139" t="s">
        <v>27</v>
      </c>
      <c r="C2191" s="79"/>
      <c r="D2191" s="167">
        <v>864000.0</v>
      </c>
      <c r="E2191" s="66" t="s">
        <v>28</v>
      </c>
      <c r="F2191" s="67" t="s">
        <v>604</v>
      </c>
      <c r="G2191" s="68">
        <v>20.0</v>
      </c>
      <c r="H2191" s="69">
        <f t="shared" si="127"/>
        <v>144000</v>
      </c>
      <c r="I2191" s="89" t="s">
        <v>1044</v>
      </c>
      <c r="J2191" s="136" t="s">
        <v>1045</v>
      </c>
      <c r="K2191" s="95"/>
      <c r="L2191" s="95"/>
      <c r="M2191" s="95"/>
      <c r="N2191" s="153"/>
      <c r="O2191" s="140" t="s">
        <v>1624</v>
      </c>
      <c r="P2191" s="36"/>
      <c r="Q2191" s="36"/>
      <c r="R2191" s="36"/>
      <c r="S2191" s="36"/>
      <c r="T2191" s="36"/>
      <c r="U2191" s="36"/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</row>
    <row r="2192" ht="22.5" customHeight="1">
      <c r="A2192" s="86">
        <v>46092.0</v>
      </c>
      <c r="B2192" s="139" t="s">
        <v>27</v>
      </c>
      <c r="C2192" s="79"/>
      <c r="D2192" s="167">
        <v>782388.67</v>
      </c>
      <c r="E2192" s="66" t="s">
        <v>28</v>
      </c>
      <c r="F2192" s="67" t="s">
        <v>604</v>
      </c>
      <c r="G2192" s="68">
        <v>20.0</v>
      </c>
      <c r="H2192" s="69">
        <f t="shared" si="127"/>
        <v>130398.1117</v>
      </c>
      <c r="I2192" s="89" t="s">
        <v>101</v>
      </c>
      <c r="J2192" s="136" t="s">
        <v>1280</v>
      </c>
      <c r="K2192" s="95"/>
      <c r="L2192" s="95"/>
      <c r="M2192" s="95"/>
      <c r="N2192" s="153"/>
      <c r="O2192" s="140" t="s">
        <v>1625</v>
      </c>
      <c r="P2192" s="36"/>
      <c r="Q2192" s="36"/>
      <c r="R2192" s="36"/>
      <c r="S2192" s="36"/>
      <c r="T2192" s="36"/>
      <c r="U2192" s="36"/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</row>
    <row r="2193" ht="22.5" customHeight="1">
      <c r="A2193" s="86">
        <v>46092.0</v>
      </c>
      <c r="B2193" s="139" t="s">
        <v>27</v>
      </c>
      <c r="C2193" s="79"/>
      <c r="D2193" s="167">
        <v>31857.36</v>
      </c>
      <c r="E2193" s="66" t="s">
        <v>28</v>
      </c>
      <c r="F2193" s="67" t="s">
        <v>604</v>
      </c>
      <c r="G2193" s="68">
        <v>20.0</v>
      </c>
      <c r="H2193" s="69">
        <f t="shared" si="127"/>
        <v>5309.56</v>
      </c>
      <c r="I2193" s="89" t="s">
        <v>101</v>
      </c>
      <c r="J2193" s="151" t="s">
        <v>1498</v>
      </c>
      <c r="K2193" s="95"/>
      <c r="L2193" s="95"/>
      <c r="M2193" s="95"/>
      <c r="N2193" s="153"/>
      <c r="O2193" s="140" t="s">
        <v>1626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</row>
    <row r="2194" ht="22.5" customHeight="1">
      <c r="A2194" s="86">
        <v>46092.0</v>
      </c>
      <c r="B2194" s="139" t="s">
        <v>27</v>
      </c>
      <c r="C2194" s="79"/>
      <c r="D2194" s="167">
        <v>110238.56</v>
      </c>
      <c r="E2194" s="66" t="s">
        <v>28</v>
      </c>
      <c r="F2194" s="67" t="s">
        <v>604</v>
      </c>
      <c r="G2194" s="68">
        <v>20.0</v>
      </c>
      <c r="H2194" s="69">
        <f t="shared" si="127"/>
        <v>18373.09333</v>
      </c>
      <c r="I2194" s="89" t="s">
        <v>101</v>
      </c>
      <c r="J2194" s="151" t="s">
        <v>1627</v>
      </c>
      <c r="K2194" s="95"/>
      <c r="L2194" s="95"/>
      <c r="M2194" s="95"/>
      <c r="N2194" s="153"/>
      <c r="O2194" s="140" t="s">
        <v>1628</v>
      </c>
      <c r="P2194" s="36"/>
      <c r="Q2194" s="36"/>
      <c r="R2194" s="36"/>
      <c r="S2194" s="36"/>
      <c r="T2194" s="36"/>
      <c r="U2194" s="36"/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</row>
    <row r="2195" ht="22.5" customHeight="1">
      <c r="A2195" s="86">
        <v>46092.0</v>
      </c>
      <c r="B2195" s="139" t="s">
        <v>27</v>
      </c>
      <c r="C2195" s="79"/>
      <c r="D2195" s="167">
        <v>749534.26</v>
      </c>
      <c r="E2195" s="66" t="s">
        <v>28</v>
      </c>
      <c r="F2195" s="67" t="s">
        <v>604</v>
      </c>
      <c r="G2195" s="68">
        <v>20.0</v>
      </c>
      <c r="H2195" s="69">
        <f t="shared" si="127"/>
        <v>124922.3767</v>
      </c>
      <c r="I2195" s="89" t="s">
        <v>101</v>
      </c>
      <c r="J2195" s="136" t="s">
        <v>670</v>
      </c>
      <c r="K2195" s="95"/>
      <c r="L2195" s="95"/>
      <c r="M2195" s="95"/>
      <c r="N2195" s="153"/>
      <c r="O2195" s="140" t="s">
        <v>1629</v>
      </c>
      <c r="P2195" s="36"/>
      <c r="Q2195" s="36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</row>
    <row r="2196" ht="22.5" customHeight="1">
      <c r="A2196" s="86">
        <v>46092.0</v>
      </c>
      <c r="B2196" s="139" t="s">
        <v>27</v>
      </c>
      <c r="C2196" s="79"/>
      <c r="D2196" s="167">
        <v>132961.5</v>
      </c>
      <c r="E2196" s="66" t="s">
        <v>28</v>
      </c>
      <c r="F2196" s="67" t="s">
        <v>604</v>
      </c>
      <c r="G2196" s="68">
        <v>5.0</v>
      </c>
      <c r="H2196" s="69">
        <f t="shared" si="127"/>
        <v>6331.5</v>
      </c>
      <c r="I2196" s="89" t="s">
        <v>101</v>
      </c>
      <c r="J2196" s="136" t="s">
        <v>1032</v>
      </c>
      <c r="K2196" s="95"/>
      <c r="L2196" s="95"/>
      <c r="M2196" s="95"/>
      <c r="N2196" s="153"/>
      <c r="O2196" s="140" t="s">
        <v>1630</v>
      </c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</row>
    <row r="2197" ht="22.5" customHeight="1">
      <c r="A2197" s="86">
        <v>46092.0</v>
      </c>
      <c r="B2197" s="139" t="s">
        <v>27</v>
      </c>
      <c r="C2197" s="79"/>
      <c r="D2197" s="167">
        <v>372627.9</v>
      </c>
      <c r="E2197" s="66" t="s">
        <v>28</v>
      </c>
      <c r="F2197" s="67" t="s">
        <v>604</v>
      </c>
      <c r="G2197" s="68">
        <v>20.0</v>
      </c>
      <c r="H2197" s="69">
        <f t="shared" si="127"/>
        <v>62104.65</v>
      </c>
      <c r="I2197" s="89" t="s">
        <v>101</v>
      </c>
      <c r="J2197" s="136" t="s">
        <v>1284</v>
      </c>
      <c r="K2197" s="95"/>
      <c r="L2197" s="95"/>
      <c r="M2197" s="95"/>
      <c r="N2197" s="153"/>
      <c r="O2197" s="140" t="s">
        <v>1631</v>
      </c>
      <c r="P2197" s="36"/>
      <c r="Q2197" s="36"/>
      <c r="R2197" s="36"/>
      <c r="S2197" s="36"/>
      <c r="T2197" s="36"/>
      <c r="U2197" s="36"/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</row>
    <row r="2198" ht="22.5" customHeight="1">
      <c r="A2198" s="86">
        <v>46092.0</v>
      </c>
      <c r="B2198" s="139" t="s">
        <v>27</v>
      </c>
      <c r="C2198" s="79"/>
      <c r="D2198" s="167">
        <v>63736.12</v>
      </c>
      <c r="E2198" s="66" t="s">
        <v>28</v>
      </c>
      <c r="F2198" s="67" t="s">
        <v>604</v>
      </c>
      <c r="G2198" s="68">
        <v>5.0</v>
      </c>
      <c r="H2198" s="69">
        <f t="shared" si="127"/>
        <v>3035.053333</v>
      </c>
      <c r="I2198" s="89" t="s">
        <v>101</v>
      </c>
      <c r="J2198" s="136" t="s">
        <v>671</v>
      </c>
      <c r="K2198" s="95"/>
      <c r="L2198" s="95"/>
      <c r="M2198" s="95"/>
      <c r="N2198" s="153"/>
      <c r="O2198" s="140" t="s">
        <v>1632</v>
      </c>
      <c r="P2198" s="36"/>
      <c r="Q2198" s="36"/>
      <c r="R2198" s="36"/>
      <c r="S2198" s="36"/>
      <c r="T2198" s="36"/>
      <c r="U2198" s="36"/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</row>
    <row r="2199" ht="22.5" customHeight="1">
      <c r="A2199" s="86">
        <v>46092.0</v>
      </c>
      <c r="B2199" s="139" t="s">
        <v>27</v>
      </c>
      <c r="C2199" s="79"/>
      <c r="D2199" s="167">
        <v>192192.0</v>
      </c>
      <c r="E2199" s="66" t="s">
        <v>28</v>
      </c>
      <c r="F2199" s="67" t="s">
        <v>604</v>
      </c>
      <c r="G2199" s="68">
        <v>0.0</v>
      </c>
      <c r="H2199" s="69">
        <f t="shared" si="127"/>
        <v>0</v>
      </c>
      <c r="I2199" s="89" t="s">
        <v>101</v>
      </c>
      <c r="J2199" s="151" t="s">
        <v>1480</v>
      </c>
      <c r="K2199" s="95"/>
      <c r="L2199" s="95"/>
      <c r="M2199" s="95"/>
      <c r="N2199" s="153"/>
      <c r="O2199" s="140" t="s">
        <v>1633</v>
      </c>
      <c r="P2199" s="36"/>
      <c r="Q2199" s="36"/>
      <c r="R2199" s="36"/>
      <c r="S2199" s="36"/>
      <c r="T2199" s="36"/>
      <c r="U2199" s="36"/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</row>
    <row r="2200" ht="22.5" customHeight="1">
      <c r="A2200" s="86">
        <v>46092.0</v>
      </c>
      <c r="B2200" s="139" t="s">
        <v>27</v>
      </c>
      <c r="C2200" s="79"/>
      <c r="D2200" s="167">
        <v>162516.36</v>
      </c>
      <c r="E2200" s="66" t="s">
        <v>28</v>
      </c>
      <c r="F2200" s="67" t="s">
        <v>604</v>
      </c>
      <c r="G2200" s="68">
        <v>20.0</v>
      </c>
      <c r="H2200" s="69">
        <f t="shared" si="127"/>
        <v>27086.06</v>
      </c>
      <c r="I2200" s="89" t="s">
        <v>101</v>
      </c>
      <c r="J2200" s="151" t="s">
        <v>1477</v>
      </c>
      <c r="K2200" s="95"/>
      <c r="L2200" s="95"/>
      <c r="M2200" s="95"/>
      <c r="N2200" s="153"/>
      <c r="O2200" s="140" t="s">
        <v>1634</v>
      </c>
      <c r="P2200" s="36"/>
      <c r="Q2200" s="36"/>
      <c r="R2200" s="36"/>
      <c r="S2200" s="36"/>
      <c r="T2200" s="36"/>
      <c r="U2200" s="36"/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</row>
    <row r="2201" ht="22.5" customHeight="1">
      <c r="A2201" s="86">
        <v>46092.0</v>
      </c>
      <c r="B2201" s="139" t="s">
        <v>27</v>
      </c>
      <c r="C2201" s="79"/>
      <c r="D2201" s="167">
        <v>145576.2</v>
      </c>
      <c r="E2201" s="66" t="s">
        <v>28</v>
      </c>
      <c r="F2201" s="67" t="s">
        <v>604</v>
      </c>
      <c r="G2201" s="68">
        <v>0.0</v>
      </c>
      <c r="H2201" s="69">
        <f t="shared" si="127"/>
        <v>0</v>
      </c>
      <c r="I2201" s="89" t="s">
        <v>101</v>
      </c>
      <c r="J2201" s="151" t="s">
        <v>818</v>
      </c>
      <c r="K2201" s="95"/>
      <c r="L2201" s="95"/>
      <c r="M2201" s="95"/>
      <c r="N2201" s="153"/>
      <c r="O2201" s="140" t="s">
        <v>1635</v>
      </c>
      <c r="P2201" s="36"/>
      <c r="Q2201" s="36"/>
      <c r="R2201" s="36"/>
      <c r="S2201" s="36"/>
      <c r="T2201" s="36"/>
      <c r="U2201" s="36"/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</row>
    <row r="2202" ht="22.5" customHeight="1">
      <c r="A2202" s="86">
        <v>46092.0</v>
      </c>
      <c r="B2202" s="139" t="s">
        <v>27</v>
      </c>
      <c r="C2202" s="79"/>
      <c r="D2202" s="167">
        <v>112187.2</v>
      </c>
      <c r="E2202" s="66" t="s">
        <v>28</v>
      </c>
      <c r="F2202" s="67" t="s">
        <v>604</v>
      </c>
      <c r="G2202" s="68">
        <v>0.0</v>
      </c>
      <c r="H2202" s="69">
        <f t="shared" si="127"/>
        <v>0</v>
      </c>
      <c r="I2202" s="89" t="s">
        <v>101</v>
      </c>
      <c r="J2202" s="136" t="s">
        <v>1287</v>
      </c>
      <c r="K2202" s="95"/>
      <c r="L2202" s="95"/>
      <c r="M2202" s="95"/>
      <c r="N2202" s="153"/>
      <c r="O2202" s="140" t="s">
        <v>1636</v>
      </c>
      <c r="P2202" s="36"/>
      <c r="Q2202" s="36"/>
      <c r="R2202" s="36"/>
      <c r="S2202" s="36"/>
      <c r="T2202" s="36"/>
      <c r="U2202" s="36"/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</row>
    <row r="2203" ht="22.5" customHeight="1">
      <c r="A2203" s="86">
        <v>46092.0</v>
      </c>
      <c r="B2203" s="139" t="s">
        <v>27</v>
      </c>
      <c r="C2203" s="79"/>
      <c r="D2203" s="167">
        <v>367532.86</v>
      </c>
      <c r="E2203" s="66" t="s">
        <v>28</v>
      </c>
      <c r="F2203" s="67" t="s">
        <v>604</v>
      </c>
      <c r="G2203" s="68">
        <v>20.0</v>
      </c>
      <c r="H2203" s="69">
        <f t="shared" si="127"/>
        <v>61255.47667</v>
      </c>
      <c r="I2203" s="89" t="s">
        <v>101</v>
      </c>
      <c r="J2203" s="136" t="s">
        <v>1277</v>
      </c>
      <c r="K2203" s="95"/>
      <c r="L2203" s="95"/>
      <c r="M2203" s="95"/>
      <c r="N2203" s="153"/>
      <c r="O2203" s="140" t="s">
        <v>1637</v>
      </c>
      <c r="P2203" s="36"/>
      <c r="Q2203" s="36"/>
      <c r="R2203" s="36"/>
      <c r="S2203" s="36"/>
      <c r="T2203" s="36"/>
      <c r="U2203" s="36"/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</row>
    <row r="2204" ht="22.5" customHeight="1">
      <c r="A2204" s="86">
        <v>46092.0</v>
      </c>
      <c r="B2204" s="139" t="s">
        <v>27</v>
      </c>
      <c r="C2204" s="79"/>
      <c r="D2204" s="167">
        <v>22670.04</v>
      </c>
      <c r="E2204" s="66" t="s">
        <v>28</v>
      </c>
      <c r="F2204" s="67" t="s">
        <v>604</v>
      </c>
      <c r="G2204" s="68">
        <v>20.0</v>
      </c>
      <c r="H2204" s="69">
        <f t="shared" si="127"/>
        <v>3778.34</v>
      </c>
      <c r="I2204" s="89" t="s">
        <v>101</v>
      </c>
      <c r="J2204" s="151" t="s">
        <v>1638</v>
      </c>
      <c r="K2204" s="95"/>
      <c r="L2204" s="95"/>
      <c r="M2204" s="95"/>
      <c r="N2204" s="153"/>
      <c r="O2204" s="140" t="s">
        <v>1639</v>
      </c>
      <c r="P2204" s="36"/>
      <c r="Q2204" s="36"/>
      <c r="R2204" s="36"/>
      <c r="S2204" s="36"/>
      <c r="T2204" s="36"/>
      <c r="U2204" s="36"/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</row>
    <row r="2205" ht="22.5" customHeight="1">
      <c r="A2205" s="86">
        <v>46092.0</v>
      </c>
      <c r="B2205" s="139" t="s">
        <v>27</v>
      </c>
      <c r="C2205" s="79"/>
      <c r="D2205" s="167">
        <v>672775.5</v>
      </c>
      <c r="E2205" s="66" t="s">
        <v>28</v>
      </c>
      <c r="F2205" s="67" t="s">
        <v>604</v>
      </c>
      <c r="G2205" s="68">
        <v>20.0</v>
      </c>
      <c r="H2205" s="69">
        <f t="shared" si="127"/>
        <v>112129.25</v>
      </c>
      <c r="I2205" s="76" t="s">
        <v>101</v>
      </c>
      <c r="J2205" s="136" t="s">
        <v>597</v>
      </c>
      <c r="K2205" s="95"/>
      <c r="L2205" s="95"/>
      <c r="M2205" s="95"/>
      <c r="N2205" s="153"/>
      <c r="O2205" s="140" t="s">
        <v>1640</v>
      </c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</row>
    <row r="2206" ht="22.5" customHeight="1">
      <c r="A2206" s="86">
        <v>46092.0</v>
      </c>
      <c r="B2206" s="139" t="s">
        <v>27</v>
      </c>
      <c r="C2206" s="79"/>
      <c r="D2206" s="167">
        <v>346224.16</v>
      </c>
      <c r="E2206" s="66" t="s">
        <v>28</v>
      </c>
      <c r="F2206" s="67" t="s">
        <v>604</v>
      </c>
      <c r="G2206" s="68">
        <v>20.0</v>
      </c>
      <c r="H2206" s="69">
        <f t="shared" si="127"/>
        <v>57704.02667</v>
      </c>
      <c r="I2206" s="76" t="s">
        <v>101</v>
      </c>
      <c r="J2206" s="136" t="s">
        <v>643</v>
      </c>
      <c r="K2206" s="95"/>
      <c r="L2206" s="95"/>
      <c r="M2206" s="95"/>
      <c r="N2206" s="153"/>
      <c r="O2206" s="140" t="s">
        <v>1641</v>
      </c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</row>
    <row r="2207" ht="22.5" customHeight="1">
      <c r="A2207" s="86">
        <v>46092.0</v>
      </c>
      <c r="B2207" s="139" t="s">
        <v>27</v>
      </c>
      <c r="C2207" s="79"/>
      <c r="D2207" s="167">
        <v>410365.8</v>
      </c>
      <c r="E2207" s="66" t="s">
        <v>28</v>
      </c>
      <c r="F2207" s="67" t="s">
        <v>604</v>
      </c>
      <c r="G2207" s="68">
        <v>0.0</v>
      </c>
      <c r="H2207" s="69">
        <f t="shared" si="127"/>
        <v>0</v>
      </c>
      <c r="I2207" s="89" t="s">
        <v>101</v>
      </c>
      <c r="J2207" s="151" t="s">
        <v>631</v>
      </c>
      <c r="K2207" s="95"/>
      <c r="L2207" s="95"/>
      <c r="M2207" s="95"/>
      <c r="N2207" s="153"/>
      <c r="O2207" s="140" t="s">
        <v>1642</v>
      </c>
      <c r="P2207" s="36"/>
      <c r="Q2207" s="36"/>
      <c r="R2207" s="36"/>
      <c r="S2207" s="36"/>
      <c r="T2207" s="36"/>
      <c r="U2207" s="36"/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</row>
    <row r="2208" ht="22.5" customHeight="1">
      <c r="A2208" s="86">
        <v>46092.0</v>
      </c>
      <c r="B2208" s="139" t="s">
        <v>27</v>
      </c>
      <c r="C2208" s="79"/>
      <c r="D2208" s="167">
        <v>97417.08</v>
      </c>
      <c r="E2208" s="66" t="s">
        <v>28</v>
      </c>
      <c r="F2208" s="67" t="s">
        <v>604</v>
      </c>
      <c r="G2208" s="68">
        <v>20.0</v>
      </c>
      <c r="H2208" s="69">
        <f t="shared" si="127"/>
        <v>16236.18</v>
      </c>
      <c r="I2208" s="89" t="s">
        <v>101</v>
      </c>
      <c r="J2208" s="136" t="s">
        <v>976</v>
      </c>
      <c r="K2208" s="95"/>
      <c r="L2208" s="95"/>
      <c r="M2208" s="95"/>
      <c r="N2208" s="153"/>
      <c r="O2208" s="140" t="s">
        <v>1643</v>
      </c>
      <c r="P2208" s="36"/>
      <c r="Q2208" s="36"/>
      <c r="R2208" s="36"/>
      <c r="S2208" s="36"/>
      <c r="T2208" s="36"/>
      <c r="U2208" s="36"/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</row>
    <row r="2209" ht="22.5" customHeight="1">
      <c r="A2209" s="86">
        <v>46092.0</v>
      </c>
      <c r="B2209" s="139" t="s">
        <v>27</v>
      </c>
      <c r="C2209" s="79"/>
      <c r="D2209" s="167">
        <v>26981.16</v>
      </c>
      <c r="E2209" s="66" t="s">
        <v>28</v>
      </c>
      <c r="F2209" s="67" t="s">
        <v>604</v>
      </c>
      <c r="G2209" s="68">
        <v>20.0</v>
      </c>
      <c r="H2209" s="69">
        <f t="shared" si="127"/>
        <v>4496.86</v>
      </c>
      <c r="I2209" s="89" t="s">
        <v>101</v>
      </c>
      <c r="J2209" s="136" t="s">
        <v>973</v>
      </c>
      <c r="K2209" s="95"/>
      <c r="L2209" s="95"/>
      <c r="M2209" s="95"/>
      <c r="N2209" s="153"/>
      <c r="O2209" s="140" t="s">
        <v>1644</v>
      </c>
      <c r="P2209" s="36"/>
      <c r="Q2209" s="36"/>
      <c r="R2209" s="36"/>
      <c r="S2209" s="36"/>
      <c r="T2209" s="36"/>
      <c r="U2209" s="36"/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</row>
    <row r="2210" ht="22.5" customHeight="1">
      <c r="A2210" s="86">
        <v>46092.0</v>
      </c>
      <c r="B2210" s="139" t="s">
        <v>27</v>
      </c>
      <c r="C2210" s="79"/>
      <c r="D2210" s="167">
        <v>248200.0</v>
      </c>
      <c r="E2210" s="66" t="s">
        <v>28</v>
      </c>
      <c r="F2210" s="67" t="s">
        <v>604</v>
      </c>
      <c r="G2210" s="68">
        <v>0.0</v>
      </c>
      <c r="H2210" s="69">
        <f t="shared" si="127"/>
        <v>0</v>
      </c>
      <c r="I2210" s="89" t="s">
        <v>286</v>
      </c>
      <c r="J2210" s="98" t="s">
        <v>1645</v>
      </c>
      <c r="K2210" s="95"/>
      <c r="L2210" s="95"/>
      <c r="M2210" s="95"/>
      <c r="N2210" s="153"/>
      <c r="O2210" s="140" t="s">
        <v>1646</v>
      </c>
      <c r="P2210" s="36"/>
      <c r="Q2210" s="36"/>
      <c r="R2210" s="36"/>
      <c r="S2210" s="36"/>
      <c r="T2210" s="36"/>
      <c r="U2210" s="36"/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</row>
    <row r="2211" ht="22.5" customHeight="1">
      <c r="A2211" s="86">
        <v>46092.0</v>
      </c>
      <c r="B2211" s="139" t="s">
        <v>27</v>
      </c>
      <c r="C2211" s="79"/>
      <c r="D2211" s="167">
        <v>144000.0</v>
      </c>
      <c r="E2211" s="66" t="s">
        <v>28</v>
      </c>
      <c r="F2211" s="67" t="s">
        <v>604</v>
      </c>
      <c r="G2211" s="68">
        <v>20.0</v>
      </c>
      <c r="H2211" s="69">
        <f t="shared" si="127"/>
        <v>24000</v>
      </c>
      <c r="I2211" s="89" t="s">
        <v>1044</v>
      </c>
      <c r="J2211" s="136" t="s">
        <v>1045</v>
      </c>
      <c r="K2211" s="95"/>
      <c r="L2211" s="95"/>
      <c r="M2211" s="95"/>
      <c r="N2211" s="153"/>
      <c r="O2211" s="140" t="s">
        <v>1647</v>
      </c>
      <c r="P2211" s="36"/>
      <c r="Q2211" s="36"/>
      <c r="R2211" s="36"/>
      <c r="S2211" s="36"/>
      <c r="T2211" s="36"/>
      <c r="U2211" s="36"/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</row>
    <row r="2212" ht="22.5" customHeight="1">
      <c r="A2212" s="86">
        <v>46092.0</v>
      </c>
      <c r="B2212" s="139" t="s">
        <v>27</v>
      </c>
      <c r="C2212" s="79"/>
      <c r="D2212" s="167">
        <v>107520.0</v>
      </c>
      <c r="E2212" s="66" t="s">
        <v>28</v>
      </c>
      <c r="F2212" s="67" t="s">
        <v>604</v>
      </c>
      <c r="G2212" s="68">
        <v>20.0</v>
      </c>
      <c r="H2212" s="69">
        <f t="shared" si="127"/>
        <v>17920</v>
      </c>
      <c r="I2212" s="89" t="s">
        <v>1044</v>
      </c>
      <c r="J2212" s="136" t="s">
        <v>1045</v>
      </c>
      <c r="K2212" s="95"/>
      <c r="L2212" s="95"/>
      <c r="M2212" s="95"/>
      <c r="N2212" s="153"/>
      <c r="O2212" s="140" t="s">
        <v>1648</v>
      </c>
      <c r="P2212" s="36"/>
      <c r="Q2212" s="36"/>
      <c r="R2212" s="36"/>
      <c r="S2212" s="36"/>
      <c r="T2212" s="36"/>
      <c r="U2212" s="36"/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</row>
    <row r="2213" ht="22.5" customHeight="1">
      <c r="A2213" s="86">
        <v>46092.0</v>
      </c>
      <c r="B2213" s="139" t="s">
        <v>27</v>
      </c>
      <c r="C2213" s="79"/>
      <c r="D2213" s="167">
        <v>382720.0</v>
      </c>
      <c r="E2213" s="66" t="s">
        <v>28</v>
      </c>
      <c r="F2213" s="67" t="s">
        <v>604</v>
      </c>
      <c r="G2213" s="68">
        <v>20.0</v>
      </c>
      <c r="H2213" s="69">
        <f t="shared" si="127"/>
        <v>63786.66667</v>
      </c>
      <c r="I2213" s="89" t="s">
        <v>1044</v>
      </c>
      <c r="J2213" s="136" t="s">
        <v>1045</v>
      </c>
      <c r="K2213" s="95"/>
      <c r="L2213" s="95"/>
      <c r="M2213" s="95"/>
      <c r="N2213" s="153"/>
      <c r="O2213" s="140" t="s">
        <v>1649</v>
      </c>
      <c r="P2213" s="36"/>
      <c r="Q2213" s="36"/>
      <c r="R2213" s="36"/>
      <c r="S2213" s="36"/>
      <c r="T2213" s="36"/>
      <c r="U2213" s="36"/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</row>
    <row r="2214" ht="22.5" customHeight="1">
      <c r="A2214" s="86">
        <v>46092.0</v>
      </c>
      <c r="B2214" s="139" t="s">
        <v>27</v>
      </c>
      <c r="C2214" s="79"/>
      <c r="D2214" s="167">
        <v>115200.0</v>
      </c>
      <c r="E2214" s="66" t="s">
        <v>28</v>
      </c>
      <c r="F2214" s="67" t="s">
        <v>604</v>
      </c>
      <c r="G2214" s="68">
        <v>20.0</v>
      </c>
      <c r="H2214" s="69">
        <f t="shared" si="127"/>
        <v>19200</v>
      </c>
      <c r="I2214" s="89" t="s">
        <v>1044</v>
      </c>
      <c r="J2214" s="136" t="s">
        <v>1045</v>
      </c>
      <c r="K2214" s="95"/>
      <c r="L2214" s="95"/>
      <c r="M2214" s="95"/>
      <c r="N2214" s="153"/>
      <c r="O2214" s="140" t="s">
        <v>1650</v>
      </c>
      <c r="P2214" s="36"/>
      <c r="Q2214" s="36"/>
      <c r="R2214" s="36"/>
      <c r="S2214" s="36"/>
      <c r="T2214" s="36"/>
      <c r="U2214" s="36"/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</row>
    <row r="2215" ht="22.5" customHeight="1">
      <c r="A2215" s="86">
        <v>46092.0</v>
      </c>
      <c r="B2215" s="139" t="s">
        <v>27</v>
      </c>
      <c r="C2215" s="79"/>
      <c r="D2215" s="167">
        <v>76800.0</v>
      </c>
      <c r="E2215" s="66" t="s">
        <v>28</v>
      </c>
      <c r="F2215" s="67" t="s">
        <v>604</v>
      </c>
      <c r="G2215" s="68">
        <v>20.0</v>
      </c>
      <c r="H2215" s="69">
        <f t="shared" si="127"/>
        <v>12800</v>
      </c>
      <c r="I2215" s="89" t="s">
        <v>1044</v>
      </c>
      <c r="J2215" s="136" t="s">
        <v>1045</v>
      </c>
      <c r="K2215" s="95"/>
      <c r="L2215" s="95"/>
      <c r="M2215" s="95"/>
      <c r="N2215" s="153"/>
      <c r="O2215" s="140" t="s">
        <v>1651</v>
      </c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</row>
    <row r="2216" ht="22.5" customHeight="1">
      <c r="A2216" s="86">
        <v>46092.0</v>
      </c>
      <c r="B2216" s="139" t="s">
        <v>27</v>
      </c>
      <c r="C2216" s="79"/>
      <c r="D2216" s="167">
        <v>220806.32</v>
      </c>
      <c r="E2216" s="66" t="s">
        <v>28</v>
      </c>
      <c r="F2216" s="67" t="s">
        <v>604</v>
      </c>
      <c r="G2216" s="68">
        <v>20.0</v>
      </c>
      <c r="H2216" s="69">
        <f t="shared" si="127"/>
        <v>36801.05333</v>
      </c>
      <c r="I2216" s="89" t="s">
        <v>1044</v>
      </c>
      <c r="J2216" s="98" t="s">
        <v>1575</v>
      </c>
      <c r="K2216" s="95"/>
      <c r="L2216" s="95"/>
      <c r="M2216" s="95"/>
      <c r="N2216" s="153"/>
      <c r="O2216" s="140" t="s">
        <v>1652</v>
      </c>
      <c r="P2216" s="36"/>
      <c r="Q2216" s="36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</row>
    <row r="2217" ht="22.5" customHeight="1">
      <c r="A2217" s="86">
        <v>46092.0</v>
      </c>
      <c r="B2217" s="137" t="s">
        <v>27</v>
      </c>
      <c r="C2217" s="79"/>
      <c r="D2217" s="167">
        <v>660813.84</v>
      </c>
      <c r="E2217" s="66" t="s">
        <v>28</v>
      </c>
      <c r="F2217" s="67" t="s">
        <v>604</v>
      </c>
      <c r="G2217" s="68">
        <v>20.0</v>
      </c>
      <c r="H2217" s="69">
        <f t="shared" si="127"/>
        <v>110135.64</v>
      </c>
      <c r="I2217" s="89" t="s">
        <v>1044</v>
      </c>
      <c r="J2217" s="98" t="s">
        <v>1514</v>
      </c>
      <c r="K2217" s="95"/>
      <c r="L2217" s="95"/>
      <c r="M2217" s="95"/>
      <c r="N2217" s="153"/>
      <c r="O2217" s="96"/>
      <c r="P2217" s="36"/>
      <c r="Q2217" s="36"/>
      <c r="R2217" s="36"/>
      <c r="S2217" s="36"/>
      <c r="T2217" s="36"/>
      <c r="U2217" s="36"/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</row>
    <row r="2218" ht="22.5" customHeight="1">
      <c r="A2218" s="86">
        <v>46092.0</v>
      </c>
      <c r="B2218" s="137" t="s">
        <v>27</v>
      </c>
      <c r="C2218" s="79"/>
      <c r="D2218" s="167">
        <v>1497029.4</v>
      </c>
      <c r="E2218" s="66" t="s">
        <v>28</v>
      </c>
      <c r="F2218" s="67" t="s">
        <v>604</v>
      </c>
      <c r="G2218" s="68">
        <v>20.0</v>
      </c>
      <c r="H2218" s="69">
        <f t="shared" si="127"/>
        <v>249504.9</v>
      </c>
      <c r="I2218" s="89" t="s">
        <v>1044</v>
      </c>
      <c r="J2218" s="98" t="s">
        <v>1514</v>
      </c>
      <c r="K2218" s="95"/>
      <c r="L2218" s="95"/>
      <c r="M2218" s="95"/>
      <c r="N2218" s="153"/>
      <c r="O2218" s="96"/>
      <c r="P2218" s="36"/>
      <c r="Q2218" s="36"/>
      <c r="R2218" s="36"/>
      <c r="S2218" s="36"/>
      <c r="T2218" s="36"/>
      <c r="U2218" s="36"/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</row>
    <row r="2219" ht="22.5" customHeight="1">
      <c r="A2219" s="86">
        <v>46092.0</v>
      </c>
      <c r="B2219" s="137" t="s">
        <v>27</v>
      </c>
      <c r="C2219" s="79"/>
      <c r="D2219" s="167">
        <v>426700.16</v>
      </c>
      <c r="E2219" s="66" t="s">
        <v>28</v>
      </c>
      <c r="F2219" s="67" t="s">
        <v>604</v>
      </c>
      <c r="G2219" s="68">
        <v>20.0</v>
      </c>
      <c r="H2219" s="69">
        <f t="shared" si="127"/>
        <v>71116.69333</v>
      </c>
      <c r="I2219" s="89" t="s">
        <v>61</v>
      </c>
      <c r="J2219" s="98" t="s">
        <v>1653</v>
      </c>
      <c r="K2219" s="95"/>
      <c r="L2219" s="95"/>
      <c r="M2219" s="95"/>
      <c r="N2219" s="153"/>
      <c r="O2219" s="140" t="s">
        <v>1654</v>
      </c>
      <c r="P2219" s="36"/>
      <c r="Q2219" s="36"/>
      <c r="R2219" s="36"/>
      <c r="S2219" s="36"/>
      <c r="T2219" s="36"/>
      <c r="U2219" s="36"/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</row>
    <row r="2220" ht="22.5" customHeight="1">
      <c r="A2220" s="86">
        <v>46092.0</v>
      </c>
      <c r="B2220" s="137" t="s">
        <v>27</v>
      </c>
      <c r="C2220" s="79"/>
      <c r="D2220" s="167">
        <v>87786.8</v>
      </c>
      <c r="E2220" s="66" t="s">
        <v>28</v>
      </c>
      <c r="F2220" s="67" t="s">
        <v>604</v>
      </c>
      <c r="G2220" s="68">
        <v>0.0</v>
      </c>
      <c r="H2220" s="69">
        <f t="shared" si="127"/>
        <v>0</v>
      </c>
      <c r="I2220" s="89" t="s">
        <v>101</v>
      </c>
      <c r="J2220" s="151" t="s">
        <v>1577</v>
      </c>
      <c r="K2220" s="95"/>
      <c r="L2220" s="95"/>
      <c r="M2220" s="95"/>
      <c r="N2220" s="153"/>
      <c r="O2220" s="140" t="s">
        <v>1655</v>
      </c>
      <c r="P2220" s="36"/>
      <c r="Q2220" s="36"/>
      <c r="R2220" s="36"/>
      <c r="S2220" s="36"/>
      <c r="T2220" s="36"/>
      <c r="U2220" s="36"/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</row>
    <row r="2221" ht="22.5" customHeight="1">
      <c r="A2221" s="86">
        <v>46092.0</v>
      </c>
      <c r="B2221" s="137" t="s">
        <v>27</v>
      </c>
      <c r="C2221" s="79"/>
      <c r="D2221" s="167">
        <v>22165.0</v>
      </c>
      <c r="E2221" s="66" t="s">
        <v>28</v>
      </c>
      <c r="F2221" s="67" t="s">
        <v>603</v>
      </c>
      <c r="G2221" s="68">
        <v>0.0</v>
      </c>
      <c r="H2221" s="69">
        <f t="shared" si="127"/>
        <v>0</v>
      </c>
      <c r="I2221" s="89" t="s">
        <v>30</v>
      </c>
      <c r="J2221" s="98" t="s">
        <v>1557</v>
      </c>
      <c r="K2221" s="95"/>
      <c r="L2221" s="95"/>
      <c r="M2221" s="95"/>
      <c r="N2221" s="153"/>
      <c r="O2221" s="140" t="s">
        <v>1656</v>
      </c>
      <c r="P2221" s="36"/>
      <c r="Q2221" s="36"/>
      <c r="R2221" s="36"/>
      <c r="S2221" s="36"/>
      <c r="T2221" s="36"/>
      <c r="U2221" s="36"/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</row>
    <row r="2222" ht="22.5" customHeight="1">
      <c r="A2222" s="86">
        <v>46092.0</v>
      </c>
      <c r="B2222" s="137" t="s">
        <v>27</v>
      </c>
      <c r="C2222" s="79"/>
      <c r="D2222" s="167">
        <v>366000.0</v>
      </c>
      <c r="E2222" s="66" t="s">
        <v>28</v>
      </c>
      <c r="F2222" s="67" t="s">
        <v>603</v>
      </c>
      <c r="G2222" s="68">
        <v>22.0</v>
      </c>
      <c r="H2222" s="69">
        <f t="shared" si="127"/>
        <v>66000</v>
      </c>
      <c r="I2222" s="89" t="s">
        <v>30</v>
      </c>
      <c r="J2222" s="98" t="s">
        <v>609</v>
      </c>
      <c r="K2222" s="95"/>
      <c r="L2222" s="95"/>
      <c r="M2222" s="95"/>
      <c r="N2222" s="153"/>
      <c r="O2222" s="140" t="s">
        <v>1657</v>
      </c>
      <c r="P2222" s="36"/>
      <c r="Q2222" s="36"/>
      <c r="R2222" s="36"/>
      <c r="S2222" s="36"/>
      <c r="T2222" s="36"/>
      <c r="U2222" s="36"/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</row>
    <row r="2223" ht="22.5" customHeight="1">
      <c r="A2223" s="86">
        <v>46092.0</v>
      </c>
      <c r="B2223" s="137" t="s">
        <v>27</v>
      </c>
      <c r="C2223" s="79"/>
      <c r="D2223" s="167">
        <v>127872.0</v>
      </c>
      <c r="E2223" s="66" t="s">
        <v>28</v>
      </c>
      <c r="F2223" s="67" t="s">
        <v>1099</v>
      </c>
      <c r="G2223" s="68">
        <v>20.0</v>
      </c>
      <c r="H2223" s="69">
        <f t="shared" si="127"/>
        <v>21312</v>
      </c>
      <c r="I2223" s="89" t="s">
        <v>1044</v>
      </c>
      <c r="J2223" s="136" t="s">
        <v>1045</v>
      </c>
      <c r="K2223" s="95"/>
      <c r="L2223" s="95"/>
      <c r="M2223" s="95"/>
      <c r="N2223" s="153"/>
      <c r="O2223" s="140" t="s">
        <v>1658</v>
      </c>
      <c r="P2223" s="36"/>
      <c r="Q2223" s="36"/>
      <c r="R2223" s="36"/>
      <c r="S2223" s="36"/>
      <c r="T2223" s="36"/>
      <c r="U2223" s="36"/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</row>
    <row r="2224" ht="22.5" customHeight="1">
      <c r="A2224" s="86">
        <v>46092.0</v>
      </c>
      <c r="B2224" s="137" t="s">
        <v>27</v>
      </c>
      <c r="C2224" s="79"/>
      <c r="D2224" s="167">
        <v>22516.4</v>
      </c>
      <c r="E2224" s="66" t="s">
        <v>28</v>
      </c>
      <c r="F2224" s="67" t="s">
        <v>1609</v>
      </c>
      <c r="G2224" s="68">
        <v>5.0</v>
      </c>
      <c r="H2224" s="69">
        <f t="shared" si="127"/>
        <v>1072.209524</v>
      </c>
      <c r="I2224" s="89" t="s">
        <v>495</v>
      </c>
      <c r="J2224" s="98" t="s">
        <v>1419</v>
      </c>
      <c r="K2224" s="95"/>
      <c r="L2224" s="95"/>
      <c r="M2224" s="95"/>
      <c r="N2224" s="153"/>
      <c r="O2224" s="140" t="s">
        <v>1659</v>
      </c>
      <c r="P2224" s="36"/>
      <c r="Q2224" s="36"/>
      <c r="R2224" s="36"/>
      <c r="S2224" s="36"/>
      <c r="T2224" s="36"/>
      <c r="U2224" s="36"/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</row>
    <row r="2225" ht="22.5" customHeight="1">
      <c r="A2225" s="86">
        <v>46092.0</v>
      </c>
      <c r="B2225" s="137" t="s">
        <v>27</v>
      </c>
      <c r="C2225" s="79"/>
      <c r="D2225" s="167">
        <v>2100.0</v>
      </c>
      <c r="E2225" s="66" t="s">
        <v>28</v>
      </c>
      <c r="F2225" s="67" t="s">
        <v>1609</v>
      </c>
      <c r="G2225" s="68">
        <v>5.0</v>
      </c>
      <c r="H2225" s="69">
        <f t="shared" si="127"/>
        <v>100</v>
      </c>
      <c r="I2225" s="89" t="s">
        <v>495</v>
      </c>
      <c r="J2225" s="98" t="s">
        <v>1419</v>
      </c>
      <c r="K2225" s="95"/>
      <c r="L2225" s="95"/>
      <c r="M2225" s="95"/>
      <c r="N2225" s="153"/>
      <c r="O2225" s="140" t="s">
        <v>1660</v>
      </c>
      <c r="P2225" s="36"/>
      <c r="Q2225" s="36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</row>
    <row r="2226" ht="22.5" customHeight="1">
      <c r="A2226" s="86">
        <v>46092.0</v>
      </c>
      <c r="B2226" s="137" t="s">
        <v>27</v>
      </c>
      <c r="C2226" s="79"/>
      <c r="D2226" s="167">
        <v>3530000.0</v>
      </c>
      <c r="E2226" s="66" t="s">
        <v>28</v>
      </c>
      <c r="F2226" s="67" t="s">
        <v>1609</v>
      </c>
      <c r="G2226" s="68">
        <v>0.0</v>
      </c>
      <c r="H2226" s="69">
        <f t="shared" si="127"/>
        <v>0</v>
      </c>
      <c r="I2226" s="89" t="s">
        <v>47</v>
      </c>
      <c r="J2226" s="81"/>
      <c r="K2226" s="95"/>
      <c r="L2226" s="95"/>
      <c r="M2226" s="95"/>
      <c r="N2226" s="153"/>
      <c r="O2226" s="96"/>
      <c r="P2226" s="36"/>
      <c r="Q2226" s="36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</row>
    <row r="2227" ht="22.5" customHeight="1">
      <c r="A2227" s="86">
        <v>46092.0</v>
      </c>
      <c r="B2227" s="137" t="s">
        <v>27</v>
      </c>
      <c r="C2227" s="79"/>
      <c r="D2227" s="167">
        <v>3572210.05</v>
      </c>
      <c r="E2227" s="147" t="s">
        <v>1346</v>
      </c>
      <c r="F2227" s="67" t="s">
        <v>1609</v>
      </c>
      <c r="G2227" s="68">
        <v>0.0</v>
      </c>
      <c r="H2227" s="69">
        <f t="shared" si="127"/>
        <v>0</v>
      </c>
      <c r="I2227" s="89" t="s">
        <v>1373</v>
      </c>
      <c r="J2227" s="98" t="s">
        <v>1661</v>
      </c>
      <c r="K2227" s="95"/>
      <c r="L2227" s="95"/>
      <c r="M2227" s="95"/>
      <c r="N2227" s="153"/>
      <c r="O2227" s="96"/>
      <c r="P2227" s="36"/>
      <c r="Q2227" s="36"/>
      <c r="R2227" s="36"/>
      <c r="S2227" s="36"/>
      <c r="T2227" s="36"/>
      <c r="U2227" s="36"/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</row>
    <row r="2228" ht="22.5" customHeight="1">
      <c r="A2228" s="86">
        <v>46092.0</v>
      </c>
      <c r="B2228" s="137" t="s">
        <v>27</v>
      </c>
      <c r="C2228" s="80">
        <v>3530000.0</v>
      </c>
      <c r="D2228" s="168"/>
      <c r="E2228" s="66" t="s">
        <v>1346</v>
      </c>
      <c r="F2228" s="67" t="s">
        <v>1609</v>
      </c>
      <c r="G2228" s="68">
        <v>0.0</v>
      </c>
      <c r="H2228" s="69">
        <f t="shared" si="127"/>
        <v>0</v>
      </c>
      <c r="I2228" s="89" t="s">
        <v>47</v>
      </c>
      <c r="J2228" s="81"/>
      <c r="K2228" s="95"/>
      <c r="L2228" s="95"/>
      <c r="M2228" s="95"/>
      <c r="N2228" s="153"/>
      <c r="O2228" s="96"/>
      <c r="P2228" s="36"/>
      <c r="Q2228" s="36"/>
      <c r="R2228" s="36"/>
      <c r="S2228" s="36"/>
      <c r="T2228" s="36"/>
      <c r="U2228" s="36"/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</row>
    <row r="2229" ht="22.5" customHeight="1">
      <c r="A2229" s="86">
        <v>46092.0</v>
      </c>
      <c r="B2229" s="137" t="s">
        <v>27</v>
      </c>
      <c r="C2229" s="79"/>
      <c r="D2229" s="167">
        <v>1230000.0</v>
      </c>
      <c r="E2229" s="66" t="s">
        <v>376</v>
      </c>
      <c r="F2229" s="67" t="s">
        <v>1609</v>
      </c>
      <c r="G2229" s="68">
        <v>0.0</v>
      </c>
      <c r="H2229" s="69">
        <f t="shared" si="127"/>
        <v>0</v>
      </c>
      <c r="I2229" s="89" t="s">
        <v>47</v>
      </c>
      <c r="J2229" s="81"/>
      <c r="K2229" s="95"/>
      <c r="L2229" s="95"/>
      <c r="M2229" s="95"/>
      <c r="N2229" s="153"/>
      <c r="O2229" s="96"/>
      <c r="P2229" s="36"/>
      <c r="Q2229" s="36"/>
      <c r="R2229" s="36"/>
      <c r="S2229" s="36"/>
      <c r="T2229" s="36"/>
      <c r="U2229" s="36"/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</row>
    <row r="2230" ht="22.5" customHeight="1">
      <c r="A2230" s="86">
        <v>46092.0</v>
      </c>
      <c r="B2230" s="137" t="s">
        <v>27</v>
      </c>
      <c r="C2230" s="80">
        <v>1230000.0</v>
      </c>
      <c r="D2230" s="168"/>
      <c r="E2230" s="66" t="s">
        <v>28</v>
      </c>
      <c r="F2230" s="67" t="s">
        <v>1609</v>
      </c>
      <c r="G2230" s="68">
        <v>0.0</v>
      </c>
      <c r="H2230" s="69">
        <f t="shared" si="127"/>
        <v>0</v>
      </c>
      <c r="I2230" s="89" t="s">
        <v>47</v>
      </c>
      <c r="J2230" s="81"/>
      <c r="K2230" s="95"/>
      <c r="L2230" s="95"/>
      <c r="M2230" s="95"/>
      <c r="N2230" s="153"/>
      <c r="O2230" s="96"/>
      <c r="P2230" s="36"/>
      <c r="Q2230" s="36"/>
      <c r="R2230" s="36"/>
      <c r="S2230" s="36"/>
      <c r="T2230" s="36"/>
      <c r="U2230" s="36"/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</row>
    <row r="2231" ht="22.5" customHeight="1">
      <c r="A2231" s="86">
        <v>46092.0</v>
      </c>
      <c r="B2231" s="137" t="s">
        <v>27</v>
      </c>
      <c r="C2231" s="79"/>
      <c r="D2231" s="167">
        <f>1700+40+40+1700+40+1700</f>
        <v>5220</v>
      </c>
      <c r="E2231" s="66" t="s">
        <v>376</v>
      </c>
      <c r="F2231" s="67" t="s">
        <v>1609</v>
      </c>
      <c r="G2231" s="68">
        <v>0.0</v>
      </c>
      <c r="H2231" s="69">
        <f t="shared" si="127"/>
        <v>0</v>
      </c>
      <c r="I2231" s="89" t="s">
        <v>294</v>
      </c>
      <c r="J2231" s="98" t="s">
        <v>1662</v>
      </c>
      <c r="K2231" s="95"/>
      <c r="L2231" s="95"/>
      <c r="M2231" s="95"/>
      <c r="N2231" s="153"/>
      <c r="O2231" s="96"/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</row>
    <row r="2232" ht="22.5" customHeight="1">
      <c r="A2232" s="86">
        <v>46092.0</v>
      </c>
      <c r="B2232" s="137" t="s">
        <v>27</v>
      </c>
      <c r="C2232" s="79"/>
      <c r="D2232" s="167">
        <v>23971.78</v>
      </c>
      <c r="E2232" s="66" t="s">
        <v>28</v>
      </c>
      <c r="F2232" s="67" t="s">
        <v>1609</v>
      </c>
      <c r="G2232" s="68">
        <v>22.0</v>
      </c>
      <c r="H2232" s="69">
        <f t="shared" si="127"/>
        <v>4322.78</v>
      </c>
      <c r="I2232" s="89" t="s">
        <v>495</v>
      </c>
      <c r="J2232" s="98" t="s">
        <v>910</v>
      </c>
      <c r="K2232" s="95"/>
      <c r="L2232" s="95"/>
      <c r="M2232" s="95"/>
      <c r="N2232" s="153"/>
      <c r="O2232" s="140" t="s">
        <v>1663</v>
      </c>
      <c r="P2232" s="36"/>
      <c r="Q2232" s="36"/>
      <c r="R2232" s="36"/>
      <c r="S2232" s="36"/>
      <c r="T2232" s="36"/>
      <c r="U2232" s="36"/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</row>
    <row r="2233" ht="22.5" customHeight="1">
      <c r="A2233" s="86">
        <v>46092.0</v>
      </c>
      <c r="B2233" s="137" t="s">
        <v>27</v>
      </c>
      <c r="C2233" s="79"/>
      <c r="D2233" s="167">
        <v>238920.0</v>
      </c>
      <c r="E2233" s="66" t="s">
        <v>28</v>
      </c>
      <c r="F2233" s="67" t="s">
        <v>1609</v>
      </c>
      <c r="G2233" s="68">
        <v>0.0</v>
      </c>
      <c r="H2233" s="68">
        <v>0.0</v>
      </c>
      <c r="I2233" s="89" t="s">
        <v>495</v>
      </c>
      <c r="J2233" s="98" t="s">
        <v>1563</v>
      </c>
      <c r="K2233" s="95"/>
      <c r="L2233" s="95"/>
      <c r="M2233" s="95"/>
      <c r="N2233" s="153"/>
      <c r="O2233" s="96"/>
      <c r="P2233" s="36"/>
      <c r="Q2233" s="36"/>
      <c r="R2233" s="36"/>
      <c r="S2233" s="36"/>
      <c r="T2233" s="36"/>
      <c r="U2233" s="36"/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</row>
    <row r="2234" ht="22.5" customHeight="1">
      <c r="A2234" s="86">
        <v>46092.0</v>
      </c>
      <c r="B2234" s="137" t="s">
        <v>27</v>
      </c>
      <c r="C2234" s="79"/>
      <c r="D2234" s="167">
        <v>550000.0</v>
      </c>
      <c r="E2234" s="66" t="s">
        <v>28</v>
      </c>
      <c r="F2234" s="67" t="s">
        <v>1531</v>
      </c>
      <c r="G2234" s="68">
        <v>0.0</v>
      </c>
      <c r="H2234" s="68">
        <v>0.0</v>
      </c>
      <c r="I2234" s="89" t="s">
        <v>504</v>
      </c>
      <c r="J2234" s="98" t="s">
        <v>1664</v>
      </c>
      <c r="K2234" s="95"/>
      <c r="L2234" s="95"/>
      <c r="M2234" s="95"/>
      <c r="N2234" s="153"/>
      <c r="O2234" s="140" t="s">
        <v>1665</v>
      </c>
      <c r="P2234" s="36"/>
      <c r="Q2234" s="36"/>
      <c r="R2234" s="36"/>
      <c r="S2234" s="36"/>
      <c r="T2234" s="36"/>
      <c r="U2234" s="36"/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</row>
    <row r="2235" ht="22.5" customHeight="1">
      <c r="A2235" s="86">
        <v>46092.0</v>
      </c>
      <c r="B2235" s="137" t="s">
        <v>27</v>
      </c>
      <c r="C2235" s="79"/>
      <c r="D2235" s="169">
        <v>40000.0</v>
      </c>
      <c r="E2235" s="170" t="s">
        <v>33</v>
      </c>
      <c r="F2235" s="67" t="s">
        <v>1531</v>
      </c>
      <c r="G2235" s="171">
        <v>0.0</v>
      </c>
      <c r="H2235" s="171">
        <f t="shared" ref="H2235:H2329" si="132">SUM(C2235:D2235)*G2235/(G2235+100)</f>
        <v>0</v>
      </c>
      <c r="I2235" s="172" t="s">
        <v>53</v>
      </c>
      <c r="J2235" s="173" t="s">
        <v>1326</v>
      </c>
      <c r="K2235" s="95"/>
      <c r="L2235" s="95"/>
      <c r="M2235" s="95"/>
      <c r="N2235" s="153"/>
      <c r="O2235" s="96"/>
      <c r="P2235" s="36"/>
      <c r="Q2235" s="36"/>
      <c r="R2235" s="36"/>
      <c r="S2235" s="36"/>
      <c r="T2235" s="36"/>
      <c r="U2235" s="36"/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</row>
    <row r="2236" ht="22.5" customHeight="1">
      <c r="A2236" s="86">
        <v>46092.0</v>
      </c>
      <c r="B2236" s="137" t="s">
        <v>27</v>
      </c>
      <c r="C2236" s="79"/>
      <c r="D2236" s="169">
        <v>15000.0</v>
      </c>
      <c r="E2236" s="174" t="s">
        <v>33</v>
      </c>
      <c r="F2236" s="67" t="s">
        <v>1531</v>
      </c>
      <c r="G2236" s="171">
        <v>0.0</v>
      </c>
      <c r="H2236" s="171">
        <f t="shared" si="132"/>
        <v>0</v>
      </c>
      <c r="I2236" s="175" t="s">
        <v>53</v>
      </c>
      <c r="J2236" s="176" t="s">
        <v>1327</v>
      </c>
      <c r="K2236" s="95"/>
      <c r="L2236" s="95"/>
      <c r="M2236" s="95"/>
      <c r="N2236" s="153"/>
      <c r="O2236" s="9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</row>
    <row r="2237" ht="22.5" customHeight="1">
      <c r="A2237" s="86">
        <v>46092.0</v>
      </c>
      <c r="B2237" s="137" t="s">
        <v>27</v>
      </c>
      <c r="C2237" s="79"/>
      <c r="D2237" s="169">
        <v>30000.0</v>
      </c>
      <c r="E2237" s="170" t="s">
        <v>33</v>
      </c>
      <c r="F2237" s="67" t="s">
        <v>1531</v>
      </c>
      <c r="G2237" s="171">
        <v>0.0</v>
      </c>
      <c r="H2237" s="171">
        <f t="shared" si="132"/>
        <v>0</v>
      </c>
      <c r="I2237" s="172" t="s">
        <v>53</v>
      </c>
      <c r="J2237" s="173" t="s">
        <v>1176</v>
      </c>
      <c r="K2237" s="95"/>
      <c r="L2237" s="95"/>
      <c r="M2237" s="95"/>
      <c r="N2237" s="153"/>
      <c r="O2237" s="9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</row>
    <row r="2238" ht="22.5" customHeight="1">
      <c r="A2238" s="86">
        <v>46092.0</v>
      </c>
      <c r="B2238" s="137" t="s">
        <v>27</v>
      </c>
      <c r="C2238" s="79"/>
      <c r="D2238" s="169">
        <v>15000.0</v>
      </c>
      <c r="E2238" s="174" t="s">
        <v>33</v>
      </c>
      <c r="F2238" s="67" t="s">
        <v>1531</v>
      </c>
      <c r="G2238" s="171">
        <v>0.0</v>
      </c>
      <c r="H2238" s="171">
        <f t="shared" si="132"/>
        <v>0</v>
      </c>
      <c r="I2238" s="175" t="s">
        <v>53</v>
      </c>
      <c r="J2238" s="176" t="s">
        <v>1175</v>
      </c>
      <c r="K2238" s="95"/>
      <c r="L2238" s="95"/>
      <c r="M2238" s="95"/>
      <c r="N2238" s="153"/>
      <c r="O2238" s="96"/>
      <c r="P2238" s="36"/>
      <c r="Q2238" s="36"/>
      <c r="R2238" s="36"/>
      <c r="S2238" s="36"/>
      <c r="T2238" s="36"/>
      <c r="U2238" s="36"/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</row>
    <row r="2239" ht="22.5" customHeight="1">
      <c r="A2239" s="86">
        <v>46092.0</v>
      </c>
      <c r="B2239" s="137" t="s">
        <v>27</v>
      </c>
      <c r="C2239" s="79"/>
      <c r="D2239" s="80">
        <v>7800.0</v>
      </c>
      <c r="E2239" s="66" t="s">
        <v>33</v>
      </c>
      <c r="F2239" s="67" t="s">
        <v>1531</v>
      </c>
      <c r="G2239" s="68">
        <v>0.0</v>
      </c>
      <c r="H2239" s="69">
        <f t="shared" si="132"/>
        <v>0</v>
      </c>
      <c r="I2239" s="89" t="s">
        <v>30</v>
      </c>
      <c r="J2239" s="98" t="s">
        <v>1666</v>
      </c>
      <c r="K2239" s="95"/>
      <c r="L2239" s="95"/>
      <c r="M2239" s="95"/>
      <c r="N2239" s="153"/>
      <c r="O2239" s="96"/>
      <c r="P2239" s="36"/>
      <c r="Q2239" s="36"/>
      <c r="R2239" s="36"/>
      <c r="S2239" s="36"/>
      <c r="T2239" s="36"/>
      <c r="U2239" s="36"/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</row>
    <row r="2240" ht="22.5" customHeight="1">
      <c r="A2240" s="86">
        <v>46092.0</v>
      </c>
      <c r="B2240" s="137" t="s">
        <v>27</v>
      </c>
      <c r="C2240" s="79"/>
      <c r="D2240" s="79">
        <f>12.64+2000+1500+35+1800+1800+140+2000+1500+(409.37-254.94)</f>
        <v>10942.07</v>
      </c>
      <c r="E2240" s="66" t="s">
        <v>1346</v>
      </c>
      <c r="F2240" s="67" t="s">
        <v>1609</v>
      </c>
      <c r="G2240" s="68">
        <v>0.0</v>
      </c>
      <c r="H2240" s="69">
        <f t="shared" si="132"/>
        <v>0</v>
      </c>
      <c r="I2240" s="89" t="s">
        <v>294</v>
      </c>
      <c r="J2240" s="98" t="s">
        <v>1667</v>
      </c>
      <c r="K2240" s="95"/>
      <c r="L2240" s="95"/>
      <c r="M2240" s="95"/>
      <c r="N2240" s="153"/>
      <c r="O2240" s="96"/>
      <c r="P2240" s="36"/>
      <c r="Q2240" s="36"/>
      <c r="R2240" s="36"/>
      <c r="S2240" s="36"/>
      <c r="T2240" s="36"/>
      <c r="U2240" s="36"/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</row>
    <row r="2241" ht="22.5" customHeight="1">
      <c r="A2241" s="86">
        <v>46094.0</v>
      </c>
      <c r="B2241" s="137" t="s">
        <v>27</v>
      </c>
      <c r="C2241" s="80">
        <v>1929600.0</v>
      </c>
      <c r="D2241" s="79"/>
      <c r="E2241" s="66" t="s">
        <v>28</v>
      </c>
      <c r="F2241" s="67" t="s">
        <v>1179</v>
      </c>
      <c r="G2241" s="68">
        <v>20.0</v>
      </c>
      <c r="H2241" s="69">
        <f t="shared" si="132"/>
        <v>321600</v>
      </c>
      <c r="I2241" s="76" t="s">
        <v>37</v>
      </c>
      <c r="J2241" s="98" t="s">
        <v>474</v>
      </c>
      <c r="K2241" s="82" t="s">
        <v>1242</v>
      </c>
      <c r="L2241" s="82">
        <v>380.0</v>
      </c>
      <c r="M2241" s="132">
        <v>45972.0</v>
      </c>
      <c r="N2241" s="153">
        <f t="shared" ref="N2241:N2242" si="133">TODAY()-M2241-60</f>
        <v>156</v>
      </c>
      <c r="O2241" s="96"/>
      <c r="P2241" s="36"/>
      <c r="Q2241" s="36"/>
      <c r="R2241" s="36"/>
      <c r="S2241" s="36"/>
      <c r="T2241" s="36"/>
      <c r="U2241" s="36"/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</row>
    <row r="2242" ht="22.5" customHeight="1">
      <c r="A2242" s="86">
        <v>46094.0</v>
      </c>
      <c r="B2242" s="137" t="s">
        <v>27</v>
      </c>
      <c r="C2242" s="80">
        <v>1974000.0</v>
      </c>
      <c r="D2242" s="79"/>
      <c r="E2242" s="66" t="s">
        <v>28</v>
      </c>
      <c r="F2242" s="67" t="s">
        <v>604</v>
      </c>
      <c r="G2242" s="68">
        <v>20.0</v>
      </c>
      <c r="H2242" s="69">
        <f t="shared" si="132"/>
        <v>329000</v>
      </c>
      <c r="I2242" s="89" t="s">
        <v>37</v>
      </c>
      <c r="J2242" s="87" t="s">
        <v>849</v>
      </c>
      <c r="K2242" s="82" t="s">
        <v>1401</v>
      </c>
      <c r="L2242" s="82">
        <v>8.0</v>
      </c>
      <c r="M2242" s="166">
        <v>46033.0</v>
      </c>
      <c r="N2242" s="153">
        <f t="shared" si="133"/>
        <v>95</v>
      </c>
      <c r="O2242" s="96"/>
      <c r="P2242" s="36"/>
      <c r="Q2242" s="36"/>
      <c r="R2242" s="36"/>
      <c r="S2242" s="36"/>
      <c r="T2242" s="36"/>
      <c r="U2242" s="36"/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</row>
    <row r="2243" ht="22.5" customHeight="1">
      <c r="A2243" s="86">
        <v>46094.0</v>
      </c>
      <c r="B2243" s="139" t="s">
        <v>27</v>
      </c>
      <c r="C2243" s="79"/>
      <c r="D2243" s="80">
        <v>589321.88</v>
      </c>
      <c r="E2243" s="66" t="s">
        <v>28</v>
      </c>
      <c r="F2243" s="67" t="s">
        <v>1511</v>
      </c>
      <c r="G2243" s="68">
        <v>0.0</v>
      </c>
      <c r="H2243" s="69">
        <f t="shared" si="132"/>
        <v>0</v>
      </c>
      <c r="I2243" s="76" t="s">
        <v>93</v>
      </c>
      <c r="J2243" s="158" t="s">
        <v>516</v>
      </c>
      <c r="K2243" s="95"/>
      <c r="L2243" s="95"/>
      <c r="M2243" s="95"/>
      <c r="N2243" s="153"/>
      <c r="O2243" s="140" t="s">
        <v>1668</v>
      </c>
      <c r="P2243" s="36"/>
      <c r="Q2243" s="36"/>
      <c r="R2243" s="36"/>
      <c r="S2243" s="36"/>
      <c r="T2243" s="36"/>
      <c r="U2243" s="36"/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</row>
    <row r="2244" ht="22.5" customHeight="1">
      <c r="A2244" s="86">
        <v>46094.0</v>
      </c>
      <c r="B2244" s="137" t="s">
        <v>27</v>
      </c>
      <c r="C2244" s="79"/>
      <c r="D2244" s="80">
        <v>105000.0</v>
      </c>
      <c r="E2244" s="66" t="s">
        <v>28</v>
      </c>
      <c r="F2244" s="67" t="s">
        <v>1609</v>
      </c>
      <c r="G2244" s="68">
        <v>0.0</v>
      </c>
      <c r="H2244" s="69">
        <f t="shared" si="132"/>
        <v>0</v>
      </c>
      <c r="I2244" s="89" t="s">
        <v>383</v>
      </c>
      <c r="J2244" s="98" t="s">
        <v>1669</v>
      </c>
      <c r="K2244" s="95"/>
      <c r="L2244" s="95"/>
      <c r="M2244" s="95"/>
      <c r="N2244" s="153"/>
      <c r="O2244" s="96"/>
      <c r="P2244" s="36"/>
      <c r="Q2244" s="36"/>
      <c r="R2244" s="36"/>
      <c r="S2244" s="36"/>
      <c r="T2244" s="36"/>
      <c r="U2244" s="36"/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</row>
    <row r="2245" ht="22.5" customHeight="1">
      <c r="A2245" s="86">
        <v>46094.0</v>
      </c>
      <c r="B2245" s="137" t="s">
        <v>27</v>
      </c>
      <c r="C2245" s="79"/>
      <c r="D2245" s="80">
        <v>20000.0</v>
      </c>
      <c r="E2245" s="66" t="s">
        <v>33</v>
      </c>
      <c r="F2245" s="67" t="s">
        <v>1531</v>
      </c>
      <c r="G2245" s="68">
        <v>0.0</v>
      </c>
      <c r="H2245" s="69">
        <f t="shared" si="132"/>
        <v>0</v>
      </c>
      <c r="I2245" s="89" t="s">
        <v>53</v>
      </c>
      <c r="J2245" s="98" t="s">
        <v>145</v>
      </c>
      <c r="K2245" s="95"/>
      <c r="L2245" s="95"/>
      <c r="M2245" s="95"/>
      <c r="N2245" s="153"/>
      <c r="O2245" s="96"/>
      <c r="P2245" s="36"/>
      <c r="Q2245" s="36"/>
      <c r="R2245" s="36"/>
      <c r="S2245" s="36"/>
      <c r="T2245" s="36"/>
      <c r="U2245" s="36"/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</row>
    <row r="2246" ht="22.5" customHeight="1">
      <c r="A2246" s="86">
        <v>46094.0</v>
      </c>
      <c r="B2246" s="137" t="s">
        <v>27</v>
      </c>
      <c r="C2246" s="79"/>
      <c r="D2246" s="80">
        <v>30000.0</v>
      </c>
      <c r="E2246" s="66" t="s">
        <v>33</v>
      </c>
      <c r="F2246" s="67" t="s">
        <v>1609</v>
      </c>
      <c r="G2246" s="68">
        <v>0.0</v>
      </c>
      <c r="H2246" s="69">
        <f t="shared" si="132"/>
        <v>0</v>
      </c>
      <c r="I2246" s="89" t="s">
        <v>53</v>
      </c>
      <c r="J2246" s="98" t="s">
        <v>128</v>
      </c>
      <c r="K2246" s="95"/>
      <c r="L2246" s="95"/>
      <c r="M2246" s="95"/>
      <c r="N2246" s="153"/>
      <c r="O2246" s="96"/>
      <c r="P2246" s="36"/>
      <c r="Q2246" s="36"/>
      <c r="R2246" s="36"/>
      <c r="S2246" s="36"/>
      <c r="T2246" s="36"/>
      <c r="U2246" s="36"/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</row>
    <row r="2247" ht="22.5" customHeight="1">
      <c r="A2247" s="86">
        <v>46094.0</v>
      </c>
      <c r="B2247" s="137" t="s">
        <v>27</v>
      </c>
      <c r="C2247" s="79"/>
      <c r="D2247" s="80">
        <v>46000.0</v>
      </c>
      <c r="E2247" s="66" t="s">
        <v>33</v>
      </c>
      <c r="F2247" s="67" t="s">
        <v>1609</v>
      </c>
      <c r="G2247" s="68">
        <v>0.0</v>
      </c>
      <c r="H2247" s="69">
        <f t="shared" si="132"/>
        <v>0</v>
      </c>
      <c r="I2247" s="89" t="s">
        <v>383</v>
      </c>
      <c r="J2247" s="98" t="s">
        <v>1670</v>
      </c>
      <c r="K2247" s="95"/>
      <c r="L2247" s="95"/>
      <c r="M2247" s="95"/>
      <c r="N2247" s="153"/>
      <c r="O2247" s="96"/>
      <c r="P2247" s="36"/>
      <c r="Q2247" s="36"/>
      <c r="R2247" s="36"/>
      <c r="S2247" s="36"/>
      <c r="T2247" s="36"/>
      <c r="U2247" s="36"/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</row>
    <row r="2248" ht="22.5" customHeight="1">
      <c r="A2248" s="86">
        <v>46097.0</v>
      </c>
      <c r="B2248" s="137" t="s">
        <v>27</v>
      </c>
      <c r="C2248" s="79"/>
      <c r="D2248" s="80">
        <v>45000.0</v>
      </c>
      <c r="E2248" s="66" t="s">
        <v>28</v>
      </c>
      <c r="F2248" s="67" t="s">
        <v>1609</v>
      </c>
      <c r="G2248" s="68">
        <v>0.0</v>
      </c>
      <c r="H2248" s="69">
        <f t="shared" si="132"/>
        <v>0</v>
      </c>
      <c r="I2248" s="89" t="s">
        <v>47</v>
      </c>
      <c r="J2248" s="81"/>
      <c r="K2248" s="95"/>
      <c r="L2248" s="95"/>
      <c r="M2248" s="95"/>
      <c r="N2248" s="153"/>
      <c r="O2248" s="96"/>
      <c r="P2248" s="36"/>
      <c r="Q2248" s="36"/>
      <c r="R2248" s="36"/>
      <c r="S2248" s="36"/>
      <c r="T2248" s="36"/>
      <c r="U2248" s="36"/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</row>
    <row r="2249" ht="22.5" customHeight="1">
      <c r="A2249" s="86">
        <v>46097.0</v>
      </c>
      <c r="B2249" s="137" t="s">
        <v>27</v>
      </c>
      <c r="C2249" s="80">
        <v>45000.0</v>
      </c>
      <c r="D2249" s="79"/>
      <c r="E2249" s="66" t="s">
        <v>1346</v>
      </c>
      <c r="F2249" s="67" t="s">
        <v>1609</v>
      </c>
      <c r="G2249" s="68">
        <v>0.0</v>
      </c>
      <c r="H2249" s="69">
        <f t="shared" si="132"/>
        <v>0</v>
      </c>
      <c r="I2249" s="89" t="s">
        <v>47</v>
      </c>
      <c r="J2249" s="81"/>
      <c r="K2249" s="95"/>
      <c r="L2249" s="95"/>
      <c r="M2249" s="95"/>
      <c r="N2249" s="153"/>
      <c r="O2249" s="96"/>
      <c r="P2249" s="36"/>
      <c r="Q2249" s="36"/>
      <c r="R2249" s="36"/>
      <c r="S2249" s="36"/>
      <c r="T2249" s="36"/>
      <c r="U2249" s="36"/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</row>
    <row r="2250" ht="22.5" customHeight="1">
      <c r="A2250" s="86">
        <v>46097.0</v>
      </c>
      <c r="B2250" s="137" t="s">
        <v>27</v>
      </c>
      <c r="C2250" s="79"/>
      <c r="D2250" s="80">
        <v>77707.8</v>
      </c>
      <c r="E2250" s="66" t="s">
        <v>1346</v>
      </c>
      <c r="F2250" s="67" t="s">
        <v>1609</v>
      </c>
      <c r="G2250" s="68">
        <v>0.0</v>
      </c>
      <c r="H2250" s="69">
        <f t="shared" si="132"/>
        <v>0</v>
      </c>
      <c r="I2250" s="89" t="s">
        <v>1373</v>
      </c>
      <c r="J2250" s="98" t="s">
        <v>1671</v>
      </c>
      <c r="K2250" s="95"/>
      <c r="L2250" s="95"/>
      <c r="M2250" s="95"/>
      <c r="N2250" s="153"/>
      <c r="O2250" s="96"/>
      <c r="P2250" s="36"/>
      <c r="Q2250" s="36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</row>
    <row r="2251" ht="22.5" customHeight="1">
      <c r="A2251" s="86">
        <v>46098.0</v>
      </c>
      <c r="B2251" s="137" t="s">
        <v>27</v>
      </c>
      <c r="C2251" s="79"/>
      <c r="D2251" s="79">
        <f>74470+1419.46</f>
        <v>75889.46</v>
      </c>
      <c r="E2251" s="66" t="s">
        <v>28</v>
      </c>
      <c r="F2251" s="67" t="s">
        <v>1531</v>
      </c>
      <c r="G2251" s="68">
        <v>0.0</v>
      </c>
      <c r="H2251" s="69">
        <f t="shared" si="132"/>
        <v>0</v>
      </c>
      <c r="I2251" s="89" t="s">
        <v>61</v>
      </c>
      <c r="J2251" s="98" t="s">
        <v>901</v>
      </c>
      <c r="K2251" s="95"/>
      <c r="L2251" s="95"/>
      <c r="M2251" s="95"/>
      <c r="N2251" s="153"/>
      <c r="O2251" s="96"/>
      <c r="P2251" s="36"/>
      <c r="Q2251" s="36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</row>
    <row r="2252" ht="22.5" customHeight="1">
      <c r="A2252" s="86">
        <v>46098.0</v>
      </c>
      <c r="B2252" s="137" t="s">
        <v>27</v>
      </c>
      <c r="C2252" s="79"/>
      <c r="D2252" s="80">
        <v>66733.78</v>
      </c>
      <c r="E2252" s="66" t="s">
        <v>28</v>
      </c>
      <c r="F2252" s="67" t="s">
        <v>1531</v>
      </c>
      <c r="G2252" s="68">
        <v>0.0</v>
      </c>
      <c r="H2252" s="69">
        <f t="shared" si="132"/>
        <v>0</v>
      </c>
      <c r="I2252" s="89" t="s">
        <v>61</v>
      </c>
      <c r="J2252" s="98" t="s">
        <v>1335</v>
      </c>
      <c r="K2252" s="95"/>
      <c r="L2252" s="95"/>
      <c r="M2252" s="95"/>
      <c r="N2252" s="153"/>
      <c r="O2252" s="96"/>
      <c r="P2252" s="36"/>
      <c r="Q2252" s="36"/>
      <c r="R2252" s="36"/>
      <c r="S2252" s="36"/>
      <c r="T2252" s="36"/>
      <c r="U2252" s="36"/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</row>
    <row r="2253" ht="22.5" customHeight="1">
      <c r="A2253" s="86">
        <v>46098.0</v>
      </c>
      <c r="B2253" s="137" t="s">
        <v>27</v>
      </c>
      <c r="C2253" s="79"/>
      <c r="D2253" s="80">
        <f>13138.09+316.66</f>
        <v>13454.75</v>
      </c>
      <c r="E2253" s="66" t="s">
        <v>28</v>
      </c>
      <c r="F2253" s="67" t="s">
        <v>1531</v>
      </c>
      <c r="G2253" s="68">
        <v>0.0</v>
      </c>
      <c r="H2253" s="69">
        <f t="shared" si="132"/>
        <v>0</v>
      </c>
      <c r="I2253" s="94" t="s">
        <v>622</v>
      </c>
      <c r="J2253" s="98" t="s">
        <v>1672</v>
      </c>
      <c r="K2253" s="95"/>
      <c r="L2253" s="95"/>
      <c r="M2253" s="95"/>
      <c r="N2253" s="153"/>
      <c r="O2253" s="96"/>
      <c r="P2253" s="36"/>
      <c r="Q2253" s="36"/>
      <c r="R2253" s="36"/>
      <c r="S2253" s="36"/>
      <c r="T2253" s="36"/>
      <c r="U2253" s="36"/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</row>
    <row r="2254" ht="22.5" customHeight="1">
      <c r="A2254" s="86">
        <v>46098.0</v>
      </c>
      <c r="B2254" s="137" t="s">
        <v>27</v>
      </c>
      <c r="C2254" s="79"/>
      <c r="D2254" s="80">
        <v>50000.0</v>
      </c>
      <c r="E2254" s="66" t="s">
        <v>33</v>
      </c>
      <c r="F2254" s="67" t="s">
        <v>1531</v>
      </c>
      <c r="G2254" s="68">
        <v>0.0</v>
      </c>
      <c r="H2254" s="69">
        <f t="shared" si="132"/>
        <v>0</v>
      </c>
      <c r="I2254" s="89" t="s">
        <v>53</v>
      </c>
      <c r="J2254" s="98" t="s">
        <v>1304</v>
      </c>
      <c r="K2254" s="95"/>
      <c r="L2254" s="95"/>
      <c r="M2254" s="95"/>
      <c r="N2254" s="153"/>
      <c r="O2254" s="96"/>
      <c r="P2254" s="36"/>
      <c r="Q2254" s="36"/>
      <c r="R2254" s="36"/>
      <c r="S2254" s="36"/>
      <c r="T2254" s="36"/>
      <c r="U2254" s="36"/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</row>
    <row r="2255" ht="22.5" customHeight="1">
      <c r="A2255" s="86">
        <v>46101.0</v>
      </c>
      <c r="B2255" s="137" t="s">
        <v>27</v>
      </c>
      <c r="C2255" s="80">
        <v>689270.4</v>
      </c>
      <c r="D2255" s="79"/>
      <c r="E2255" s="66" t="s">
        <v>28</v>
      </c>
      <c r="F2255" s="67" t="s">
        <v>604</v>
      </c>
      <c r="G2255" s="68">
        <v>20.0</v>
      </c>
      <c r="H2255" s="69">
        <f t="shared" si="132"/>
        <v>114878.4</v>
      </c>
      <c r="I2255" s="89" t="s">
        <v>37</v>
      </c>
      <c r="J2255" s="98" t="s">
        <v>1271</v>
      </c>
      <c r="K2255" s="82" t="s">
        <v>851</v>
      </c>
      <c r="L2255" s="82">
        <v>14.0</v>
      </c>
      <c r="M2255" s="166">
        <v>46035.0</v>
      </c>
      <c r="N2255" s="153">
        <f t="shared" ref="N2255:N2258" si="134">TODAY()-M2255-60</f>
        <v>93</v>
      </c>
      <c r="O2255" s="96"/>
      <c r="P2255" s="36"/>
      <c r="Q2255" s="36"/>
      <c r="R2255" s="36"/>
      <c r="S2255" s="36"/>
      <c r="T2255" s="36"/>
      <c r="U2255" s="36"/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</row>
    <row r="2256" ht="22.5" customHeight="1">
      <c r="A2256" s="86">
        <v>46101.0</v>
      </c>
      <c r="B2256" s="137" t="s">
        <v>27</v>
      </c>
      <c r="C2256" s="80">
        <v>1531799.64</v>
      </c>
      <c r="D2256" s="79"/>
      <c r="E2256" s="66" t="s">
        <v>28</v>
      </c>
      <c r="F2256" s="67" t="s">
        <v>604</v>
      </c>
      <c r="G2256" s="68">
        <v>20.0</v>
      </c>
      <c r="H2256" s="69">
        <f t="shared" si="132"/>
        <v>255299.94</v>
      </c>
      <c r="I2256" s="89" t="s">
        <v>37</v>
      </c>
      <c r="J2256" s="98" t="s">
        <v>1271</v>
      </c>
      <c r="K2256" s="82" t="s">
        <v>854</v>
      </c>
      <c r="L2256" s="82">
        <v>15.0</v>
      </c>
      <c r="M2256" s="166">
        <v>46035.0</v>
      </c>
      <c r="N2256" s="153">
        <f t="shared" si="134"/>
        <v>93</v>
      </c>
      <c r="O2256" s="96"/>
      <c r="P2256" s="36"/>
      <c r="Q2256" s="36"/>
      <c r="R2256" s="36"/>
      <c r="S2256" s="36"/>
      <c r="T2256" s="36"/>
      <c r="U2256" s="36"/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</row>
    <row r="2257" ht="22.5" customHeight="1">
      <c r="A2257" s="86">
        <v>46101.0</v>
      </c>
      <c r="B2257" s="137" t="s">
        <v>27</v>
      </c>
      <c r="C2257" s="80">
        <v>2714635.56</v>
      </c>
      <c r="D2257" s="79"/>
      <c r="E2257" s="66" t="s">
        <v>28</v>
      </c>
      <c r="F2257" s="67" t="s">
        <v>604</v>
      </c>
      <c r="G2257" s="68">
        <v>20.0</v>
      </c>
      <c r="H2257" s="69">
        <f t="shared" si="132"/>
        <v>452439.26</v>
      </c>
      <c r="I2257" s="89" t="s">
        <v>37</v>
      </c>
      <c r="J2257" s="98" t="s">
        <v>1271</v>
      </c>
      <c r="K2257" s="82" t="s">
        <v>855</v>
      </c>
      <c r="L2257" s="82">
        <v>16.0</v>
      </c>
      <c r="M2257" s="166">
        <v>46035.0</v>
      </c>
      <c r="N2257" s="153">
        <f t="shared" si="134"/>
        <v>93</v>
      </c>
      <c r="O2257" s="96"/>
      <c r="P2257" s="36"/>
      <c r="Q2257" s="36"/>
      <c r="R2257" s="36"/>
      <c r="S2257" s="36"/>
      <c r="T2257" s="36"/>
      <c r="U2257" s="36"/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</row>
    <row r="2258" ht="22.5" customHeight="1">
      <c r="A2258" s="86">
        <v>46101.0</v>
      </c>
      <c r="B2258" s="137" t="s">
        <v>27</v>
      </c>
      <c r="C2258" s="80">
        <v>600000.24</v>
      </c>
      <c r="D2258" s="79"/>
      <c r="E2258" s="66" t="s">
        <v>28</v>
      </c>
      <c r="F2258" s="67" t="s">
        <v>604</v>
      </c>
      <c r="G2258" s="68">
        <v>20.0</v>
      </c>
      <c r="H2258" s="69">
        <f t="shared" si="132"/>
        <v>100000.04</v>
      </c>
      <c r="I2258" s="89" t="s">
        <v>37</v>
      </c>
      <c r="J2258" s="98" t="s">
        <v>1271</v>
      </c>
      <c r="K2258" s="82" t="s">
        <v>850</v>
      </c>
      <c r="L2258" s="82">
        <v>17.0</v>
      </c>
      <c r="M2258" s="166">
        <v>46035.0</v>
      </c>
      <c r="N2258" s="153">
        <f t="shared" si="134"/>
        <v>93</v>
      </c>
      <c r="O2258" s="96"/>
      <c r="P2258" s="36"/>
      <c r="Q2258" s="36"/>
      <c r="R2258" s="36"/>
      <c r="S2258" s="36"/>
      <c r="T2258" s="36"/>
      <c r="U2258" s="36"/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</row>
    <row r="2259" ht="22.5" customHeight="1">
      <c r="A2259" s="86">
        <v>46105.0</v>
      </c>
      <c r="B2259" s="137" t="s">
        <v>27</v>
      </c>
      <c r="C2259" s="79"/>
      <c r="D2259" s="80">
        <v>51900.0</v>
      </c>
      <c r="E2259" s="66" t="s">
        <v>28</v>
      </c>
      <c r="F2259" s="67" t="s">
        <v>1609</v>
      </c>
      <c r="G2259" s="68">
        <v>0.0</v>
      </c>
      <c r="H2259" s="69">
        <f t="shared" si="132"/>
        <v>0</v>
      </c>
      <c r="I2259" s="89" t="s">
        <v>259</v>
      </c>
      <c r="J2259" s="98" t="s">
        <v>1602</v>
      </c>
      <c r="K2259" s="95"/>
      <c r="L2259" s="95"/>
      <c r="M2259" s="95"/>
      <c r="N2259" s="153"/>
      <c r="O2259" s="96"/>
      <c r="P2259" s="36"/>
      <c r="Q2259" s="36"/>
      <c r="R2259" s="36"/>
      <c r="S2259" s="36"/>
      <c r="T2259" s="36"/>
      <c r="U2259" s="36"/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</row>
    <row r="2260" ht="22.5" customHeight="1">
      <c r="A2260" s="86">
        <v>46105.0</v>
      </c>
      <c r="B2260" s="137" t="s">
        <v>27</v>
      </c>
      <c r="C2260" s="79"/>
      <c r="D2260" s="80">
        <v>148521.32</v>
      </c>
      <c r="E2260" s="66" t="s">
        <v>28</v>
      </c>
      <c r="F2260" s="67" t="s">
        <v>1609</v>
      </c>
      <c r="G2260" s="68">
        <v>0.0</v>
      </c>
      <c r="H2260" s="69">
        <f t="shared" si="132"/>
        <v>0</v>
      </c>
      <c r="I2260" s="89" t="s">
        <v>68</v>
      </c>
      <c r="J2260" s="98" t="s">
        <v>1673</v>
      </c>
      <c r="K2260" s="95"/>
      <c r="L2260" s="95"/>
      <c r="M2260" s="95"/>
      <c r="N2260" s="153"/>
      <c r="O2260" s="96"/>
      <c r="P2260" s="36"/>
      <c r="Q2260" s="36"/>
      <c r="R2260" s="36"/>
      <c r="S2260" s="36"/>
      <c r="T2260" s="36"/>
      <c r="U2260" s="36"/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</row>
    <row r="2261" ht="22.5" customHeight="1">
      <c r="A2261" s="86">
        <v>46105.0</v>
      </c>
      <c r="B2261" s="157" t="s">
        <v>27</v>
      </c>
      <c r="C2261" s="80">
        <v>600000.0</v>
      </c>
      <c r="D2261" s="80"/>
      <c r="E2261" s="66" t="s">
        <v>28</v>
      </c>
      <c r="F2261" s="67" t="s">
        <v>608</v>
      </c>
      <c r="G2261" s="68">
        <v>20.0</v>
      </c>
      <c r="H2261" s="69">
        <f t="shared" si="132"/>
        <v>100000</v>
      </c>
      <c r="I2261" s="76" t="s">
        <v>37</v>
      </c>
      <c r="J2261" s="98" t="s">
        <v>1167</v>
      </c>
      <c r="K2261" s="82" t="s">
        <v>1674</v>
      </c>
      <c r="L2261" s="82">
        <v>443.0</v>
      </c>
      <c r="M2261" s="128">
        <v>46000.0</v>
      </c>
      <c r="N2261" s="153">
        <f>TODAY()-M2261-90</f>
        <v>98</v>
      </c>
      <c r="O2261" s="96"/>
      <c r="P2261" s="36"/>
      <c r="Q2261" s="36"/>
      <c r="R2261" s="36"/>
      <c r="S2261" s="36"/>
      <c r="T2261" s="36"/>
      <c r="U2261" s="36"/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</row>
    <row r="2262" ht="22.5" customHeight="1">
      <c r="A2262" s="86">
        <v>46105.0</v>
      </c>
      <c r="B2262" s="139" t="s">
        <v>27</v>
      </c>
      <c r="C2262" s="79"/>
      <c r="D2262" s="80">
        <v>1533926.52</v>
      </c>
      <c r="E2262" s="66" t="s">
        <v>28</v>
      </c>
      <c r="F2262" s="84" t="s">
        <v>1160</v>
      </c>
      <c r="G2262" s="68">
        <v>0.0</v>
      </c>
      <c r="H2262" s="69">
        <f t="shared" si="132"/>
        <v>0</v>
      </c>
      <c r="I2262" s="76" t="s">
        <v>322</v>
      </c>
      <c r="J2262" s="98" t="s">
        <v>1271</v>
      </c>
      <c r="K2262" s="95"/>
      <c r="L2262" s="95"/>
      <c r="M2262" s="95"/>
      <c r="N2262" s="153"/>
      <c r="O2262" s="140" t="s">
        <v>1675</v>
      </c>
      <c r="P2262" s="36"/>
      <c r="Q2262" s="36"/>
      <c r="R2262" s="36"/>
      <c r="S2262" s="36"/>
      <c r="T2262" s="36"/>
      <c r="U2262" s="36"/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</row>
    <row r="2263" ht="22.5" customHeight="1">
      <c r="A2263" s="86">
        <v>46105.0</v>
      </c>
      <c r="B2263" s="137" t="s">
        <v>27</v>
      </c>
      <c r="C2263" s="80">
        <v>1220000.0</v>
      </c>
      <c r="D2263" s="79"/>
      <c r="E2263" s="66" t="s">
        <v>28</v>
      </c>
      <c r="F2263" s="67" t="s">
        <v>603</v>
      </c>
      <c r="G2263" s="68">
        <v>22.0</v>
      </c>
      <c r="H2263" s="69">
        <f t="shared" si="132"/>
        <v>220000</v>
      </c>
      <c r="I2263" s="89" t="s">
        <v>37</v>
      </c>
      <c r="J2263" s="98" t="s">
        <v>1271</v>
      </c>
      <c r="K2263" s="82" t="s">
        <v>852</v>
      </c>
      <c r="L2263" s="82">
        <v>44.0</v>
      </c>
      <c r="M2263" s="128">
        <v>46062.0</v>
      </c>
      <c r="N2263" s="153"/>
      <c r="O2263" s="9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</row>
    <row r="2264" ht="22.5" customHeight="1">
      <c r="A2264" s="86">
        <v>46105.0</v>
      </c>
      <c r="B2264" s="137" t="s">
        <v>27</v>
      </c>
      <c r="C2264" s="80">
        <v>313926.02999999997</v>
      </c>
      <c r="D2264" s="79"/>
      <c r="E2264" s="66" t="s">
        <v>28</v>
      </c>
      <c r="F2264" s="67" t="s">
        <v>603</v>
      </c>
      <c r="G2264" s="68">
        <v>22.0</v>
      </c>
      <c r="H2264" s="69">
        <f t="shared" si="132"/>
        <v>56609.61197</v>
      </c>
      <c r="I2264" s="89" t="s">
        <v>37</v>
      </c>
      <c r="J2264" s="98" t="s">
        <v>1271</v>
      </c>
      <c r="K2264" s="82" t="s">
        <v>756</v>
      </c>
      <c r="L2264" s="82">
        <v>46.0</v>
      </c>
      <c r="M2264" s="128">
        <v>46062.0</v>
      </c>
      <c r="N2264" s="153"/>
      <c r="O2264" s="96"/>
      <c r="P2264" s="36"/>
      <c r="Q2264" s="36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</row>
    <row r="2265" ht="22.5" customHeight="1">
      <c r="A2265" s="86">
        <v>46106.0</v>
      </c>
      <c r="B2265" s="137" t="s">
        <v>27</v>
      </c>
      <c r="C2265" s="79"/>
      <c r="D2265" s="79">
        <f>16025+367.45+1203487.2</f>
        <v>1219879.65</v>
      </c>
      <c r="E2265" s="66" t="s">
        <v>28</v>
      </c>
      <c r="F2265" s="67" t="s">
        <v>1609</v>
      </c>
      <c r="G2265" s="68">
        <v>0.0</v>
      </c>
      <c r="H2265" s="69">
        <f t="shared" si="132"/>
        <v>0</v>
      </c>
      <c r="I2265" s="89" t="s">
        <v>280</v>
      </c>
      <c r="J2265" s="81"/>
      <c r="K2265" s="95"/>
      <c r="L2265" s="95"/>
      <c r="M2265" s="95"/>
      <c r="N2265" s="153"/>
      <c r="O2265" s="96"/>
      <c r="P2265" s="36"/>
      <c r="Q2265" s="36"/>
      <c r="R2265" s="36"/>
      <c r="S2265" s="36"/>
      <c r="T2265" s="36"/>
      <c r="U2265" s="36"/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</row>
    <row r="2266" ht="22.5" customHeight="1">
      <c r="A2266" s="86">
        <v>46106.0</v>
      </c>
      <c r="B2266" s="137" t="s">
        <v>27</v>
      </c>
      <c r="C2266" s="79"/>
      <c r="D2266" s="80">
        <v>30000.0</v>
      </c>
      <c r="E2266" s="66" t="s">
        <v>33</v>
      </c>
      <c r="F2266" s="67" t="s">
        <v>603</v>
      </c>
      <c r="G2266" s="68">
        <v>0.0</v>
      </c>
      <c r="H2266" s="69">
        <f t="shared" si="132"/>
        <v>0</v>
      </c>
      <c r="I2266" s="89" t="s">
        <v>53</v>
      </c>
      <c r="J2266" s="98" t="s">
        <v>1676</v>
      </c>
      <c r="K2266" s="95"/>
      <c r="L2266" s="95"/>
      <c r="M2266" s="95"/>
      <c r="N2266" s="153"/>
      <c r="O2266" s="96"/>
      <c r="P2266" s="36"/>
      <c r="Q2266" s="36"/>
      <c r="R2266" s="36"/>
      <c r="S2266" s="36"/>
      <c r="T2266" s="36"/>
      <c r="U2266" s="36"/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</row>
    <row r="2267" ht="22.5" customHeight="1">
      <c r="A2267" s="86">
        <v>46106.0</v>
      </c>
      <c r="B2267" s="137" t="s">
        <v>27</v>
      </c>
      <c r="C2267" s="79"/>
      <c r="D2267" s="80">
        <v>30000.0</v>
      </c>
      <c r="E2267" s="66" t="s">
        <v>33</v>
      </c>
      <c r="F2267" s="67" t="s">
        <v>1531</v>
      </c>
      <c r="G2267" s="68">
        <v>0.0</v>
      </c>
      <c r="H2267" s="69">
        <f t="shared" si="132"/>
        <v>0</v>
      </c>
      <c r="I2267" s="89" t="s">
        <v>53</v>
      </c>
      <c r="J2267" s="98" t="s">
        <v>1676</v>
      </c>
      <c r="K2267" s="95"/>
      <c r="L2267" s="95"/>
      <c r="M2267" s="95"/>
      <c r="N2267" s="153"/>
      <c r="O2267" s="96"/>
      <c r="P2267" s="36"/>
      <c r="Q2267" s="36"/>
      <c r="R2267" s="36"/>
      <c r="S2267" s="36"/>
      <c r="T2267" s="36"/>
      <c r="U2267" s="36"/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</row>
    <row r="2268" ht="22.5" customHeight="1">
      <c r="A2268" s="86">
        <v>46106.0</v>
      </c>
      <c r="B2268" s="137" t="s">
        <v>27</v>
      </c>
      <c r="C2268" s="79"/>
      <c r="D2268" s="80">
        <v>30000.0</v>
      </c>
      <c r="E2268" s="66" t="s">
        <v>33</v>
      </c>
      <c r="F2268" s="67" t="s">
        <v>1609</v>
      </c>
      <c r="G2268" s="68">
        <v>0.0</v>
      </c>
      <c r="H2268" s="69">
        <f t="shared" si="132"/>
        <v>0</v>
      </c>
      <c r="I2268" s="89" t="s">
        <v>53</v>
      </c>
      <c r="J2268" s="98" t="s">
        <v>1676</v>
      </c>
      <c r="K2268" s="95"/>
      <c r="L2268" s="95"/>
      <c r="M2268" s="95"/>
      <c r="N2268" s="153"/>
      <c r="O2268" s="96"/>
      <c r="P2268" s="36"/>
      <c r="Q2268" s="36"/>
      <c r="R2268" s="36"/>
      <c r="S2268" s="36"/>
      <c r="T2268" s="36"/>
      <c r="U2268" s="36"/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</row>
    <row r="2269" ht="22.5" customHeight="1">
      <c r="A2269" s="86">
        <v>46106.0</v>
      </c>
      <c r="B2269" s="137" t="s">
        <v>27</v>
      </c>
      <c r="C2269" s="80">
        <v>854000.0</v>
      </c>
      <c r="D2269" s="79"/>
      <c r="E2269" s="66" t="s">
        <v>28</v>
      </c>
      <c r="F2269" s="67" t="s">
        <v>1531</v>
      </c>
      <c r="G2269" s="68">
        <v>22.0</v>
      </c>
      <c r="H2269" s="69">
        <f t="shared" si="132"/>
        <v>154000</v>
      </c>
      <c r="I2269" s="89" t="s">
        <v>37</v>
      </c>
      <c r="J2269" s="98" t="s">
        <v>605</v>
      </c>
      <c r="K2269" s="82" t="s">
        <v>994</v>
      </c>
      <c r="L2269" s="82">
        <v>54.0</v>
      </c>
      <c r="M2269" s="128">
        <v>46085.0</v>
      </c>
      <c r="N2269" s="153">
        <f>TODAY()-M2269-60</f>
        <v>43</v>
      </c>
      <c r="O2269" s="96"/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</row>
    <row r="2270" ht="22.5" customHeight="1">
      <c r="A2270" s="86">
        <v>46111.0</v>
      </c>
      <c r="B2270" s="137" t="s">
        <v>27</v>
      </c>
      <c r="C2270" s="79"/>
      <c r="D2270" s="80">
        <v>4273386.0</v>
      </c>
      <c r="E2270" s="66" t="s">
        <v>28</v>
      </c>
      <c r="F2270" s="67" t="s">
        <v>1453</v>
      </c>
      <c r="G2270" s="68">
        <v>0.0</v>
      </c>
      <c r="H2270" s="69">
        <f t="shared" si="132"/>
        <v>0</v>
      </c>
      <c r="I2270" s="89" t="s">
        <v>623</v>
      </c>
      <c r="J2270" s="81"/>
      <c r="K2270" s="95"/>
      <c r="L2270" s="95"/>
      <c r="M2270" s="95"/>
      <c r="N2270" s="153"/>
      <c r="O2270" s="96"/>
      <c r="P2270" s="36"/>
      <c r="Q2270" s="36"/>
      <c r="R2270" s="36"/>
      <c r="S2270" s="36"/>
      <c r="T2270" s="36"/>
      <c r="U2270" s="36"/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</row>
    <row r="2271" ht="22.5" customHeight="1">
      <c r="A2271" s="86">
        <v>46111.0</v>
      </c>
      <c r="B2271" s="137" t="s">
        <v>27</v>
      </c>
      <c r="C2271" s="79"/>
      <c r="D2271" s="80">
        <v>1958088.0</v>
      </c>
      <c r="E2271" s="66" t="s">
        <v>28</v>
      </c>
      <c r="F2271" s="67" t="s">
        <v>1453</v>
      </c>
      <c r="G2271" s="68">
        <v>0.0</v>
      </c>
      <c r="H2271" s="69">
        <f t="shared" si="132"/>
        <v>0</v>
      </c>
      <c r="I2271" s="89" t="s">
        <v>598</v>
      </c>
      <c r="J2271" s="81"/>
      <c r="K2271" s="95"/>
      <c r="L2271" s="95"/>
      <c r="M2271" s="95"/>
      <c r="N2271" s="153"/>
      <c r="O2271" s="96"/>
      <c r="P2271" s="36"/>
      <c r="Q2271" s="36"/>
      <c r="R2271" s="36"/>
      <c r="S2271" s="36"/>
      <c r="T2271" s="36"/>
      <c r="U2271" s="36"/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</row>
    <row r="2272" ht="22.5" customHeight="1">
      <c r="A2272" s="86">
        <v>46111.0</v>
      </c>
      <c r="B2272" s="137" t="s">
        <v>27</v>
      </c>
      <c r="C2272" s="79"/>
      <c r="D2272" s="80">
        <v>1436254.33</v>
      </c>
      <c r="E2272" s="66" t="s">
        <v>28</v>
      </c>
      <c r="F2272" s="67" t="s">
        <v>1609</v>
      </c>
      <c r="G2272" s="68">
        <v>0.0</v>
      </c>
      <c r="H2272" s="69">
        <f t="shared" si="132"/>
        <v>0</v>
      </c>
      <c r="I2272" s="89" t="s">
        <v>622</v>
      </c>
      <c r="J2272" s="81"/>
      <c r="K2272" s="95"/>
      <c r="L2272" s="95"/>
      <c r="M2272" s="95"/>
      <c r="N2272" s="153"/>
      <c r="O2272" s="96"/>
      <c r="P2272" s="36"/>
      <c r="Q2272" s="36"/>
      <c r="R2272" s="36"/>
      <c r="S2272" s="36"/>
      <c r="T2272" s="36"/>
      <c r="U2272" s="36"/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</row>
    <row r="2273" ht="22.5" customHeight="1">
      <c r="A2273" s="86">
        <v>46111.0</v>
      </c>
      <c r="B2273" s="137" t="s">
        <v>27</v>
      </c>
      <c r="C2273" s="79"/>
      <c r="D2273" s="80">
        <v>264693.0</v>
      </c>
      <c r="E2273" s="66" t="s">
        <v>28</v>
      </c>
      <c r="F2273" s="67" t="s">
        <v>1609</v>
      </c>
      <c r="G2273" s="68">
        <v>0.0</v>
      </c>
      <c r="H2273" s="69">
        <f t="shared" si="132"/>
        <v>0</v>
      </c>
      <c r="I2273" s="89" t="s">
        <v>599</v>
      </c>
      <c r="J2273" s="81"/>
      <c r="K2273" s="95"/>
      <c r="L2273" s="95"/>
      <c r="M2273" s="95"/>
      <c r="N2273" s="153"/>
      <c r="O2273" s="96"/>
      <c r="P2273" s="36"/>
      <c r="Q2273" s="36"/>
      <c r="R2273" s="36"/>
      <c r="S2273" s="36"/>
      <c r="T2273" s="36"/>
      <c r="U2273" s="36"/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</row>
    <row r="2274" ht="22.5" customHeight="1">
      <c r="A2274" s="86">
        <v>46111.0</v>
      </c>
      <c r="B2274" s="137" t="s">
        <v>27</v>
      </c>
      <c r="C2274" s="79"/>
      <c r="D2274" s="80">
        <v>39846.0</v>
      </c>
      <c r="E2274" s="66" t="s">
        <v>28</v>
      </c>
      <c r="F2274" s="67" t="s">
        <v>1453</v>
      </c>
      <c r="G2274" s="68">
        <v>0.0</v>
      </c>
      <c r="H2274" s="69">
        <f t="shared" si="132"/>
        <v>0</v>
      </c>
      <c r="I2274" s="89" t="s">
        <v>598</v>
      </c>
      <c r="J2274" s="81"/>
      <c r="K2274" s="95"/>
      <c r="L2274" s="95"/>
      <c r="M2274" s="95"/>
      <c r="N2274" s="153"/>
      <c r="O2274" s="96"/>
      <c r="P2274" s="36"/>
      <c r="Q2274" s="36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</row>
    <row r="2275" ht="22.5" customHeight="1">
      <c r="A2275" s="86">
        <v>46111.0</v>
      </c>
      <c r="B2275" s="137" t="s">
        <v>27</v>
      </c>
      <c r="C2275" s="79"/>
      <c r="D2275" s="80">
        <v>21000.0</v>
      </c>
      <c r="E2275" s="66" t="s">
        <v>28</v>
      </c>
      <c r="F2275" s="67" t="s">
        <v>1609</v>
      </c>
      <c r="G2275" s="68">
        <v>0.0</v>
      </c>
      <c r="H2275" s="69">
        <f t="shared" si="132"/>
        <v>0</v>
      </c>
      <c r="I2275" s="89" t="s">
        <v>35</v>
      </c>
      <c r="J2275" s="98" t="s">
        <v>1677</v>
      </c>
      <c r="K2275" s="95"/>
      <c r="L2275" s="95"/>
      <c r="M2275" s="95"/>
      <c r="N2275" s="153"/>
      <c r="O2275" s="96"/>
      <c r="P2275" s="36"/>
      <c r="Q2275" s="36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</row>
    <row r="2276" ht="22.5" customHeight="1">
      <c r="A2276" s="86">
        <v>46112.0</v>
      </c>
      <c r="B2276" s="137" t="s">
        <v>27</v>
      </c>
      <c r="C2276" s="80">
        <v>660000.0</v>
      </c>
      <c r="D2276" s="79"/>
      <c r="E2276" s="66" t="s">
        <v>28</v>
      </c>
      <c r="F2276" s="67" t="s">
        <v>608</v>
      </c>
      <c r="G2276" s="68">
        <v>20.0</v>
      </c>
      <c r="H2276" s="69">
        <f t="shared" si="132"/>
        <v>110000</v>
      </c>
      <c r="I2276" s="89" t="s">
        <v>37</v>
      </c>
      <c r="J2276" s="98" t="s">
        <v>944</v>
      </c>
      <c r="K2276" s="82" t="s">
        <v>1264</v>
      </c>
      <c r="L2276" s="82">
        <v>448.0</v>
      </c>
      <c r="M2276" s="132">
        <v>46003.0</v>
      </c>
      <c r="N2276" s="153">
        <f t="shared" ref="N2276:N2278" si="135">TODAY()-M2276-120</f>
        <v>65</v>
      </c>
      <c r="O2276" s="96"/>
      <c r="P2276" s="36"/>
      <c r="Q2276" s="36"/>
      <c r="R2276" s="36"/>
      <c r="S2276" s="36"/>
      <c r="T2276" s="36"/>
      <c r="U2276" s="36"/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</row>
    <row r="2277" ht="22.5" customHeight="1">
      <c r="A2277" s="86">
        <v>46112.0</v>
      </c>
      <c r="B2277" s="137" t="s">
        <v>27</v>
      </c>
      <c r="C2277" s="80">
        <v>957000.56</v>
      </c>
      <c r="D2277" s="79"/>
      <c r="E2277" s="66" t="s">
        <v>28</v>
      </c>
      <c r="F2277" s="67" t="s">
        <v>608</v>
      </c>
      <c r="G2277" s="68">
        <v>20.0</v>
      </c>
      <c r="H2277" s="69">
        <f t="shared" si="132"/>
        <v>159500.0933</v>
      </c>
      <c r="I2277" s="89" t="s">
        <v>37</v>
      </c>
      <c r="J2277" s="98" t="s">
        <v>944</v>
      </c>
      <c r="K2277" s="82" t="s">
        <v>1264</v>
      </c>
      <c r="L2277" s="82">
        <v>449.0</v>
      </c>
      <c r="M2277" s="132">
        <v>46003.0</v>
      </c>
      <c r="N2277" s="153">
        <f t="shared" si="135"/>
        <v>65</v>
      </c>
      <c r="O2277" s="96"/>
      <c r="P2277" s="36"/>
      <c r="Q2277" s="36"/>
      <c r="R2277" s="36"/>
      <c r="S2277" s="36"/>
      <c r="T2277" s="36"/>
      <c r="U2277" s="36"/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</row>
    <row r="2278" ht="22.5" customHeight="1">
      <c r="A2278" s="86">
        <v>46112.0</v>
      </c>
      <c r="B2278" s="137" t="s">
        <v>27</v>
      </c>
      <c r="C2278" s="80">
        <v>255000.0</v>
      </c>
      <c r="D2278" s="79"/>
      <c r="E2278" s="66" t="s">
        <v>28</v>
      </c>
      <c r="F2278" s="67" t="s">
        <v>608</v>
      </c>
      <c r="G2278" s="68">
        <v>20.0</v>
      </c>
      <c r="H2278" s="69">
        <f t="shared" si="132"/>
        <v>42500</v>
      </c>
      <c r="I2278" s="89" t="s">
        <v>37</v>
      </c>
      <c r="J2278" s="98" t="s">
        <v>944</v>
      </c>
      <c r="K2278" s="82" t="s">
        <v>1264</v>
      </c>
      <c r="L2278" s="82">
        <v>456.0</v>
      </c>
      <c r="M2278" s="132">
        <v>46006.0</v>
      </c>
      <c r="N2278" s="153">
        <f t="shared" si="135"/>
        <v>62</v>
      </c>
      <c r="O2278" s="96"/>
      <c r="P2278" s="36"/>
      <c r="Q2278" s="36"/>
      <c r="R2278" s="36"/>
      <c r="S2278" s="36"/>
      <c r="T2278" s="36"/>
      <c r="U2278" s="36"/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</row>
    <row r="2279" ht="22.5" customHeight="1">
      <c r="A2279" s="86">
        <v>46112.0</v>
      </c>
      <c r="B2279" s="137" t="s">
        <v>27</v>
      </c>
      <c r="C2279" s="80">
        <v>641720.0</v>
      </c>
      <c r="D2279" s="79"/>
      <c r="E2279" s="66" t="s">
        <v>28</v>
      </c>
      <c r="F2279" s="67" t="s">
        <v>1531</v>
      </c>
      <c r="G2279" s="68">
        <v>22.0</v>
      </c>
      <c r="H2279" s="69">
        <f t="shared" si="132"/>
        <v>115720</v>
      </c>
      <c r="I2279" s="89" t="s">
        <v>37</v>
      </c>
      <c r="J2279" s="98" t="s">
        <v>1678</v>
      </c>
      <c r="K2279" s="82" t="s">
        <v>1093</v>
      </c>
      <c r="L2279" s="82">
        <v>61.0</v>
      </c>
      <c r="M2279" s="128">
        <v>46092.0</v>
      </c>
      <c r="N2279" s="153"/>
      <c r="O2279" s="96"/>
      <c r="P2279" s="36"/>
      <c r="Q2279" s="36"/>
      <c r="R2279" s="36"/>
      <c r="S2279" s="36"/>
      <c r="T2279" s="36"/>
      <c r="U2279" s="36"/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</row>
    <row r="2280" ht="22.5" customHeight="1">
      <c r="A2280" s="86">
        <v>46112.0</v>
      </c>
      <c r="B2280" s="137" t="s">
        <v>27</v>
      </c>
      <c r="C2280" s="80">
        <v>1220427.0</v>
      </c>
      <c r="D2280" s="79"/>
      <c r="E2280" s="66" t="s">
        <v>28</v>
      </c>
      <c r="F2280" s="67" t="s">
        <v>1531</v>
      </c>
      <c r="G2280" s="68">
        <v>22.0</v>
      </c>
      <c r="H2280" s="69">
        <f t="shared" si="132"/>
        <v>220077</v>
      </c>
      <c r="I2280" s="89" t="s">
        <v>37</v>
      </c>
      <c r="J2280" s="98" t="s">
        <v>1678</v>
      </c>
      <c r="K2280" s="82" t="s">
        <v>844</v>
      </c>
      <c r="L2280" s="82">
        <v>62.0</v>
      </c>
      <c r="M2280" s="128">
        <v>46092.0</v>
      </c>
      <c r="N2280" s="153"/>
      <c r="O2280" s="96"/>
      <c r="P2280" s="36"/>
      <c r="Q2280" s="36"/>
      <c r="R2280" s="36"/>
      <c r="S2280" s="36"/>
      <c r="T2280" s="36"/>
      <c r="U2280" s="36"/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</row>
    <row r="2281" ht="22.5" customHeight="1">
      <c r="A2281" s="86">
        <v>46112.0</v>
      </c>
      <c r="B2281" s="137" t="s">
        <v>27</v>
      </c>
      <c r="C2281" s="80">
        <v>1278691.27</v>
      </c>
      <c r="D2281" s="79"/>
      <c r="E2281" s="66" t="s">
        <v>28</v>
      </c>
      <c r="F2281" s="67" t="s">
        <v>1531</v>
      </c>
      <c r="G2281" s="68">
        <v>22.0</v>
      </c>
      <c r="H2281" s="69">
        <f t="shared" si="132"/>
        <v>230583.6716</v>
      </c>
      <c r="I2281" s="89" t="s">
        <v>37</v>
      </c>
      <c r="J2281" s="98" t="s">
        <v>1678</v>
      </c>
      <c r="K2281" s="82" t="s">
        <v>808</v>
      </c>
      <c r="L2281" s="82">
        <v>63.0</v>
      </c>
      <c r="M2281" s="128">
        <v>46092.0</v>
      </c>
      <c r="N2281" s="153"/>
      <c r="O2281" s="96"/>
      <c r="P2281" s="36"/>
      <c r="Q2281" s="36"/>
      <c r="R2281" s="36"/>
      <c r="S2281" s="36"/>
      <c r="T2281" s="36"/>
      <c r="U2281" s="36"/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</row>
    <row r="2282" ht="22.5" customHeight="1">
      <c r="A2282" s="86">
        <v>46112.0</v>
      </c>
      <c r="B2282" s="137" t="s">
        <v>27</v>
      </c>
      <c r="C2282" s="80">
        <v>142076.81</v>
      </c>
      <c r="D2282" s="79"/>
      <c r="E2282" s="66" t="s">
        <v>28</v>
      </c>
      <c r="F2282" s="67" t="s">
        <v>1531</v>
      </c>
      <c r="G2282" s="68">
        <v>22.0</v>
      </c>
      <c r="H2282" s="69">
        <f t="shared" si="132"/>
        <v>25620.40836</v>
      </c>
      <c r="I2282" s="89" t="s">
        <v>37</v>
      </c>
      <c r="J2282" s="98" t="s">
        <v>1678</v>
      </c>
      <c r="K2282" s="82" t="s">
        <v>808</v>
      </c>
      <c r="L2282" s="82">
        <v>67.0</v>
      </c>
      <c r="M2282" s="128">
        <v>46092.0</v>
      </c>
      <c r="N2282" s="153"/>
      <c r="O2282" s="96"/>
      <c r="P2282" s="36"/>
      <c r="Q2282" s="36"/>
      <c r="R2282" s="36"/>
      <c r="S2282" s="36"/>
      <c r="T2282" s="36"/>
      <c r="U2282" s="36"/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</row>
    <row r="2283" ht="22.5" customHeight="1">
      <c r="A2283" s="86">
        <v>46113.0</v>
      </c>
      <c r="B2283" s="137" t="s">
        <v>27</v>
      </c>
      <c r="C2283" s="80">
        <v>819000.0</v>
      </c>
      <c r="D2283" s="79"/>
      <c r="E2283" s="66" t="s">
        <v>28</v>
      </c>
      <c r="F2283" s="67" t="s">
        <v>604</v>
      </c>
      <c r="G2283" s="68">
        <v>20.0</v>
      </c>
      <c r="H2283" s="69">
        <f t="shared" si="132"/>
        <v>136500</v>
      </c>
      <c r="I2283" s="89" t="s">
        <v>37</v>
      </c>
      <c r="J2283" s="98" t="s">
        <v>1529</v>
      </c>
      <c r="K2283" s="82" t="s">
        <v>1679</v>
      </c>
      <c r="L2283" s="82">
        <v>19.0</v>
      </c>
      <c r="M2283" s="166">
        <v>46037.0</v>
      </c>
      <c r="N2283" s="153">
        <f>TODAY()-M2283-60</f>
        <v>91</v>
      </c>
      <c r="O2283" s="96"/>
      <c r="P2283" s="36"/>
      <c r="Q2283" s="36"/>
      <c r="R2283" s="36"/>
      <c r="S2283" s="36"/>
      <c r="T2283" s="36"/>
      <c r="U2283" s="36"/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</row>
    <row r="2284" ht="22.5" customHeight="1">
      <c r="A2284" s="86">
        <v>46113.0</v>
      </c>
      <c r="B2284" s="137" t="s">
        <v>27</v>
      </c>
      <c r="C2284" s="79"/>
      <c r="D2284" s="80">
        <v>150000.0</v>
      </c>
      <c r="E2284" s="66" t="s">
        <v>33</v>
      </c>
      <c r="F2284" s="67" t="s">
        <v>1680</v>
      </c>
      <c r="G2284" s="68">
        <v>0.0</v>
      </c>
      <c r="H2284" s="69">
        <f t="shared" si="132"/>
        <v>0</v>
      </c>
      <c r="I2284" s="89" t="s">
        <v>65</v>
      </c>
      <c r="J2284" s="98" t="s">
        <v>147</v>
      </c>
      <c r="K2284" s="95"/>
      <c r="L2284" s="95"/>
      <c r="M2284" s="95"/>
      <c r="N2284" s="153"/>
      <c r="O2284" s="96"/>
      <c r="P2284" s="36"/>
      <c r="Q2284" s="36"/>
      <c r="R2284" s="36"/>
      <c r="S2284" s="36"/>
      <c r="T2284" s="36"/>
      <c r="U2284" s="36"/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</row>
    <row r="2285" ht="22.5" customHeight="1">
      <c r="A2285" s="86">
        <v>46113.0</v>
      </c>
      <c r="B2285" s="137" t="s">
        <v>27</v>
      </c>
      <c r="C2285" s="79"/>
      <c r="D2285" s="80">
        <v>50000.0</v>
      </c>
      <c r="E2285" s="66" t="s">
        <v>33</v>
      </c>
      <c r="F2285" s="67" t="s">
        <v>1609</v>
      </c>
      <c r="G2285" s="68">
        <v>0.0</v>
      </c>
      <c r="H2285" s="69">
        <f t="shared" si="132"/>
        <v>0</v>
      </c>
      <c r="I2285" s="89" t="s">
        <v>53</v>
      </c>
      <c r="J2285" s="98" t="s">
        <v>1347</v>
      </c>
      <c r="K2285" s="95"/>
      <c r="L2285" s="95"/>
      <c r="M2285" s="95"/>
      <c r="N2285" s="153"/>
      <c r="O2285" s="96"/>
      <c r="P2285" s="36"/>
      <c r="Q2285" s="36"/>
      <c r="R2285" s="36"/>
      <c r="S2285" s="36"/>
      <c r="T2285" s="36"/>
      <c r="U2285" s="36"/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</row>
    <row r="2286" ht="22.5" customHeight="1">
      <c r="A2286" s="86">
        <v>46113.0</v>
      </c>
      <c r="B2286" s="137" t="s">
        <v>27</v>
      </c>
      <c r="C2286" s="79"/>
      <c r="D2286" s="80">
        <v>20000.0</v>
      </c>
      <c r="E2286" s="66" t="s">
        <v>33</v>
      </c>
      <c r="F2286" s="67" t="s">
        <v>1609</v>
      </c>
      <c r="G2286" s="68">
        <v>0.0</v>
      </c>
      <c r="H2286" s="69">
        <f t="shared" si="132"/>
        <v>0</v>
      </c>
      <c r="I2286" s="89" t="s">
        <v>53</v>
      </c>
      <c r="J2286" s="98" t="s">
        <v>147</v>
      </c>
      <c r="K2286" s="95"/>
      <c r="L2286" s="95"/>
      <c r="M2286" s="95"/>
      <c r="N2286" s="153"/>
      <c r="O2286" s="96"/>
      <c r="P2286" s="36"/>
      <c r="Q2286" s="36"/>
      <c r="R2286" s="36"/>
      <c r="S2286" s="36"/>
      <c r="T2286" s="36"/>
      <c r="U2286" s="36"/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</row>
    <row r="2287" ht="22.5" customHeight="1">
      <c r="A2287" s="86">
        <v>46113.0</v>
      </c>
      <c r="B2287" s="137" t="s">
        <v>27</v>
      </c>
      <c r="C2287" s="79"/>
      <c r="D2287" s="80">
        <v>80000.0</v>
      </c>
      <c r="E2287" s="66" t="s">
        <v>33</v>
      </c>
      <c r="F2287" s="67" t="s">
        <v>1609</v>
      </c>
      <c r="G2287" s="68">
        <v>0.0</v>
      </c>
      <c r="H2287" s="69">
        <f t="shared" si="132"/>
        <v>0</v>
      </c>
      <c r="I2287" s="89" t="s">
        <v>53</v>
      </c>
      <c r="J2287" s="98" t="s">
        <v>467</v>
      </c>
      <c r="K2287" s="95"/>
      <c r="L2287" s="95"/>
      <c r="M2287" s="95"/>
      <c r="N2287" s="153"/>
      <c r="O2287" s="96"/>
      <c r="P2287" s="36"/>
      <c r="Q2287" s="36"/>
      <c r="R2287" s="36"/>
      <c r="S2287" s="36"/>
      <c r="T2287" s="36"/>
      <c r="U2287" s="36"/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</row>
    <row r="2288" ht="22.5" customHeight="1">
      <c r="A2288" s="86">
        <v>46113.0</v>
      </c>
      <c r="B2288" s="137" t="s">
        <v>27</v>
      </c>
      <c r="C2288" s="79"/>
      <c r="D2288" s="80">
        <v>6900.0</v>
      </c>
      <c r="E2288" s="66" t="s">
        <v>28</v>
      </c>
      <c r="F2288" s="67" t="s">
        <v>1680</v>
      </c>
      <c r="G2288" s="68">
        <v>0.0</v>
      </c>
      <c r="H2288" s="69">
        <f t="shared" si="132"/>
        <v>0</v>
      </c>
      <c r="I2288" s="89" t="s">
        <v>294</v>
      </c>
      <c r="J2288" s="98" t="s">
        <v>724</v>
      </c>
      <c r="K2288" s="95"/>
      <c r="L2288" s="95"/>
      <c r="M2288" s="95"/>
      <c r="N2288" s="153"/>
      <c r="O2288" s="96"/>
      <c r="P2288" s="36"/>
      <c r="Q2288" s="36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</row>
    <row r="2289" ht="22.5" customHeight="1">
      <c r="A2289" s="86">
        <v>46114.0</v>
      </c>
      <c r="B2289" s="137" t="s">
        <v>27</v>
      </c>
      <c r="C2289" s="79"/>
      <c r="D2289" s="80">
        <v>399487.83</v>
      </c>
      <c r="E2289" s="66" t="s">
        <v>28</v>
      </c>
      <c r="F2289" s="67" t="s">
        <v>603</v>
      </c>
      <c r="G2289" s="68">
        <v>22.0</v>
      </c>
      <c r="H2289" s="69">
        <f t="shared" si="132"/>
        <v>72038.78902</v>
      </c>
      <c r="I2289" s="76" t="s">
        <v>101</v>
      </c>
      <c r="J2289" s="151" t="s">
        <v>1515</v>
      </c>
      <c r="K2289" s="95"/>
      <c r="L2289" s="95"/>
      <c r="M2289" s="95"/>
      <c r="N2289" s="153"/>
      <c r="O2289" s="140" t="s">
        <v>1681</v>
      </c>
      <c r="P2289" s="36"/>
      <c r="Q2289" s="36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</row>
    <row r="2290" ht="22.5" customHeight="1">
      <c r="A2290" s="86">
        <v>46114.0</v>
      </c>
      <c r="B2290" s="137" t="s">
        <v>27</v>
      </c>
      <c r="C2290" s="79"/>
      <c r="D2290" s="80">
        <v>15000.0</v>
      </c>
      <c r="E2290" s="66" t="s">
        <v>33</v>
      </c>
      <c r="F2290" s="67" t="s">
        <v>1609</v>
      </c>
      <c r="G2290" s="68">
        <v>0.0</v>
      </c>
      <c r="H2290" s="69">
        <f t="shared" si="132"/>
        <v>0</v>
      </c>
      <c r="I2290" s="89" t="s">
        <v>53</v>
      </c>
      <c r="J2290" s="98" t="s">
        <v>128</v>
      </c>
      <c r="K2290" s="95"/>
      <c r="L2290" s="95"/>
      <c r="M2290" s="95"/>
      <c r="N2290" s="153"/>
      <c r="O2290" s="96"/>
      <c r="P2290" s="36"/>
      <c r="Q2290" s="36"/>
      <c r="R2290" s="36"/>
      <c r="S2290" s="36"/>
      <c r="T2290" s="36"/>
      <c r="U2290" s="36"/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</row>
    <row r="2291" ht="22.5" customHeight="1">
      <c r="A2291" s="86">
        <v>46114.0</v>
      </c>
      <c r="B2291" s="137" t="s">
        <v>27</v>
      </c>
      <c r="C2291" s="79"/>
      <c r="D2291" s="80">
        <v>15000.0</v>
      </c>
      <c r="E2291" s="66" t="s">
        <v>33</v>
      </c>
      <c r="F2291" s="67" t="s">
        <v>1680</v>
      </c>
      <c r="G2291" s="68">
        <v>0.0</v>
      </c>
      <c r="H2291" s="69">
        <f t="shared" si="132"/>
        <v>0</v>
      </c>
      <c r="I2291" s="89" t="s">
        <v>30</v>
      </c>
      <c r="J2291" s="98" t="s">
        <v>1682</v>
      </c>
      <c r="K2291" s="95"/>
      <c r="L2291" s="95"/>
      <c r="M2291" s="95"/>
      <c r="N2291" s="153"/>
      <c r="O2291" s="96"/>
      <c r="P2291" s="36"/>
      <c r="Q2291" s="36"/>
      <c r="R2291" s="36"/>
      <c r="S2291" s="36"/>
      <c r="T2291" s="36"/>
      <c r="U2291" s="36"/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</row>
    <row r="2292" ht="22.5" customHeight="1">
      <c r="A2292" s="86">
        <v>46114.0</v>
      </c>
      <c r="B2292" s="137" t="s">
        <v>27</v>
      </c>
      <c r="C2292" s="79"/>
      <c r="D2292" s="80">
        <v>20000.0</v>
      </c>
      <c r="E2292" s="66" t="s">
        <v>33</v>
      </c>
      <c r="F2292" s="67" t="s">
        <v>1609</v>
      </c>
      <c r="G2292" s="68">
        <v>0.0</v>
      </c>
      <c r="H2292" s="69">
        <f t="shared" si="132"/>
        <v>0</v>
      </c>
      <c r="I2292" s="89" t="s">
        <v>495</v>
      </c>
      <c r="J2292" s="98" t="s">
        <v>1458</v>
      </c>
      <c r="K2292" s="95"/>
      <c r="L2292" s="95"/>
      <c r="M2292" s="95"/>
      <c r="N2292" s="153"/>
      <c r="O2292" s="96"/>
      <c r="P2292" s="36"/>
      <c r="Q2292" s="36"/>
      <c r="R2292" s="36"/>
      <c r="S2292" s="36"/>
      <c r="T2292" s="36"/>
      <c r="U2292" s="36"/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</row>
    <row r="2293" ht="22.5" customHeight="1">
      <c r="A2293" s="86">
        <v>46115.0</v>
      </c>
      <c r="B2293" s="137" t="s">
        <v>27</v>
      </c>
      <c r="C2293" s="80">
        <v>900000.0</v>
      </c>
      <c r="D2293" s="79"/>
      <c r="E2293" s="66" t="s">
        <v>28</v>
      </c>
      <c r="F2293" s="67" t="s">
        <v>604</v>
      </c>
      <c r="G2293" s="68">
        <v>20.0</v>
      </c>
      <c r="H2293" s="69">
        <f t="shared" si="132"/>
        <v>150000</v>
      </c>
      <c r="I2293" s="89" t="s">
        <v>37</v>
      </c>
      <c r="J2293" s="98" t="s">
        <v>675</v>
      </c>
      <c r="K2293" s="82" t="s">
        <v>1078</v>
      </c>
      <c r="L2293" s="82">
        <v>1.0</v>
      </c>
      <c r="M2293" s="166">
        <v>46028.0</v>
      </c>
      <c r="N2293" s="153">
        <f t="shared" ref="N2293:N2298" si="136">TODAY()-M2293-60</f>
        <v>100</v>
      </c>
      <c r="O2293" s="96"/>
      <c r="P2293" s="36"/>
      <c r="Q2293" s="36"/>
      <c r="R2293" s="36"/>
      <c r="S2293" s="36"/>
      <c r="T2293" s="36"/>
      <c r="U2293" s="36"/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</row>
    <row r="2294" ht="22.5" customHeight="1">
      <c r="A2294" s="86">
        <v>46115.0</v>
      </c>
      <c r="B2294" s="137" t="s">
        <v>27</v>
      </c>
      <c r="C2294" s="80">
        <v>1200000.0</v>
      </c>
      <c r="D2294" s="79"/>
      <c r="E2294" s="66" t="s">
        <v>28</v>
      </c>
      <c r="F2294" s="67" t="s">
        <v>604</v>
      </c>
      <c r="G2294" s="68">
        <v>20.0</v>
      </c>
      <c r="H2294" s="69">
        <f t="shared" si="132"/>
        <v>200000</v>
      </c>
      <c r="I2294" s="89" t="s">
        <v>37</v>
      </c>
      <c r="J2294" s="98" t="s">
        <v>675</v>
      </c>
      <c r="K2294" s="82" t="s">
        <v>1061</v>
      </c>
      <c r="L2294" s="82">
        <v>2.0</v>
      </c>
      <c r="M2294" s="166">
        <v>46028.0</v>
      </c>
      <c r="N2294" s="153">
        <f t="shared" si="136"/>
        <v>100</v>
      </c>
      <c r="O2294" s="96"/>
      <c r="P2294" s="36"/>
      <c r="Q2294" s="36"/>
      <c r="R2294" s="36"/>
      <c r="S2294" s="36"/>
      <c r="T2294" s="36"/>
      <c r="U2294" s="36"/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</row>
    <row r="2295" ht="22.5" customHeight="1">
      <c r="A2295" s="86">
        <v>46115.0</v>
      </c>
      <c r="B2295" s="137" t="s">
        <v>27</v>
      </c>
      <c r="C2295" s="80">
        <v>780000.0</v>
      </c>
      <c r="D2295" s="79"/>
      <c r="E2295" s="66" t="s">
        <v>28</v>
      </c>
      <c r="F2295" s="67" t="s">
        <v>604</v>
      </c>
      <c r="G2295" s="68">
        <v>20.0</v>
      </c>
      <c r="H2295" s="69">
        <f t="shared" si="132"/>
        <v>130000</v>
      </c>
      <c r="I2295" s="89" t="s">
        <v>37</v>
      </c>
      <c r="J2295" s="98" t="s">
        <v>675</v>
      </c>
      <c r="K2295" s="82" t="s">
        <v>1192</v>
      </c>
      <c r="L2295" s="82">
        <v>3.0</v>
      </c>
      <c r="M2295" s="166">
        <v>46028.0</v>
      </c>
      <c r="N2295" s="153">
        <f t="shared" si="136"/>
        <v>100</v>
      </c>
      <c r="O2295" s="96"/>
      <c r="P2295" s="36"/>
      <c r="Q2295" s="36"/>
      <c r="R2295" s="36"/>
      <c r="S2295" s="36"/>
      <c r="T2295" s="36"/>
      <c r="U2295" s="36"/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</row>
    <row r="2296" ht="22.5" customHeight="1">
      <c r="A2296" s="86">
        <v>46115.0</v>
      </c>
      <c r="B2296" s="137" t="s">
        <v>27</v>
      </c>
      <c r="C2296" s="80">
        <v>1200000.0</v>
      </c>
      <c r="D2296" s="79"/>
      <c r="E2296" s="66" t="s">
        <v>28</v>
      </c>
      <c r="F2296" s="67" t="s">
        <v>604</v>
      </c>
      <c r="G2296" s="68">
        <v>20.0</v>
      </c>
      <c r="H2296" s="69">
        <f t="shared" si="132"/>
        <v>200000</v>
      </c>
      <c r="I2296" s="89" t="s">
        <v>37</v>
      </c>
      <c r="J2296" s="98" t="s">
        <v>675</v>
      </c>
      <c r="K2296" s="82" t="s">
        <v>1013</v>
      </c>
      <c r="L2296" s="82">
        <v>4.0</v>
      </c>
      <c r="M2296" s="166">
        <v>46028.0</v>
      </c>
      <c r="N2296" s="153">
        <f t="shared" si="136"/>
        <v>100</v>
      </c>
      <c r="O2296" s="96"/>
      <c r="P2296" s="36"/>
      <c r="Q2296" s="36"/>
      <c r="R2296" s="36"/>
      <c r="S2296" s="36"/>
      <c r="T2296" s="36"/>
      <c r="U2296" s="36"/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</row>
    <row r="2297" ht="22.5" customHeight="1">
      <c r="A2297" s="86">
        <v>46115.0</v>
      </c>
      <c r="B2297" s="137" t="s">
        <v>27</v>
      </c>
      <c r="C2297" s="80">
        <v>1200000.0</v>
      </c>
      <c r="D2297" s="79"/>
      <c r="E2297" s="66" t="s">
        <v>28</v>
      </c>
      <c r="F2297" s="67" t="s">
        <v>604</v>
      </c>
      <c r="G2297" s="68">
        <v>20.0</v>
      </c>
      <c r="H2297" s="69">
        <f t="shared" si="132"/>
        <v>200000</v>
      </c>
      <c r="I2297" s="89" t="s">
        <v>37</v>
      </c>
      <c r="J2297" s="98" t="s">
        <v>675</v>
      </c>
      <c r="K2297" s="82" t="s">
        <v>1076</v>
      </c>
      <c r="L2297" s="82">
        <v>5.0</v>
      </c>
      <c r="M2297" s="166">
        <v>46028.0</v>
      </c>
      <c r="N2297" s="153">
        <f t="shared" si="136"/>
        <v>100</v>
      </c>
      <c r="O2297" s="96"/>
      <c r="P2297" s="36"/>
      <c r="Q2297" s="36"/>
      <c r="R2297" s="36"/>
      <c r="S2297" s="36"/>
      <c r="T2297" s="36"/>
      <c r="U2297" s="36"/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</row>
    <row r="2298" ht="22.5" customHeight="1">
      <c r="A2298" s="86">
        <v>46115.0</v>
      </c>
      <c r="B2298" s="137" t="s">
        <v>27</v>
      </c>
      <c r="C2298" s="80">
        <v>1200000.0</v>
      </c>
      <c r="D2298" s="79"/>
      <c r="E2298" s="66" t="s">
        <v>28</v>
      </c>
      <c r="F2298" s="67" t="s">
        <v>604</v>
      </c>
      <c r="G2298" s="68">
        <v>20.0</v>
      </c>
      <c r="H2298" s="69">
        <f t="shared" si="132"/>
        <v>200000</v>
      </c>
      <c r="I2298" s="89" t="s">
        <v>37</v>
      </c>
      <c r="J2298" s="98" t="s">
        <v>675</v>
      </c>
      <c r="K2298" s="82" t="s">
        <v>1077</v>
      </c>
      <c r="L2298" s="82">
        <v>6.0</v>
      </c>
      <c r="M2298" s="166">
        <v>46028.0</v>
      </c>
      <c r="N2298" s="153">
        <f t="shared" si="136"/>
        <v>100</v>
      </c>
      <c r="O2298" s="96"/>
      <c r="P2298" s="36"/>
      <c r="Q2298" s="36"/>
      <c r="R2298" s="36"/>
      <c r="S2298" s="36"/>
      <c r="T2298" s="36"/>
      <c r="U2298" s="36"/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</row>
    <row r="2299" ht="22.5" customHeight="1">
      <c r="A2299" s="86">
        <v>46115.0</v>
      </c>
      <c r="B2299" s="137" t="s">
        <v>27</v>
      </c>
      <c r="C2299" s="79"/>
      <c r="D2299" s="80">
        <v>15000.0</v>
      </c>
      <c r="E2299" s="66" t="s">
        <v>33</v>
      </c>
      <c r="F2299" s="67" t="s">
        <v>1609</v>
      </c>
      <c r="G2299" s="68">
        <v>0.0</v>
      </c>
      <c r="H2299" s="69">
        <f t="shared" si="132"/>
        <v>0</v>
      </c>
      <c r="I2299" s="89" t="s">
        <v>53</v>
      </c>
      <c r="J2299" s="98" t="s">
        <v>1175</v>
      </c>
      <c r="K2299" s="95"/>
      <c r="L2299" s="95"/>
      <c r="M2299" s="95"/>
      <c r="N2299" s="153"/>
      <c r="O2299" s="96"/>
      <c r="P2299" s="36"/>
      <c r="Q2299" s="36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</row>
    <row r="2300" ht="22.5" customHeight="1">
      <c r="A2300" s="86">
        <v>46115.0</v>
      </c>
      <c r="B2300" s="137" t="s">
        <v>27</v>
      </c>
      <c r="C2300" s="79"/>
      <c r="D2300" s="80">
        <v>30000.0</v>
      </c>
      <c r="E2300" s="66" t="s">
        <v>33</v>
      </c>
      <c r="F2300" s="67" t="s">
        <v>1609</v>
      </c>
      <c r="G2300" s="68">
        <v>0.0</v>
      </c>
      <c r="H2300" s="69">
        <f t="shared" si="132"/>
        <v>0</v>
      </c>
      <c r="I2300" s="89" t="s">
        <v>53</v>
      </c>
      <c r="J2300" s="98" t="s">
        <v>1176</v>
      </c>
      <c r="K2300" s="95"/>
      <c r="L2300" s="95"/>
      <c r="M2300" s="95"/>
      <c r="N2300" s="153"/>
      <c r="O2300" s="9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</row>
    <row r="2301" ht="22.5" customHeight="1">
      <c r="A2301" s="86">
        <v>46115.0</v>
      </c>
      <c r="B2301" s="137" t="s">
        <v>27</v>
      </c>
      <c r="C2301" s="79"/>
      <c r="D2301" s="80">
        <v>85000.0</v>
      </c>
      <c r="E2301" s="66" t="s">
        <v>33</v>
      </c>
      <c r="F2301" s="67" t="s">
        <v>1609</v>
      </c>
      <c r="G2301" s="68">
        <v>0.0</v>
      </c>
      <c r="H2301" s="69">
        <f t="shared" si="132"/>
        <v>0</v>
      </c>
      <c r="I2301" s="89" t="s">
        <v>65</v>
      </c>
      <c r="J2301" s="98" t="s">
        <v>1683</v>
      </c>
      <c r="K2301" s="95"/>
      <c r="L2301" s="95"/>
      <c r="M2301" s="95"/>
      <c r="N2301" s="153"/>
      <c r="O2301" s="96"/>
      <c r="P2301" s="36"/>
      <c r="Q2301" s="36"/>
      <c r="R2301" s="36"/>
      <c r="S2301" s="36"/>
      <c r="T2301" s="36"/>
      <c r="U2301" s="36"/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</row>
    <row r="2302" ht="22.5" customHeight="1">
      <c r="A2302" s="86">
        <v>46115.0</v>
      </c>
      <c r="B2302" s="137" t="s">
        <v>27</v>
      </c>
      <c r="C2302" s="79"/>
      <c r="D2302" s="80">
        <v>50000.0</v>
      </c>
      <c r="E2302" s="66" t="s">
        <v>33</v>
      </c>
      <c r="F2302" s="67" t="s">
        <v>1609</v>
      </c>
      <c r="G2302" s="68">
        <v>0.0</v>
      </c>
      <c r="H2302" s="69">
        <f t="shared" si="132"/>
        <v>0</v>
      </c>
      <c r="I2302" s="89" t="s">
        <v>53</v>
      </c>
      <c r="J2302" s="98" t="s">
        <v>1304</v>
      </c>
      <c r="K2302" s="95"/>
      <c r="L2302" s="95"/>
      <c r="M2302" s="95"/>
      <c r="N2302" s="153"/>
      <c r="O2302" s="96"/>
      <c r="P2302" s="36"/>
      <c r="Q2302" s="36"/>
      <c r="R2302" s="36"/>
      <c r="S2302" s="36"/>
      <c r="T2302" s="36"/>
      <c r="U2302" s="36"/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</row>
    <row r="2303" ht="22.5" customHeight="1">
      <c r="A2303" s="86">
        <v>46118.0</v>
      </c>
      <c r="B2303" s="137" t="s">
        <v>27</v>
      </c>
      <c r="C2303" s="79"/>
      <c r="D2303" s="80">
        <v>12000.0</v>
      </c>
      <c r="E2303" s="66" t="s">
        <v>33</v>
      </c>
      <c r="F2303" s="67" t="s">
        <v>1680</v>
      </c>
      <c r="G2303" s="68">
        <v>0.0</v>
      </c>
      <c r="H2303" s="69">
        <f t="shared" si="132"/>
        <v>0</v>
      </c>
      <c r="I2303" s="89" t="s">
        <v>490</v>
      </c>
      <c r="J2303" s="98" t="s">
        <v>1684</v>
      </c>
      <c r="K2303" s="95"/>
      <c r="L2303" s="95"/>
      <c r="M2303" s="95"/>
      <c r="N2303" s="153"/>
      <c r="O2303" s="96"/>
      <c r="P2303" s="36"/>
      <c r="Q2303" s="36"/>
      <c r="R2303" s="36"/>
      <c r="S2303" s="36"/>
      <c r="T2303" s="36"/>
      <c r="U2303" s="36"/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</row>
    <row r="2304" ht="22.5" customHeight="1">
      <c r="A2304" s="86">
        <v>46118.0</v>
      </c>
      <c r="B2304" s="137" t="s">
        <v>27</v>
      </c>
      <c r="C2304" s="79"/>
      <c r="D2304" s="80">
        <v>182225.0</v>
      </c>
      <c r="E2304" s="66" t="s">
        <v>28</v>
      </c>
      <c r="F2304" s="67" t="s">
        <v>1609</v>
      </c>
      <c r="G2304" s="68">
        <v>0.0</v>
      </c>
      <c r="H2304" s="69">
        <f t="shared" si="132"/>
        <v>0</v>
      </c>
      <c r="I2304" s="89" t="s">
        <v>599</v>
      </c>
      <c r="J2304" s="81"/>
      <c r="K2304" s="95"/>
      <c r="L2304" s="95"/>
      <c r="M2304" s="95"/>
      <c r="N2304" s="153"/>
      <c r="O2304" s="96"/>
      <c r="P2304" s="36"/>
      <c r="Q2304" s="36"/>
      <c r="R2304" s="36"/>
      <c r="S2304" s="36"/>
      <c r="T2304" s="36"/>
      <c r="U2304" s="36"/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</row>
    <row r="2305" ht="22.5" customHeight="1">
      <c r="A2305" s="86">
        <v>46118.0</v>
      </c>
      <c r="B2305" s="137" t="s">
        <v>27</v>
      </c>
      <c r="C2305" s="79"/>
      <c r="D2305" s="80">
        <v>33303.99</v>
      </c>
      <c r="E2305" s="66" t="s">
        <v>28</v>
      </c>
      <c r="F2305" s="67" t="s">
        <v>1609</v>
      </c>
      <c r="G2305" s="68">
        <v>0.0</v>
      </c>
      <c r="H2305" s="69">
        <f t="shared" si="132"/>
        <v>0</v>
      </c>
      <c r="I2305" s="89" t="s">
        <v>68</v>
      </c>
      <c r="J2305" s="81"/>
      <c r="K2305" s="95"/>
      <c r="L2305" s="95"/>
      <c r="M2305" s="95"/>
      <c r="N2305" s="153"/>
      <c r="O2305" s="96"/>
      <c r="P2305" s="36"/>
      <c r="Q2305" s="36"/>
      <c r="R2305" s="36"/>
      <c r="S2305" s="36"/>
      <c r="T2305" s="36"/>
      <c r="U2305" s="36"/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</row>
    <row r="2306" ht="22.5" customHeight="1">
      <c r="A2306" s="86">
        <v>46119.0</v>
      </c>
      <c r="B2306" s="137" t="s">
        <v>27</v>
      </c>
      <c r="C2306" s="80">
        <v>312122.75</v>
      </c>
      <c r="D2306" s="79"/>
      <c r="E2306" s="66" t="s">
        <v>28</v>
      </c>
      <c r="F2306" s="67" t="s">
        <v>604</v>
      </c>
      <c r="G2306" s="68">
        <v>20.0</v>
      </c>
      <c r="H2306" s="69">
        <f t="shared" si="132"/>
        <v>52020.45833</v>
      </c>
      <c r="I2306" s="89" t="s">
        <v>37</v>
      </c>
      <c r="J2306" s="98" t="s">
        <v>627</v>
      </c>
      <c r="K2306" s="82" t="s">
        <v>852</v>
      </c>
      <c r="L2306" s="82">
        <v>34.0</v>
      </c>
      <c r="M2306" s="128">
        <v>46042.0</v>
      </c>
      <c r="N2306" s="153">
        <f t="shared" ref="N2306:N2307" si="137">TODAY()-M2306-60</f>
        <v>86</v>
      </c>
      <c r="O2306" s="96"/>
      <c r="P2306" s="36"/>
      <c r="Q2306" s="36"/>
      <c r="R2306" s="36"/>
      <c r="S2306" s="36"/>
      <c r="T2306" s="36"/>
      <c r="U2306" s="36"/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</row>
    <row r="2307" ht="22.5" customHeight="1">
      <c r="A2307" s="86">
        <v>46119.0</v>
      </c>
      <c r="B2307" s="137" t="s">
        <v>27</v>
      </c>
      <c r="C2307" s="80">
        <v>503385.95</v>
      </c>
      <c r="D2307" s="79"/>
      <c r="E2307" s="66" t="s">
        <v>28</v>
      </c>
      <c r="F2307" s="67" t="s">
        <v>604</v>
      </c>
      <c r="G2307" s="68">
        <v>20.0</v>
      </c>
      <c r="H2307" s="69">
        <f t="shared" si="132"/>
        <v>83897.65833</v>
      </c>
      <c r="I2307" s="89" t="s">
        <v>37</v>
      </c>
      <c r="J2307" s="98" t="s">
        <v>627</v>
      </c>
      <c r="K2307" s="82" t="s">
        <v>854</v>
      </c>
      <c r="L2307" s="82">
        <v>35.0</v>
      </c>
      <c r="M2307" s="128">
        <v>46042.0</v>
      </c>
      <c r="N2307" s="153">
        <f t="shared" si="137"/>
        <v>86</v>
      </c>
      <c r="O2307" s="96"/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</row>
    <row r="2308" ht="22.5" customHeight="1">
      <c r="A2308" s="86">
        <v>46120.0</v>
      </c>
      <c r="B2308" s="137" t="s">
        <v>27</v>
      </c>
      <c r="C2308" s="79"/>
      <c r="D2308" s="80">
        <v>40000.0</v>
      </c>
      <c r="E2308" s="66" t="s">
        <v>33</v>
      </c>
      <c r="F2308" s="67" t="s">
        <v>1609</v>
      </c>
      <c r="G2308" s="68">
        <v>0.0</v>
      </c>
      <c r="H2308" s="69">
        <f t="shared" si="132"/>
        <v>0</v>
      </c>
      <c r="I2308" s="89" t="s">
        <v>53</v>
      </c>
      <c r="J2308" s="98" t="s">
        <v>1326</v>
      </c>
      <c r="K2308" s="95"/>
      <c r="L2308" s="95"/>
      <c r="M2308" s="95"/>
      <c r="N2308" s="153"/>
      <c r="O2308" s="96"/>
      <c r="P2308" s="36"/>
      <c r="Q2308" s="36"/>
      <c r="R2308" s="36"/>
      <c r="S2308" s="36"/>
      <c r="T2308" s="36"/>
      <c r="U2308" s="36"/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</row>
    <row r="2309" ht="22.5" customHeight="1">
      <c r="A2309" s="86">
        <v>46120.0</v>
      </c>
      <c r="B2309" s="137" t="s">
        <v>27</v>
      </c>
      <c r="C2309" s="79"/>
      <c r="D2309" s="80">
        <v>15000.0</v>
      </c>
      <c r="E2309" s="66" t="s">
        <v>33</v>
      </c>
      <c r="F2309" s="67" t="s">
        <v>1609</v>
      </c>
      <c r="G2309" s="68">
        <v>0.0</v>
      </c>
      <c r="H2309" s="69">
        <f t="shared" si="132"/>
        <v>0</v>
      </c>
      <c r="I2309" s="89" t="s">
        <v>53</v>
      </c>
      <c r="J2309" s="98" t="s">
        <v>1327</v>
      </c>
      <c r="K2309" s="95"/>
      <c r="L2309" s="95"/>
      <c r="M2309" s="95"/>
      <c r="N2309" s="153"/>
      <c r="O2309" s="96"/>
      <c r="P2309" s="36"/>
      <c r="Q2309" s="36"/>
      <c r="R2309" s="36"/>
      <c r="S2309" s="36"/>
      <c r="T2309" s="36"/>
      <c r="U2309" s="36"/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</row>
    <row r="2310" ht="22.5" customHeight="1">
      <c r="A2310" s="86">
        <v>46120.0</v>
      </c>
      <c r="B2310" s="137" t="s">
        <v>27</v>
      </c>
      <c r="C2310" s="79"/>
      <c r="D2310" s="80">
        <v>15000.0</v>
      </c>
      <c r="E2310" s="66" t="s">
        <v>33</v>
      </c>
      <c r="F2310" s="67" t="s">
        <v>1609</v>
      </c>
      <c r="G2310" s="68">
        <v>0.0</v>
      </c>
      <c r="H2310" s="69">
        <f t="shared" si="132"/>
        <v>0</v>
      </c>
      <c r="I2310" s="89" t="s">
        <v>495</v>
      </c>
      <c r="J2310" s="98" t="s">
        <v>848</v>
      </c>
      <c r="K2310" s="95"/>
      <c r="L2310" s="95"/>
      <c r="M2310" s="95"/>
      <c r="N2310" s="153"/>
      <c r="O2310" s="96"/>
      <c r="P2310" s="36"/>
      <c r="Q2310" s="36"/>
      <c r="R2310" s="36"/>
      <c r="S2310" s="36"/>
      <c r="T2310" s="36"/>
      <c r="U2310" s="36"/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</row>
    <row r="2311" ht="22.5" customHeight="1">
      <c r="A2311" s="86">
        <v>46120.0</v>
      </c>
      <c r="B2311" s="137" t="s">
        <v>27</v>
      </c>
      <c r="C2311" s="79"/>
      <c r="D2311" s="80">
        <v>9400.0</v>
      </c>
      <c r="E2311" s="66" t="s">
        <v>33</v>
      </c>
      <c r="F2311" s="67" t="s">
        <v>1609</v>
      </c>
      <c r="G2311" s="68">
        <v>0.0</v>
      </c>
      <c r="H2311" s="69">
        <f t="shared" si="132"/>
        <v>0</v>
      </c>
      <c r="I2311" s="89" t="s">
        <v>30</v>
      </c>
      <c r="J2311" s="98" t="s">
        <v>1685</v>
      </c>
      <c r="K2311" s="95"/>
      <c r="L2311" s="95"/>
      <c r="M2311" s="95"/>
      <c r="N2311" s="153"/>
      <c r="O2311" s="96"/>
      <c r="P2311" s="36"/>
      <c r="Q2311" s="36"/>
      <c r="R2311" s="36"/>
      <c r="S2311" s="36"/>
      <c r="T2311" s="36"/>
      <c r="U2311" s="36"/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</row>
    <row r="2312" ht="22.5" customHeight="1">
      <c r="A2312" s="86">
        <v>46120.0</v>
      </c>
      <c r="B2312" s="137" t="s">
        <v>27</v>
      </c>
      <c r="C2312" s="79"/>
      <c r="D2312" s="80">
        <v>57000.0</v>
      </c>
      <c r="E2312" s="66" t="s">
        <v>28</v>
      </c>
      <c r="F2312" s="67" t="s">
        <v>1680</v>
      </c>
      <c r="G2312" s="68">
        <v>0.0</v>
      </c>
      <c r="H2312" s="69">
        <f t="shared" si="132"/>
        <v>0</v>
      </c>
      <c r="I2312" s="89" t="s">
        <v>259</v>
      </c>
      <c r="J2312" s="98" t="s">
        <v>1686</v>
      </c>
      <c r="K2312" s="95"/>
      <c r="L2312" s="95"/>
      <c r="M2312" s="95"/>
      <c r="N2312" s="153"/>
      <c r="O2312" s="9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</row>
    <row r="2313" ht="22.5" customHeight="1">
      <c r="A2313" s="86">
        <v>46120.0</v>
      </c>
      <c r="B2313" s="137" t="s">
        <v>27</v>
      </c>
      <c r="C2313" s="79"/>
      <c r="D2313" s="80">
        <v>19900.0</v>
      </c>
      <c r="E2313" s="66" t="s">
        <v>28</v>
      </c>
      <c r="F2313" s="67" t="s">
        <v>1680</v>
      </c>
      <c r="G2313" s="68">
        <v>0.0</v>
      </c>
      <c r="H2313" s="69">
        <f t="shared" si="132"/>
        <v>0</v>
      </c>
      <c r="I2313" s="89" t="s">
        <v>259</v>
      </c>
      <c r="J2313" s="98" t="s">
        <v>1687</v>
      </c>
      <c r="K2313" s="95"/>
      <c r="L2313" s="95"/>
      <c r="M2313" s="95"/>
      <c r="N2313" s="153"/>
      <c r="O2313" s="96"/>
      <c r="P2313" s="36"/>
      <c r="Q2313" s="36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</row>
    <row r="2314" ht="22.5" customHeight="1">
      <c r="A2314" s="86">
        <v>46121.0</v>
      </c>
      <c r="B2314" s="137" t="s">
        <v>27</v>
      </c>
      <c r="C2314" s="79"/>
      <c r="D2314" s="80">
        <v>173511.11</v>
      </c>
      <c r="E2314" s="66" t="s">
        <v>28</v>
      </c>
      <c r="F2314" s="67" t="s">
        <v>603</v>
      </c>
      <c r="G2314" s="68">
        <v>22.0</v>
      </c>
      <c r="H2314" s="69">
        <f t="shared" si="132"/>
        <v>31288.88869</v>
      </c>
      <c r="I2314" s="89" t="s">
        <v>1044</v>
      </c>
      <c r="J2314" s="136" t="s">
        <v>1045</v>
      </c>
      <c r="K2314" s="95"/>
      <c r="L2314" s="95"/>
      <c r="M2314" s="95"/>
      <c r="N2314" s="153"/>
      <c r="O2314" s="140" t="s">
        <v>1688</v>
      </c>
      <c r="P2314" s="36"/>
      <c r="Q2314" s="36"/>
      <c r="R2314" s="36"/>
      <c r="S2314" s="36"/>
      <c r="T2314" s="36"/>
      <c r="U2314" s="36"/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</row>
    <row r="2315" ht="22.5" customHeight="1">
      <c r="A2315" s="86">
        <v>46121.0</v>
      </c>
      <c r="B2315" s="137" t="s">
        <v>27</v>
      </c>
      <c r="C2315" s="79"/>
      <c r="D2315" s="80">
        <v>26458.51</v>
      </c>
      <c r="E2315" s="66" t="s">
        <v>28</v>
      </c>
      <c r="F2315" s="67" t="s">
        <v>603</v>
      </c>
      <c r="G2315" s="68">
        <v>22.0</v>
      </c>
      <c r="H2315" s="69">
        <f t="shared" si="132"/>
        <v>4771.206721</v>
      </c>
      <c r="I2315" s="89" t="s">
        <v>101</v>
      </c>
      <c r="J2315" s="151" t="s">
        <v>1477</v>
      </c>
      <c r="K2315" s="95"/>
      <c r="L2315" s="95"/>
      <c r="M2315" s="95"/>
      <c r="N2315" s="153"/>
      <c r="O2315" s="140" t="s">
        <v>1689</v>
      </c>
      <c r="P2315" s="36"/>
      <c r="Q2315" s="36"/>
      <c r="R2315" s="36"/>
      <c r="S2315" s="36"/>
      <c r="T2315" s="36"/>
      <c r="U2315" s="36"/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</row>
    <row r="2316" ht="22.5" customHeight="1">
      <c r="A2316" s="86">
        <v>46121.0</v>
      </c>
      <c r="B2316" s="137" t="s">
        <v>27</v>
      </c>
      <c r="C2316" s="79"/>
      <c r="D2316" s="80">
        <v>14475.79</v>
      </c>
      <c r="E2316" s="66" t="s">
        <v>28</v>
      </c>
      <c r="F2316" s="67" t="s">
        <v>603</v>
      </c>
      <c r="G2316" s="68">
        <v>22.0</v>
      </c>
      <c r="H2316" s="69">
        <f t="shared" si="132"/>
        <v>2610.388361</v>
      </c>
      <c r="I2316" s="89" t="s">
        <v>101</v>
      </c>
      <c r="J2316" s="151" t="s">
        <v>1498</v>
      </c>
      <c r="K2316" s="95"/>
      <c r="L2316" s="95"/>
      <c r="M2316" s="95"/>
      <c r="N2316" s="153"/>
      <c r="O2316" s="140" t="s">
        <v>1690</v>
      </c>
      <c r="P2316" s="36"/>
      <c r="Q2316" s="36"/>
      <c r="R2316" s="36"/>
      <c r="S2316" s="36"/>
      <c r="T2316" s="36"/>
      <c r="U2316" s="36"/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</row>
    <row r="2317" ht="22.5" customHeight="1">
      <c r="A2317" s="86">
        <v>46121.0</v>
      </c>
      <c r="B2317" s="137" t="s">
        <v>27</v>
      </c>
      <c r="C2317" s="79"/>
      <c r="D2317" s="80">
        <v>22763.18</v>
      </c>
      <c r="E2317" s="66" t="s">
        <v>28</v>
      </c>
      <c r="F2317" s="67" t="s">
        <v>603</v>
      </c>
      <c r="G2317" s="68">
        <v>0.0</v>
      </c>
      <c r="H2317" s="69">
        <f t="shared" si="132"/>
        <v>0</v>
      </c>
      <c r="I2317" s="89" t="s">
        <v>101</v>
      </c>
      <c r="J2317" s="151" t="s">
        <v>1480</v>
      </c>
      <c r="K2317" s="95"/>
      <c r="L2317" s="95"/>
      <c r="M2317" s="95"/>
      <c r="N2317" s="153"/>
      <c r="O2317" s="140" t="s">
        <v>1691</v>
      </c>
      <c r="P2317" s="36"/>
      <c r="Q2317" s="36"/>
      <c r="R2317" s="36"/>
      <c r="S2317" s="36"/>
      <c r="T2317" s="36"/>
      <c r="U2317" s="36"/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</row>
    <row r="2318" ht="22.5" customHeight="1">
      <c r="A2318" s="86">
        <v>46121.0</v>
      </c>
      <c r="B2318" s="137" t="s">
        <v>27</v>
      </c>
      <c r="C2318" s="79"/>
      <c r="D2318" s="80">
        <v>99933.23</v>
      </c>
      <c r="E2318" s="66" t="s">
        <v>28</v>
      </c>
      <c r="F2318" s="67" t="s">
        <v>603</v>
      </c>
      <c r="G2318" s="68">
        <v>22.0</v>
      </c>
      <c r="H2318" s="69">
        <f t="shared" si="132"/>
        <v>18020.74639</v>
      </c>
      <c r="I2318" s="89" t="s">
        <v>101</v>
      </c>
      <c r="J2318" s="136" t="s">
        <v>1280</v>
      </c>
      <c r="K2318" s="95"/>
      <c r="L2318" s="95"/>
      <c r="M2318" s="95"/>
      <c r="N2318" s="153"/>
      <c r="O2318" s="140" t="s">
        <v>1692</v>
      </c>
      <c r="P2318" s="36"/>
      <c r="Q2318" s="36"/>
      <c r="R2318" s="36"/>
      <c r="S2318" s="36"/>
      <c r="T2318" s="36"/>
      <c r="U2318" s="36"/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</row>
    <row r="2319" ht="22.5" customHeight="1">
      <c r="A2319" s="86">
        <v>46121.0</v>
      </c>
      <c r="B2319" s="137" t="s">
        <v>27</v>
      </c>
      <c r="C2319" s="79"/>
      <c r="D2319" s="80">
        <v>59402.57</v>
      </c>
      <c r="E2319" s="66" t="s">
        <v>28</v>
      </c>
      <c r="F2319" s="67" t="s">
        <v>603</v>
      </c>
      <c r="G2319" s="68">
        <v>22.0</v>
      </c>
      <c r="H2319" s="69">
        <f t="shared" si="132"/>
        <v>10711.93885</v>
      </c>
      <c r="I2319" s="89" t="s">
        <v>101</v>
      </c>
      <c r="J2319" s="136" t="s">
        <v>1284</v>
      </c>
      <c r="K2319" s="95"/>
      <c r="L2319" s="95"/>
      <c r="M2319" s="95"/>
      <c r="N2319" s="153"/>
      <c r="O2319" s="140" t="s">
        <v>1693</v>
      </c>
      <c r="P2319" s="36"/>
      <c r="Q2319" s="36"/>
      <c r="R2319" s="36"/>
      <c r="S2319" s="36"/>
      <c r="T2319" s="36"/>
      <c r="U2319" s="36"/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</row>
    <row r="2320" ht="22.5" customHeight="1">
      <c r="A2320" s="86">
        <v>46121.0</v>
      </c>
      <c r="B2320" s="137" t="s">
        <v>27</v>
      </c>
      <c r="C2320" s="79"/>
      <c r="D2320" s="80">
        <v>22069.22</v>
      </c>
      <c r="E2320" s="66" t="s">
        <v>28</v>
      </c>
      <c r="F2320" s="67" t="s">
        <v>603</v>
      </c>
      <c r="G2320" s="68">
        <v>5.0</v>
      </c>
      <c r="H2320" s="69">
        <f t="shared" si="132"/>
        <v>1050.915238</v>
      </c>
      <c r="I2320" s="89" t="s">
        <v>101</v>
      </c>
      <c r="J2320" s="136" t="s">
        <v>1032</v>
      </c>
      <c r="K2320" s="95"/>
      <c r="L2320" s="95"/>
      <c r="M2320" s="95"/>
      <c r="N2320" s="153"/>
      <c r="O2320" s="140" t="s">
        <v>1694</v>
      </c>
      <c r="P2320" s="36"/>
      <c r="Q2320" s="36"/>
      <c r="R2320" s="36"/>
      <c r="S2320" s="36"/>
      <c r="T2320" s="36"/>
      <c r="U2320" s="36"/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</row>
    <row r="2321" ht="22.5" customHeight="1">
      <c r="A2321" s="86">
        <v>46121.0</v>
      </c>
      <c r="B2321" s="137" t="s">
        <v>27</v>
      </c>
      <c r="C2321" s="79"/>
      <c r="D2321" s="80">
        <v>77557.39</v>
      </c>
      <c r="E2321" s="66" t="s">
        <v>28</v>
      </c>
      <c r="F2321" s="67" t="s">
        <v>603</v>
      </c>
      <c r="G2321" s="68">
        <v>22.0</v>
      </c>
      <c r="H2321" s="69">
        <f t="shared" si="132"/>
        <v>13985.75885</v>
      </c>
      <c r="I2321" s="89" t="s">
        <v>101</v>
      </c>
      <c r="J2321" s="136" t="s">
        <v>670</v>
      </c>
      <c r="K2321" s="95"/>
      <c r="L2321" s="95"/>
      <c r="M2321" s="95"/>
      <c r="N2321" s="153"/>
      <c r="O2321" s="140" t="s">
        <v>1695</v>
      </c>
      <c r="P2321" s="36"/>
      <c r="Q2321" s="36"/>
      <c r="R2321" s="36"/>
      <c r="S2321" s="36"/>
      <c r="T2321" s="36"/>
      <c r="U2321" s="36"/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</row>
    <row r="2322" ht="22.5" customHeight="1">
      <c r="A2322" s="86">
        <v>46121.0</v>
      </c>
      <c r="B2322" s="137" t="s">
        <v>27</v>
      </c>
      <c r="C2322" s="79"/>
      <c r="D2322" s="80">
        <v>11678.42</v>
      </c>
      <c r="E2322" s="66" t="s">
        <v>28</v>
      </c>
      <c r="F2322" s="67" t="s">
        <v>603</v>
      </c>
      <c r="G2322" s="68">
        <v>5.0</v>
      </c>
      <c r="H2322" s="69">
        <f t="shared" si="132"/>
        <v>556.1152381</v>
      </c>
      <c r="I2322" s="89" t="s">
        <v>101</v>
      </c>
      <c r="J2322" s="151" t="s">
        <v>1627</v>
      </c>
      <c r="K2322" s="95"/>
      <c r="L2322" s="95"/>
      <c r="M2322" s="95"/>
      <c r="N2322" s="153"/>
      <c r="O2322" s="140" t="s">
        <v>1696</v>
      </c>
      <c r="P2322" s="36"/>
      <c r="Q2322" s="36"/>
      <c r="R2322" s="36"/>
      <c r="S2322" s="36"/>
      <c r="T2322" s="36"/>
      <c r="U2322" s="36"/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</row>
    <row r="2323" ht="22.5" customHeight="1">
      <c r="A2323" s="86">
        <v>46121.0</v>
      </c>
      <c r="B2323" s="137" t="s">
        <v>27</v>
      </c>
      <c r="C2323" s="79"/>
      <c r="D2323" s="80">
        <v>510511.04</v>
      </c>
      <c r="E2323" s="66" t="s">
        <v>28</v>
      </c>
      <c r="F2323" s="67" t="s">
        <v>603</v>
      </c>
      <c r="G2323" s="68">
        <v>22.0</v>
      </c>
      <c r="H2323" s="69">
        <f t="shared" si="132"/>
        <v>92059.36787</v>
      </c>
      <c r="I2323" s="89" t="s">
        <v>44</v>
      </c>
      <c r="J2323" s="98" t="s">
        <v>1653</v>
      </c>
      <c r="K2323" s="95"/>
      <c r="L2323" s="95"/>
      <c r="M2323" s="95"/>
      <c r="N2323" s="153"/>
      <c r="O2323" s="140" t="s">
        <v>1697</v>
      </c>
      <c r="P2323" s="36"/>
      <c r="Q2323" s="36"/>
      <c r="R2323" s="36"/>
      <c r="S2323" s="36"/>
      <c r="T2323" s="36"/>
      <c r="U2323" s="36"/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</row>
    <row r="2324" ht="22.5" customHeight="1">
      <c r="A2324" s="86">
        <v>46121.0</v>
      </c>
      <c r="B2324" s="137" t="s">
        <v>27</v>
      </c>
      <c r="C2324" s="79"/>
      <c r="D2324" s="80">
        <v>13596.87</v>
      </c>
      <c r="E2324" s="66" t="s">
        <v>28</v>
      </c>
      <c r="F2324" s="67" t="s">
        <v>603</v>
      </c>
      <c r="G2324" s="68">
        <v>5.0</v>
      </c>
      <c r="H2324" s="69">
        <f t="shared" si="132"/>
        <v>647.47</v>
      </c>
      <c r="I2324" s="89" t="s">
        <v>101</v>
      </c>
      <c r="J2324" s="136" t="s">
        <v>671</v>
      </c>
      <c r="K2324" s="95"/>
      <c r="L2324" s="95"/>
      <c r="M2324" s="95"/>
      <c r="N2324" s="153"/>
      <c r="O2324" s="140" t="s">
        <v>1698</v>
      </c>
      <c r="P2324" s="36"/>
      <c r="Q2324" s="36"/>
      <c r="R2324" s="36"/>
      <c r="S2324" s="36"/>
      <c r="T2324" s="36"/>
      <c r="U2324" s="36"/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</row>
    <row r="2325" ht="22.5" customHeight="1">
      <c r="A2325" s="86">
        <v>46121.0</v>
      </c>
      <c r="B2325" s="137" t="s">
        <v>27</v>
      </c>
      <c r="C2325" s="79"/>
      <c r="D2325" s="80">
        <v>44017.68</v>
      </c>
      <c r="E2325" s="66" t="s">
        <v>28</v>
      </c>
      <c r="F2325" s="67" t="s">
        <v>603</v>
      </c>
      <c r="G2325" s="68">
        <v>5.0</v>
      </c>
      <c r="H2325" s="69">
        <f t="shared" si="132"/>
        <v>2096.08</v>
      </c>
      <c r="I2325" s="89" t="s">
        <v>101</v>
      </c>
      <c r="J2325" s="151" t="s">
        <v>631</v>
      </c>
      <c r="K2325" s="95"/>
      <c r="L2325" s="95"/>
      <c r="M2325" s="95"/>
      <c r="N2325" s="153"/>
      <c r="O2325" s="140" t="s">
        <v>1699</v>
      </c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</row>
    <row r="2326" ht="22.5" customHeight="1">
      <c r="A2326" s="86">
        <v>46121.0</v>
      </c>
      <c r="B2326" s="137" t="s">
        <v>27</v>
      </c>
      <c r="C2326" s="79"/>
      <c r="D2326" s="80">
        <v>10974.75</v>
      </c>
      <c r="E2326" s="66" t="s">
        <v>28</v>
      </c>
      <c r="F2326" s="67" t="s">
        <v>603</v>
      </c>
      <c r="G2326" s="68">
        <v>22.0</v>
      </c>
      <c r="H2326" s="69">
        <f t="shared" si="132"/>
        <v>1979.053279</v>
      </c>
      <c r="I2326" s="89" t="s">
        <v>101</v>
      </c>
      <c r="J2326" s="136" t="s">
        <v>973</v>
      </c>
      <c r="K2326" s="95"/>
      <c r="L2326" s="95"/>
      <c r="M2326" s="95"/>
      <c r="N2326" s="153"/>
      <c r="O2326" s="140" t="s">
        <v>1700</v>
      </c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</row>
    <row r="2327" ht="22.5" customHeight="1">
      <c r="A2327" s="86">
        <v>46121.0</v>
      </c>
      <c r="B2327" s="137" t="s">
        <v>27</v>
      </c>
      <c r="C2327" s="79"/>
      <c r="D2327" s="80">
        <v>7532.52</v>
      </c>
      <c r="E2327" s="66" t="s">
        <v>28</v>
      </c>
      <c r="F2327" s="67" t="s">
        <v>603</v>
      </c>
      <c r="G2327" s="68">
        <v>5.0</v>
      </c>
      <c r="H2327" s="69">
        <f t="shared" si="132"/>
        <v>358.6914286</v>
      </c>
      <c r="I2327" s="89" t="s">
        <v>101</v>
      </c>
      <c r="J2327" s="136" t="s">
        <v>976</v>
      </c>
      <c r="K2327" s="95"/>
      <c r="L2327" s="95"/>
      <c r="M2327" s="95"/>
      <c r="N2327" s="153"/>
      <c r="O2327" s="140" t="s">
        <v>1701</v>
      </c>
      <c r="P2327" s="36"/>
      <c r="Q2327" s="36"/>
      <c r="R2327" s="36"/>
      <c r="S2327" s="36"/>
      <c r="T2327" s="36"/>
      <c r="U2327" s="36"/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</row>
    <row r="2328" ht="22.5" customHeight="1">
      <c r="A2328" s="86">
        <v>46121.0</v>
      </c>
      <c r="B2328" s="137" t="s">
        <v>27</v>
      </c>
      <c r="C2328" s="79"/>
      <c r="D2328" s="80">
        <v>500000.0</v>
      </c>
      <c r="E2328" s="66" t="s">
        <v>28</v>
      </c>
      <c r="F2328" s="67" t="s">
        <v>603</v>
      </c>
      <c r="G2328" s="68">
        <v>22.0</v>
      </c>
      <c r="H2328" s="69">
        <f t="shared" si="132"/>
        <v>90163.93443</v>
      </c>
      <c r="I2328" s="76" t="s">
        <v>101</v>
      </c>
      <c r="J2328" s="136" t="s">
        <v>597</v>
      </c>
      <c r="K2328" s="95"/>
      <c r="L2328" s="95"/>
      <c r="M2328" s="95"/>
      <c r="N2328" s="153"/>
      <c r="O2328" s="140" t="s">
        <v>1702</v>
      </c>
      <c r="P2328" s="36"/>
      <c r="Q2328" s="36"/>
      <c r="R2328" s="36"/>
      <c r="S2328" s="36"/>
      <c r="T2328" s="36"/>
      <c r="U2328" s="36"/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</row>
    <row r="2329" ht="22.5" customHeight="1">
      <c r="A2329" s="86">
        <v>46121.0</v>
      </c>
      <c r="B2329" s="137" t="s">
        <v>27</v>
      </c>
      <c r="C2329" s="79"/>
      <c r="D2329" s="80">
        <v>57579.43</v>
      </c>
      <c r="E2329" s="66" t="s">
        <v>28</v>
      </c>
      <c r="F2329" s="67" t="s">
        <v>603</v>
      </c>
      <c r="G2329" s="68">
        <v>22.0</v>
      </c>
      <c r="H2329" s="69">
        <f t="shared" si="132"/>
        <v>10383.1759</v>
      </c>
      <c r="I2329" s="76" t="s">
        <v>101</v>
      </c>
      <c r="J2329" s="136" t="s">
        <v>643</v>
      </c>
      <c r="K2329" s="95"/>
      <c r="L2329" s="95"/>
      <c r="M2329" s="95"/>
      <c r="N2329" s="153"/>
      <c r="O2329" s="140" t="s">
        <v>1703</v>
      </c>
      <c r="P2329" s="36"/>
      <c r="Q2329" s="36"/>
      <c r="R2329" s="36"/>
      <c r="S2329" s="36"/>
      <c r="T2329" s="36"/>
      <c r="U2329" s="36"/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</row>
    <row r="2330" ht="22.5" customHeight="1">
      <c r="A2330" s="86">
        <v>46121.0</v>
      </c>
      <c r="B2330" s="137" t="s">
        <v>27</v>
      </c>
      <c r="C2330" s="79"/>
      <c r="D2330" s="80">
        <v>140000.0</v>
      </c>
      <c r="E2330" s="66" t="s">
        <v>28</v>
      </c>
      <c r="F2330" s="67" t="s">
        <v>603</v>
      </c>
      <c r="G2330" s="68">
        <v>0.0</v>
      </c>
      <c r="H2330" s="68">
        <v>0.0</v>
      </c>
      <c r="I2330" s="89" t="s">
        <v>286</v>
      </c>
      <c r="J2330" s="98" t="s">
        <v>454</v>
      </c>
      <c r="K2330" s="95"/>
      <c r="L2330" s="95"/>
      <c r="M2330" s="95"/>
      <c r="N2330" s="153"/>
      <c r="O2330" s="140" t="s">
        <v>1704</v>
      </c>
      <c r="P2330" s="36"/>
      <c r="Q2330" s="36"/>
      <c r="R2330" s="36"/>
      <c r="S2330" s="36"/>
      <c r="T2330" s="36"/>
      <c r="U2330" s="36"/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</row>
    <row r="2331" ht="22.5" customHeight="1">
      <c r="A2331" s="86">
        <v>46121.0</v>
      </c>
      <c r="B2331" s="137" t="s">
        <v>27</v>
      </c>
      <c r="C2331" s="79"/>
      <c r="D2331" s="80">
        <v>17109.8</v>
      </c>
      <c r="E2331" s="66" t="s">
        <v>28</v>
      </c>
      <c r="F2331" s="67" t="s">
        <v>603</v>
      </c>
      <c r="G2331" s="68">
        <v>5.0</v>
      </c>
      <c r="H2331" s="69">
        <f t="shared" ref="H2331:H2351" si="138">SUM(C2331:D2331)*G2331/(G2331+100)</f>
        <v>814.752381</v>
      </c>
      <c r="I2331" s="89" t="s">
        <v>101</v>
      </c>
      <c r="J2331" s="136" t="s">
        <v>1287</v>
      </c>
      <c r="K2331" s="95"/>
      <c r="L2331" s="95"/>
      <c r="M2331" s="95"/>
      <c r="N2331" s="153"/>
      <c r="O2331" s="140" t="s">
        <v>1705</v>
      </c>
      <c r="P2331" s="36"/>
      <c r="Q2331" s="36"/>
      <c r="R2331" s="36"/>
      <c r="S2331" s="36"/>
      <c r="T2331" s="36"/>
      <c r="U2331" s="36"/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</row>
    <row r="2332" ht="22.5" customHeight="1">
      <c r="A2332" s="86">
        <v>46121.0</v>
      </c>
      <c r="B2332" s="137" t="s">
        <v>27</v>
      </c>
      <c r="C2332" s="79"/>
      <c r="D2332" s="80">
        <v>66316.76</v>
      </c>
      <c r="E2332" s="66" t="s">
        <v>28</v>
      </c>
      <c r="F2332" s="67" t="s">
        <v>603</v>
      </c>
      <c r="G2332" s="68">
        <v>22.0</v>
      </c>
      <c r="H2332" s="69">
        <f t="shared" si="138"/>
        <v>11958.76</v>
      </c>
      <c r="I2332" s="89" t="s">
        <v>101</v>
      </c>
      <c r="J2332" s="136" t="s">
        <v>1277</v>
      </c>
      <c r="K2332" s="95"/>
      <c r="L2332" s="95"/>
      <c r="M2332" s="95"/>
      <c r="N2332" s="153"/>
      <c r="O2332" s="140" t="s">
        <v>1706</v>
      </c>
      <c r="P2332" s="36"/>
      <c r="Q2332" s="36"/>
      <c r="R2332" s="36"/>
      <c r="S2332" s="36"/>
      <c r="T2332" s="36"/>
      <c r="U2332" s="36"/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</row>
    <row r="2333" ht="22.5" customHeight="1">
      <c r="A2333" s="86">
        <v>46121.0</v>
      </c>
      <c r="B2333" s="137" t="s">
        <v>27</v>
      </c>
      <c r="C2333" s="79"/>
      <c r="D2333" s="80">
        <v>28963.13</v>
      </c>
      <c r="E2333" s="66" t="s">
        <v>28</v>
      </c>
      <c r="F2333" s="67" t="s">
        <v>603</v>
      </c>
      <c r="G2333" s="68">
        <v>5.0</v>
      </c>
      <c r="H2333" s="69">
        <f t="shared" si="138"/>
        <v>1379.196667</v>
      </c>
      <c r="I2333" s="89" t="s">
        <v>101</v>
      </c>
      <c r="J2333" s="151" t="s">
        <v>1707</v>
      </c>
      <c r="K2333" s="95"/>
      <c r="L2333" s="95"/>
      <c r="M2333" s="95"/>
      <c r="N2333" s="153"/>
      <c r="O2333" s="140" t="s">
        <v>1708</v>
      </c>
      <c r="P2333" s="36"/>
      <c r="Q2333" s="36"/>
      <c r="R2333" s="36"/>
      <c r="S2333" s="36"/>
      <c r="T2333" s="36"/>
      <c r="U2333" s="36"/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</row>
    <row r="2334" ht="22.5" customHeight="1">
      <c r="A2334" s="86">
        <v>46121.0</v>
      </c>
      <c r="B2334" s="137" t="s">
        <v>27</v>
      </c>
      <c r="C2334" s="79"/>
      <c r="D2334" s="80">
        <v>97600.0</v>
      </c>
      <c r="E2334" s="66" t="s">
        <v>28</v>
      </c>
      <c r="F2334" s="67" t="s">
        <v>603</v>
      </c>
      <c r="G2334" s="68">
        <v>22.0</v>
      </c>
      <c r="H2334" s="69">
        <f t="shared" si="138"/>
        <v>17600</v>
      </c>
      <c r="I2334" s="89" t="s">
        <v>1044</v>
      </c>
      <c r="J2334" s="136" t="s">
        <v>1045</v>
      </c>
      <c r="K2334" s="95"/>
      <c r="L2334" s="95"/>
      <c r="M2334" s="95"/>
      <c r="N2334" s="153"/>
      <c r="O2334" s="140" t="s">
        <v>1709</v>
      </c>
      <c r="P2334" s="36"/>
      <c r="Q2334" s="36"/>
      <c r="R2334" s="36"/>
      <c r="S2334" s="36"/>
      <c r="T2334" s="36"/>
      <c r="U2334" s="36"/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</row>
    <row r="2335" ht="22.5" customHeight="1">
      <c r="A2335" s="86">
        <v>46121.0</v>
      </c>
      <c r="B2335" s="137" t="s">
        <v>27</v>
      </c>
      <c r="C2335" s="79"/>
      <c r="D2335" s="80">
        <v>9362.16</v>
      </c>
      <c r="E2335" s="66" t="s">
        <v>28</v>
      </c>
      <c r="F2335" s="67" t="s">
        <v>603</v>
      </c>
      <c r="G2335" s="68">
        <v>22.0</v>
      </c>
      <c r="H2335" s="69">
        <f t="shared" si="138"/>
        <v>1688.258361</v>
      </c>
      <c r="I2335" s="89" t="s">
        <v>101</v>
      </c>
      <c r="J2335" s="98" t="s">
        <v>1638</v>
      </c>
      <c r="K2335" s="95"/>
      <c r="L2335" s="95"/>
      <c r="M2335" s="95"/>
      <c r="N2335" s="153"/>
      <c r="O2335" s="140" t="s">
        <v>1710</v>
      </c>
      <c r="P2335" s="36"/>
      <c r="Q2335" s="36"/>
      <c r="R2335" s="36"/>
      <c r="S2335" s="36"/>
      <c r="T2335" s="36"/>
      <c r="U2335" s="36"/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</row>
    <row r="2336" ht="22.5" customHeight="1">
      <c r="A2336" s="86">
        <v>46121.0</v>
      </c>
      <c r="B2336" s="137" t="s">
        <v>27</v>
      </c>
      <c r="C2336" s="79"/>
      <c r="D2336" s="80">
        <v>359279.44</v>
      </c>
      <c r="E2336" s="66" t="s">
        <v>28</v>
      </c>
      <c r="F2336" s="67" t="s">
        <v>603</v>
      </c>
      <c r="G2336" s="68">
        <v>22.0</v>
      </c>
      <c r="H2336" s="69">
        <f t="shared" si="138"/>
        <v>64788.09574</v>
      </c>
      <c r="I2336" s="89" t="s">
        <v>61</v>
      </c>
      <c r="J2336" s="98" t="s">
        <v>228</v>
      </c>
      <c r="K2336" s="95"/>
      <c r="L2336" s="95"/>
      <c r="M2336" s="95"/>
      <c r="N2336" s="153"/>
      <c r="O2336" s="140" t="s">
        <v>1711</v>
      </c>
      <c r="P2336" s="36"/>
      <c r="Q2336" s="36"/>
      <c r="R2336" s="36"/>
      <c r="S2336" s="36"/>
      <c r="T2336" s="36"/>
      <c r="U2336" s="36"/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</row>
    <row r="2337" ht="22.5" customHeight="1">
      <c r="A2337" s="86">
        <v>46121.0</v>
      </c>
      <c r="B2337" s="137" t="s">
        <v>27</v>
      </c>
      <c r="C2337" s="79"/>
      <c r="D2337" s="80">
        <v>470000.0</v>
      </c>
      <c r="E2337" s="66" t="s">
        <v>28</v>
      </c>
      <c r="F2337" s="67" t="s">
        <v>941</v>
      </c>
      <c r="G2337" s="68">
        <v>0.0</v>
      </c>
      <c r="H2337" s="69">
        <f t="shared" si="138"/>
        <v>0</v>
      </c>
      <c r="I2337" s="89" t="s">
        <v>93</v>
      </c>
      <c r="J2337" s="98" t="s">
        <v>1712</v>
      </c>
      <c r="K2337" s="95"/>
      <c r="L2337" s="95"/>
      <c r="M2337" s="95"/>
      <c r="N2337" s="153"/>
      <c r="O2337" s="96"/>
      <c r="P2337" s="36"/>
      <c r="Q2337" s="36"/>
      <c r="R2337" s="36"/>
      <c r="S2337" s="36"/>
      <c r="T2337" s="36"/>
      <c r="U2337" s="36"/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</row>
    <row r="2338" ht="22.5" customHeight="1">
      <c r="A2338" s="86">
        <v>46121.0</v>
      </c>
      <c r="B2338" s="137" t="s">
        <v>27</v>
      </c>
      <c r="C2338" s="79"/>
      <c r="D2338" s="80">
        <v>741153.3</v>
      </c>
      <c r="E2338" s="66" t="s">
        <v>28</v>
      </c>
      <c r="F2338" s="67" t="s">
        <v>626</v>
      </c>
      <c r="G2338" s="68">
        <v>20.0</v>
      </c>
      <c r="H2338" s="69">
        <f t="shared" si="138"/>
        <v>123525.55</v>
      </c>
      <c r="I2338" s="76" t="s">
        <v>101</v>
      </c>
      <c r="J2338" s="136" t="s">
        <v>597</v>
      </c>
      <c r="K2338" s="95"/>
      <c r="L2338" s="95"/>
      <c r="M2338" s="95"/>
      <c r="N2338" s="153"/>
      <c r="O2338" s="96"/>
      <c r="P2338" s="36"/>
      <c r="Q2338" s="36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</row>
    <row r="2339" ht="22.5" customHeight="1">
      <c r="A2339" s="86">
        <v>46121.0</v>
      </c>
      <c r="B2339" s="137" t="s">
        <v>27</v>
      </c>
      <c r="C2339" s="79"/>
      <c r="D2339" s="80">
        <v>230602.5</v>
      </c>
      <c r="E2339" s="66" t="s">
        <v>28</v>
      </c>
      <c r="F2339" s="67" t="s">
        <v>626</v>
      </c>
      <c r="G2339" s="68">
        <v>20.0</v>
      </c>
      <c r="H2339" s="69">
        <f t="shared" si="138"/>
        <v>38433.75</v>
      </c>
      <c r="I2339" s="76" t="s">
        <v>101</v>
      </c>
      <c r="J2339" s="136" t="s">
        <v>643</v>
      </c>
      <c r="K2339" s="95"/>
      <c r="L2339" s="95"/>
      <c r="M2339" s="95"/>
      <c r="N2339" s="153"/>
      <c r="O2339" s="96"/>
      <c r="P2339" s="36"/>
      <c r="Q2339" s="36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</row>
    <row r="2340" ht="22.5" customHeight="1">
      <c r="A2340" s="86">
        <v>46121.0</v>
      </c>
      <c r="B2340" s="137" t="s">
        <v>27</v>
      </c>
      <c r="C2340" s="79"/>
      <c r="D2340" s="80">
        <v>168960.0</v>
      </c>
      <c r="E2340" s="66" t="s">
        <v>28</v>
      </c>
      <c r="F2340" s="67" t="s">
        <v>1002</v>
      </c>
      <c r="G2340" s="68">
        <v>20.0</v>
      </c>
      <c r="H2340" s="69">
        <f t="shared" si="138"/>
        <v>28160</v>
      </c>
      <c r="I2340" s="89" t="s">
        <v>1044</v>
      </c>
      <c r="J2340" s="136" t="s">
        <v>1045</v>
      </c>
      <c r="K2340" s="95"/>
      <c r="L2340" s="95"/>
      <c r="M2340" s="95"/>
      <c r="N2340" s="153"/>
      <c r="O2340" s="140" t="s">
        <v>1713</v>
      </c>
      <c r="P2340" s="36"/>
      <c r="Q2340" s="36"/>
      <c r="R2340" s="36"/>
      <c r="S2340" s="36"/>
      <c r="T2340" s="36"/>
      <c r="U2340" s="36"/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</row>
    <row r="2341" ht="22.5" customHeight="1">
      <c r="A2341" s="86">
        <v>46121.0</v>
      </c>
      <c r="B2341" s="137" t="s">
        <v>27</v>
      </c>
      <c r="C2341" s="79"/>
      <c r="D2341" s="80">
        <v>57490.76</v>
      </c>
      <c r="E2341" s="66" t="s">
        <v>28</v>
      </c>
      <c r="F2341" s="67" t="s">
        <v>608</v>
      </c>
      <c r="G2341" s="68">
        <v>5.0</v>
      </c>
      <c r="H2341" s="69">
        <f t="shared" si="138"/>
        <v>2737.655238</v>
      </c>
      <c r="I2341" s="89" t="s">
        <v>101</v>
      </c>
      <c r="J2341" s="98" t="s">
        <v>671</v>
      </c>
      <c r="K2341" s="95"/>
      <c r="L2341" s="95"/>
      <c r="M2341" s="95"/>
      <c r="N2341" s="153"/>
      <c r="O2341" s="140" t="s">
        <v>1714</v>
      </c>
      <c r="P2341" s="36"/>
      <c r="Q2341" s="36"/>
      <c r="R2341" s="36"/>
      <c r="S2341" s="36"/>
      <c r="T2341" s="36"/>
      <c r="U2341" s="36"/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</row>
    <row r="2342" ht="22.5" customHeight="1">
      <c r="A2342" s="86">
        <v>46121.0</v>
      </c>
      <c r="B2342" s="137" t="s">
        <v>27</v>
      </c>
      <c r="C2342" s="79"/>
      <c r="D2342" s="80">
        <v>366000.0</v>
      </c>
      <c r="E2342" s="66" t="s">
        <v>28</v>
      </c>
      <c r="F2342" s="67" t="s">
        <v>1531</v>
      </c>
      <c r="G2342" s="68">
        <v>22.0</v>
      </c>
      <c r="H2342" s="69">
        <f t="shared" si="138"/>
        <v>66000</v>
      </c>
      <c r="I2342" s="89" t="s">
        <v>30</v>
      </c>
      <c r="J2342" s="136" t="s">
        <v>1715</v>
      </c>
      <c r="K2342" s="95"/>
      <c r="L2342" s="95"/>
      <c r="M2342" s="95"/>
      <c r="N2342" s="153"/>
      <c r="O2342" s="140" t="s">
        <v>1716</v>
      </c>
      <c r="P2342" s="36"/>
      <c r="Q2342" s="36"/>
      <c r="R2342" s="36"/>
      <c r="S2342" s="36"/>
      <c r="T2342" s="36"/>
      <c r="U2342" s="36"/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</row>
    <row r="2343" ht="22.5" customHeight="1">
      <c r="A2343" s="86">
        <v>46121.0</v>
      </c>
      <c r="B2343" s="137" t="s">
        <v>27</v>
      </c>
      <c r="C2343" s="79"/>
      <c r="D2343" s="80">
        <v>19734.08</v>
      </c>
      <c r="E2343" s="66" t="s">
        <v>28</v>
      </c>
      <c r="F2343" s="67" t="s">
        <v>1531</v>
      </c>
      <c r="G2343" s="68">
        <v>0.0</v>
      </c>
      <c r="H2343" s="69">
        <f t="shared" si="138"/>
        <v>0</v>
      </c>
      <c r="I2343" s="89" t="s">
        <v>495</v>
      </c>
      <c r="J2343" s="98" t="s">
        <v>1419</v>
      </c>
      <c r="K2343" s="95"/>
      <c r="L2343" s="95"/>
      <c r="M2343" s="95"/>
      <c r="N2343" s="153"/>
      <c r="O2343" s="140" t="s">
        <v>1717</v>
      </c>
      <c r="P2343" s="36"/>
      <c r="Q2343" s="36"/>
      <c r="R2343" s="36"/>
      <c r="S2343" s="36"/>
      <c r="T2343" s="36"/>
      <c r="U2343" s="36"/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</row>
    <row r="2344" ht="22.5" customHeight="1">
      <c r="A2344" s="86">
        <v>46121.0</v>
      </c>
      <c r="B2344" s="139" t="s">
        <v>27</v>
      </c>
      <c r="C2344" s="79"/>
      <c r="D2344" s="80">
        <v>1000000.0</v>
      </c>
      <c r="E2344" s="66" t="s">
        <v>28</v>
      </c>
      <c r="F2344" s="67" t="s">
        <v>1511</v>
      </c>
      <c r="G2344" s="68">
        <v>0.0</v>
      </c>
      <c r="H2344" s="69">
        <f t="shared" si="138"/>
        <v>0</v>
      </c>
      <c r="I2344" s="76" t="s">
        <v>93</v>
      </c>
      <c r="J2344" s="158" t="s">
        <v>516</v>
      </c>
      <c r="K2344" s="95"/>
      <c r="L2344" s="95"/>
      <c r="M2344" s="95"/>
      <c r="N2344" s="153"/>
      <c r="O2344" s="140" t="s">
        <v>1668</v>
      </c>
      <c r="P2344" s="36"/>
      <c r="Q2344" s="36"/>
      <c r="R2344" s="36"/>
      <c r="S2344" s="36"/>
      <c r="T2344" s="36"/>
      <c r="U2344" s="36"/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</row>
    <row r="2345" ht="22.5" customHeight="1">
      <c r="A2345" s="86">
        <v>46121.0</v>
      </c>
      <c r="B2345" s="137" t="s">
        <v>27</v>
      </c>
      <c r="C2345" s="79"/>
      <c r="D2345" s="80">
        <v>20510.27</v>
      </c>
      <c r="E2345" s="66" t="s">
        <v>28</v>
      </c>
      <c r="F2345" s="67" t="s">
        <v>1531</v>
      </c>
      <c r="G2345" s="68">
        <v>5.0</v>
      </c>
      <c r="H2345" s="69">
        <f t="shared" si="138"/>
        <v>976.6795238</v>
      </c>
      <c r="I2345" s="89" t="s">
        <v>495</v>
      </c>
      <c r="J2345" s="98" t="s">
        <v>1419</v>
      </c>
      <c r="K2345" s="95"/>
      <c r="L2345" s="95"/>
      <c r="M2345" s="95"/>
      <c r="N2345" s="153"/>
      <c r="O2345" s="140" t="s">
        <v>1718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</row>
    <row r="2346" ht="22.5" customHeight="1">
      <c r="A2346" s="86">
        <v>46121.0</v>
      </c>
      <c r="B2346" s="137" t="s">
        <v>27</v>
      </c>
      <c r="C2346" s="79"/>
      <c r="D2346" s="80">
        <v>550000.0</v>
      </c>
      <c r="E2346" s="66" t="s">
        <v>28</v>
      </c>
      <c r="F2346" s="67" t="s">
        <v>1609</v>
      </c>
      <c r="G2346" s="68">
        <v>0.0</v>
      </c>
      <c r="H2346" s="69">
        <f t="shared" si="138"/>
        <v>0</v>
      </c>
      <c r="I2346" s="89" t="s">
        <v>504</v>
      </c>
      <c r="J2346" s="98" t="s">
        <v>1664</v>
      </c>
      <c r="K2346" s="95"/>
      <c r="L2346" s="95"/>
      <c r="M2346" s="95"/>
      <c r="N2346" s="153"/>
      <c r="O2346" s="140" t="s">
        <v>1719</v>
      </c>
      <c r="P2346" s="36"/>
      <c r="Q2346" s="36"/>
      <c r="R2346" s="36"/>
      <c r="S2346" s="36"/>
      <c r="T2346" s="36"/>
      <c r="U2346" s="36"/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</row>
    <row r="2347" ht="22.5" customHeight="1">
      <c r="A2347" s="86">
        <v>46121.0</v>
      </c>
      <c r="B2347" s="137" t="s">
        <v>27</v>
      </c>
      <c r="C2347" s="79"/>
      <c r="D2347" s="80">
        <v>23971.78</v>
      </c>
      <c r="E2347" s="66" t="s">
        <v>28</v>
      </c>
      <c r="F2347" s="67" t="s">
        <v>1680</v>
      </c>
      <c r="G2347" s="68">
        <v>22.0</v>
      </c>
      <c r="H2347" s="69">
        <f t="shared" si="138"/>
        <v>4322.78</v>
      </c>
      <c r="I2347" s="89" t="s">
        <v>495</v>
      </c>
      <c r="J2347" s="98" t="s">
        <v>910</v>
      </c>
      <c r="K2347" s="95"/>
      <c r="L2347" s="95"/>
      <c r="M2347" s="95"/>
      <c r="N2347" s="153"/>
      <c r="O2347" s="140" t="s">
        <v>1720</v>
      </c>
      <c r="P2347" s="36"/>
      <c r="Q2347" s="36"/>
      <c r="R2347" s="36"/>
      <c r="S2347" s="36"/>
      <c r="T2347" s="36"/>
      <c r="U2347" s="36"/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</row>
    <row r="2348" ht="22.5" customHeight="1">
      <c r="A2348" s="86">
        <v>46121.0</v>
      </c>
      <c r="B2348" s="139" t="s">
        <v>27</v>
      </c>
      <c r="C2348" s="79"/>
      <c r="D2348" s="80">
        <v>2334080.76</v>
      </c>
      <c r="E2348" s="66" t="s">
        <v>28</v>
      </c>
      <c r="F2348" s="84" t="s">
        <v>1160</v>
      </c>
      <c r="G2348" s="68">
        <v>0.0</v>
      </c>
      <c r="H2348" s="69">
        <f t="shared" si="138"/>
        <v>0</v>
      </c>
      <c r="I2348" s="76" t="s">
        <v>322</v>
      </c>
      <c r="J2348" s="98" t="s">
        <v>539</v>
      </c>
      <c r="K2348" s="95"/>
      <c r="L2348" s="95"/>
      <c r="M2348" s="95"/>
      <c r="N2348" s="153"/>
      <c r="O2348" s="140" t="s">
        <v>1721</v>
      </c>
      <c r="P2348" s="36"/>
      <c r="Q2348" s="36"/>
      <c r="R2348" s="36"/>
      <c r="S2348" s="36"/>
      <c r="T2348" s="36"/>
      <c r="U2348" s="36"/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</row>
    <row r="2349" ht="22.5" customHeight="1">
      <c r="A2349" s="86">
        <v>46121.0</v>
      </c>
      <c r="B2349" s="139" t="s">
        <v>27</v>
      </c>
      <c r="C2349" s="79"/>
      <c r="D2349" s="80">
        <v>320000.0</v>
      </c>
      <c r="E2349" s="66" t="s">
        <v>28</v>
      </c>
      <c r="F2349" s="84" t="s">
        <v>1160</v>
      </c>
      <c r="G2349" s="68">
        <v>0.0</v>
      </c>
      <c r="H2349" s="69">
        <f t="shared" si="138"/>
        <v>0</v>
      </c>
      <c r="I2349" s="76" t="s">
        <v>322</v>
      </c>
      <c r="J2349" s="98" t="s">
        <v>624</v>
      </c>
      <c r="K2349" s="95"/>
      <c r="L2349" s="95"/>
      <c r="M2349" s="95"/>
      <c r="N2349" s="153"/>
      <c r="O2349" s="140" t="s">
        <v>1722</v>
      </c>
      <c r="P2349" s="36"/>
      <c r="Q2349" s="36"/>
      <c r="R2349" s="36"/>
      <c r="S2349" s="36"/>
      <c r="T2349" s="36"/>
      <c r="U2349" s="36"/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</row>
    <row r="2350" ht="22.5" customHeight="1">
      <c r="A2350" s="86">
        <v>46121.0</v>
      </c>
      <c r="B2350" s="139" t="s">
        <v>27</v>
      </c>
      <c r="C2350" s="79"/>
      <c r="D2350" s="80">
        <v>238920.0</v>
      </c>
      <c r="E2350" s="66" t="s">
        <v>28</v>
      </c>
      <c r="F2350" s="67" t="s">
        <v>1680</v>
      </c>
      <c r="G2350" s="68">
        <v>0.0</v>
      </c>
      <c r="H2350" s="69">
        <f t="shared" si="138"/>
        <v>0</v>
      </c>
      <c r="I2350" s="89" t="s">
        <v>495</v>
      </c>
      <c r="J2350" s="98" t="s">
        <v>1563</v>
      </c>
      <c r="K2350" s="95"/>
      <c r="L2350" s="95"/>
      <c r="M2350" s="95"/>
      <c r="N2350" s="153"/>
      <c r="O2350" s="96"/>
      <c r="P2350" s="36"/>
      <c r="Q2350" s="36"/>
      <c r="R2350" s="36"/>
      <c r="S2350" s="36"/>
      <c r="T2350" s="36"/>
      <c r="U2350" s="36"/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</row>
    <row r="2351" ht="22.5" customHeight="1">
      <c r="A2351" s="86">
        <v>46121.0</v>
      </c>
      <c r="B2351" s="137" t="s">
        <v>27</v>
      </c>
      <c r="C2351" s="79"/>
      <c r="D2351" s="79">
        <f>85*79</f>
        <v>6715</v>
      </c>
      <c r="E2351" s="66" t="s">
        <v>28</v>
      </c>
      <c r="F2351" s="67" t="s">
        <v>1723</v>
      </c>
      <c r="G2351" s="68">
        <v>0.0</v>
      </c>
      <c r="H2351" s="69">
        <f t="shared" si="138"/>
        <v>0</v>
      </c>
      <c r="I2351" s="89" t="s">
        <v>294</v>
      </c>
      <c r="J2351" s="98" t="s">
        <v>1724</v>
      </c>
      <c r="K2351" s="95"/>
      <c r="L2351" s="95"/>
      <c r="M2351" s="95"/>
      <c r="N2351" s="153"/>
      <c r="O2351" s="96"/>
      <c r="P2351" s="36"/>
      <c r="Q2351" s="36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</row>
    <row r="2352" ht="22.5" customHeight="1">
      <c r="A2352" s="86">
        <v>46121.0</v>
      </c>
      <c r="B2352" s="137" t="s">
        <v>27</v>
      </c>
      <c r="C2352" s="79"/>
      <c r="D2352" s="80">
        <v>15000.0</v>
      </c>
      <c r="E2352" s="66" t="s">
        <v>33</v>
      </c>
      <c r="F2352" s="67" t="s">
        <v>1680</v>
      </c>
      <c r="G2352" s="68">
        <v>0.0</v>
      </c>
      <c r="H2352" s="68">
        <v>0.0</v>
      </c>
      <c r="I2352" s="89" t="s">
        <v>490</v>
      </c>
      <c r="J2352" s="98" t="s">
        <v>128</v>
      </c>
      <c r="K2352" s="95"/>
      <c r="L2352" s="95"/>
      <c r="M2352" s="95"/>
      <c r="N2352" s="153"/>
      <c r="O2352" s="9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</row>
    <row r="2353" ht="22.5" customHeight="1">
      <c r="A2353" s="86">
        <v>46122.0</v>
      </c>
      <c r="B2353" s="137" t="s">
        <v>27</v>
      </c>
      <c r="C2353" s="79"/>
      <c r="D2353" s="80">
        <f>1802833.42+511.68+24038</f>
        <v>1827383.1</v>
      </c>
      <c r="E2353" s="66" t="s">
        <v>28</v>
      </c>
      <c r="F2353" s="67" t="s">
        <v>1609</v>
      </c>
      <c r="G2353" s="68">
        <v>0.0</v>
      </c>
      <c r="H2353" s="69">
        <f>SUM(C2353:D2353)*G2353/(G2353+100)</f>
        <v>0</v>
      </c>
      <c r="I2353" s="89" t="s">
        <v>68</v>
      </c>
      <c r="J2353" s="81"/>
      <c r="K2353" s="95"/>
      <c r="L2353" s="95"/>
      <c r="M2353" s="95"/>
      <c r="N2353" s="153"/>
      <c r="O2353" s="96"/>
      <c r="P2353" s="36"/>
      <c r="Q2353" s="36"/>
      <c r="R2353" s="36"/>
      <c r="S2353" s="36"/>
      <c r="T2353" s="36"/>
      <c r="U2353" s="36"/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</row>
    <row r="2354" ht="22.5" customHeight="1">
      <c r="A2354" s="86">
        <v>46125.0</v>
      </c>
      <c r="B2354" s="137" t="s">
        <v>27</v>
      </c>
      <c r="C2354" s="79"/>
      <c r="D2354" s="80">
        <v>15000.0</v>
      </c>
      <c r="E2354" s="66" t="s">
        <v>33</v>
      </c>
      <c r="F2354" s="67" t="s">
        <v>1680</v>
      </c>
      <c r="G2354" s="68">
        <v>0.0</v>
      </c>
      <c r="H2354" s="68">
        <v>0.0</v>
      </c>
      <c r="I2354" s="89" t="s">
        <v>490</v>
      </c>
      <c r="J2354" s="98" t="s">
        <v>1725</v>
      </c>
      <c r="K2354" s="95"/>
      <c r="L2354" s="95"/>
      <c r="M2354" s="95"/>
      <c r="N2354" s="153"/>
      <c r="O2354" s="96"/>
      <c r="P2354" s="36"/>
      <c r="Q2354" s="36"/>
      <c r="R2354" s="36"/>
      <c r="S2354" s="36"/>
      <c r="T2354" s="36"/>
      <c r="U2354" s="36"/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</row>
    <row r="2355" ht="22.5" customHeight="1">
      <c r="A2355" s="86">
        <v>46126.0</v>
      </c>
      <c r="B2355" s="137" t="s">
        <v>27</v>
      </c>
      <c r="C2355" s="79"/>
      <c r="D2355" s="80">
        <v>15000.0</v>
      </c>
      <c r="E2355" s="66" t="s">
        <v>33</v>
      </c>
      <c r="F2355" s="67" t="s">
        <v>1680</v>
      </c>
      <c r="G2355" s="68">
        <v>0.0</v>
      </c>
      <c r="H2355" s="68">
        <v>0.0</v>
      </c>
      <c r="I2355" s="89" t="s">
        <v>490</v>
      </c>
      <c r="J2355" s="98" t="s">
        <v>1726</v>
      </c>
      <c r="K2355" s="95"/>
      <c r="L2355" s="95"/>
      <c r="M2355" s="95"/>
      <c r="N2355" s="153"/>
      <c r="O2355" s="96"/>
      <c r="P2355" s="36"/>
      <c r="Q2355" s="36"/>
      <c r="R2355" s="36"/>
      <c r="S2355" s="36"/>
      <c r="T2355" s="36"/>
      <c r="U2355" s="36"/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</row>
    <row r="2356" ht="22.5" customHeight="1">
      <c r="A2356" s="86">
        <v>46126.0</v>
      </c>
      <c r="B2356" s="137" t="s">
        <v>27</v>
      </c>
      <c r="C2356" s="79"/>
      <c r="D2356" s="80">
        <v>59500.0</v>
      </c>
      <c r="E2356" s="66" t="s">
        <v>28</v>
      </c>
      <c r="F2356" s="67" t="s">
        <v>1680</v>
      </c>
      <c r="G2356" s="68">
        <v>0.0</v>
      </c>
      <c r="H2356" s="68">
        <v>0.0</v>
      </c>
      <c r="I2356" s="89" t="s">
        <v>490</v>
      </c>
      <c r="J2356" s="98" t="s">
        <v>1727</v>
      </c>
      <c r="K2356" s="95"/>
      <c r="L2356" s="95"/>
      <c r="M2356" s="95"/>
      <c r="N2356" s="153"/>
      <c r="O2356" s="96"/>
      <c r="P2356" s="36"/>
      <c r="Q2356" s="36"/>
      <c r="R2356" s="36"/>
      <c r="S2356" s="36"/>
      <c r="T2356" s="36"/>
      <c r="U2356" s="36"/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</row>
    <row r="2357" ht="22.5" customHeight="1">
      <c r="A2357" s="86">
        <v>46127.0</v>
      </c>
      <c r="B2357" s="137" t="s">
        <v>27</v>
      </c>
      <c r="C2357" s="79"/>
      <c r="D2357" s="80">
        <v>35000.0</v>
      </c>
      <c r="E2357" s="66" t="s">
        <v>28</v>
      </c>
      <c r="F2357" s="67" t="s">
        <v>1680</v>
      </c>
      <c r="G2357" s="68">
        <v>0.0</v>
      </c>
      <c r="H2357" s="68">
        <v>0.0</v>
      </c>
      <c r="I2357" s="89" t="s">
        <v>47</v>
      </c>
      <c r="J2357" s="81"/>
      <c r="K2357" s="95"/>
      <c r="L2357" s="95"/>
      <c r="M2357" s="95"/>
      <c r="N2357" s="153"/>
      <c r="O2357" s="96"/>
      <c r="P2357" s="36"/>
      <c r="Q2357" s="36"/>
      <c r="R2357" s="36"/>
      <c r="S2357" s="36"/>
      <c r="T2357" s="36"/>
      <c r="U2357" s="36"/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</row>
    <row r="2358" ht="22.5" customHeight="1">
      <c r="A2358" s="86">
        <v>46127.0</v>
      </c>
      <c r="B2358" s="137" t="s">
        <v>27</v>
      </c>
      <c r="C2358" s="80">
        <v>35000.0</v>
      </c>
      <c r="D2358" s="79"/>
      <c r="E2358" s="66" t="s">
        <v>1346</v>
      </c>
      <c r="F2358" s="67" t="s">
        <v>1680</v>
      </c>
      <c r="G2358" s="68">
        <v>0.0</v>
      </c>
      <c r="H2358" s="68">
        <v>0.0</v>
      </c>
      <c r="I2358" s="89" t="s">
        <v>47</v>
      </c>
      <c r="J2358" s="81"/>
      <c r="K2358" s="95"/>
      <c r="L2358" s="95"/>
      <c r="M2358" s="95"/>
      <c r="N2358" s="153"/>
      <c r="O2358" s="96"/>
      <c r="P2358" s="36"/>
      <c r="Q2358" s="36"/>
      <c r="R2358" s="36"/>
      <c r="S2358" s="36"/>
      <c r="T2358" s="36"/>
      <c r="U2358" s="36"/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</row>
    <row r="2359" ht="22.5" customHeight="1">
      <c r="A2359" s="86">
        <v>46127.0</v>
      </c>
      <c r="B2359" s="137" t="s">
        <v>27</v>
      </c>
      <c r="C2359" s="79"/>
      <c r="D2359" s="80">
        <v>20000.0</v>
      </c>
      <c r="E2359" s="66" t="s">
        <v>33</v>
      </c>
      <c r="F2359" s="67" t="s">
        <v>1609</v>
      </c>
      <c r="G2359" s="68">
        <v>0.0</v>
      </c>
      <c r="H2359" s="69">
        <f t="shared" ref="H2359:H2370" si="139">SUM(C2359:D2359)*G2359/(G2359+100)</f>
        <v>0</v>
      </c>
      <c r="I2359" s="89" t="s">
        <v>53</v>
      </c>
      <c r="J2359" s="98" t="s">
        <v>1728</v>
      </c>
      <c r="K2359" s="95"/>
      <c r="L2359" s="95"/>
      <c r="M2359" s="95"/>
      <c r="N2359" s="153"/>
      <c r="O2359" s="96"/>
      <c r="P2359" s="36"/>
      <c r="Q2359" s="36"/>
      <c r="R2359" s="36"/>
      <c r="S2359" s="36"/>
      <c r="T2359" s="36"/>
      <c r="U2359" s="36"/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</row>
    <row r="2360" ht="22.5" customHeight="1">
      <c r="A2360" s="86">
        <v>46127.0</v>
      </c>
      <c r="B2360" s="137" t="s">
        <v>27</v>
      </c>
      <c r="C2360" s="79"/>
      <c r="D2360" s="80">
        <v>10000.0</v>
      </c>
      <c r="E2360" s="66" t="s">
        <v>33</v>
      </c>
      <c r="F2360" s="67" t="s">
        <v>1609</v>
      </c>
      <c r="G2360" s="68">
        <v>0.0</v>
      </c>
      <c r="H2360" s="69">
        <f t="shared" si="139"/>
        <v>0</v>
      </c>
      <c r="I2360" s="89" t="s">
        <v>490</v>
      </c>
      <c r="J2360" s="98" t="s">
        <v>240</v>
      </c>
      <c r="K2360" s="95"/>
      <c r="L2360" s="95"/>
      <c r="M2360" s="95"/>
      <c r="N2360" s="153"/>
      <c r="O2360" s="96"/>
      <c r="P2360" s="36"/>
      <c r="Q2360" s="36"/>
      <c r="R2360" s="36"/>
      <c r="S2360" s="36"/>
      <c r="T2360" s="36"/>
      <c r="U2360" s="36"/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</row>
    <row r="2361" ht="22.5" customHeight="1">
      <c r="A2361" s="86">
        <v>46127.0</v>
      </c>
      <c r="B2361" s="137" t="s">
        <v>27</v>
      </c>
      <c r="C2361" s="79"/>
      <c r="D2361" s="80">
        <f>30965.26+254.94</f>
        <v>31220.2</v>
      </c>
      <c r="E2361" s="66" t="s">
        <v>1346</v>
      </c>
      <c r="F2361" s="67" t="s">
        <v>1680</v>
      </c>
      <c r="G2361" s="68">
        <v>0.0</v>
      </c>
      <c r="H2361" s="69">
        <f t="shared" si="139"/>
        <v>0</v>
      </c>
      <c r="I2361" s="89" t="s">
        <v>1373</v>
      </c>
      <c r="J2361" s="98" t="s">
        <v>1082</v>
      </c>
      <c r="K2361" s="95"/>
      <c r="L2361" s="95"/>
      <c r="M2361" s="95"/>
      <c r="N2361" s="153"/>
      <c r="O2361" s="96"/>
      <c r="P2361" s="36"/>
      <c r="Q2361" s="36"/>
      <c r="R2361" s="36"/>
      <c r="S2361" s="36"/>
      <c r="T2361" s="36"/>
      <c r="U2361" s="36"/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</row>
    <row r="2362" ht="22.5" customHeight="1">
      <c r="A2362" s="86">
        <v>46127.0</v>
      </c>
      <c r="B2362" s="137" t="s">
        <v>27</v>
      </c>
      <c r="C2362" s="79"/>
      <c r="D2362" s="80">
        <f>2000</f>
        <v>2000</v>
      </c>
      <c r="E2362" s="66" t="s">
        <v>1346</v>
      </c>
      <c r="F2362" s="67" t="s">
        <v>1680</v>
      </c>
      <c r="G2362" s="68">
        <v>0.0</v>
      </c>
      <c r="H2362" s="69">
        <f t="shared" si="139"/>
        <v>0</v>
      </c>
      <c r="I2362" s="89" t="s">
        <v>294</v>
      </c>
      <c r="J2362" s="98" t="s">
        <v>1729</v>
      </c>
      <c r="K2362" s="95"/>
      <c r="L2362" s="95"/>
      <c r="M2362" s="95"/>
      <c r="N2362" s="153"/>
      <c r="O2362" s="9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</row>
    <row r="2363" ht="22.5" customHeight="1">
      <c r="A2363" s="86">
        <v>46128.0</v>
      </c>
      <c r="B2363" s="137" t="s">
        <v>27</v>
      </c>
      <c r="C2363" s="79"/>
      <c r="D2363" s="80">
        <v>10000.0</v>
      </c>
      <c r="E2363" s="66" t="s">
        <v>33</v>
      </c>
      <c r="F2363" s="67" t="s">
        <v>1609</v>
      </c>
      <c r="G2363" s="68">
        <v>0.0</v>
      </c>
      <c r="H2363" s="69">
        <f t="shared" si="139"/>
        <v>0</v>
      </c>
      <c r="I2363" s="89" t="s">
        <v>490</v>
      </c>
      <c r="J2363" s="98" t="s">
        <v>240</v>
      </c>
      <c r="K2363" s="95"/>
      <c r="L2363" s="95"/>
      <c r="M2363" s="95"/>
      <c r="N2363" s="153"/>
      <c r="O2363" s="9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</row>
    <row r="2364" ht="22.5" customHeight="1">
      <c r="A2364" s="86">
        <v>46129.0</v>
      </c>
      <c r="B2364" s="137" t="s">
        <v>27</v>
      </c>
      <c r="C2364" s="80">
        <v>640500.0</v>
      </c>
      <c r="D2364" s="79"/>
      <c r="E2364" s="66" t="s">
        <v>28</v>
      </c>
      <c r="F2364" s="67" t="s">
        <v>1609</v>
      </c>
      <c r="G2364" s="68">
        <v>22.0</v>
      </c>
      <c r="H2364" s="69">
        <f t="shared" si="139"/>
        <v>115500</v>
      </c>
      <c r="I2364" s="89" t="s">
        <v>37</v>
      </c>
      <c r="J2364" s="98" t="s">
        <v>605</v>
      </c>
      <c r="K2364" s="82" t="s">
        <v>949</v>
      </c>
      <c r="L2364" s="82">
        <v>95.0</v>
      </c>
      <c r="M2364" s="128">
        <v>46116.0</v>
      </c>
      <c r="N2364" s="153">
        <f>TODAY()-M2364-60</f>
        <v>12</v>
      </c>
      <c r="O2364" s="96"/>
      <c r="P2364" s="36"/>
      <c r="Q2364" s="36"/>
      <c r="R2364" s="36"/>
      <c r="S2364" s="36"/>
      <c r="T2364" s="36"/>
      <c r="U2364" s="36"/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</row>
    <row r="2365" ht="22.5" customHeight="1">
      <c r="A2365" s="86">
        <v>46129.0</v>
      </c>
      <c r="B2365" s="137" t="s">
        <v>27</v>
      </c>
      <c r="C2365" s="79"/>
      <c r="D2365" s="80">
        <f>180851+3334.32</f>
        <v>184185.32</v>
      </c>
      <c r="E2365" s="66" t="s">
        <v>28</v>
      </c>
      <c r="F2365" s="67" t="s">
        <v>1609</v>
      </c>
      <c r="G2365" s="68">
        <v>0.0</v>
      </c>
      <c r="H2365" s="69">
        <f t="shared" si="139"/>
        <v>0</v>
      </c>
      <c r="I2365" s="89" t="s">
        <v>61</v>
      </c>
      <c r="J2365" s="98" t="s">
        <v>901</v>
      </c>
      <c r="K2365" s="95"/>
      <c r="L2365" s="95"/>
      <c r="M2365" s="95"/>
      <c r="N2365" s="153"/>
      <c r="O2365" s="96"/>
      <c r="P2365" s="36"/>
      <c r="Q2365" s="36"/>
      <c r="R2365" s="36"/>
      <c r="S2365" s="36"/>
      <c r="T2365" s="36"/>
      <c r="U2365" s="36"/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</row>
    <row r="2366" ht="22.5" customHeight="1">
      <c r="A2366" s="86">
        <v>46129.0</v>
      </c>
      <c r="B2366" s="137" t="s">
        <v>27</v>
      </c>
      <c r="C2366" s="79"/>
      <c r="D2366" s="80">
        <v>119401.28</v>
      </c>
      <c r="E2366" s="66" t="s">
        <v>28</v>
      </c>
      <c r="F2366" s="67" t="s">
        <v>603</v>
      </c>
      <c r="G2366" s="68">
        <v>22.0</v>
      </c>
      <c r="H2366" s="69">
        <f t="shared" si="139"/>
        <v>21531.37836</v>
      </c>
      <c r="I2366" s="89" t="s">
        <v>1044</v>
      </c>
      <c r="J2366" s="98" t="s">
        <v>1514</v>
      </c>
      <c r="K2366" s="95"/>
      <c r="L2366" s="95"/>
      <c r="M2366" s="95"/>
      <c r="N2366" s="153"/>
      <c r="O2366" s="96"/>
      <c r="P2366" s="36"/>
      <c r="Q2366" s="36"/>
      <c r="R2366" s="36"/>
      <c r="S2366" s="36"/>
      <c r="T2366" s="36"/>
      <c r="U2366" s="36"/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</row>
    <row r="2367" ht="22.5" customHeight="1">
      <c r="A2367" s="86">
        <v>46132.0</v>
      </c>
      <c r="B2367" s="137" t="s">
        <v>27</v>
      </c>
      <c r="C2367" s="80">
        <v>311880.26</v>
      </c>
      <c r="D2367" s="79"/>
      <c r="E2367" s="66" t="s">
        <v>376</v>
      </c>
      <c r="F2367" s="67" t="s">
        <v>604</v>
      </c>
      <c r="G2367" s="68">
        <v>20.0</v>
      </c>
      <c r="H2367" s="69">
        <f t="shared" si="139"/>
        <v>51980.04333</v>
      </c>
      <c r="I2367" s="89" t="s">
        <v>37</v>
      </c>
      <c r="J2367" s="98" t="s">
        <v>677</v>
      </c>
      <c r="K2367" s="82" t="s">
        <v>607</v>
      </c>
      <c r="L2367" s="82">
        <v>7.0</v>
      </c>
      <c r="M2367" s="166">
        <v>46028.0</v>
      </c>
      <c r="N2367" s="153">
        <f>TODAY()-M2367-60</f>
        <v>100</v>
      </c>
      <c r="O2367" s="96"/>
      <c r="P2367" s="36"/>
      <c r="Q2367" s="36"/>
      <c r="R2367" s="36"/>
      <c r="S2367" s="36"/>
      <c r="T2367" s="36"/>
      <c r="U2367" s="36"/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</row>
    <row r="2368" ht="22.5" customHeight="1">
      <c r="A2368" s="86">
        <v>46132.0</v>
      </c>
      <c r="B2368" s="137" t="s">
        <v>27</v>
      </c>
      <c r="C2368" s="80">
        <v>762497.74</v>
      </c>
      <c r="D2368" s="79"/>
      <c r="E2368" s="66" t="s">
        <v>28</v>
      </c>
      <c r="F2368" s="67" t="s">
        <v>603</v>
      </c>
      <c r="G2368" s="68">
        <v>22.0</v>
      </c>
      <c r="H2368" s="69">
        <f t="shared" si="139"/>
        <v>137499.5925</v>
      </c>
      <c r="I2368" s="89" t="s">
        <v>37</v>
      </c>
      <c r="J2368" s="98" t="s">
        <v>1271</v>
      </c>
      <c r="K2368" s="82" t="s">
        <v>853</v>
      </c>
      <c r="L2368" s="82">
        <v>45.0</v>
      </c>
      <c r="M2368" s="128">
        <v>46062.0</v>
      </c>
      <c r="N2368" s="153"/>
      <c r="O2368" s="96"/>
      <c r="P2368" s="36"/>
      <c r="Q2368" s="36"/>
      <c r="R2368" s="36"/>
      <c r="S2368" s="36"/>
      <c r="T2368" s="36"/>
      <c r="U2368" s="36"/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</row>
    <row r="2369" ht="22.5" customHeight="1">
      <c r="A2369" s="86">
        <v>46132.0</v>
      </c>
      <c r="B2369" s="137" t="s">
        <v>27</v>
      </c>
      <c r="C2369" s="80">
        <v>296074.21</v>
      </c>
      <c r="D2369" s="79"/>
      <c r="E2369" s="66" t="s">
        <v>28</v>
      </c>
      <c r="F2369" s="67" t="s">
        <v>603</v>
      </c>
      <c r="G2369" s="68">
        <v>22.0</v>
      </c>
      <c r="H2369" s="69">
        <f t="shared" si="139"/>
        <v>53390.43131</v>
      </c>
      <c r="I2369" s="89" t="s">
        <v>37</v>
      </c>
      <c r="J2369" s="98" t="s">
        <v>1271</v>
      </c>
      <c r="K2369" s="82" t="s">
        <v>756</v>
      </c>
      <c r="L2369" s="82">
        <v>46.0</v>
      </c>
      <c r="M2369" s="128">
        <v>46062.0</v>
      </c>
      <c r="N2369" s="153"/>
      <c r="O2369" s="96"/>
      <c r="P2369" s="36"/>
      <c r="Q2369" s="36"/>
      <c r="R2369" s="36"/>
      <c r="S2369" s="36"/>
      <c r="T2369" s="36"/>
      <c r="U2369" s="36"/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</row>
    <row r="2370" ht="22.5" customHeight="1">
      <c r="A2370" s="86">
        <v>46132.0</v>
      </c>
      <c r="B2370" s="137" t="s">
        <v>27</v>
      </c>
      <c r="C2370" s="80">
        <v>212520.45</v>
      </c>
      <c r="D2370" s="79"/>
      <c r="E2370" s="66" t="s">
        <v>28</v>
      </c>
      <c r="F2370" s="67" t="s">
        <v>1531</v>
      </c>
      <c r="G2370" s="68">
        <v>22.0</v>
      </c>
      <c r="H2370" s="69">
        <f t="shared" si="139"/>
        <v>38323.35984</v>
      </c>
      <c r="I2370" s="89" t="s">
        <v>37</v>
      </c>
      <c r="J2370" s="98" t="s">
        <v>750</v>
      </c>
      <c r="K2370" s="82" t="s">
        <v>754</v>
      </c>
      <c r="L2370" s="82">
        <v>60.0</v>
      </c>
      <c r="M2370" s="128">
        <v>46092.0</v>
      </c>
      <c r="N2370" s="153"/>
      <c r="O2370" s="96"/>
      <c r="P2370" s="36"/>
      <c r="Q2370" s="36"/>
      <c r="R2370" s="36"/>
      <c r="S2370" s="36"/>
      <c r="T2370" s="36"/>
      <c r="U2370" s="36"/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</row>
    <row r="2371" ht="22.5" customHeight="1">
      <c r="A2371" s="86">
        <v>46132.0</v>
      </c>
      <c r="B2371" s="137" t="s">
        <v>27</v>
      </c>
      <c r="C2371" s="79"/>
      <c r="D2371" s="80">
        <v>35000.0</v>
      </c>
      <c r="E2371" s="66" t="s">
        <v>33</v>
      </c>
      <c r="F2371" s="67" t="s">
        <v>1680</v>
      </c>
      <c r="G2371" s="68">
        <v>0.0</v>
      </c>
      <c r="H2371" s="68">
        <v>0.0</v>
      </c>
      <c r="I2371" s="89" t="s">
        <v>490</v>
      </c>
      <c r="J2371" s="98" t="s">
        <v>1730</v>
      </c>
      <c r="K2371" s="95"/>
      <c r="L2371" s="95"/>
      <c r="M2371" s="95"/>
      <c r="N2371" s="153"/>
      <c r="O2371" s="96"/>
      <c r="P2371" s="36"/>
      <c r="Q2371" s="36"/>
      <c r="R2371" s="36"/>
      <c r="S2371" s="36"/>
      <c r="T2371" s="36"/>
      <c r="U2371" s="36"/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</row>
    <row r="2372" ht="22.5" customHeight="1">
      <c r="A2372" s="86">
        <v>46132.0</v>
      </c>
      <c r="B2372" s="137" t="s">
        <v>27</v>
      </c>
      <c r="C2372" s="79"/>
      <c r="D2372" s="80">
        <v>20000.0</v>
      </c>
      <c r="E2372" s="66" t="s">
        <v>33</v>
      </c>
      <c r="F2372" s="67" t="s">
        <v>1680</v>
      </c>
      <c r="G2372" s="68">
        <v>0.0</v>
      </c>
      <c r="H2372" s="68">
        <v>0.0</v>
      </c>
      <c r="I2372" s="89" t="s">
        <v>490</v>
      </c>
      <c r="J2372" s="98" t="s">
        <v>467</v>
      </c>
      <c r="K2372" s="95"/>
      <c r="L2372" s="95"/>
      <c r="M2372" s="95"/>
      <c r="N2372" s="153"/>
      <c r="O2372" s="9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</row>
    <row r="2373" ht="22.5" customHeight="1">
      <c r="A2373" s="86">
        <v>46133.0</v>
      </c>
      <c r="B2373" s="137" t="s">
        <v>27</v>
      </c>
      <c r="C2373" s="79"/>
      <c r="D2373" s="80">
        <v>30000.0</v>
      </c>
      <c r="E2373" s="66" t="s">
        <v>33</v>
      </c>
      <c r="F2373" s="67" t="s">
        <v>1680</v>
      </c>
      <c r="G2373" s="68">
        <v>0.0</v>
      </c>
      <c r="H2373" s="69">
        <f t="shared" ref="H2373:H2387" si="140">SUM(C2373:D2373)*G2373/(G2373+100)</f>
        <v>0</v>
      </c>
      <c r="I2373" s="89" t="s">
        <v>53</v>
      </c>
      <c r="J2373" s="98" t="s">
        <v>128</v>
      </c>
      <c r="K2373" s="95"/>
      <c r="L2373" s="95"/>
      <c r="M2373" s="95"/>
      <c r="N2373" s="153"/>
      <c r="O2373" s="96"/>
      <c r="P2373" s="36"/>
      <c r="Q2373" s="36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</row>
    <row r="2374" ht="22.5" customHeight="1">
      <c r="A2374" s="86">
        <v>46133.0</v>
      </c>
      <c r="B2374" s="137" t="s">
        <v>27</v>
      </c>
      <c r="C2374" s="79"/>
      <c r="D2374" s="80">
        <v>17000.0</v>
      </c>
      <c r="E2374" s="66" t="s">
        <v>28</v>
      </c>
      <c r="F2374" s="67" t="s">
        <v>1680</v>
      </c>
      <c r="G2374" s="68">
        <v>0.0</v>
      </c>
      <c r="H2374" s="69">
        <f t="shared" si="140"/>
        <v>0</v>
      </c>
      <c r="I2374" s="89" t="s">
        <v>490</v>
      </c>
      <c r="J2374" s="98" t="s">
        <v>1731</v>
      </c>
      <c r="K2374" s="95"/>
      <c r="L2374" s="95"/>
      <c r="M2374" s="95"/>
      <c r="N2374" s="153"/>
      <c r="O2374" s="96"/>
      <c r="P2374" s="36"/>
      <c r="Q2374" s="36"/>
      <c r="R2374" s="36"/>
      <c r="S2374" s="36"/>
      <c r="T2374" s="36"/>
      <c r="U2374" s="36"/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</row>
    <row r="2375" ht="22.5" customHeight="1">
      <c r="A2375" s="86">
        <v>46135.0</v>
      </c>
      <c r="B2375" s="137" t="s">
        <v>27</v>
      </c>
      <c r="C2375" s="79"/>
      <c r="D2375" s="80">
        <v>36465.0</v>
      </c>
      <c r="E2375" s="66" t="s">
        <v>33</v>
      </c>
      <c r="F2375" s="67" t="s">
        <v>1609</v>
      </c>
      <c r="G2375" s="68">
        <v>0.0</v>
      </c>
      <c r="H2375" s="69">
        <f t="shared" si="140"/>
        <v>0</v>
      </c>
      <c r="I2375" s="89" t="s">
        <v>490</v>
      </c>
      <c r="J2375" s="98" t="s">
        <v>1513</v>
      </c>
      <c r="K2375" s="95"/>
      <c r="L2375" s="95"/>
      <c r="M2375" s="95"/>
      <c r="N2375" s="153"/>
      <c r="O2375" s="96"/>
      <c r="P2375" s="36"/>
      <c r="Q2375" s="36"/>
      <c r="R2375" s="36"/>
      <c r="S2375" s="36"/>
      <c r="T2375" s="36"/>
      <c r="U2375" s="36"/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</row>
    <row r="2376" ht="22.5" customHeight="1">
      <c r="A2376" s="86">
        <v>46135.0</v>
      </c>
      <c r="B2376" s="137" t="s">
        <v>27</v>
      </c>
      <c r="C2376" s="79"/>
      <c r="D2376" s="80">
        <v>8200.0</v>
      </c>
      <c r="E2376" s="66" t="s">
        <v>33</v>
      </c>
      <c r="F2376" s="67" t="s">
        <v>1609</v>
      </c>
      <c r="G2376" s="68">
        <v>0.0</v>
      </c>
      <c r="H2376" s="69">
        <f t="shared" si="140"/>
        <v>0</v>
      </c>
      <c r="I2376" s="89" t="s">
        <v>490</v>
      </c>
      <c r="J2376" s="98" t="s">
        <v>1451</v>
      </c>
      <c r="K2376" s="95"/>
      <c r="L2376" s="95"/>
      <c r="M2376" s="95"/>
      <c r="N2376" s="153"/>
      <c r="O2376" s="96"/>
      <c r="P2376" s="36"/>
      <c r="Q2376" s="36"/>
      <c r="R2376" s="36"/>
      <c r="S2376" s="36"/>
      <c r="T2376" s="36"/>
      <c r="U2376" s="36"/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</row>
    <row r="2377" ht="22.5" customHeight="1">
      <c r="A2377" s="86">
        <v>46135.0</v>
      </c>
      <c r="B2377" s="137" t="s">
        <v>27</v>
      </c>
      <c r="C2377" s="79"/>
      <c r="D2377" s="80">
        <v>23040.0</v>
      </c>
      <c r="E2377" s="66" t="s">
        <v>33</v>
      </c>
      <c r="F2377" s="67" t="s">
        <v>1680</v>
      </c>
      <c r="G2377" s="68">
        <v>0.0</v>
      </c>
      <c r="H2377" s="69">
        <f t="shared" si="140"/>
        <v>0</v>
      </c>
      <c r="I2377" s="89" t="s">
        <v>490</v>
      </c>
      <c r="J2377" s="98" t="s">
        <v>1513</v>
      </c>
      <c r="K2377" s="95"/>
      <c r="L2377" s="95"/>
      <c r="M2377" s="95"/>
      <c r="N2377" s="153"/>
      <c r="O2377" s="96"/>
      <c r="P2377" s="36"/>
      <c r="Q2377" s="36"/>
      <c r="R2377" s="36"/>
      <c r="S2377" s="36"/>
      <c r="T2377" s="36"/>
      <c r="U2377" s="36"/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</row>
    <row r="2378" ht="22.5" customHeight="1">
      <c r="A2378" s="86">
        <v>46136.0</v>
      </c>
      <c r="B2378" s="157" t="s">
        <v>27</v>
      </c>
      <c r="C2378" s="80">
        <v>294000.0</v>
      </c>
      <c r="D2378" s="79"/>
      <c r="E2378" s="66" t="s">
        <v>376</v>
      </c>
      <c r="F2378" s="67" t="s">
        <v>1179</v>
      </c>
      <c r="G2378" s="68">
        <v>20.0</v>
      </c>
      <c r="H2378" s="69">
        <f t="shared" si="140"/>
        <v>49000</v>
      </c>
      <c r="I2378" s="76" t="s">
        <v>37</v>
      </c>
      <c r="J2378" s="98" t="s">
        <v>657</v>
      </c>
      <c r="K2378" s="82" t="s">
        <v>844</v>
      </c>
      <c r="L2378" s="82">
        <v>389.0</v>
      </c>
      <c r="M2378" s="132">
        <v>45972.0</v>
      </c>
      <c r="N2378" s="153">
        <f t="shared" ref="N2378:N2380" si="141">TODAY()-M2378-60</f>
        <v>156</v>
      </c>
      <c r="O2378" s="96"/>
      <c r="P2378" s="36"/>
      <c r="Q2378" s="36"/>
      <c r="R2378" s="36"/>
      <c r="S2378" s="36"/>
      <c r="T2378" s="36"/>
      <c r="U2378" s="36"/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</row>
    <row r="2379" ht="22.5" customHeight="1">
      <c r="A2379" s="86">
        <v>46136.0</v>
      </c>
      <c r="B2379" s="157" t="s">
        <v>27</v>
      </c>
      <c r="C2379" s="80">
        <v>294000.0</v>
      </c>
      <c r="D2379" s="79"/>
      <c r="E2379" s="66" t="s">
        <v>376</v>
      </c>
      <c r="F2379" s="67" t="s">
        <v>608</v>
      </c>
      <c r="G2379" s="68">
        <v>20.0</v>
      </c>
      <c r="H2379" s="69">
        <f t="shared" si="140"/>
        <v>49000</v>
      </c>
      <c r="I2379" s="76" t="s">
        <v>37</v>
      </c>
      <c r="J2379" s="98" t="s">
        <v>657</v>
      </c>
      <c r="K2379" s="82" t="s">
        <v>1093</v>
      </c>
      <c r="L2379" s="82">
        <v>415.0</v>
      </c>
      <c r="M2379" s="132">
        <v>45987.0</v>
      </c>
      <c r="N2379" s="153">
        <f t="shared" si="141"/>
        <v>141</v>
      </c>
      <c r="O2379" s="96"/>
      <c r="P2379" s="36"/>
      <c r="Q2379" s="36"/>
      <c r="R2379" s="36"/>
      <c r="S2379" s="36"/>
      <c r="T2379" s="36"/>
      <c r="U2379" s="36"/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</row>
    <row r="2380" ht="22.5" customHeight="1">
      <c r="A2380" s="86">
        <v>46136.0</v>
      </c>
      <c r="B2380" s="157" t="s">
        <v>27</v>
      </c>
      <c r="C2380" s="80">
        <v>688800.0</v>
      </c>
      <c r="D2380" s="80"/>
      <c r="E2380" s="66" t="s">
        <v>28</v>
      </c>
      <c r="F2380" s="67" t="s">
        <v>608</v>
      </c>
      <c r="G2380" s="68">
        <v>20.0</v>
      </c>
      <c r="H2380" s="69">
        <f t="shared" si="140"/>
        <v>114800</v>
      </c>
      <c r="I2380" s="76" t="s">
        <v>37</v>
      </c>
      <c r="J2380" s="87" t="s">
        <v>849</v>
      </c>
      <c r="K2380" s="82" t="s">
        <v>1223</v>
      </c>
      <c r="L2380" s="82">
        <v>430.0</v>
      </c>
      <c r="M2380" s="128">
        <v>46000.0</v>
      </c>
      <c r="N2380" s="153">
        <f t="shared" si="141"/>
        <v>128</v>
      </c>
      <c r="O2380" s="96"/>
      <c r="P2380" s="36"/>
      <c r="Q2380" s="36"/>
      <c r="R2380" s="36"/>
      <c r="S2380" s="36"/>
      <c r="T2380" s="36"/>
      <c r="U2380" s="36"/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</row>
    <row r="2381" ht="22.5" customHeight="1">
      <c r="A2381" s="86">
        <v>46136.0</v>
      </c>
      <c r="B2381" s="137" t="s">
        <v>27</v>
      </c>
      <c r="C2381" s="79"/>
      <c r="D2381" s="79">
        <f>1197596.51+367.47+16026</f>
        <v>1213989.98</v>
      </c>
      <c r="E2381" s="66" t="s">
        <v>28</v>
      </c>
      <c r="F2381" s="67" t="s">
        <v>1680</v>
      </c>
      <c r="G2381" s="68">
        <v>0.0</v>
      </c>
      <c r="H2381" s="69">
        <f t="shared" si="140"/>
        <v>0</v>
      </c>
      <c r="I2381" s="89" t="s">
        <v>280</v>
      </c>
      <c r="J2381" s="81"/>
      <c r="K2381" s="95"/>
      <c r="L2381" s="95"/>
      <c r="M2381" s="95"/>
      <c r="N2381" s="153"/>
      <c r="O2381" s="96"/>
      <c r="P2381" s="36"/>
      <c r="Q2381" s="36"/>
      <c r="R2381" s="36"/>
      <c r="S2381" s="36"/>
      <c r="T2381" s="36"/>
      <c r="U2381" s="36"/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</row>
    <row r="2382" ht="22.5" customHeight="1">
      <c r="A2382" s="86">
        <v>46137.0</v>
      </c>
      <c r="B2382" s="137" t="s">
        <v>27</v>
      </c>
      <c r="C2382" s="79"/>
      <c r="D2382" s="80">
        <v>20000.0</v>
      </c>
      <c r="E2382" s="66" t="s">
        <v>33</v>
      </c>
      <c r="F2382" s="67" t="s">
        <v>1680</v>
      </c>
      <c r="G2382" s="68">
        <v>0.0</v>
      </c>
      <c r="H2382" s="69">
        <f t="shared" si="140"/>
        <v>0</v>
      </c>
      <c r="I2382" s="89" t="s">
        <v>490</v>
      </c>
      <c r="J2382" s="98" t="s">
        <v>128</v>
      </c>
      <c r="K2382" s="95"/>
      <c r="L2382" s="95"/>
      <c r="M2382" s="95"/>
      <c r="N2382" s="153"/>
      <c r="O2382" s="96"/>
      <c r="P2382" s="36"/>
      <c r="Q2382" s="36"/>
      <c r="R2382" s="36"/>
      <c r="S2382" s="36"/>
      <c r="T2382" s="36"/>
      <c r="U2382" s="36"/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</row>
    <row r="2383" ht="22.5" customHeight="1">
      <c r="A2383" s="86">
        <v>46140.0</v>
      </c>
      <c r="B2383" s="137" t="s">
        <v>27</v>
      </c>
      <c r="C2383" s="80">
        <v>366000.06</v>
      </c>
      <c r="D2383" s="79"/>
      <c r="E2383" s="66" t="s">
        <v>28</v>
      </c>
      <c r="F2383" s="67" t="s">
        <v>1531</v>
      </c>
      <c r="G2383" s="68">
        <v>22.0</v>
      </c>
      <c r="H2383" s="69">
        <f t="shared" si="140"/>
        <v>66000.01082</v>
      </c>
      <c r="I2383" s="89" t="s">
        <v>37</v>
      </c>
      <c r="J2383" s="98" t="s">
        <v>948</v>
      </c>
      <c r="K2383" s="82" t="s">
        <v>855</v>
      </c>
      <c r="L2383" s="82">
        <v>81.0</v>
      </c>
      <c r="M2383" s="128">
        <v>46094.0</v>
      </c>
      <c r="N2383" s="153"/>
      <c r="O2383" s="96"/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</row>
    <row r="2384" ht="22.5" customHeight="1">
      <c r="A2384" s="86">
        <v>46140.0</v>
      </c>
      <c r="B2384" s="137" t="s">
        <v>27</v>
      </c>
      <c r="C2384" s="80">
        <v>262522.47</v>
      </c>
      <c r="D2384" s="79"/>
      <c r="E2384" s="66" t="s">
        <v>28</v>
      </c>
      <c r="F2384" s="67" t="s">
        <v>1531</v>
      </c>
      <c r="G2384" s="68">
        <v>22.0</v>
      </c>
      <c r="H2384" s="69">
        <f t="shared" si="140"/>
        <v>47340.11754</v>
      </c>
      <c r="I2384" s="89" t="s">
        <v>37</v>
      </c>
      <c r="J2384" s="98" t="s">
        <v>948</v>
      </c>
      <c r="K2384" s="82" t="s">
        <v>855</v>
      </c>
      <c r="L2384" s="82">
        <v>82.0</v>
      </c>
      <c r="M2384" s="128">
        <v>46094.0</v>
      </c>
      <c r="N2384" s="153"/>
      <c r="O2384" s="96"/>
      <c r="P2384" s="36"/>
      <c r="Q2384" s="36"/>
      <c r="R2384" s="36"/>
      <c r="S2384" s="36"/>
      <c r="T2384" s="36"/>
      <c r="U2384" s="36"/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</row>
    <row r="2385" ht="22.5" customHeight="1">
      <c r="A2385" s="86">
        <v>46140.0</v>
      </c>
      <c r="B2385" s="137" t="s">
        <v>27</v>
      </c>
      <c r="C2385" s="80">
        <v>366000.06</v>
      </c>
      <c r="D2385" s="79"/>
      <c r="E2385" s="66" t="s">
        <v>28</v>
      </c>
      <c r="F2385" s="67" t="s">
        <v>1531</v>
      </c>
      <c r="G2385" s="68">
        <v>22.0</v>
      </c>
      <c r="H2385" s="69">
        <f t="shared" si="140"/>
        <v>66000.01082</v>
      </c>
      <c r="I2385" s="89" t="s">
        <v>37</v>
      </c>
      <c r="J2385" s="98" t="s">
        <v>948</v>
      </c>
      <c r="K2385" s="82" t="s">
        <v>850</v>
      </c>
      <c r="L2385" s="82">
        <v>83.0</v>
      </c>
      <c r="M2385" s="128">
        <v>46094.0</v>
      </c>
      <c r="N2385" s="153"/>
      <c r="O2385" s="96"/>
      <c r="P2385" s="36"/>
      <c r="Q2385" s="36"/>
      <c r="R2385" s="36"/>
      <c r="S2385" s="36"/>
      <c r="T2385" s="36"/>
      <c r="U2385" s="36"/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</row>
    <row r="2386" ht="22.5" customHeight="1">
      <c r="A2386" s="86">
        <v>46140.0</v>
      </c>
      <c r="B2386" s="137" t="s">
        <v>27</v>
      </c>
      <c r="C2386" s="80">
        <v>268400.61</v>
      </c>
      <c r="D2386" s="79"/>
      <c r="E2386" s="66" t="s">
        <v>28</v>
      </c>
      <c r="F2386" s="67" t="s">
        <v>1531</v>
      </c>
      <c r="G2386" s="68">
        <v>22.0</v>
      </c>
      <c r="H2386" s="69">
        <f t="shared" si="140"/>
        <v>48400.11</v>
      </c>
      <c r="I2386" s="89" t="s">
        <v>37</v>
      </c>
      <c r="J2386" s="98" t="s">
        <v>948</v>
      </c>
      <c r="K2386" s="82" t="s">
        <v>850</v>
      </c>
      <c r="L2386" s="82">
        <v>84.0</v>
      </c>
      <c r="M2386" s="128">
        <v>46094.0</v>
      </c>
      <c r="N2386" s="153"/>
      <c r="O2386" s="96"/>
      <c r="P2386" s="36"/>
      <c r="Q2386" s="36"/>
      <c r="R2386" s="36"/>
      <c r="S2386" s="36"/>
      <c r="T2386" s="36"/>
      <c r="U2386" s="36"/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</row>
    <row r="2387" ht="22.5" customHeight="1">
      <c r="A2387" s="86">
        <v>46140.0</v>
      </c>
      <c r="B2387" s="137" t="s">
        <v>27</v>
      </c>
      <c r="C2387" s="79"/>
      <c r="D2387" s="80">
        <v>47250.0</v>
      </c>
      <c r="E2387" s="66" t="s">
        <v>28</v>
      </c>
      <c r="F2387" s="67" t="s">
        <v>1680</v>
      </c>
      <c r="G2387" s="68">
        <v>5.0</v>
      </c>
      <c r="H2387" s="69">
        <f t="shared" si="140"/>
        <v>2250</v>
      </c>
      <c r="I2387" s="89" t="s">
        <v>101</v>
      </c>
      <c r="J2387" s="98" t="s">
        <v>1732</v>
      </c>
      <c r="K2387" s="95"/>
      <c r="L2387" s="95"/>
      <c r="M2387" s="95"/>
      <c r="N2387" s="153"/>
      <c r="O2387" s="83" t="s">
        <v>1733</v>
      </c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</row>
    <row r="2388" ht="22.5" customHeight="1">
      <c r="A2388" s="86">
        <v>46140.0</v>
      </c>
      <c r="B2388" s="137" t="s">
        <v>27</v>
      </c>
      <c r="C2388" s="79"/>
      <c r="D2388" s="80">
        <v>3840.0</v>
      </c>
      <c r="E2388" s="66" t="s">
        <v>28</v>
      </c>
      <c r="F2388" s="67" t="s">
        <v>1609</v>
      </c>
      <c r="G2388" s="68">
        <v>0.0</v>
      </c>
      <c r="H2388" s="69">
        <v>0.0</v>
      </c>
      <c r="I2388" s="89" t="s">
        <v>659</v>
      </c>
      <c r="J2388" s="81"/>
      <c r="K2388" s="95"/>
      <c r="L2388" s="95"/>
      <c r="M2388" s="95"/>
      <c r="N2388" s="153"/>
      <c r="O2388" s="96"/>
      <c r="P2388" s="36"/>
      <c r="Q2388" s="36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</row>
    <row r="2389" ht="22.5" customHeight="1">
      <c r="A2389" s="86">
        <v>46140.0</v>
      </c>
      <c r="B2389" s="137" t="s">
        <v>27</v>
      </c>
      <c r="C2389" s="79"/>
      <c r="D2389" s="80">
        <v>282976.0</v>
      </c>
      <c r="E2389" s="66" t="s">
        <v>28</v>
      </c>
      <c r="F2389" s="67" t="s">
        <v>1609</v>
      </c>
      <c r="G2389" s="68">
        <v>0.0</v>
      </c>
      <c r="H2389" s="69">
        <v>0.0</v>
      </c>
      <c r="I2389" s="89" t="s">
        <v>599</v>
      </c>
      <c r="J2389" s="81"/>
      <c r="K2389" s="95"/>
      <c r="L2389" s="95"/>
      <c r="M2389" s="95"/>
      <c r="N2389" s="153"/>
      <c r="O2389" s="96"/>
      <c r="P2389" s="36"/>
      <c r="Q2389" s="36"/>
      <c r="R2389" s="36"/>
      <c r="S2389" s="36"/>
      <c r="T2389" s="36"/>
      <c r="U2389" s="36"/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</row>
    <row r="2390" ht="22.5" customHeight="1">
      <c r="A2390" s="86">
        <v>46140.0</v>
      </c>
      <c r="B2390" s="137" t="s">
        <v>27</v>
      </c>
      <c r="C2390" s="79"/>
      <c r="D2390" s="80">
        <v>1454850.0</v>
      </c>
      <c r="E2390" s="66" t="s">
        <v>28</v>
      </c>
      <c r="F2390" s="67" t="s">
        <v>1723</v>
      </c>
      <c r="G2390" s="68">
        <v>0.0</v>
      </c>
      <c r="H2390" s="69">
        <v>0.0</v>
      </c>
      <c r="I2390" s="89" t="s">
        <v>623</v>
      </c>
      <c r="J2390" s="81"/>
      <c r="K2390" s="95"/>
      <c r="L2390" s="95"/>
      <c r="M2390" s="95"/>
      <c r="N2390" s="153"/>
      <c r="O2390" s="96"/>
      <c r="P2390" s="36"/>
      <c r="Q2390" s="36"/>
      <c r="R2390" s="36"/>
      <c r="S2390" s="36"/>
      <c r="T2390" s="36"/>
      <c r="U2390" s="36"/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</row>
    <row r="2391" ht="22.5" customHeight="1">
      <c r="A2391" s="86">
        <v>46140.0</v>
      </c>
      <c r="B2391" s="137" t="s">
        <v>27</v>
      </c>
      <c r="C2391" s="79"/>
      <c r="D2391" s="80">
        <v>304185.0</v>
      </c>
      <c r="E2391" s="66" t="s">
        <v>28</v>
      </c>
      <c r="F2391" s="67" t="s">
        <v>1723</v>
      </c>
      <c r="G2391" s="68">
        <v>0.0</v>
      </c>
      <c r="H2391" s="69">
        <v>0.0</v>
      </c>
      <c r="I2391" s="89" t="s">
        <v>598</v>
      </c>
      <c r="J2391" s="81"/>
      <c r="K2391" s="95"/>
      <c r="L2391" s="95"/>
      <c r="M2391" s="95"/>
      <c r="N2391" s="153"/>
      <c r="O2391" s="96"/>
      <c r="P2391" s="36"/>
      <c r="Q2391" s="36"/>
      <c r="R2391" s="36"/>
      <c r="S2391" s="36"/>
      <c r="T2391" s="36"/>
      <c r="U2391" s="36"/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</row>
    <row r="2392" ht="22.5" customHeight="1">
      <c r="A2392" s="86">
        <v>46140.0</v>
      </c>
      <c r="B2392" s="137" t="s">
        <v>27</v>
      </c>
      <c r="C2392" s="79"/>
      <c r="D2392" s="80">
        <v>666668.37</v>
      </c>
      <c r="E2392" s="66" t="s">
        <v>28</v>
      </c>
      <c r="F2392" s="67" t="s">
        <v>1609</v>
      </c>
      <c r="G2392" s="68">
        <v>0.0</v>
      </c>
      <c r="H2392" s="69">
        <v>0.0</v>
      </c>
      <c r="I2392" s="89" t="s">
        <v>622</v>
      </c>
      <c r="J2392" s="81"/>
      <c r="K2392" s="95"/>
      <c r="L2392" s="95"/>
      <c r="M2392" s="95"/>
      <c r="N2392" s="153"/>
      <c r="O2392" s="96"/>
      <c r="P2392" s="36"/>
      <c r="Q2392" s="36"/>
      <c r="R2392" s="36"/>
      <c r="S2392" s="36"/>
      <c r="T2392" s="36"/>
      <c r="U2392" s="36"/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</row>
    <row r="2393" ht="22.5" customHeight="1">
      <c r="A2393" s="86">
        <v>46142.0</v>
      </c>
      <c r="B2393" s="137" t="s">
        <v>27</v>
      </c>
      <c r="C2393" s="80">
        <v>660000.5</v>
      </c>
      <c r="D2393" s="79"/>
      <c r="E2393" s="66" t="s">
        <v>28</v>
      </c>
      <c r="F2393" s="67" t="s">
        <v>604</v>
      </c>
      <c r="G2393" s="68">
        <v>20.0</v>
      </c>
      <c r="H2393" s="69">
        <f t="shared" ref="H2393:H2456" si="142">SUM(C2393:D2393)*G2393/(G2393+100)</f>
        <v>110000.0833</v>
      </c>
      <c r="I2393" s="89" t="s">
        <v>37</v>
      </c>
      <c r="J2393" s="98" t="s">
        <v>944</v>
      </c>
      <c r="K2393" s="82" t="s">
        <v>1303</v>
      </c>
      <c r="L2393" s="82">
        <v>38.0</v>
      </c>
      <c r="M2393" s="128">
        <v>46042.0</v>
      </c>
      <c r="N2393" s="153">
        <f t="shared" ref="N2393:N2396" si="143">TODAY()-M2393-120</f>
        <v>26</v>
      </c>
      <c r="O2393" s="96"/>
      <c r="P2393" s="36"/>
      <c r="Q2393" s="36"/>
      <c r="R2393" s="36"/>
      <c r="S2393" s="36"/>
      <c r="T2393" s="36"/>
      <c r="U2393" s="36"/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</row>
    <row r="2394" ht="22.5" customHeight="1">
      <c r="A2394" s="86">
        <v>46142.0</v>
      </c>
      <c r="B2394" s="137" t="s">
        <v>27</v>
      </c>
      <c r="C2394" s="80">
        <v>659999.99</v>
      </c>
      <c r="D2394" s="79"/>
      <c r="E2394" s="66" t="s">
        <v>28</v>
      </c>
      <c r="F2394" s="67" t="s">
        <v>604</v>
      </c>
      <c r="G2394" s="68">
        <v>20.0</v>
      </c>
      <c r="H2394" s="69">
        <f t="shared" si="142"/>
        <v>109999.9983</v>
      </c>
      <c r="I2394" s="89" t="s">
        <v>37</v>
      </c>
      <c r="J2394" s="98" t="s">
        <v>944</v>
      </c>
      <c r="K2394" s="82" t="s">
        <v>1264</v>
      </c>
      <c r="L2394" s="82">
        <v>40.0</v>
      </c>
      <c r="M2394" s="128">
        <v>46042.0</v>
      </c>
      <c r="N2394" s="153">
        <f t="shared" si="143"/>
        <v>26</v>
      </c>
      <c r="O2394" s="96"/>
      <c r="P2394" s="36"/>
      <c r="Q2394" s="36"/>
      <c r="R2394" s="36"/>
      <c r="S2394" s="36"/>
      <c r="T2394" s="36"/>
      <c r="U2394" s="36"/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</row>
    <row r="2395" ht="22.5" customHeight="1">
      <c r="A2395" s="86">
        <v>46142.0</v>
      </c>
      <c r="B2395" s="137" t="s">
        <v>27</v>
      </c>
      <c r="C2395" s="80">
        <v>1329520.5</v>
      </c>
      <c r="D2395" s="79"/>
      <c r="E2395" s="66" t="s">
        <v>28</v>
      </c>
      <c r="F2395" s="67" t="s">
        <v>604</v>
      </c>
      <c r="G2395" s="68">
        <v>20.0</v>
      </c>
      <c r="H2395" s="69">
        <f t="shared" si="142"/>
        <v>221586.75</v>
      </c>
      <c r="I2395" s="89" t="s">
        <v>37</v>
      </c>
      <c r="J2395" s="98" t="s">
        <v>944</v>
      </c>
      <c r="K2395" s="82" t="s">
        <v>1303</v>
      </c>
      <c r="L2395" s="82">
        <v>41.0</v>
      </c>
      <c r="M2395" s="128">
        <v>46042.0</v>
      </c>
      <c r="N2395" s="153">
        <f t="shared" si="143"/>
        <v>26</v>
      </c>
      <c r="O2395" s="96"/>
      <c r="P2395" s="36"/>
      <c r="Q2395" s="36"/>
      <c r="R2395" s="36"/>
      <c r="S2395" s="36"/>
      <c r="T2395" s="36"/>
      <c r="U2395" s="36"/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</row>
    <row r="2396" ht="22.5" customHeight="1">
      <c r="A2396" s="86">
        <v>46142.0</v>
      </c>
      <c r="B2396" s="137" t="s">
        <v>27</v>
      </c>
      <c r="C2396" s="80">
        <v>1329520.5</v>
      </c>
      <c r="D2396" s="79"/>
      <c r="E2396" s="66" t="s">
        <v>28</v>
      </c>
      <c r="F2396" s="67" t="s">
        <v>604</v>
      </c>
      <c r="G2396" s="68">
        <v>20.0</v>
      </c>
      <c r="H2396" s="69">
        <f t="shared" si="142"/>
        <v>221586.75</v>
      </c>
      <c r="I2396" s="89" t="s">
        <v>37</v>
      </c>
      <c r="J2396" s="98" t="s">
        <v>944</v>
      </c>
      <c r="K2396" s="82" t="s">
        <v>1303</v>
      </c>
      <c r="L2396" s="82">
        <v>42.0</v>
      </c>
      <c r="M2396" s="128">
        <v>46042.0</v>
      </c>
      <c r="N2396" s="153">
        <f t="shared" si="143"/>
        <v>26</v>
      </c>
      <c r="O2396" s="96"/>
      <c r="P2396" s="36"/>
      <c r="Q2396" s="36"/>
      <c r="R2396" s="36"/>
      <c r="S2396" s="36"/>
      <c r="T2396" s="36"/>
      <c r="U2396" s="36"/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</row>
    <row r="2397" ht="22.5" customHeight="1">
      <c r="A2397" s="86">
        <v>46146.0</v>
      </c>
      <c r="B2397" s="137" t="s">
        <v>27</v>
      </c>
      <c r="C2397" s="79"/>
      <c r="D2397" s="80">
        <v>900000.0</v>
      </c>
      <c r="E2397" s="66" t="s">
        <v>376</v>
      </c>
      <c r="F2397" s="67" t="s">
        <v>1734</v>
      </c>
      <c r="G2397" s="68">
        <v>0.0</v>
      </c>
      <c r="H2397" s="69">
        <f t="shared" si="142"/>
        <v>0</v>
      </c>
      <c r="I2397" s="89" t="s">
        <v>47</v>
      </c>
      <c r="J2397" s="81"/>
      <c r="K2397" s="95"/>
      <c r="L2397" s="95"/>
      <c r="M2397" s="95"/>
      <c r="N2397" s="153"/>
      <c r="O2397" s="96"/>
      <c r="P2397" s="36"/>
      <c r="Q2397" s="36"/>
      <c r="R2397" s="36"/>
      <c r="S2397" s="36"/>
      <c r="T2397" s="36"/>
      <c r="U2397" s="36"/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</row>
    <row r="2398" ht="22.5" customHeight="1">
      <c r="A2398" s="86">
        <v>46146.0</v>
      </c>
      <c r="B2398" s="137" t="s">
        <v>27</v>
      </c>
      <c r="C2398" s="80">
        <v>900000.0</v>
      </c>
      <c r="D2398" s="79"/>
      <c r="E2398" s="66" t="s">
        <v>28</v>
      </c>
      <c r="F2398" s="67" t="s">
        <v>1734</v>
      </c>
      <c r="G2398" s="68">
        <v>0.0</v>
      </c>
      <c r="H2398" s="69">
        <f t="shared" si="142"/>
        <v>0</v>
      </c>
      <c r="I2398" s="89" t="s">
        <v>47</v>
      </c>
      <c r="J2398" s="81"/>
      <c r="K2398" s="95"/>
      <c r="L2398" s="95"/>
      <c r="M2398" s="95"/>
      <c r="N2398" s="153"/>
      <c r="O2398" s="96"/>
      <c r="P2398" s="36"/>
      <c r="Q2398" s="36"/>
      <c r="R2398" s="36"/>
      <c r="S2398" s="36"/>
      <c r="T2398" s="36"/>
      <c r="U2398" s="36"/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</row>
    <row r="2399" ht="22.5" customHeight="1">
      <c r="A2399" s="86">
        <v>46146.0</v>
      </c>
      <c r="B2399" s="137" t="s">
        <v>27</v>
      </c>
      <c r="C2399" s="79"/>
      <c r="D2399" s="80">
        <v>1000.0</v>
      </c>
      <c r="E2399" s="66" t="s">
        <v>28</v>
      </c>
      <c r="F2399" s="67" t="s">
        <v>1734</v>
      </c>
      <c r="G2399" s="68">
        <v>22.0</v>
      </c>
      <c r="H2399" s="69">
        <f t="shared" si="142"/>
        <v>180.3278689</v>
      </c>
      <c r="I2399" s="89" t="s">
        <v>259</v>
      </c>
      <c r="J2399" s="98" t="s">
        <v>1735</v>
      </c>
      <c r="K2399" s="95"/>
      <c r="L2399" s="95"/>
      <c r="M2399" s="95"/>
      <c r="N2399" s="153"/>
      <c r="O2399" s="96"/>
      <c r="P2399" s="36"/>
      <c r="Q2399" s="36"/>
      <c r="R2399" s="36"/>
      <c r="S2399" s="36"/>
      <c r="T2399" s="36"/>
      <c r="U2399" s="36"/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</row>
    <row r="2400" ht="22.5" customHeight="1">
      <c r="A2400" s="86">
        <v>46146.0</v>
      </c>
      <c r="B2400" s="137" t="s">
        <v>27</v>
      </c>
      <c r="C2400" s="79"/>
      <c r="D2400" s="80">
        <v>14504.7</v>
      </c>
      <c r="E2400" s="66" t="s">
        <v>28</v>
      </c>
      <c r="F2400" s="67" t="s">
        <v>1680</v>
      </c>
      <c r="G2400" s="68">
        <v>0.0</v>
      </c>
      <c r="H2400" s="69">
        <f t="shared" si="142"/>
        <v>0</v>
      </c>
      <c r="I2400" s="89" t="s">
        <v>68</v>
      </c>
      <c r="J2400" s="98" t="s">
        <v>1673</v>
      </c>
      <c r="K2400" s="95"/>
      <c r="L2400" s="95"/>
      <c r="M2400" s="95"/>
      <c r="N2400" s="153"/>
      <c r="O2400" s="9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</row>
    <row r="2401" ht="22.5" customHeight="1">
      <c r="A2401" s="86">
        <v>46146.0</v>
      </c>
      <c r="B2401" s="137" t="s">
        <v>27</v>
      </c>
      <c r="C2401" s="79"/>
      <c r="D2401" s="80">
        <v>5000.0</v>
      </c>
      <c r="E2401" s="66" t="s">
        <v>28</v>
      </c>
      <c r="F2401" s="67" t="s">
        <v>1680</v>
      </c>
      <c r="G2401" s="68">
        <v>22.0</v>
      </c>
      <c r="H2401" s="69">
        <f t="shared" si="142"/>
        <v>901.6393443</v>
      </c>
      <c r="I2401" s="89" t="s">
        <v>30</v>
      </c>
      <c r="J2401" s="98" t="s">
        <v>1007</v>
      </c>
      <c r="K2401" s="95"/>
      <c r="L2401" s="95"/>
      <c r="M2401" s="95"/>
      <c r="N2401" s="153"/>
      <c r="O2401" s="9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</row>
    <row r="2402" ht="22.5" customHeight="1">
      <c r="A2402" s="86">
        <v>46147.0</v>
      </c>
      <c r="B2402" s="137" t="s">
        <v>27</v>
      </c>
      <c r="C2402" s="79"/>
      <c r="D2402" s="80">
        <v>181342.0</v>
      </c>
      <c r="E2402" s="66" t="s">
        <v>28</v>
      </c>
      <c r="F2402" s="67" t="s">
        <v>1680</v>
      </c>
      <c r="G2402" s="68">
        <v>0.0</v>
      </c>
      <c r="H2402" s="69">
        <f t="shared" si="142"/>
        <v>0</v>
      </c>
      <c r="I2402" s="89" t="s">
        <v>599</v>
      </c>
      <c r="J2402" s="81"/>
      <c r="K2402" s="95"/>
      <c r="L2402" s="95"/>
      <c r="M2402" s="95"/>
      <c r="N2402" s="153"/>
      <c r="O2402" s="96"/>
      <c r="P2402" s="36"/>
      <c r="Q2402" s="36"/>
      <c r="R2402" s="36"/>
      <c r="S2402" s="36"/>
      <c r="T2402" s="36"/>
      <c r="U2402" s="36"/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</row>
    <row r="2403" ht="22.5" customHeight="1">
      <c r="A2403" s="86">
        <v>46148.0</v>
      </c>
      <c r="B2403" s="137" t="s">
        <v>27</v>
      </c>
      <c r="C2403" s="80">
        <v>57500.0</v>
      </c>
      <c r="D2403" s="79"/>
      <c r="E2403" s="66" t="s">
        <v>28</v>
      </c>
      <c r="F2403" s="67" t="s">
        <v>1734</v>
      </c>
      <c r="G2403" s="68">
        <v>0.0</v>
      </c>
      <c r="H2403" s="69">
        <f t="shared" si="142"/>
        <v>0</v>
      </c>
      <c r="I2403" s="89" t="s">
        <v>383</v>
      </c>
      <c r="J2403" s="98" t="s">
        <v>1736</v>
      </c>
      <c r="K2403" s="95"/>
      <c r="L2403" s="95"/>
      <c r="M2403" s="95"/>
      <c r="N2403" s="153"/>
      <c r="O2403" s="96"/>
      <c r="P2403" s="36"/>
      <c r="Q2403" s="36"/>
      <c r="R2403" s="36"/>
      <c r="S2403" s="36"/>
      <c r="T2403" s="36"/>
      <c r="U2403" s="36"/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</row>
    <row r="2404" ht="22.5" customHeight="1">
      <c r="A2404" s="86">
        <v>46148.0</v>
      </c>
      <c r="B2404" s="137" t="s">
        <v>27</v>
      </c>
      <c r="C2404" s="79"/>
      <c r="D2404" s="80">
        <v>2598600.0</v>
      </c>
      <c r="E2404" s="66" t="s">
        <v>28</v>
      </c>
      <c r="F2404" s="67" t="s">
        <v>1734</v>
      </c>
      <c r="G2404" s="68">
        <v>22.0</v>
      </c>
      <c r="H2404" s="69">
        <f t="shared" si="142"/>
        <v>468600</v>
      </c>
      <c r="I2404" s="89" t="s">
        <v>47</v>
      </c>
      <c r="J2404" s="81"/>
      <c r="K2404" s="95"/>
      <c r="L2404" s="95"/>
      <c r="M2404" s="95"/>
      <c r="N2404" s="153"/>
      <c r="O2404" s="96"/>
      <c r="P2404" s="36"/>
      <c r="Q2404" s="36"/>
      <c r="R2404" s="36"/>
      <c r="S2404" s="36"/>
      <c r="T2404" s="36"/>
      <c r="U2404" s="36"/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</row>
    <row r="2405" ht="22.5" customHeight="1">
      <c r="A2405" s="86">
        <v>46148.0</v>
      </c>
      <c r="B2405" s="137" t="s">
        <v>27</v>
      </c>
      <c r="C2405" s="80">
        <v>2000000.0</v>
      </c>
      <c r="D2405" s="79"/>
      <c r="E2405" s="66" t="s">
        <v>33</v>
      </c>
      <c r="F2405" s="67" t="s">
        <v>1734</v>
      </c>
      <c r="G2405" s="68">
        <v>0.0</v>
      </c>
      <c r="H2405" s="69">
        <f t="shared" si="142"/>
        <v>0</v>
      </c>
      <c r="I2405" s="89" t="s">
        <v>47</v>
      </c>
      <c r="J2405" s="81"/>
      <c r="K2405" s="95"/>
      <c r="L2405" s="95"/>
      <c r="M2405" s="95"/>
      <c r="N2405" s="153"/>
      <c r="O2405" s="96"/>
      <c r="P2405" s="36"/>
      <c r="Q2405" s="36"/>
      <c r="R2405" s="36"/>
      <c r="S2405" s="36"/>
      <c r="T2405" s="36"/>
      <c r="U2405" s="36"/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</row>
    <row r="2406" ht="22.5" customHeight="1">
      <c r="A2406" s="86">
        <v>46148.0</v>
      </c>
      <c r="B2406" s="137" t="s">
        <v>27</v>
      </c>
      <c r="C2406" s="79"/>
      <c r="D2406" s="80">
        <v>280100.0</v>
      </c>
      <c r="E2406" s="66" t="s">
        <v>28</v>
      </c>
      <c r="F2406" s="67" t="s">
        <v>1734</v>
      </c>
      <c r="G2406" s="68">
        <v>0.0</v>
      </c>
      <c r="H2406" s="69">
        <f t="shared" si="142"/>
        <v>0</v>
      </c>
      <c r="I2406" s="89" t="s">
        <v>47</v>
      </c>
      <c r="J2406" s="81"/>
      <c r="K2406" s="95"/>
      <c r="L2406" s="95"/>
      <c r="M2406" s="95"/>
      <c r="N2406" s="153"/>
      <c r="O2406" s="96"/>
      <c r="P2406" s="36"/>
      <c r="Q2406" s="36"/>
      <c r="R2406" s="36"/>
      <c r="S2406" s="36"/>
      <c r="T2406" s="36"/>
      <c r="U2406" s="36"/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</row>
    <row r="2407" ht="22.5" customHeight="1">
      <c r="A2407" s="86">
        <v>46148.0</v>
      </c>
      <c r="B2407" s="137" t="s">
        <v>27</v>
      </c>
      <c r="C2407" s="79">
        <v>210075.0</v>
      </c>
      <c r="D2407" s="79"/>
      <c r="E2407" s="66" t="s">
        <v>33</v>
      </c>
      <c r="F2407" s="67" t="s">
        <v>1734</v>
      </c>
      <c r="G2407" s="68">
        <v>0.0</v>
      </c>
      <c r="H2407" s="69">
        <f t="shared" si="142"/>
        <v>0</v>
      </c>
      <c r="I2407" s="89" t="s">
        <v>47</v>
      </c>
      <c r="J2407" s="81"/>
      <c r="K2407" s="95"/>
      <c r="L2407" s="95"/>
      <c r="M2407" s="95"/>
      <c r="N2407" s="153"/>
      <c r="O2407" s="96"/>
      <c r="P2407" s="36"/>
      <c r="Q2407" s="36"/>
      <c r="R2407" s="36"/>
      <c r="S2407" s="36"/>
      <c r="T2407" s="36"/>
      <c r="U2407" s="36"/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</row>
    <row r="2408" ht="22.5" customHeight="1">
      <c r="A2408" s="86">
        <v>46148.0</v>
      </c>
      <c r="B2408" s="137" t="s">
        <v>27</v>
      </c>
      <c r="C2408" s="80">
        <v>732000.12</v>
      </c>
      <c r="D2408" s="79"/>
      <c r="E2408" s="66" t="s">
        <v>28</v>
      </c>
      <c r="F2408" s="67" t="s">
        <v>603</v>
      </c>
      <c r="G2408" s="68">
        <v>22.0</v>
      </c>
      <c r="H2408" s="69">
        <f t="shared" si="142"/>
        <v>132000.0216</v>
      </c>
      <c r="I2408" s="89" t="s">
        <v>37</v>
      </c>
      <c r="J2408" s="98" t="s">
        <v>675</v>
      </c>
      <c r="K2408" s="82" t="s">
        <v>1230</v>
      </c>
      <c r="L2408" s="82">
        <v>48.0</v>
      </c>
      <c r="M2408" s="128">
        <v>46065.0</v>
      </c>
      <c r="N2408" s="153"/>
      <c r="O2408" s="96"/>
      <c r="P2408" s="36"/>
      <c r="Q2408" s="36"/>
      <c r="R2408" s="36"/>
      <c r="S2408" s="36"/>
      <c r="T2408" s="36"/>
      <c r="U2408" s="36"/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</row>
    <row r="2409" ht="22.5" customHeight="1">
      <c r="A2409" s="86">
        <v>46148.0</v>
      </c>
      <c r="B2409" s="137" t="s">
        <v>27</v>
      </c>
      <c r="C2409" s="80">
        <v>488000.06</v>
      </c>
      <c r="D2409" s="79"/>
      <c r="E2409" s="66" t="s">
        <v>28</v>
      </c>
      <c r="F2409" s="67" t="s">
        <v>603</v>
      </c>
      <c r="G2409" s="68">
        <v>22.0</v>
      </c>
      <c r="H2409" s="69">
        <f t="shared" si="142"/>
        <v>88000.01082</v>
      </c>
      <c r="I2409" s="89" t="s">
        <v>37</v>
      </c>
      <c r="J2409" s="98" t="s">
        <v>675</v>
      </c>
      <c r="K2409" s="82" t="s">
        <v>1230</v>
      </c>
      <c r="L2409" s="82">
        <v>49.0</v>
      </c>
      <c r="M2409" s="128">
        <v>46066.0</v>
      </c>
      <c r="N2409" s="153"/>
      <c r="O2409" s="96"/>
      <c r="P2409" s="36"/>
      <c r="Q2409" s="36"/>
      <c r="R2409" s="36"/>
      <c r="S2409" s="36"/>
      <c r="T2409" s="36"/>
      <c r="U2409" s="36"/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</row>
    <row r="2410" ht="22.5" customHeight="1">
      <c r="A2410" s="86">
        <v>46148.0</v>
      </c>
      <c r="B2410" s="137" t="s">
        <v>27</v>
      </c>
      <c r="C2410" s="80">
        <v>1220000.49</v>
      </c>
      <c r="D2410" s="79"/>
      <c r="E2410" s="66" t="s">
        <v>28</v>
      </c>
      <c r="F2410" s="67" t="s">
        <v>1531</v>
      </c>
      <c r="G2410" s="68">
        <v>22.0</v>
      </c>
      <c r="H2410" s="69">
        <f t="shared" si="142"/>
        <v>220000.0884</v>
      </c>
      <c r="I2410" s="89" t="s">
        <v>37</v>
      </c>
      <c r="J2410" s="98" t="s">
        <v>1271</v>
      </c>
      <c r="K2410" s="82" t="s">
        <v>755</v>
      </c>
      <c r="L2410" s="82">
        <v>55.0</v>
      </c>
      <c r="M2410" s="128">
        <v>46091.0</v>
      </c>
      <c r="N2410" s="153"/>
      <c r="O2410" s="96"/>
      <c r="P2410" s="36"/>
      <c r="Q2410" s="36"/>
      <c r="R2410" s="36"/>
      <c r="S2410" s="36"/>
      <c r="T2410" s="36"/>
      <c r="U2410" s="36"/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</row>
    <row r="2411" ht="22.5" customHeight="1">
      <c r="A2411" s="86">
        <v>46148.0</v>
      </c>
      <c r="B2411" s="137" t="s">
        <v>27</v>
      </c>
      <c r="C2411" s="80">
        <v>732000.0</v>
      </c>
      <c r="D2411" s="79"/>
      <c r="E2411" s="66" t="s">
        <v>28</v>
      </c>
      <c r="F2411" s="67" t="s">
        <v>1531</v>
      </c>
      <c r="G2411" s="68">
        <v>22.0</v>
      </c>
      <c r="H2411" s="69">
        <f t="shared" si="142"/>
        <v>132000</v>
      </c>
      <c r="I2411" s="89" t="s">
        <v>37</v>
      </c>
      <c r="J2411" s="98" t="s">
        <v>675</v>
      </c>
      <c r="K2411" s="82" t="s">
        <v>1240</v>
      </c>
      <c r="L2411" s="82">
        <v>56.0</v>
      </c>
      <c r="M2411" s="128">
        <v>46091.0</v>
      </c>
      <c r="N2411" s="153"/>
      <c r="O2411" s="96"/>
      <c r="P2411" s="36"/>
      <c r="Q2411" s="36"/>
      <c r="R2411" s="36"/>
      <c r="S2411" s="36"/>
      <c r="T2411" s="36"/>
      <c r="U2411" s="36"/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</row>
    <row r="2412" ht="22.5" customHeight="1">
      <c r="A2412" s="86">
        <v>46148.0</v>
      </c>
      <c r="B2412" s="137" t="s">
        <v>27</v>
      </c>
      <c r="C2412" s="80">
        <v>732000.0</v>
      </c>
      <c r="D2412" s="79"/>
      <c r="E2412" s="66" t="s">
        <v>28</v>
      </c>
      <c r="F2412" s="67" t="s">
        <v>1531</v>
      </c>
      <c r="G2412" s="68">
        <v>22.0</v>
      </c>
      <c r="H2412" s="69">
        <f t="shared" si="142"/>
        <v>132000</v>
      </c>
      <c r="I2412" s="89" t="s">
        <v>37</v>
      </c>
      <c r="J2412" s="98" t="s">
        <v>675</v>
      </c>
      <c r="K2412" s="82" t="s">
        <v>1241</v>
      </c>
      <c r="L2412" s="82">
        <v>57.0</v>
      </c>
      <c r="M2412" s="128">
        <v>46091.0</v>
      </c>
      <c r="N2412" s="153"/>
      <c r="O2412" s="96"/>
      <c r="P2412" s="36"/>
      <c r="Q2412" s="36"/>
      <c r="R2412" s="36"/>
      <c r="S2412" s="36"/>
      <c r="T2412" s="36"/>
      <c r="U2412" s="36"/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</row>
    <row r="2413" ht="22.5" customHeight="1">
      <c r="A2413" s="86">
        <v>46148.0</v>
      </c>
      <c r="B2413" s="137" t="s">
        <v>27</v>
      </c>
      <c r="C2413" s="80">
        <v>732000.0</v>
      </c>
      <c r="D2413" s="79"/>
      <c r="E2413" s="66" t="s">
        <v>28</v>
      </c>
      <c r="F2413" s="67" t="s">
        <v>1531</v>
      </c>
      <c r="G2413" s="68">
        <v>22.0</v>
      </c>
      <c r="H2413" s="69">
        <f t="shared" si="142"/>
        <v>132000</v>
      </c>
      <c r="I2413" s="89" t="s">
        <v>37</v>
      </c>
      <c r="J2413" s="98" t="s">
        <v>675</v>
      </c>
      <c r="K2413" s="82" t="s">
        <v>1351</v>
      </c>
      <c r="L2413" s="82">
        <v>58.0</v>
      </c>
      <c r="M2413" s="128">
        <v>46091.0</v>
      </c>
      <c r="N2413" s="153"/>
      <c r="O2413" s="96"/>
      <c r="P2413" s="36"/>
      <c r="Q2413" s="36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</row>
    <row r="2414" ht="22.5" customHeight="1">
      <c r="A2414" s="86">
        <v>46148.0</v>
      </c>
      <c r="B2414" s="137" t="s">
        <v>27</v>
      </c>
      <c r="C2414" s="80">
        <v>732000.0</v>
      </c>
      <c r="D2414" s="79"/>
      <c r="E2414" s="66" t="s">
        <v>28</v>
      </c>
      <c r="F2414" s="67" t="s">
        <v>1531</v>
      </c>
      <c r="G2414" s="68">
        <v>22.0</v>
      </c>
      <c r="H2414" s="69">
        <f t="shared" si="142"/>
        <v>132000</v>
      </c>
      <c r="I2414" s="89" t="s">
        <v>37</v>
      </c>
      <c r="J2414" s="98" t="s">
        <v>675</v>
      </c>
      <c r="K2414" s="82" t="s">
        <v>1223</v>
      </c>
      <c r="L2414" s="82">
        <v>59.0</v>
      </c>
      <c r="M2414" s="128">
        <v>46091.0</v>
      </c>
      <c r="N2414" s="153"/>
      <c r="O2414" s="9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</row>
    <row r="2415" ht="22.5" customHeight="1">
      <c r="A2415" s="86">
        <v>46148.0</v>
      </c>
      <c r="B2415" s="137" t="s">
        <v>27</v>
      </c>
      <c r="C2415" s="80">
        <v>610000.24</v>
      </c>
      <c r="D2415" s="79"/>
      <c r="E2415" s="66" t="s">
        <v>28</v>
      </c>
      <c r="F2415" s="67" t="s">
        <v>1531</v>
      </c>
      <c r="G2415" s="68">
        <v>22.0</v>
      </c>
      <c r="H2415" s="69">
        <f t="shared" si="142"/>
        <v>110000.0433</v>
      </c>
      <c r="I2415" s="89" t="s">
        <v>37</v>
      </c>
      <c r="J2415" s="98" t="s">
        <v>1271</v>
      </c>
      <c r="K2415" s="82" t="s">
        <v>758</v>
      </c>
      <c r="L2415" s="82">
        <v>92.0</v>
      </c>
      <c r="M2415" s="128">
        <v>46095.0</v>
      </c>
      <c r="N2415" s="153"/>
      <c r="O2415" s="96"/>
      <c r="P2415" s="36"/>
      <c r="Q2415" s="36"/>
      <c r="R2415" s="36"/>
      <c r="S2415" s="36"/>
      <c r="T2415" s="36"/>
      <c r="U2415" s="36"/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</row>
    <row r="2416" ht="22.5" customHeight="1">
      <c r="A2416" s="86">
        <v>46150.0</v>
      </c>
      <c r="B2416" s="137" t="s">
        <v>27</v>
      </c>
      <c r="C2416" s="79"/>
      <c r="D2416" s="79">
        <f>24038+511.68+1858228.31</f>
        <v>1882777.99</v>
      </c>
      <c r="E2416" s="66" t="s">
        <v>28</v>
      </c>
      <c r="F2416" s="67" t="s">
        <v>1680</v>
      </c>
      <c r="G2416" s="68">
        <v>0.0</v>
      </c>
      <c r="H2416" s="69">
        <f t="shared" si="142"/>
        <v>0</v>
      </c>
      <c r="I2416" s="89" t="s">
        <v>68</v>
      </c>
      <c r="J2416" s="81"/>
      <c r="K2416" s="95"/>
      <c r="L2416" s="95"/>
      <c r="M2416" s="95"/>
      <c r="N2416" s="153"/>
      <c r="O2416" s="96"/>
      <c r="P2416" s="36"/>
      <c r="Q2416" s="36"/>
      <c r="R2416" s="36"/>
      <c r="S2416" s="36"/>
      <c r="T2416" s="36"/>
      <c r="U2416" s="36"/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</row>
    <row r="2417" ht="22.5" customHeight="1">
      <c r="A2417" s="86">
        <v>46150.0</v>
      </c>
      <c r="B2417" s="137" t="s">
        <v>27</v>
      </c>
      <c r="C2417" s="79"/>
      <c r="D2417" s="80">
        <v>57600.0</v>
      </c>
      <c r="E2417" s="66" t="s">
        <v>28</v>
      </c>
      <c r="F2417" s="67" t="s">
        <v>1002</v>
      </c>
      <c r="G2417" s="68">
        <v>20.0</v>
      </c>
      <c r="H2417" s="69">
        <f t="shared" si="142"/>
        <v>9600</v>
      </c>
      <c r="I2417" s="89" t="s">
        <v>1044</v>
      </c>
      <c r="J2417" s="136" t="s">
        <v>1045</v>
      </c>
      <c r="K2417" s="95"/>
      <c r="L2417" s="95"/>
      <c r="M2417" s="95"/>
      <c r="N2417" s="153"/>
      <c r="O2417" s="140" t="s">
        <v>1737</v>
      </c>
      <c r="P2417" s="36"/>
      <c r="Q2417" s="36"/>
      <c r="R2417" s="36"/>
      <c r="S2417" s="36"/>
      <c r="T2417" s="36"/>
      <c r="U2417" s="36"/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</row>
    <row r="2418" ht="22.5" customHeight="1">
      <c r="A2418" s="86">
        <v>46150.0</v>
      </c>
      <c r="B2418" s="137" t="s">
        <v>27</v>
      </c>
      <c r="C2418" s="79"/>
      <c r="D2418" s="80">
        <v>134400.0</v>
      </c>
      <c r="E2418" s="66" t="s">
        <v>28</v>
      </c>
      <c r="F2418" s="67" t="s">
        <v>1002</v>
      </c>
      <c r="G2418" s="68">
        <v>20.0</v>
      </c>
      <c r="H2418" s="69">
        <f t="shared" si="142"/>
        <v>22400</v>
      </c>
      <c r="I2418" s="89" t="s">
        <v>1044</v>
      </c>
      <c r="J2418" s="136" t="s">
        <v>1045</v>
      </c>
      <c r="K2418" s="95"/>
      <c r="L2418" s="95"/>
      <c r="M2418" s="95"/>
      <c r="N2418" s="153"/>
      <c r="O2418" s="140" t="s">
        <v>1738</v>
      </c>
      <c r="P2418" s="36"/>
      <c r="Q2418" s="36"/>
      <c r="R2418" s="36"/>
      <c r="S2418" s="36"/>
      <c r="T2418" s="36"/>
      <c r="U2418" s="36"/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</row>
    <row r="2419" ht="22.5" customHeight="1">
      <c r="A2419" s="86">
        <v>46150.0</v>
      </c>
      <c r="B2419" s="137" t="s">
        <v>27</v>
      </c>
      <c r="C2419" s="79"/>
      <c r="D2419" s="80">
        <v>433929.6</v>
      </c>
      <c r="E2419" s="66" t="s">
        <v>28</v>
      </c>
      <c r="F2419" s="67" t="s">
        <v>1531</v>
      </c>
      <c r="G2419" s="68">
        <v>22.0</v>
      </c>
      <c r="H2419" s="69">
        <f t="shared" si="142"/>
        <v>78249.6</v>
      </c>
      <c r="I2419" s="89" t="s">
        <v>1044</v>
      </c>
      <c r="J2419" s="136" t="s">
        <v>1045</v>
      </c>
      <c r="K2419" s="95"/>
      <c r="L2419" s="95"/>
      <c r="M2419" s="95"/>
      <c r="N2419" s="153"/>
      <c r="O2419" s="140" t="s">
        <v>1739</v>
      </c>
      <c r="P2419" s="36"/>
      <c r="Q2419" s="36"/>
      <c r="R2419" s="36"/>
      <c r="S2419" s="36"/>
      <c r="T2419" s="36"/>
      <c r="U2419" s="36"/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</row>
    <row r="2420" ht="22.5" customHeight="1">
      <c r="A2420" s="86">
        <v>46150.0</v>
      </c>
      <c r="B2420" s="137" t="s">
        <v>27</v>
      </c>
      <c r="C2420" s="79"/>
      <c r="D2420" s="80">
        <v>108996.26</v>
      </c>
      <c r="E2420" s="66" t="s">
        <v>28</v>
      </c>
      <c r="F2420" s="67" t="s">
        <v>1531</v>
      </c>
      <c r="G2420" s="68">
        <v>22.0</v>
      </c>
      <c r="H2420" s="69">
        <f t="shared" si="142"/>
        <v>19655.06328</v>
      </c>
      <c r="I2420" s="89" t="s">
        <v>101</v>
      </c>
      <c r="J2420" s="151" t="s">
        <v>1477</v>
      </c>
      <c r="K2420" s="95"/>
      <c r="L2420" s="95"/>
      <c r="M2420" s="95"/>
      <c r="N2420" s="153"/>
      <c r="O2420" s="140" t="s">
        <v>1740</v>
      </c>
      <c r="P2420" s="36"/>
      <c r="Q2420" s="36"/>
      <c r="R2420" s="36"/>
      <c r="S2420" s="36"/>
      <c r="T2420" s="36"/>
      <c r="U2420" s="36"/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</row>
    <row r="2421" ht="22.5" customHeight="1">
      <c r="A2421" s="86">
        <v>46150.0</v>
      </c>
      <c r="B2421" s="137" t="s">
        <v>27</v>
      </c>
      <c r="C2421" s="79"/>
      <c r="D2421" s="80">
        <v>84293.22</v>
      </c>
      <c r="E2421" s="66" t="s">
        <v>28</v>
      </c>
      <c r="F2421" s="67" t="s">
        <v>1531</v>
      </c>
      <c r="G2421" s="68">
        <v>22.0</v>
      </c>
      <c r="H2421" s="69">
        <f t="shared" si="142"/>
        <v>15200.41672</v>
      </c>
      <c r="I2421" s="89" t="s">
        <v>101</v>
      </c>
      <c r="J2421" s="151" t="s">
        <v>1498</v>
      </c>
      <c r="K2421" s="95"/>
      <c r="L2421" s="95"/>
      <c r="M2421" s="95"/>
      <c r="N2421" s="153"/>
      <c r="O2421" s="140" t="s">
        <v>1741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</row>
    <row r="2422" ht="22.5" customHeight="1">
      <c r="A2422" s="86">
        <v>46150.0</v>
      </c>
      <c r="B2422" s="137" t="s">
        <v>27</v>
      </c>
      <c r="C2422" s="79"/>
      <c r="D2422" s="80">
        <v>438557.07</v>
      </c>
      <c r="E2422" s="66" t="s">
        <v>28</v>
      </c>
      <c r="F2422" s="67" t="s">
        <v>1531</v>
      </c>
      <c r="G2422" s="68">
        <v>22.0</v>
      </c>
      <c r="H2422" s="69">
        <f t="shared" si="142"/>
        <v>79084.0618</v>
      </c>
      <c r="I2422" s="89" t="s">
        <v>101</v>
      </c>
      <c r="J2422" s="151" t="s">
        <v>1742</v>
      </c>
      <c r="K2422" s="95"/>
      <c r="L2422" s="95"/>
      <c r="M2422" s="95"/>
      <c r="N2422" s="153"/>
      <c r="O2422" s="140" t="s">
        <v>1743</v>
      </c>
      <c r="P2422" s="36"/>
      <c r="Q2422" s="36"/>
      <c r="R2422" s="36"/>
      <c r="S2422" s="36"/>
      <c r="T2422" s="36"/>
      <c r="U2422" s="36"/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</row>
    <row r="2423" ht="22.5" customHeight="1">
      <c r="A2423" s="86">
        <v>46150.0</v>
      </c>
      <c r="B2423" s="137" t="s">
        <v>27</v>
      </c>
      <c r="C2423" s="79"/>
      <c r="D2423" s="80">
        <v>78238.27</v>
      </c>
      <c r="E2423" s="66" t="s">
        <v>28</v>
      </c>
      <c r="F2423" s="67" t="s">
        <v>1531</v>
      </c>
      <c r="G2423" s="68">
        <v>22.0</v>
      </c>
      <c r="H2423" s="69">
        <f t="shared" si="142"/>
        <v>14108.54049</v>
      </c>
      <c r="I2423" s="89" t="s">
        <v>101</v>
      </c>
      <c r="J2423" s="151" t="s">
        <v>1480</v>
      </c>
      <c r="K2423" s="95"/>
      <c r="L2423" s="95"/>
      <c r="M2423" s="95"/>
      <c r="N2423" s="153"/>
      <c r="O2423" s="140" t="s">
        <v>1744</v>
      </c>
      <c r="P2423" s="36"/>
      <c r="Q2423" s="36"/>
      <c r="R2423" s="36"/>
      <c r="S2423" s="36"/>
      <c r="T2423" s="36"/>
      <c r="U2423" s="36"/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</row>
    <row r="2424" ht="22.5" customHeight="1">
      <c r="A2424" s="86">
        <v>46150.0</v>
      </c>
      <c r="B2424" s="137" t="s">
        <v>27</v>
      </c>
      <c r="C2424" s="79"/>
      <c r="D2424" s="80">
        <v>98326.83</v>
      </c>
      <c r="E2424" s="66" t="s">
        <v>28</v>
      </c>
      <c r="F2424" s="67" t="s">
        <v>1531</v>
      </c>
      <c r="G2424" s="68">
        <v>5.0</v>
      </c>
      <c r="H2424" s="69">
        <f t="shared" si="142"/>
        <v>4682.23</v>
      </c>
      <c r="I2424" s="89" t="s">
        <v>101</v>
      </c>
      <c r="J2424" s="151" t="s">
        <v>1032</v>
      </c>
      <c r="K2424" s="95"/>
      <c r="L2424" s="95"/>
      <c r="M2424" s="95"/>
      <c r="N2424" s="153"/>
      <c r="O2424" s="140" t="s">
        <v>1745</v>
      </c>
      <c r="P2424" s="36"/>
      <c r="Q2424" s="36"/>
      <c r="R2424" s="36"/>
      <c r="S2424" s="36"/>
      <c r="T2424" s="36"/>
      <c r="U2424" s="36"/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</row>
    <row r="2425" ht="22.5" customHeight="1">
      <c r="A2425" s="86">
        <v>46150.0</v>
      </c>
      <c r="B2425" s="137" t="s">
        <v>27</v>
      </c>
      <c r="C2425" s="79"/>
      <c r="D2425" s="80">
        <v>45451.67</v>
      </c>
      <c r="E2425" s="66" t="s">
        <v>28</v>
      </c>
      <c r="F2425" s="67" t="s">
        <v>1531</v>
      </c>
      <c r="G2425" s="68">
        <v>5.0</v>
      </c>
      <c r="H2425" s="69">
        <f t="shared" si="142"/>
        <v>2164.365238</v>
      </c>
      <c r="I2425" s="89" t="s">
        <v>101</v>
      </c>
      <c r="J2425" s="151" t="s">
        <v>1627</v>
      </c>
      <c r="K2425" s="95"/>
      <c r="L2425" s="95"/>
      <c r="M2425" s="95"/>
      <c r="N2425" s="153"/>
      <c r="O2425" s="140" t="s">
        <v>1746</v>
      </c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</row>
    <row r="2426" ht="22.5" customHeight="1">
      <c r="A2426" s="86">
        <v>46150.0</v>
      </c>
      <c r="B2426" s="137" t="s">
        <v>27</v>
      </c>
      <c r="C2426" s="79"/>
      <c r="D2426" s="80">
        <v>198305.73</v>
      </c>
      <c r="E2426" s="66" t="s">
        <v>28</v>
      </c>
      <c r="F2426" s="67" t="s">
        <v>1531</v>
      </c>
      <c r="G2426" s="68">
        <v>5.0</v>
      </c>
      <c r="H2426" s="69">
        <f t="shared" si="142"/>
        <v>9443.13</v>
      </c>
      <c r="I2426" s="89" t="s">
        <v>101</v>
      </c>
      <c r="J2426" s="151" t="s">
        <v>1747</v>
      </c>
      <c r="K2426" s="95"/>
      <c r="L2426" s="95"/>
      <c r="M2426" s="95"/>
      <c r="N2426" s="153"/>
      <c r="O2426" s="140" t="s">
        <v>1748</v>
      </c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</row>
    <row r="2427" ht="22.5" customHeight="1">
      <c r="A2427" s="86">
        <v>46150.0</v>
      </c>
      <c r="B2427" s="137" t="s">
        <v>27</v>
      </c>
      <c r="C2427" s="79"/>
      <c r="D2427" s="80">
        <v>146400.0</v>
      </c>
      <c r="E2427" s="66" t="s">
        <v>28</v>
      </c>
      <c r="F2427" s="67" t="s">
        <v>1531</v>
      </c>
      <c r="G2427" s="68">
        <v>22.0</v>
      </c>
      <c r="H2427" s="69">
        <f t="shared" si="142"/>
        <v>26400</v>
      </c>
      <c r="I2427" s="89" t="s">
        <v>1044</v>
      </c>
      <c r="J2427" s="136" t="s">
        <v>1045</v>
      </c>
      <c r="K2427" s="95"/>
      <c r="L2427" s="95"/>
      <c r="M2427" s="95"/>
      <c r="N2427" s="153"/>
      <c r="O2427" s="140" t="s">
        <v>1749</v>
      </c>
      <c r="P2427" s="36"/>
      <c r="Q2427" s="36"/>
      <c r="R2427" s="36"/>
      <c r="S2427" s="36"/>
      <c r="T2427" s="36"/>
      <c r="U2427" s="36"/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</row>
    <row r="2428" ht="22.5" customHeight="1">
      <c r="A2428" s="86">
        <v>46150.0</v>
      </c>
      <c r="B2428" s="137" t="s">
        <v>27</v>
      </c>
      <c r="C2428" s="79"/>
      <c r="D2428" s="80">
        <v>188772.65</v>
      </c>
      <c r="E2428" s="66" t="s">
        <v>28</v>
      </c>
      <c r="F2428" s="67" t="s">
        <v>1531</v>
      </c>
      <c r="G2428" s="68">
        <v>22.0</v>
      </c>
      <c r="H2428" s="69">
        <f t="shared" si="142"/>
        <v>34040.96967</v>
      </c>
      <c r="I2428" s="89" t="s">
        <v>1044</v>
      </c>
      <c r="J2428" s="136" t="s">
        <v>1045</v>
      </c>
      <c r="K2428" s="95"/>
      <c r="L2428" s="95"/>
      <c r="M2428" s="95"/>
      <c r="N2428" s="153"/>
      <c r="O2428" s="140" t="s">
        <v>1750</v>
      </c>
      <c r="P2428" s="36"/>
      <c r="Q2428" s="36"/>
      <c r="R2428" s="36"/>
      <c r="S2428" s="36"/>
      <c r="T2428" s="36"/>
      <c r="U2428" s="36"/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</row>
    <row r="2429" ht="22.5" customHeight="1">
      <c r="A2429" s="86">
        <v>46150.0</v>
      </c>
      <c r="B2429" s="137" t="s">
        <v>27</v>
      </c>
      <c r="C2429" s="79"/>
      <c r="D2429" s="80">
        <v>244000.0</v>
      </c>
      <c r="E2429" s="66" t="s">
        <v>28</v>
      </c>
      <c r="F2429" s="67" t="s">
        <v>1531</v>
      </c>
      <c r="G2429" s="68">
        <v>22.0</v>
      </c>
      <c r="H2429" s="69">
        <f t="shared" si="142"/>
        <v>44000</v>
      </c>
      <c r="I2429" s="89" t="s">
        <v>1044</v>
      </c>
      <c r="J2429" s="136" t="s">
        <v>1045</v>
      </c>
      <c r="K2429" s="95"/>
      <c r="L2429" s="95"/>
      <c r="M2429" s="95"/>
      <c r="N2429" s="153"/>
      <c r="O2429" s="140" t="s">
        <v>1751</v>
      </c>
      <c r="P2429" s="36"/>
      <c r="Q2429" s="36"/>
      <c r="R2429" s="36"/>
      <c r="S2429" s="36"/>
      <c r="T2429" s="36"/>
      <c r="U2429" s="36"/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</row>
    <row r="2430" ht="22.5" customHeight="1">
      <c r="A2430" s="86">
        <v>46150.0</v>
      </c>
      <c r="B2430" s="137" t="s">
        <v>27</v>
      </c>
      <c r="C2430" s="79"/>
      <c r="D2430" s="80">
        <v>36985.52</v>
      </c>
      <c r="E2430" s="66" t="s">
        <v>28</v>
      </c>
      <c r="F2430" s="67" t="s">
        <v>1531</v>
      </c>
      <c r="G2430" s="68">
        <v>22.0</v>
      </c>
      <c r="H2430" s="69">
        <f t="shared" si="142"/>
        <v>6669.52</v>
      </c>
      <c r="I2430" s="89" t="s">
        <v>1044</v>
      </c>
      <c r="J2430" s="136" t="s">
        <v>1045</v>
      </c>
      <c r="K2430" s="95"/>
      <c r="L2430" s="95"/>
      <c r="M2430" s="95"/>
      <c r="N2430" s="153"/>
      <c r="O2430" s="140" t="s">
        <v>1752</v>
      </c>
      <c r="P2430" s="36"/>
      <c r="Q2430" s="36"/>
      <c r="R2430" s="36"/>
      <c r="S2430" s="36"/>
      <c r="T2430" s="36"/>
      <c r="U2430" s="36"/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</row>
    <row r="2431" ht="22.5" customHeight="1">
      <c r="A2431" s="86">
        <v>46150.0</v>
      </c>
      <c r="B2431" s="137" t="s">
        <v>27</v>
      </c>
      <c r="C2431" s="79"/>
      <c r="D2431" s="80">
        <v>108444.53</v>
      </c>
      <c r="E2431" s="66" t="s">
        <v>28</v>
      </c>
      <c r="F2431" s="67" t="s">
        <v>1531</v>
      </c>
      <c r="G2431" s="68">
        <v>22.0</v>
      </c>
      <c r="H2431" s="69">
        <f t="shared" si="142"/>
        <v>19555.57098</v>
      </c>
      <c r="I2431" s="89" t="s">
        <v>1044</v>
      </c>
      <c r="J2431" s="136" t="s">
        <v>1045</v>
      </c>
      <c r="K2431" s="95"/>
      <c r="L2431" s="95"/>
      <c r="M2431" s="95"/>
      <c r="N2431" s="153"/>
      <c r="O2431" s="140" t="s">
        <v>1753</v>
      </c>
      <c r="P2431" s="36"/>
      <c r="Q2431" s="36"/>
      <c r="R2431" s="36"/>
      <c r="S2431" s="36"/>
      <c r="T2431" s="36"/>
      <c r="U2431" s="36"/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</row>
    <row r="2432" ht="22.5" customHeight="1">
      <c r="A2432" s="86">
        <v>46150.0</v>
      </c>
      <c r="B2432" s="137" t="s">
        <v>27</v>
      </c>
      <c r="C2432" s="79"/>
      <c r="D2432" s="80">
        <v>195200.0</v>
      </c>
      <c r="E2432" s="66" t="s">
        <v>28</v>
      </c>
      <c r="F2432" s="67" t="s">
        <v>1531</v>
      </c>
      <c r="G2432" s="68">
        <v>22.0</v>
      </c>
      <c r="H2432" s="69">
        <f t="shared" si="142"/>
        <v>35200</v>
      </c>
      <c r="I2432" s="89" t="s">
        <v>1044</v>
      </c>
      <c r="J2432" s="136" t="s">
        <v>1045</v>
      </c>
      <c r="K2432" s="95"/>
      <c r="L2432" s="95"/>
      <c r="M2432" s="95"/>
      <c r="N2432" s="153"/>
      <c r="O2432" s="140" t="s">
        <v>1754</v>
      </c>
      <c r="P2432" s="36"/>
      <c r="Q2432" s="36"/>
      <c r="R2432" s="36"/>
      <c r="S2432" s="36"/>
      <c r="T2432" s="36"/>
      <c r="U2432" s="36"/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</row>
    <row r="2433" ht="22.5" customHeight="1">
      <c r="A2433" s="86">
        <v>46150.0</v>
      </c>
      <c r="B2433" s="137" t="s">
        <v>27</v>
      </c>
      <c r="C2433" s="79"/>
      <c r="D2433" s="80">
        <v>86434.56</v>
      </c>
      <c r="E2433" s="66" t="s">
        <v>28</v>
      </c>
      <c r="F2433" s="67" t="s">
        <v>1531</v>
      </c>
      <c r="G2433" s="68">
        <v>22.0</v>
      </c>
      <c r="H2433" s="69">
        <f t="shared" si="142"/>
        <v>15586.56</v>
      </c>
      <c r="I2433" s="89" t="s">
        <v>1044</v>
      </c>
      <c r="J2433" s="136" t="s">
        <v>1045</v>
      </c>
      <c r="K2433" s="95"/>
      <c r="L2433" s="95"/>
      <c r="M2433" s="95"/>
      <c r="N2433" s="153"/>
      <c r="O2433" s="140" t="s">
        <v>1755</v>
      </c>
      <c r="P2433" s="36"/>
      <c r="Q2433" s="36"/>
      <c r="R2433" s="36"/>
      <c r="S2433" s="36"/>
      <c r="T2433" s="36"/>
      <c r="U2433" s="36"/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</row>
    <row r="2434" ht="22.5" customHeight="1">
      <c r="A2434" s="86">
        <v>46150.0</v>
      </c>
      <c r="B2434" s="137" t="s">
        <v>27</v>
      </c>
      <c r="C2434" s="79"/>
      <c r="D2434" s="80">
        <v>32213.61</v>
      </c>
      <c r="E2434" s="66" t="s">
        <v>28</v>
      </c>
      <c r="F2434" s="67" t="s">
        <v>1531</v>
      </c>
      <c r="G2434" s="68">
        <v>22.0</v>
      </c>
      <c r="H2434" s="69">
        <f t="shared" si="142"/>
        <v>5809.011639</v>
      </c>
      <c r="I2434" s="89" t="s">
        <v>101</v>
      </c>
      <c r="J2434" s="136" t="s">
        <v>973</v>
      </c>
      <c r="K2434" s="95"/>
      <c r="L2434" s="95"/>
      <c r="M2434" s="95"/>
      <c r="N2434" s="153"/>
      <c r="O2434" s="140" t="s">
        <v>1756</v>
      </c>
      <c r="P2434" s="36"/>
      <c r="Q2434" s="36"/>
      <c r="R2434" s="36"/>
      <c r="S2434" s="36"/>
      <c r="T2434" s="36"/>
      <c r="U2434" s="36"/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</row>
    <row r="2435" ht="22.5" customHeight="1">
      <c r="A2435" s="86">
        <v>46150.0</v>
      </c>
      <c r="B2435" s="137" t="s">
        <v>27</v>
      </c>
      <c r="C2435" s="79"/>
      <c r="D2435" s="80">
        <v>219904.7</v>
      </c>
      <c r="E2435" s="66" t="s">
        <v>28</v>
      </c>
      <c r="F2435" s="67" t="s">
        <v>1531</v>
      </c>
      <c r="G2435" s="68">
        <v>22.0</v>
      </c>
      <c r="H2435" s="69">
        <f t="shared" si="142"/>
        <v>39654.9459</v>
      </c>
      <c r="I2435" s="89" t="s">
        <v>101</v>
      </c>
      <c r="J2435" s="136" t="s">
        <v>1284</v>
      </c>
      <c r="K2435" s="95"/>
      <c r="L2435" s="95"/>
      <c r="M2435" s="95"/>
      <c r="N2435" s="153"/>
      <c r="O2435" s="140" t="s">
        <v>1757</v>
      </c>
      <c r="P2435" s="36"/>
      <c r="Q2435" s="36"/>
      <c r="R2435" s="36"/>
      <c r="S2435" s="36"/>
      <c r="T2435" s="36"/>
      <c r="U2435" s="36"/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</row>
    <row r="2436" ht="22.5" customHeight="1">
      <c r="A2436" s="86">
        <v>46150.0</v>
      </c>
      <c r="B2436" s="137" t="s">
        <v>27</v>
      </c>
      <c r="C2436" s="79"/>
      <c r="D2436" s="80">
        <v>315449.76</v>
      </c>
      <c r="E2436" s="66" t="s">
        <v>28</v>
      </c>
      <c r="F2436" s="67" t="s">
        <v>1531</v>
      </c>
      <c r="G2436" s="68">
        <v>22.0</v>
      </c>
      <c r="H2436" s="69">
        <f t="shared" si="142"/>
        <v>56884.38295</v>
      </c>
      <c r="I2436" s="89" t="s">
        <v>101</v>
      </c>
      <c r="J2436" s="136" t="s">
        <v>670</v>
      </c>
      <c r="K2436" s="95"/>
      <c r="L2436" s="95"/>
      <c r="M2436" s="95"/>
      <c r="N2436" s="153"/>
      <c r="O2436" s="140" t="s">
        <v>1758</v>
      </c>
      <c r="P2436" s="36"/>
      <c r="Q2436" s="36"/>
      <c r="R2436" s="36"/>
      <c r="S2436" s="36"/>
      <c r="T2436" s="36"/>
      <c r="U2436" s="36"/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</row>
    <row r="2437" ht="22.5" customHeight="1">
      <c r="A2437" s="86">
        <v>46150.0</v>
      </c>
      <c r="B2437" s="137" t="s">
        <v>27</v>
      </c>
      <c r="C2437" s="79"/>
      <c r="D2437" s="80">
        <v>47237.0</v>
      </c>
      <c r="E2437" s="66" t="s">
        <v>28</v>
      </c>
      <c r="F2437" s="67" t="s">
        <v>1531</v>
      </c>
      <c r="G2437" s="68">
        <v>5.0</v>
      </c>
      <c r="H2437" s="69">
        <f t="shared" si="142"/>
        <v>2249.380952</v>
      </c>
      <c r="I2437" s="89" t="s">
        <v>101</v>
      </c>
      <c r="J2437" s="151" t="s">
        <v>671</v>
      </c>
      <c r="K2437" s="95"/>
      <c r="L2437" s="95"/>
      <c r="M2437" s="95"/>
      <c r="N2437" s="153"/>
      <c r="O2437" s="140" t="s">
        <v>1759</v>
      </c>
      <c r="P2437" s="36"/>
      <c r="Q2437" s="36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</row>
    <row r="2438" ht="22.5" customHeight="1">
      <c r="A2438" s="86">
        <v>46150.0</v>
      </c>
      <c r="B2438" s="137" t="s">
        <v>27</v>
      </c>
      <c r="C2438" s="79"/>
      <c r="D2438" s="80">
        <v>56466.18</v>
      </c>
      <c r="E2438" s="66" t="s">
        <v>28</v>
      </c>
      <c r="F2438" s="67" t="s">
        <v>1531</v>
      </c>
      <c r="G2438" s="68">
        <v>22.0</v>
      </c>
      <c r="H2438" s="69">
        <f t="shared" si="142"/>
        <v>10182.4259</v>
      </c>
      <c r="I2438" s="89" t="s">
        <v>44</v>
      </c>
      <c r="J2438" s="98" t="s">
        <v>1653</v>
      </c>
      <c r="K2438" s="95"/>
      <c r="L2438" s="95"/>
      <c r="M2438" s="95"/>
      <c r="N2438" s="153"/>
      <c r="O2438" s="140" t="s">
        <v>1760</v>
      </c>
      <c r="P2438" s="36"/>
      <c r="Q2438" s="36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</row>
    <row r="2439" ht="22.5" customHeight="1">
      <c r="A2439" s="86">
        <v>46150.0</v>
      </c>
      <c r="B2439" s="137" t="s">
        <v>27</v>
      </c>
      <c r="C2439" s="79"/>
      <c r="D2439" s="80">
        <v>82978.79</v>
      </c>
      <c r="E2439" s="66" t="s">
        <v>28</v>
      </c>
      <c r="F2439" s="67" t="s">
        <v>1531</v>
      </c>
      <c r="G2439" s="68">
        <v>22.0</v>
      </c>
      <c r="H2439" s="69">
        <f t="shared" si="142"/>
        <v>14963.38836</v>
      </c>
      <c r="I2439" s="89" t="s">
        <v>101</v>
      </c>
      <c r="J2439" s="151" t="s">
        <v>1638</v>
      </c>
      <c r="K2439" s="95"/>
      <c r="L2439" s="95"/>
      <c r="M2439" s="95"/>
      <c r="N2439" s="153"/>
      <c r="O2439" s="140" t="s">
        <v>1761</v>
      </c>
      <c r="P2439" s="36"/>
      <c r="Q2439" s="36"/>
      <c r="R2439" s="36"/>
      <c r="S2439" s="36"/>
      <c r="T2439" s="36"/>
      <c r="U2439" s="36"/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</row>
    <row r="2440" ht="22.5" customHeight="1">
      <c r="A2440" s="86">
        <v>46150.0</v>
      </c>
      <c r="B2440" s="137" t="s">
        <v>27</v>
      </c>
      <c r="C2440" s="79"/>
      <c r="D2440" s="80">
        <v>30850.02</v>
      </c>
      <c r="E2440" s="66" t="s">
        <v>28</v>
      </c>
      <c r="F2440" s="67" t="s">
        <v>1531</v>
      </c>
      <c r="G2440" s="68">
        <v>22.0</v>
      </c>
      <c r="H2440" s="69">
        <f t="shared" si="142"/>
        <v>5563.118361</v>
      </c>
      <c r="I2440" s="89" t="s">
        <v>101</v>
      </c>
      <c r="J2440" s="151" t="s">
        <v>1762</v>
      </c>
      <c r="K2440" s="95"/>
      <c r="L2440" s="95"/>
      <c r="M2440" s="95"/>
      <c r="N2440" s="153"/>
      <c r="O2440" s="140" t="s">
        <v>1763</v>
      </c>
      <c r="P2440" s="36"/>
      <c r="Q2440" s="36"/>
      <c r="R2440" s="36"/>
      <c r="S2440" s="36"/>
      <c r="T2440" s="36"/>
      <c r="U2440" s="36"/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</row>
    <row r="2441" ht="22.5" customHeight="1">
      <c r="A2441" s="86">
        <v>46150.0</v>
      </c>
      <c r="B2441" s="137" t="s">
        <v>27</v>
      </c>
      <c r="C2441" s="79"/>
      <c r="D2441" s="80">
        <v>782645.86</v>
      </c>
      <c r="E2441" s="66" t="s">
        <v>28</v>
      </c>
      <c r="F2441" s="67" t="s">
        <v>1531</v>
      </c>
      <c r="G2441" s="68">
        <v>22.0</v>
      </c>
      <c r="H2441" s="69">
        <f t="shared" si="142"/>
        <v>141132.86</v>
      </c>
      <c r="I2441" s="89" t="s">
        <v>101</v>
      </c>
      <c r="J2441" s="151" t="s">
        <v>1764</v>
      </c>
      <c r="K2441" s="95"/>
      <c r="L2441" s="95"/>
      <c r="M2441" s="95"/>
      <c r="N2441" s="153"/>
      <c r="O2441" s="140" t="s">
        <v>1765</v>
      </c>
      <c r="P2441" s="36"/>
      <c r="Q2441" s="36"/>
      <c r="R2441" s="36"/>
      <c r="S2441" s="36"/>
      <c r="T2441" s="36"/>
      <c r="U2441" s="36"/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</row>
    <row r="2442" ht="22.5" customHeight="1">
      <c r="A2442" s="86">
        <v>46150.0</v>
      </c>
      <c r="B2442" s="137" t="s">
        <v>27</v>
      </c>
      <c r="C2442" s="79"/>
      <c r="D2442" s="80">
        <v>235062.74</v>
      </c>
      <c r="E2442" s="66" t="s">
        <v>28</v>
      </c>
      <c r="F2442" s="67" t="s">
        <v>1531</v>
      </c>
      <c r="G2442" s="68">
        <v>22.0</v>
      </c>
      <c r="H2442" s="69">
        <f t="shared" si="142"/>
        <v>42388.36295</v>
      </c>
      <c r="I2442" s="89" t="s">
        <v>101</v>
      </c>
      <c r="J2442" s="151" t="s">
        <v>1766</v>
      </c>
      <c r="K2442" s="95"/>
      <c r="L2442" s="95"/>
      <c r="M2442" s="95"/>
      <c r="N2442" s="153"/>
      <c r="O2442" s="140" t="s">
        <v>1767</v>
      </c>
      <c r="P2442" s="36"/>
      <c r="Q2442" s="36"/>
      <c r="R2442" s="36"/>
      <c r="S2442" s="36"/>
      <c r="T2442" s="36"/>
      <c r="U2442" s="36"/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</row>
    <row r="2443" ht="22.5" customHeight="1">
      <c r="A2443" s="86">
        <v>46150.0</v>
      </c>
      <c r="B2443" s="137" t="s">
        <v>27</v>
      </c>
      <c r="C2443" s="79"/>
      <c r="D2443" s="80">
        <v>117000.0</v>
      </c>
      <c r="E2443" s="66" t="s">
        <v>28</v>
      </c>
      <c r="F2443" s="67" t="s">
        <v>1531</v>
      </c>
      <c r="G2443" s="68">
        <v>0.0</v>
      </c>
      <c r="H2443" s="69">
        <f t="shared" si="142"/>
        <v>0</v>
      </c>
      <c r="I2443" s="89" t="s">
        <v>286</v>
      </c>
      <c r="J2443" s="98" t="s">
        <v>1645</v>
      </c>
      <c r="K2443" s="95"/>
      <c r="L2443" s="95"/>
      <c r="M2443" s="95"/>
      <c r="N2443" s="153"/>
      <c r="O2443" s="140" t="s">
        <v>1768</v>
      </c>
      <c r="P2443" s="36"/>
      <c r="Q2443" s="36"/>
      <c r="R2443" s="36"/>
      <c r="S2443" s="36"/>
      <c r="T2443" s="36"/>
      <c r="U2443" s="36"/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</row>
    <row r="2444" ht="22.5" customHeight="1">
      <c r="A2444" s="86">
        <v>46150.0</v>
      </c>
      <c r="B2444" s="137" t="s">
        <v>27</v>
      </c>
      <c r="C2444" s="79"/>
      <c r="D2444" s="80">
        <v>73805.45</v>
      </c>
      <c r="E2444" s="66" t="s">
        <v>28</v>
      </c>
      <c r="F2444" s="67" t="s">
        <v>1531</v>
      </c>
      <c r="G2444" s="68">
        <v>5.0</v>
      </c>
      <c r="H2444" s="69">
        <f t="shared" si="142"/>
        <v>3514.545238</v>
      </c>
      <c r="I2444" s="89" t="s">
        <v>101</v>
      </c>
      <c r="J2444" s="151" t="s">
        <v>1732</v>
      </c>
      <c r="K2444" s="95"/>
      <c r="L2444" s="95"/>
      <c r="M2444" s="95"/>
      <c r="N2444" s="153"/>
      <c r="O2444" s="140" t="s">
        <v>1769</v>
      </c>
      <c r="P2444" s="36"/>
      <c r="Q2444" s="36"/>
      <c r="R2444" s="36"/>
      <c r="S2444" s="36"/>
      <c r="T2444" s="36"/>
      <c r="U2444" s="36"/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</row>
    <row r="2445" ht="22.5" customHeight="1">
      <c r="A2445" s="86">
        <v>46150.0</v>
      </c>
      <c r="B2445" s="137" t="s">
        <v>27</v>
      </c>
      <c r="C2445" s="79"/>
      <c r="D2445" s="80">
        <v>62268.69</v>
      </c>
      <c r="E2445" s="66" t="s">
        <v>28</v>
      </c>
      <c r="F2445" s="67" t="s">
        <v>1531</v>
      </c>
      <c r="G2445" s="68">
        <v>22.0</v>
      </c>
      <c r="H2445" s="69">
        <f t="shared" si="142"/>
        <v>11228.78016</v>
      </c>
      <c r="I2445" s="89" t="s">
        <v>30</v>
      </c>
      <c r="J2445" s="98" t="s">
        <v>1335</v>
      </c>
      <c r="K2445" s="95"/>
      <c r="L2445" s="95"/>
      <c r="M2445" s="95"/>
      <c r="N2445" s="153"/>
      <c r="O2445" s="96"/>
      <c r="P2445" s="36"/>
      <c r="Q2445" s="36"/>
      <c r="R2445" s="36"/>
      <c r="S2445" s="36"/>
      <c r="T2445" s="36"/>
      <c r="U2445" s="36"/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</row>
    <row r="2446" ht="22.5" customHeight="1">
      <c r="A2446" s="86">
        <v>46150.0</v>
      </c>
      <c r="B2446" s="137" t="s">
        <v>27</v>
      </c>
      <c r="C2446" s="79"/>
      <c r="D2446" s="80">
        <v>641826.52</v>
      </c>
      <c r="E2446" s="66" t="s">
        <v>28</v>
      </c>
      <c r="F2446" s="67" t="s">
        <v>604</v>
      </c>
      <c r="G2446" s="68">
        <v>20.0</v>
      </c>
      <c r="H2446" s="69">
        <f t="shared" si="142"/>
        <v>106971.0867</v>
      </c>
      <c r="I2446" s="89" t="s">
        <v>101</v>
      </c>
      <c r="J2446" s="151" t="s">
        <v>1118</v>
      </c>
      <c r="K2446" s="95"/>
      <c r="L2446" s="95"/>
      <c r="M2446" s="95"/>
      <c r="N2446" s="153"/>
      <c r="O2446" s="96"/>
      <c r="P2446" s="36"/>
      <c r="Q2446" s="36"/>
      <c r="R2446" s="36"/>
      <c r="S2446" s="36"/>
      <c r="T2446" s="36"/>
      <c r="U2446" s="36"/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</row>
    <row r="2447" ht="22.5" customHeight="1">
      <c r="A2447" s="86">
        <v>46150.0</v>
      </c>
      <c r="B2447" s="137" t="s">
        <v>27</v>
      </c>
      <c r="C2447" s="79"/>
      <c r="D2447" s="80">
        <v>22516.4</v>
      </c>
      <c r="E2447" s="66" t="s">
        <v>28</v>
      </c>
      <c r="F2447" s="67" t="s">
        <v>1680</v>
      </c>
      <c r="G2447" s="68">
        <v>5.0</v>
      </c>
      <c r="H2447" s="69">
        <f t="shared" si="142"/>
        <v>1072.209524</v>
      </c>
      <c r="I2447" s="89" t="s">
        <v>495</v>
      </c>
      <c r="J2447" s="98" t="s">
        <v>1419</v>
      </c>
      <c r="K2447" s="95"/>
      <c r="L2447" s="95"/>
      <c r="M2447" s="95"/>
      <c r="N2447" s="153"/>
      <c r="O2447" s="140" t="s">
        <v>1770</v>
      </c>
      <c r="P2447" s="36"/>
      <c r="Q2447" s="36"/>
      <c r="R2447" s="36"/>
      <c r="S2447" s="36"/>
      <c r="T2447" s="36"/>
      <c r="U2447" s="36"/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</row>
    <row r="2448" ht="22.5" customHeight="1">
      <c r="A2448" s="86">
        <v>46150.0</v>
      </c>
      <c r="B2448" s="137" t="s">
        <v>27</v>
      </c>
      <c r="C2448" s="79"/>
      <c r="D2448" s="80">
        <v>2100.0</v>
      </c>
      <c r="E2448" s="66" t="s">
        <v>28</v>
      </c>
      <c r="F2448" s="67" t="s">
        <v>1680</v>
      </c>
      <c r="G2448" s="68">
        <v>5.0</v>
      </c>
      <c r="H2448" s="69">
        <f t="shared" si="142"/>
        <v>100</v>
      </c>
      <c r="I2448" s="89" t="s">
        <v>495</v>
      </c>
      <c r="J2448" s="98" t="s">
        <v>1419</v>
      </c>
      <c r="K2448" s="95"/>
      <c r="L2448" s="95"/>
      <c r="M2448" s="95"/>
      <c r="N2448" s="153"/>
      <c r="O2448" s="140" t="s">
        <v>1771</v>
      </c>
      <c r="P2448" s="36"/>
      <c r="Q2448" s="36"/>
      <c r="R2448" s="36"/>
      <c r="S2448" s="36"/>
      <c r="T2448" s="36"/>
      <c r="U2448" s="36"/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</row>
    <row r="2449" ht="22.5" customHeight="1">
      <c r="A2449" s="86">
        <v>46150.0</v>
      </c>
      <c r="B2449" s="137" t="s">
        <v>27</v>
      </c>
      <c r="C2449" s="79"/>
      <c r="D2449" s="80">
        <v>14228.34</v>
      </c>
      <c r="E2449" s="66" t="s">
        <v>28</v>
      </c>
      <c r="F2449" s="67" t="s">
        <v>1609</v>
      </c>
      <c r="G2449" s="68">
        <v>5.0</v>
      </c>
      <c r="H2449" s="69">
        <f t="shared" si="142"/>
        <v>677.54</v>
      </c>
      <c r="I2449" s="89" t="s">
        <v>495</v>
      </c>
      <c r="J2449" s="98" t="s">
        <v>1419</v>
      </c>
      <c r="K2449" s="95"/>
      <c r="L2449" s="95"/>
      <c r="M2449" s="95"/>
      <c r="N2449" s="153"/>
      <c r="O2449" s="140" t="s">
        <v>1772</v>
      </c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</row>
    <row r="2450" ht="22.5" customHeight="1">
      <c r="A2450" s="86">
        <v>46150.0</v>
      </c>
      <c r="B2450" s="137" t="s">
        <v>27</v>
      </c>
      <c r="C2450" s="79"/>
      <c r="D2450" s="80">
        <v>22516.4</v>
      </c>
      <c r="E2450" s="66" t="s">
        <v>28</v>
      </c>
      <c r="F2450" s="67" t="s">
        <v>1734</v>
      </c>
      <c r="G2450" s="68">
        <v>5.0</v>
      </c>
      <c r="H2450" s="69">
        <f t="shared" si="142"/>
        <v>1072.209524</v>
      </c>
      <c r="I2450" s="89" t="s">
        <v>495</v>
      </c>
      <c r="J2450" s="98" t="s">
        <v>1419</v>
      </c>
      <c r="K2450" s="95"/>
      <c r="L2450" s="95"/>
      <c r="M2450" s="95"/>
      <c r="N2450" s="153"/>
      <c r="O2450" s="140" t="s">
        <v>1773</v>
      </c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</row>
    <row r="2451" ht="22.5" customHeight="1">
      <c r="A2451" s="86">
        <v>46150.0</v>
      </c>
      <c r="B2451" s="137" t="s">
        <v>27</v>
      </c>
      <c r="C2451" s="79"/>
      <c r="D2451" s="80">
        <v>2100.0</v>
      </c>
      <c r="E2451" s="66" t="s">
        <v>28</v>
      </c>
      <c r="F2451" s="67" t="s">
        <v>1734</v>
      </c>
      <c r="G2451" s="68">
        <v>5.0</v>
      </c>
      <c r="H2451" s="69">
        <f t="shared" si="142"/>
        <v>100</v>
      </c>
      <c r="I2451" s="89" t="s">
        <v>495</v>
      </c>
      <c r="J2451" s="98" t="s">
        <v>1419</v>
      </c>
      <c r="K2451" s="95"/>
      <c r="L2451" s="95"/>
      <c r="M2451" s="95"/>
      <c r="N2451" s="153"/>
      <c r="O2451" s="140" t="s">
        <v>1774</v>
      </c>
      <c r="P2451" s="36"/>
      <c r="Q2451" s="36"/>
      <c r="R2451" s="36"/>
      <c r="S2451" s="36"/>
      <c r="T2451" s="36"/>
      <c r="U2451" s="36"/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</row>
    <row r="2452" ht="22.5" customHeight="1">
      <c r="A2452" s="86">
        <v>46150.0</v>
      </c>
      <c r="B2452" s="137" t="s">
        <v>27</v>
      </c>
      <c r="C2452" s="79"/>
      <c r="D2452" s="80">
        <v>550000.0</v>
      </c>
      <c r="E2452" s="66" t="s">
        <v>28</v>
      </c>
      <c r="F2452" s="67" t="s">
        <v>1680</v>
      </c>
      <c r="G2452" s="68">
        <v>0.0</v>
      </c>
      <c r="H2452" s="69">
        <f t="shared" si="142"/>
        <v>0</v>
      </c>
      <c r="I2452" s="89" t="s">
        <v>504</v>
      </c>
      <c r="J2452" s="98" t="s">
        <v>1664</v>
      </c>
      <c r="K2452" s="95"/>
      <c r="L2452" s="95"/>
      <c r="M2452" s="95"/>
      <c r="N2452" s="153"/>
      <c r="O2452" s="140" t="s">
        <v>1775</v>
      </c>
      <c r="P2452" s="36"/>
      <c r="Q2452" s="36"/>
      <c r="R2452" s="36"/>
      <c r="S2452" s="36"/>
      <c r="T2452" s="36"/>
      <c r="U2452" s="36"/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</row>
    <row r="2453" ht="22.5" customHeight="1">
      <c r="A2453" s="86">
        <v>46150.0</v>
      </c>
      <c r="B2453" s="137" t="s">
        <v>27</v>
      </c>
      <c r="C2453" s="79"/>
      <c r="D2453" s="80">
        <v>366000.0</v>
      </c>
      <c r="E2453" s="66" t="s">
        <v>28</v>
      </c>
      <c r="F2453" s="67" t="s">
        <v>1680</v>
      </c>
      <c r="G2453" s="68">
        <v>22.0</v>
      </c>
      <c r="H2453" s="69">
        <f t="shared" si="142"/>
        <v>66000</v>
      </c>
      <c r="I2453" s="89" t="s">
        <v>30</v>
      </c>
      <c r="J2453" s="98" t="s">
        <v>1715</v>
      </c>
      <c r="K2453" s="95"/>
      <c r="L2453" s="95"/>
      <c r="M2453" s="95"/>
      <c r="N2453" s="153"/>
      <c r="O2453" s="140" t="s">
        <v>1776</v>
      </c>
      <c r="P2453" s="36"/>
      <c r="Q2453" s="36"/>
      <c r="R2453" s="36"/>
      <c r="S2453" s="36"/>
      <c r="T2453" s="36"/>
      <c r="U2453" s="36"/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</row>
    <row r="2454" ht="22.5" customHeight="1">
      <c r="A2454" s="86">
        <v>46150.0</v>
      </c>
      <c r="B2454" s="137" t="s">
        <v>27</v>
      </c>
      <c r="C2454" s="79"/>
      <c r="D2454" s="80">
        <v>23971.78</v>
      </c>
      <c r="E2454" s="66" t="s">
        <v>28</v>
      </c>
      <c r="F2454" s="67" t="s">
        <v>1734</v>
      </c>
      <c r="G2454" s="68">
        <v>22.0</v>
      </c>
      <c r="H2454" s="69">
        <f t="shared" si="142"/>
        <v>4322.78</v>
      </c>
      <c r="I2454" s="89" t="s">
        <v>495</v>
      </c>
      <c r="J2454" s="98" t="s">
        <v>910</v>
      </c>
      <c r="K2454" s="95"/>
      <c r="L2454" s="95"/>
      <c r="M2454" s="95"/>
      <c r="N2454" s="153"/>
      <c r="O2454" s="140" t="s">
        <v>1777</v>
      </c>
      <c r="P2454" s="36"/>
      <c r="Q2454" s="36"/>
      <c r="R2454" s="36"/>
      <c r="S2454" s="36"/>
      <c r="T2454" s="36"/>
      <c r="U2454" s="36"/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</row>
    <row r="2455" ht="22.5" customHeight="1">
      <c r="A2455" s="86">
        <v>46150.0</v>
      </c>
      <c r="B2455" s="137" t="s">
        <v>27</v>
      </c>
      <c r="C2455" s="79"/>
      <c r="D2455" s="80">
        <v>238920.0</v>
      </c>
      <c r="E2455" s="66" t="s">
        <v>28</v>
      </c>
      <c r="F2455" s="67" t="s">
        <v>1734</v>
      </c>
      <c r="G2455" s="68">
        <v>0.0</v>
      </c>
      <c r="H2455" s="69">
        <f t="shared" si="142"/>
        <v>0</v>
      </c>
      <c r="I2455" s="89" t="s">
        <v>495</v>
      </c>
      <c r="J2455" s="98" t="s">
        <v>1778</v>
      </c>
      <c r="K2455" s="95"/>
      <c r="L2455" s="95"/>
      <c r="M2455" s="95"/>
      <c r="N2455" s="153"/>
      <c r="O2455" s="96"/>
      <c r="P2455" s="36"/>
      <c r="Q2455" s="36"/>
      <c r="R2455" s="36"/>
      <c r="S2455" s="36"/>
      <c r="T2455" s="36"/>
      <c r="U2455" s="36"/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</row>
    <row r="2456" ht="22.5" customHeight="1">
      <c r="A2456" s="86">
        <v>46150.0</v>
      </c>
      <c r="B2456" s="137" t="s">
        <v>27</v>
      </c>
      <c r="C2456" s="79"/>
      <c r="D2456" s="80">
        <v>150050.0</v>
      </c>
      <c r="E2456" s="66" t="s">
        <v>28</v>
      </c>
      <c r="F2456" s="67" t="s">
        <v>1453</v>
      </c>
      <c r="G2456" s="68">
        <v>0.0</v>
      </c>
      <c r="H2456" s="69">
        <f t="shared" si="142"/>
        <v>0</v>
      </c>
      <c r="I2456" s="89" t="s">
        <v>322</v>
      </c>
      <c r="J2456" s="98" t="s">
        <v>1608</v>
      </c>
      <c r="K2456" s="95"/>
      <c r="L2456" s="95"/>
      <c r="M2456" s="95"/>
      <c r="N2456" s="153"/>
      <c r="O2456" s="140" t="s">
        <v>1779</v>
      </c>
      <c r="P2456" s="36"/>
      <c r="Q2456" s="36"/>
      <c r="R2456" s="36"/>
      <c r="S2456" s="36"/>
      <c r="T2456" s="36"/>
      <c r="U2456" s="36"/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</row>
    <row r="2457" ht="22.5" customHeight="1">
      <c r="A2457" s="86">
        <v>46150.0</v>
      </c>
      <c r="B2457" s="137" t="s">
        <v>27</v>
      </c>
      <c r="C2457" s="79"/>
      <c r="D2457" s="79">
        <v>15000.0</v>
      </c>
      <c r="E2457" s="177" t="s">
        <v>33</v>
      </c>
      <c r="F2457" s="67" t="s">
        <v>1680</v>
      </c>
      <c r="G2457" s="69">
        <v>0.0</v>
      </c>
      <c r="H2457" s="69">
        <v>0.0</v>
      </c>
      <c r="I2457" s="178" t="s">
        <v>53</v>
      </c>
      <c r="J2457" s="179" t="s">
        <v>1175</v>
      </c>
      <c r="K2457" s="95"/>
      <c r="L2457" s="95"/>
      <c r="M2457" s="95"/>
      <c r="N2457" s="153"/>
      <c r="O2457" s="96"/>
      <c r="P2457" s="36"/>
      <c r="Q2457" s="36"/>
      <c r="R2457" s="36"/>
      <c r="S2457" s="36"/>
      <c r="T2457" s="36"/>
      <c r="U2457" s="36"/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</row>
    <row r="2458" ht="22.5" customHeight="1">
      <c r="A2458" s="86">
        <v>46150.0</v>
      </c>
      <c r="B2458" s="137" t="s">
        <v>27</v>
      </c>
      <c r="C2458" s="79"/>
      <c r="D2458" s="79">
        <v>30000.0</v>
      </c>
      <c r="E2458" s="177" t="s">
        <v>33</v>
      </c>
      <c r="F2458" s="67" t="s">
        <v>1680</v>
      </c>
      <c r="G2458" s="69">
        <v>0.0</v>
      </c>
      <c r="H2458" s="69">
        <v>0.0</v>
      </c>
      <c r="I2458" s="178" t="s">
        <v>53</v>
      </c>
      <c r="J2458" s="179" t="s">
        <v>1176</v>
      </c>
      <c r="K2458" s="95"/>
      <c r="L2458" s="95"/>
      <c r="M2458" s="95"/>
      <c r="N2458" s="153"/>
      <c r="O2458" s="96"/>
      <c r="P2458" s="36"/>
      <c r="Q2458" s="36"/>
      <c r="R2458" s="36"/>
      <c r="S2458" s="36"/>
      <c r="T2458" s="36"/>
      <c r="U2458" s="36"/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</row>
    <row r="2459" ht="22.5" customHeight="1">
      <c r="A2459" s="86">
        <v>46150.0</v>
      </c>
      <c r="B2459" s="137" t="s">
        <v>27</v>
      </c>
      <c r="C2459" s="80">
        <v>356359.79</v>
      </c>
      <c r="D2459" s="79"/>
      <c r="E2459" s="66" t="s">
        <v>28</v>
      </c>
      <c r="F2459" s="67" t="s">
        <v>1609</v>
      </c>
      <c r="G2459" s="68">
        <v>22.0</v>
      </c>
      <c r="H2459" s="69">
        <f t="shared" ref="H2459:H2784" si="144">SUM(C2459:D2459)*G2459/(G2459+100)</f>
        <v>64261.60148</v>
      </c>
      <c r="I2459" s="89" t="s">
        <v>37</v>
      </c>
      <c r="J2459" s="98" t="s">
        <v>1780</v>
      </c>
      <c r="K2459" s="82" t="s">
        <v>1095</v>
      </c>
      <c r="L2459" s="82">
        <v>120.0</v>
      </c>
      <c r="M2459" s="128">
        <v>46121.0</v>
      </c>
      <c r="N2459" s="153"/>
      <c r="O2459" s="96"/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</row>
    <row r="2460" ht="22.5" customHeight="1">
      <c r="A2460" s="86">
        <v>46150.0</v>
      </c>
      <c r="B2460" s="137" t="s">
        <v>27</v>
      </c>
      <c r="C2460" s="79"/>
      <c r="D2460" s="80">
        <v>801190.35</v>
      </c>
      <c r="E2460" s="66" t="s">
        <v>28</v>
      </c>
      <c r="F2460" s="67" t="s">
        <v>1531</v>
      </c>
      <c r="G2460" s="68">
        <v>22.0</v>
      </c>
      <c r="H2460" s="69">
        <f t="shared" si="144"/>
        <v>144476.9484</v>
      </c>
      <c r="I2460" s="89" t="s">
        <v>1044</v>
      </c>
      <c r="J2460" s="151" t="s">
        <v>1514</v>
      </c>
      <c r="K2460" s="95"/>
      <c r="L2460" s="95"/>
      <c r="M2460" s="95"/>
      <c r="N2460" s="153"/>
      <c r="O2460" s="96"/>
      <c r="P2460" s="36"/>
      <c r="Q2460" s="36"/>
      <c r="R2460" s="36"/>
      <c r="S2460" s="36"/>
      <c r="T2460" s="36"/>
      <c r="U2460" s="36"/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</row>
    <row r="2461" ht="22.5" customHeight="1">
      <c r="A2461" s="86">
        <v>46154.0</v>
      </c>
      <c r="B2461" s="137" t="s">
        <v>27</v>
      </c>
      <c r="C2461" s="79"/>
      <c r="D2461" s="80">
        <v>50000.0</v>
      </c>
      <c r="E2461" s="66" t="s">
        <v>33</v>
      </c>
      <c r="F2461" s="67" t="s">
        <v>1680</v>
      </c>
      <c r="G2461" s="68">
        <v>0.0</v>
      </c>
      <c r="H2461" s="69">
        <f t="shared" si="144"/>
        <v>0</v>
      </c>
      <c r="I2461" s="89" t="s">
        <v>53</v>
      </c>
      <c r="J2461" s="98" t="s">
        <v>1555</v>
      </c>
      <c r="K2461" s="95"/>
      <c r="L2461" s="95"/>
      <c r="M2461" s="95"/>
      <c r="N2461" s="153"/>
      <c r="O2461" s="9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</row>
    <row r="2462" ht="22.5" customHeight="1">
      <c r="A2462" s="86">
        <v>46154.0</v>
      </c>
      <c r="B2462" s="137" t="s">
        <v>27</v>
      </c>
      <c r="C2462" s="79"/>
      <c r="D2462" s="80">
        <v>80000.0</v>
      </c>
      <c r="E2462" s="66" t="s">
        <v>33</v>
      </c>
      <c r="F2462" s="67" t="s">
        <v>1680</v>
      </c>
      <c r="G2462" s="68">
        <v>0.0</v>
      </c>
      <c r="H2462" s="69">
        <f t="shared" si="144"/>
        <v>0</v>
      </c>
      <c r="I2462" s="89" t="s">
        <v>53</v>
      </c>
      <c r="J2462" s="98" t="s">
        <v>1185</v>
      </c>
      <c r="K2462" s="95"/>
      <c r="L2462" s="95"/>
      <c r="M2462" s="95"/>
      <c r="N2462" s="153"/>
      <c r="O2462" s="96"/>
      <c r="P2462" s="36"/>
      <c r="Q2462" s="36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</row>
    <row r="2463" ht="22.5" customHeight="1">
      <c r="A2463" s="86">
        <v>46154.0</v>
      </c>
      <c r="B2463" s="137" t="s">
        <v>27</v>
      </c>
      <c r="C2463" s="79"/>
      <c r="D2463" s="80">
        <v>20000.0</v>
      </c>
      <c r="E2463" s="66" t="s">
        <v>33</v>
      </c>
      <c r="F2463" s="67" t="s">
        <v>1680</v>
      </c>
      <c r="G2463" s="68">
        <v>0.0</v>
      </c>
      <c r="H2463" s="69">
        <f t="shared" si="144"/>
        <v>0</v>
      </c>
      <c r="I2463" s="89" t="s">
        <v>53</v>
      </c>
      <c r="J2463" s="98" t="s">
        <v>1186</v>
      </c>
      <c r="K2463" s="95"/>
      <c r="L2463" s="95"/>
      <c r="M2463" s="95"/>
      <c r="N2463" s="153"/>
      <c r="O2463" s="96"/>
      <c r="P2463" s="36"/>
      <c r="Q2463" s="36"/>
      <c r="R2463" s="36"/>
      <c r="S2463" s="36"/>
      <c r="T2463" s="36"/>
      <c r="U2463" s="36"/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</row>
    <row r="2464" ht="22.5" customHeight="1">
      <c r="A2464" s="86">
        <v>46154.0</v>
      </c>
      <c r="B2464" s="137" t="s">
        <v>27</v>
      </c>
      <c r="C2464" s="79"/>
      <c r="D2464" s="80">
        <v>67500.0</v>
      </c>
      <c r="E2464" s="66" t="s">
        <v>33</v>
      </c>
      <c r="F2464" s="67" t="s">
        <v>1680</v>
      </c>
      <c r="G2464" s="68">
        <v>0.0</v>
      </c>
      <c r="H2464" s="69">
        <f t="shared" si="144"/>
        <v>0</v>
      </c>
      <c r="I2464" s="89" t="s">
        <v>490</v>
      </c>
      <c r="J2464" s="98" t="s">
        <v>1781</v>
      </c>
      <c r="K2464" s="95"/>
      <c r="L2464" s="95"/>
      <c r="M2464" s="95"/>
      <c r="N2464" s="153"/>
      <c r="O2464" s="96"/>
      <c r="P2464" s="36"/>
      <c r="Q2464" s="36"/>
      <c r="R2464" s="36"/>
      <c r="S2464" s="36"/>
      <c r="T2464" s="36"/>
      <c r="U2464" s="36"/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</row>
    <row r="2465" ht="22.5" customHeight="1">
      <c r="A2465" s="86">
        <v>46154.0</v>
      </c>
      <c r="B2465" s="137" t="s">
        <v>27</v>
      </c>
      <c r="C2465" s="79"/>
      <c r="D2465" s="80">
        <v>30000.0</v>
      </c>
      <c r="E2465" s="66" t="s">
        <v>33</v>
      </c>
      <c r="F2465" s="67" t="s">
        <v>1680</v>
      </c>
      <c r="G2465" s="68">
        <v>0.0</v>
      </c>
      <c r="H2465" s="69">
        <f t="shared" si="144"/>
        <v>0</v>
      </c>
      <c r="I2465" s="89" t="s">
        <v>53</v>
      </c>
      <c r="J2465" s="98" t="s">
        <v>1782</v>
      </c>
      <c r="K2465" s="95"/>
      <c r="L2465" s="95"/>
      <c r="M2465" s="95"/>
      <c r="N2465" s="153"/>
      <c r="O2465" s="96"/>
      <c r="P2465" s="36"/>
      <c r="Q2465" s="36"/>
      <c r="R2465" s="36"/>
      <c r="S2465" s="36"/>
      <c r="T2465" s="36"/>
      <c r="U2465" s="36"/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</row>
    <row r="2466" ht="22.5" customHeight="1">
      <c r="A2466" s="86">
        <v>46155.0</v>
      </c>
      <c r="B2466" s="157" t="s">
        <v>27</v>
      </c>
      <c r="C2466" s="80">
        <v>602430.0</v>
      </c>
      <c r="D2466" s="80"/>
      <c r="E2466" s="66" t="s">
        <v>28</v>
      </c>
      <c r="F2466" s="67" t="s">
        <v>608</v>
      </c>
      <c r="G2466" s="68">
        <v>20.0</v>
      </c>
      <c r="H2466" s="69">
        <f t="shared" si="144"/>
        <v>100405</v>
      </c>
      <c r="I2466" s="76" t="s">
        <v>37</v>
      </c>
      <c r="J2466" s="87" t="s">
        <v>849</v>
      </c>
      <c r="K2466" s="82" t="s">
        <v>1192</v>
      </c>
      <c r="L2466" s="82">
        <v>432.0</v>
      </c>
      <c r="M2466" s="128">
        <v>46000.0</v>
      </c>
      <c r="N2466" s="153">
        <f>TODAY()-M2466-60</f>
        <v>128</v>
      </c>
      <c r="O2466" s="96"/>
      <c r="P2466" s="36"/>
      <c r="Q2466" s="36"/>
      <c r="R2466" s="36"/>
      <c r="S2466" s="36"/>
      <c r="T2466" s="36"/>
      <c r="U2466" s="36"/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</row>
    <row r="2467" ht="22.5" customHeight="1">
      <c r="A2467" s="86">
        <v>46155.0</v>
      </c>
      <c r="B2467" s="137" t="s">
        <v>27</v>
      </c>
      <c r="C2467" s="79"/>
      <c r="D2467" s="79">
        <v>50000.0</v>
      </c>
      <c r="E2467" s="180" t="s">
        <v>33</v>
      </c>
      <c r="F2467" s="67" t="s">
        <v>1680</v>
      </c>
      <c r="G2467" s="68">
        <v>0.0</v>
      </c>
      <c r="H2467" s="69">
        <f t="shared" si="144"/>
        <v>0</v>
      </c>
      <c r="I2467" s="181" t="s">
        <v>53</v>
      </c>
      <c r="J2467" s="179" t="s">
        <v>1304</v>
      </c>
      <c r="K2467" s="95"/>
      <c r="L2467" s="95"/>
      <c r="M2467" s="95"/>
      <c r="N2467" s="153"/>
      <c r="O2467" s="96"/>
      <c r="P2467" s="36"/>
      <c r="Q2467" s="36"/>
      <c r="R2467" s="36"/>
      <c r="S2467" s="36"/>
      <c r="T2467" s="36"/>
      <c r="U2467" s="36"/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</row>
    <row r="2468" ht="22.5" customHeight="1">
      <c r="A2468" s="86">
        <v>46155.0</v>
      </c>
      <c r="B2468" s="137" t="s">
        <v>27</v>
      </c>
      <c r="C2468" s="79"/>
      <c r="D2468" s="79">
        <v>40000.0</v>
      </c>
      <c r="E2468" s="177" t="s">
        <v>33</v>
      </c>
      <c r="F2468" s="67" t="s">
        <v>1680</v>
      </c>
      <c r="G2468" s="68">
        <v>0.0</v>
      </c>
      <c r="H2468" s="69">
        <f t="shared" si="144"/>
        <v>0</v>
      </c>
      <c r="I2468" s="178" t="s">
        <v>53</v>
      </c>
      <c r="J2468" s="179" t="s">
        <v>1326</v>
      </c>
      <c r="K2468" s="95"/>
      <c r="L2468" s="95"/>
      <c r="M2468" s="95"/>
      <c r="N2468" s="153"/>
      <c r="O2468" s="96"/>
      <c r="P2468" s="36"/>
      <c r="Q2468" s="36"/>
      <c r="R2468" s="36"/>
      <c r="S2468" s="36"/>
      <c r="T2468" s="36"/>
      <c r="U2468" s="36"/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</row>
    <row r="2469" ht="22.5" customHeight="1">
      <c r="A2469" s="86">
        <v>46155.0</v>
      </c>
      <c r="B2469" s="137" t="s">
        <v>27</v>
      </c>
      <c r="C2469" s="79"/>
      <c r="D2469" s="79">
        <v>15000.0</v>
      </c>
      <c r="E2469" s="177" t="s">
        <v>33</v>
      </c>
      <c r="F2469" s="67" t="s">
        <v>1680</v>
      </c>
      <c r="G2469" s="68">
        <v>0.0</v>
      </c>
      <c r="H2469" s="69">
        <f t="shared" si="144"/>
        <v>0</v>
      </c>
      <c r="I2469" s="178" t="s">
        <v>53</v>
      </c>
      <c r="J2469" s="179" t="s">
        <v>1327</v>
      </c>
      <c r="K2469" s="95"/>
      <c r="L2469" s="95"/>
      <c r="M2469" s="95"/>
      <c r="N2469" s="153"/>
      <c r="O2469" s="96"/>
      <c r="P2469" s="36"/>
      <c r="Q2469" s="36"/>
      <c r="R2469" s="36"/>
      <c r="S2469" s="36"/>
      <c r="T2469" s="36"/>
      <c r="U2469" s="36"/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</row>
    <row r="2470" ht="22.5" customHeight="1">
      <c r="A2470" s="86">
        <v>46155.0</v>
      </c>
      <c r="B2470" s="137" t="s">
        <v>27</v>
      </c>
      <c r="C2470" s="79"/>
      <c r="D2470" s="80">
        <v>30000.0</v>
      </c>
      <c r="E2470" s="66" t="s">
        <v>33</v>
      </c>
      <c r="F2470" s="67" t="s">
        <v>1734</v>
      </c>
      <c r="G2470" s="68">
        <v>0.0</v>
      </c>
      <c r="H2470" s="69">
        <f t="shared" si="144"/>
        <v>0</v>
      </c>
      <c r="I2470" s="89" t="s">
        <v>53</v>
      </c>
      <c r="J2470" s="98" t="s">
        <v>128</v>
      </c>
      <c r="K2470" s="95"/>
      <c r="L2470" s="95"/>
      <c r="M2470" s="95"/>
      <c r="N2470" s="153"/>
      <c r="O2470" s="96"/>
      <c r="P2470" s="36"/>
      <c r="Q2470" s="36"/>
      <c r="R2470" s="36"/>
      <c r="S2470" s="36"/>
      <c r="T2470" s="36"/>
      <c r="U2470" s="36"/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</row>
    <row r="2471" ht="22.5" customHeight="1">
      <c r="A2471" s="86">
        <v>46155.0</v>
      </c>
      <c r="B2471" s="137" t="s">
        <v>27</v>
      </c>
      <c r="C2471" s="79"/>
      <c r="D2471" s="80">
        <v>4400.0</v>
      </c>
      <c r="E2471" s="66" t="s">
        <v>33</v>
      </c>
      <c r="F2471" s="67" t="s">
        <v>1680</v>
      </c>
      <c r="G2471" s="68">
        <v>0.0</v>
      </c>
      <c r="H2471" s="69">
        <f t="shared" si="144"/>
        <v>0</v>
      </c>
      <c r="I2471" s="89" t="s">
        <v>490</v>
      </c>
      <c r="J2471" s="98" t="s">
        <v>1783</v>
      </c>
      <c r="K2471" s="95"/>
      <c r="L2471" s="95"/>
      <c r="M2471" s="95"/>
      <c r="N2471" s="153"/>
      <c r="O2471" s="96"/>
      <c r="P2471" s="36"/>
      <c r="Q2471" s="36"/>
      <c r="R2471" s="36"/>
      <c r="S2471" s="36"/>
      <c r="T2471" s="36"/>
      <c r="U2471" s="36"/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</row>
    <row r="2472" ht="22.5" customHeight="1">
      <c r="A2472" s="86">
        <v>46155.0</v>
      </c>
      <c r="B2472" s="137" t="s">
        <v>27</v>
      </c>
      <c r="C2472" s="79"/>
      <c r="D2472" s="80">
        <v>21000.0</v>
      </c>
      <c r="E2472" s="66" t="s">
        <v>33</v>
      </c>
      <c r="F2472" s="67" t="s">
        <v>1680</v>
      </c>
      <c r="G2472" s="68">
        <v>0.0</v>
      </c>
      <c r="H2472" s="69">
        <f t="shared" si="144"/>
        <v>0</v>
      </c>
      <c r="I2472" s="89" t="s">
        <v>495</v>
      </c>
      <c r="J2472" s="98" t="s">
        <v>1554</v>
      </c>
      <c r="K2472" s="95"/>
      <c r="L2472" s="95"/>
      <c r="M2472" s="95"/>
      <c r="N2472" s="153"/>
      <c r="O2472" s="96"/>
      <c r="P2472" s="36"/>
      <c r="Q2472" s="36"/>
      <c r="R2472" s="36"/>
      <c r="S2472" s="36"/>
      <c r="T2472" s="36"/>
      <c r="U2472" s="36"/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</row>
    <row r="2473" ht="22.5" customHeight="1">
      <c r="A2473" s="86">
        <v>46157.0</v>
      </c>
      <c r="B2473" s="137" t="s">
        <v>27</v>
      </c>
      <c r="C2473" s="80">
        <v>228425.33</v>
      </c>
      <c r="D2473" s="79"/>
      <c r="E2473" s="66" t="s">
        <v>28</v>
      </c>
      <c r="F2473" s="67" t="s">
        <v>604</v>
      </c>
      <c r="G2473" s="68">
        <v>20.0</v>
      </c>
      <c r="H2473" s="69">
        <f t="shared" si="144"/>
        <v>38070.88833</v>
      </c>
      <c r="I2473" s="89" t="s">
        <v>37</v>
      </c>
      <c r="J2473" s="98" t="s">
        <v>1784</v>
      </c>
      <c r="K2473" s="82" t="s">
        <v>808</v>
      </c>
      <c r="L2473" s="82">
        <v>43.0</v>
      </c>
      <c r="M2473" s="128">
        <v>46042.0</v>
      </c>
      <c r="N2473" s="153">
        <f>TODAY()-M2473-60</f>
        <v>86</v>
      </c>
      <c r="O2473" s="96"/>
      <c r="P2473" s="36"/>
      <c r="Q2473" s="36"/>
      <c r="R2473" s="36"/>
      <c r="S2473" s="36"/>
      <c r="T2473" s="36"/>
      <c r="U2473" s="36"/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</row>
    <row r="2474" ht="22.5" customHeight="1">
      <c r="A2474" s="86">
        <v>46157.0</v>
      </c>
      <c r="B2474" s="137" t="s">
        <v>27</v>
      </c>
      <c r="C2474" s="80">
        <v>610000.44</v>
      </c>
      <c r="D2474" s="79"/>
      <c r="E2474" s="66" t="s">
        <v>28</v>
      </c>
      <c r="F2474" s="67" t="s">
        <v>1531</v>
      </c>
      <c r="G2474" s="68">
        <v>22.0</v>
      </c>
      <c r="H2474" s="69">
        <f t="shared" si="144"/>
        <v>110000.0793</v>
      </c>
      <c r="I2474" s="89" t="s">
        <v>37</v>
      </c>
      <c r="J2474" s="98" t="s">
        <v>627</v>
      </c>
      <c r="K2474" s="82" t="s">
        <v>853</v>
      </c>
      <c r="L2474" s="82">
        <v>64.0</v>
      </c>
      <c r="M2474" s="128">
        <v>46092.0</v>
      </c>
      <c r="N2474" s="153"/>
      <c r="O2474" s="96"/>
      <c r="P2474" s="36"/>
      <c r="Q2474" s="36"/>
      <c r="R2474" s="36"/>
      <c r="S2474" s="36"/>
      <c r="T2474" s="36"/>
      <c r="U2474" s="36"/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</row>
    <row r="2475" ht="22.5" customHeight="1">
      <c r="A2475" s="86">
        <v>46157.0</v>
      </c>
      <c r="B2475" s="137" t="s">
        <v>27</v>
      </c>
      <c r="C2475" s="80">
        <v>610000.44</v>
      </c>
      <c r="D2475" s="79"/>
      <c r="E2475" s="66" t="s">
        <v>28</v>
      </c>
      <c r="F2475" s="67" t="s">
        <v>1531</v>
      </c>
      <c r="G2475" s="68">
        <v>22.0</v>
      </c>
      <c r="H2475" s="69">
        <f t="shared" si="144"/>
        <v>110000.0793</v>
      </c>
      <c r="I2475" s="89" t="s">
        <v>37</v>
      </c>
      <c r="J2475" s="98" t="s">
        <v>627</v>
      </c>
      <c r="K2475" s="82" t="s">
        <v>756</v>
      </c>
      <c r="L2475" s="82">
        <v>85.0</v>
      </c>
      <c r="M2475" s="128">
        <v>46094.0</v>
      </c>
      <c r="N2475" s="153"/>
      <c r="O2475" s="96"/>
      <c r="P2475" s="36"/>
      <c r="Q2475" s="36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</row>
    <row r="2476" ht="22.5" customHeight="1">
      <c r="A2476" s="86">
        <v>46157.0</v>
      </c>
      <c r="B2476" s="137" t="s">
        <v>27</v>
      </c>
      <c r="C2476" s="79"/>
      <c r="D2476" s="79">
        <f>95745+1802.41</f>
        <v>97547.41</v>
      </c>
      <c r="E2476" s="66" t="s">
        <v>28</v>
      </c>
      <c r="F2476" s="67" t="s">
        <v>1680</v>
      </c>
      <c r="G2476" s="68">
        <v>0.0</v>
      </c>
      <c r="H2476" s="69">
        <f t="shared" si="144"/>
        <v>0</v>
      </c>
      <c r="I2476" s="89" t="s">
        <v>61</v>
      </c>
      <c r="J2476" s="98" t="s">
        <v>1785</v>
      </c>
      <c r="K2476" s="95"/>
      <c r="L2476" s="95"/>
      <c r="M2476" s="95"/>
      <c r="N2476" s="153"/>
      <c r="O2476" s="9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</row>
    <row r="2477" ht="22.5" customHeight="1">
      <c r="A2477" s="86">
        <v>46157.0</v>
      </c>
      <c r="B2477" s="137" t="s">
        <v>27</v>
      </c>
      <c r="C2477" s="79"/>
      <c r="D2477" s="80">
        <v>7270.73</v>
      </c>
      <c r="E2477" s="66" t="s">
        <v>28</v>
      </c>
      <c r="F2477" s="67" t="s">
        <v>1680</v>
      </c>
      <c r="G2477" s="68">
        <v>0.0</v>
      </c>
      <c r="H2477" s="69">
        <f t="shared" si="144"/>
        <v>0</v>
      </c>
      <c r="I2477" s="89" t="s">
        <v>622</v>
      </c>
      <c r="J2477" s="98" t="s">
        <v>309</v>
      </c>
      <c r="K2477" s="95"/>
      <c r="L2477" s="95"/>
      <c r="M2477" s="95"/>
      <c r="N2477" s="153"/>
      <c r="O2477" s="96"/>
      <c r="P2477" s="36"/>
      <c r="Q2477" s="36"/>
      <c r="R2477" s="36"/>
      <c r="S2477" s="36"/>
      <c r="T2477" s="36"/>
      <c r="U2477" s="36"/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</row>
    <row r="2478" ht="22.5" customHeight="1">
      <c r="A2478" s="86">
        <v>46160.0</v>
      </c>
      <c r="B2478" s="137" t="s">
        <v>27</v>
      </c>
      <c r="C2478" s="80">
        <v>252989.18</v>
      </c>
      <c r="D2478" s="79"/>
      <c r="E2478" s="66" t="s">
        <v>28</v>
      </c>
      <c r="F2478" s="67" t="s">
        <v>1531</v>
      </c>
      <c r="G2478" s="68">
        <v>22.0</v>
      </c>
      <c r="H2478" s="69">
        <f t="shared" si="144"/>
        <v>45620.99967</v>
      </c>
      <c r="I2478" s="89" t="s">
        <v>37</v>
      </c>
      <c r="J2478" s="98" t="s">
        <v>675</v>
      </c>
      <c r="K2478" s="82" t="s">
        <v>1163</v>
      </c>
      <c r="L2478" s="82">
        <v>65.0</v>
      </c>
      <c r="M2478" s="128">
        <v>46092.0</v>
      </c>
      <c r="N2478" s="153"/>
      <c r="O2478" s="96"/>
      <c r="P2478" s="36"/>
      <c r="Q2478" s="36"/>
      <c r="R2478" s="36"/>
      <c r="S2478" s="36"/>
      <c r="T2478" s="36"/>
      <c r="U2478" s="36"/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</row>
    <row r="2479" ht="22.5" customHeight="1">
      <c r="A2479" s="86">
        <v>46160.0</v>
      </c>
      <c r="B2479" s="137" t="s">
        <v>27</v>
      </c>
      <c r="C2479" s="80">
        <v>104021.78</v>
      </c>
      <c r="D2479" s="79"/>
      <c r="E2479" s="66" t="s">
        <v>28</v>
      </c>
      <c r="F2479" s="67" t="s">
        <v>1531</v>
      </c>
      <c r="G2479" s="68">
        <v>22.0</v>
      </c>
      <c r="H2479" s="69">
        <f t="shared" si="144"/>
        <v>18758.0259</v>
      </c>
      <c r="I2479" s="89" t="s">
        <v>37</v>
      </c>
      <c r="J2479" s="98" t="s">
        <v>675</v>
      </c>
      <c r="K2479" s="82" t="s">
        <v>1163</v>
      </c>
      <c r="L2479" s="82">
        <v>68.0</v>
      </c>
      <c r="M2479" s="128">
        <v>46092.0</v>
      </c>
      <c r="N2479" s="153"/>
      <c r="O2479" s="96"/>
      <c r="P2479" s="36"/>
      <c r="Q2479" s="36"/>
      <c r="R2479" s="36"/>
      <c r="S2479" s="36"/>
      <c r="T2479" s="36"/>
      <c r="U2479" s="36"/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</row>
    <row r="2480" ht="22.5" customHeight="1">
      <c r="A2480" s="86">
        <v>46161.0</v>
      </c>
      <c r="B2480" s="157" t="s">
        <v>27</v>
      </c>
      <c r="C2480" s="80">
        <v>300000.0</v>
      </c>
      <c r="D2480" s="80"/>
      <c r="E2480" s="66" t="s">
        <v>28</v>
      </c>
      <c r="F2480" s="67" t="s">
        <v>608</v>
      </c>
      <c r="G2480" s="68">
        <v>20.0</v>
      </c>
      <c r="H2480" s="69">
        <f t="shared" si="144"/>
        <v>50000</v>
      </c>
      <c r="I2480" s="76" t="s">
        <v>37</v>
      </c>
      <c r="J2480" s="98" t="s">
        <v>1786</v>
      </c>
      <c r="K2480" s="82" t="s">
        <v>1787</v>
      </c>
      <c r="L2480" s="82">
        <v>424.0</v>
      </c>
      <c r="M2480" s="128">
        <v>45996.0</v>
      </c>
      <c r="N2480" s="153">
        <f>TODAY()-M2480-60</f>
        <v>132</v>
      </c>
      <c r="O2480" s="96"/>
      <c r="P2480" s="36"/>
      <c r="Q2480" s="36"/>
      <c r="R2480" s="36"/>
      <c r="S2480" s="36"/>
      <c r="T2480" s="36"/>
      <c r="U2480" s="36"/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</row>
    <row r="2481" ht="22.5" customHeight="1">
      <c r="A2481" s="86">
        <v>46161.0</v>
      </c>
      <c r="B2481" s="137" t="s">
        <v>27</v>
      </c>
      <c r="C2481" s="80">
        <v>778360.0</v>
      </c>
      <c r="D2481" s="79"/>
      <c r="E2481" s="66" t="s">
        <v>28</v>
      </c>
      <c r="F2481" s="67" t="s">
        <v>1531</v>
      </c>
      <c r="G2481" s="68">
        <v>22.0</v>
      </c>
      <c r="H2481" s="69">
        <f t="shared" si="144"/>
        <v>140360</v>
      </c>
      <c r="I2481" s="89" t="s">
        <v>37</v>
      </c>
      <c r="J2481" s="98" t="s">
        <v>624</v>
      </c>
      <c r="K2481" s="82" t="s">
        <v>1265</v>
      </c>
      <c r="L2481" s="82">
        <v>72.0</v>
      </c>
      <c r="M2481" s="128">
        <v>46094.0</v>
      </c>
      <c r="N2481" s="153"/>
      <c r="O2481" s="96"/>
      <c r="P2481" s="36"/>
      <c r="Q2481" s="36"/>
      <c r="R2481" s="36"/>
      <c r="S2481" s="36"/>
      <c r="T2481" s="36"/>
      <c r="U2481" s="36"/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</row>
    <row r="2482" ht="22.5" customHeight="1">
      <c r="A2482" s="86">
        <v>46161.0</v>
      </c>
      <c r="B2482" s="137" t="s">
        <v>27</v>
      </c>
      <c r="C2482" s="80">
        <v>556625.0</v>
      </c>
      <c r="D2482" s="79"/>
      <c r="E2482" s="66" t="s">
        <v>28</v>
      </c>
      <c r="F2482" s="67" t="s">
        <v>1531</v>
      </c>
      <c r="G2482" s="68">
        <v>22.0</v>
      </c>
      <c r="H2482" s="69">
        <f t="shared" si="144"/>
        <v>100375</v>
      </c>
      <c r="I2482" s="89" t="s">
        <v>37</v>
      </c>
      <c r="J2482" s="98" t="s">
        <v>624</v>
      </c>
      <c r="K2482" s="82" t="s">
        <v>1264</v>
      </c>
      <c r="L2482" s="82">
        <v>73.0</v>
      </c>
      <c r="M2482" s="128">
        <v>46094.0</v>
      </c>
      <c r="N2482" s="153"/>
      <c r="O2482" s="96"/>
      <c r="P2482" s="36"/>
      <c r="Q2482" s="36"/>
      <c r="R2482" s="36"/>
      <c r="S2482" s="36"/>
      <c r="T2482" s="36"/>
      <c r="U2482" s="36"/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</row>
    <row r="2483" ht="22.5" customHeight="1">
      <c r="A2483" s="86">
        <v>46161.0</v>
      </c>
      <c r="B2483" s="137" t="s">
        <v>27</v>
      </c>
      <c r="C2483" s="80">
        <v>686250.0</v>
      </c>
      <c r="D2483" s="79"/>
      <c r="E2483" s="66" t="s">
        <v>28</v>
      </c>
      <c r="F2483" s="67" t="s">
        <v>1531</v>
      </c>
      <c r="G2483" s="68">
        <v>22.0</v>
      </c>
      <c r="H2483" s="69">
        <f t="shared" si="144"/>
        <v>123750</v>
      </c>
      <c r="I2483" s="89" t="s">
        <v>37</v>
      </c>
      <c r="J2483" s="98" t="s">
        <v>624</v>
      </c>
      <c r="K2483" s="82" t="s">
        <v>1264</v>
      </c>
      <c r="L2483" s="82">
        <v>74.0</v>
      </c>
      <c r="M2483" s="128">
        <v>46094.0</v>
      </c>
      <c r="N2483" s="153"/>
      <c r="O2483" s="96"/>
      <c r="P2483" s="36"/>
      <c r="Q2483" s="36"/>
      <c r="R2483" s="36"/>
      <c r="S2483" s="36"/>
      <c r="T2483" s="36"/>
      <c r="U2483" s="36"/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</row>
    <row r="2484" ht="22.5" customHeight="1">
      <c r="A2484" s="86">
        <v>46162.0</v>
      </c>
      <c r="B2484" s="137" t="s">
        <v>27</v>
      </c>
      <c r="C2484" s="79"/>
      <c r="D2484" s="80">
        <v>20000.0</v>
      </c>
      <c r="E2484" s="66" t="s">
        <v>33</v>
      </c>
      <c r="F2484" s="67" t="s">
        <v>1680</v>
      </c>
      <c r="G2484" s="68">
        <v>0.0</v>
      </c>
      <c r="H2484" s="69">
        <f t="shared" si="144"/>
        <v>0</v>
      </c>
      <c r="I2484" s="89" t="s">
        <v>53</v>
      </c>
      <c r="J2484" s="98" t="s">
        <v>1334</v>
      </c>
      <c r="K2484" s="95"/>
      <c r="L2484" s="95"/>
      <c r="M2484" s="95"/>
      <c r="N2484" s="153"/>
      <c r="O2484" s="96"/>
      <c r="P2484" s="36"/>
      <c r="Q2484" s="36"/>
      <c r="R2484" s="36"/>
      <c r="S2484" s="36"/>
      <c r="T2484" s="36"/>
      <c r="U2484" s="36"/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</row>
    <row r="2485" ht="22.5" customHeight="1">
      <c r="A2485" s="86">
        <v>46162.0</v>
      </c>
      <c r="B2485" s="137" t="s">
        <v>27</v>
      </c>
      <c r="C2485" s="79"/>
      <c r="D2485" s="80">
        <v>15000.0</v>
      </c>
      <c r="E2485" s="66" t="s">
        <v>33</v>
      </c>
      <c r="F2485" s="67" t="s">
        <v>1734</v>
      </c>
      <c r="G2485" s="68">
        <v>0.0</v>
      </c>
      <c r="H2485" s="69">
        <f t="shared" si="144"/>
        <v>0</v>
      </c>
      <c r="I2485" s="89" t="s">
        <v>495</v>
      </c>
      <c r="J2485" s="98" t="s">
        <v>848</v>
      </c>
      <c r="K2485" s="95"/>
      <c r="L2485" s="95"/>
      <c r="M2485" s="95"/>
      <c r="N2485" s="153"/>
      <c r="O2485" s="9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</row>
    <row r="2486" ht="22.5" customHeight="1">
      <c r="A2486" s="86">
        <v>46164.0</v>
      </c>
      <c r="B2486" s="137" t="s">
        <v>27</v>
      </c>
      <c r="C2486" s="80">
        <v>1560000.07</v>
      </c>
      <c r="D2486" s="79"/>
      <c r="E2486" s="66" t="s">
        <v>28</v>
      </c>
      <c r="F2486" s="67" t="s">
        <v>604</v>
      </c>
      <c r="G2486" s="68">
        <v>20.0</v>
      </c>
      <c r="H2486" s="69">
        <f t="shared" si="144"/>
        <v>260000.0117</v>
      </c>
      <c r="I2486" s="89" t="s">
        <v>37</v>
      </c>
      <c r="J2486" s="98" t="s">
        <v>1167</v>
      </c>
      <c r="K2486" s="82" t="s">
        <v>1788</v>
      </c>
      <c r="L2486" s="82">
        <v>29.0</v>
      </c>
      <c r="M2486" s="128">
        <v>46042.0</v>
      </c>
      <c r="N2486" s="153">
        <f t="shared" ref="N2486:N2490" si="145">TODAY()-M2486-90</f>
        <v>56</v>
      </c>
      <c r="O2486" s="9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</row>
    <row r="2487" ht="22.5" customHeight="1">
      <c r="A2487" s="86">
        <v>46164.0</v>
      </c>
      <c r="B2487" s="137" t="s">
        <v>27</v>
      </c>
      <c r="C2487" s="80">
        <v>600000.0</v>
      </c>
      <c r="D2487" s="79"/>
      <c r="E2487" s="66" t="s">
        <v>28</v>
      </c>
      <c r="F2487" s="67" t="s">
        <v>604</v>
      </c>
      <c r="G2487" s="68">
        <v>20.0</v>
      </c>
      <c r="H2487" s="69">
        <f t="shared" si="144"/>
        <v>100000</v>
      </c>
      <c r="I2487" s="89" t="s">
        <v>37</v>
      </c>
      <c r="J2487" s="98" t="s">
        <v>1167</v>
      </c>
      <c r="K2487" s="82" t="s">
        <v>1789</v>
      </c>
      <c r="L2487" s="82">
        <v>30.0</v>
      </c>
      <c r="M2487" s="128">
        <v>46042.0</v>
      </c>
      <c r="N2487" s="153">
        <f t="shared" si="145"/>
        <v>56</v>
      </c>
      <c r="O2487" s="96"/>
      <c r="P2487" s="36"/>
      <c r="Q2487" s="36"/>
      <c r="R2487" s="36"/>
      <c r="S2487" s="36"/>
      <c r="T2487" s="36"/>
      <c r="U2487" s="36"/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</row>
    <row r="2488" ht="22.5" customHeight="1">
      <c r="A2488" s="86">
        <v>46164.0</v>
      </c>
      <c r="B2488" s="137" t="s">
        <v>27</v>
      </c>
      <c r="C2488" s="80">
        <v>600000.0</v>
      </c>
      <c r="D2488" s="79"/>
      <c r="E2488" s="66" t="s">
        <v>28</v>
      </c>
      <c r="F2488" s="67" t="s">
        <v>604</v>
      </c>
      <c r="G2488" s="68">
        <v>20.0</v>
      </c>
      <c r="H2488" s="69">
        <f t="shared" si="144"/>
        <v>100000</v>
      </c>
      <c r="I2488" s="89" t="s">
        <v>37</v>
      </c>
      <c r="J2488" s="98" t="s">
        <v>1167</v>
      </c>
      <c r="K2488" s="82" t="s">
        <v>1790</v>
      </c>
      <c r="L2488" s="82">
        <v>31.0</v>
      </c>
      <c r="M2488" s="128">
        <v>46042.0</v>
      </c>
      <c r="N2488" s="153">
        <f t="shared" si="145"/>
        <v>56</v>
      </c>
      <c r="O2488" s="96"/>
      <c r="P2488" s="36"/>
      <c r="Q2488" s="36"/>
      <c r="R2488" s="36"/>
      <c r="S2488" s="36"/>
      <c r="T2488" s="36"/>
      <c r="U2488" s="36"/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</row>
    <row r="2489" ht="22.5" customHeight="1">
      <c r="A2489" s="86">
        <v>46164.0</v>
      </c>
      <c r="B2489" s="137" t="s">
        <v>27</v>
      </c>
      <c r="C2489" s="80">
        <v>600000.0</v>
      </c>
      <c r="D2489" s="79"/>
      <c r="E2489" s="66" t="s">
        <v>28</v>
      </c>
      <c r="F2489" s="67" t="s">
        <v>604</v>
      </c>
      <c r="G2489" s="68">
        <v>20.0</v>
      </c>
      <c r="H2489" s="69">
        <f t="shared" si="144"/>
        <v>100000</v>
      </c>
      <c r="I2489" s="89" t="s">
        <v>37</v>
      </c>
      <c r="J2489" s="98" t="s">
        <v>1167</v>
      </c>
      <c r="K2489" s="82" t="s">
        <v>1791</v>
      </c>
      <c r="L2489" s="82">
        <v>32.0</v>
      </c>
      <c r="M2489" s="128">
        <v>46042.0</v>
      </c>
      <c r="N2489" s="153">
        <f t="shared" si="145"/>
        <v>56</v>
      </c>
      <c r="O2489" s="96"/>
      <c r="P2489" s="36"/>
      <c r="Q2489" s="36"/>
      <c r="R2489" s="36"/>
      <c r="S2489" s="36"/>
      <c r="T2489" s="36"/>
      <c r="U2489" s="36"/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</row>
    <row r="2490" ht="22.5" customHeight="1">
      <c r="A2490" s="86">
        <v>46164.0</v>
      </c>
      <c r="B2490" s="137" t="s">
        <v>27</v>
      </c>
      <c r="C2490" s="80">
        <v>1238286.89</v>
      </c>
      <c r="D2490" s="79"/>
      <c r="E2490" s="66" t="s">
        <v>28</v>
      </c>
      <c r="F2490" s="67" t="s">
        <v>604</v>
      </c>
      <c r="G2490" s="68">
        <v>20.0</v>
      </c>
      <c r="H2490" s="69">
        <f t="shared" si="144"/>
        <v>206381.1483</v>
      </c>
      <c r="I2490" s="89" t="s">
        <v>37</v>
      </c>
      <c r="J2490" s="98" t="s">
        <v>1167</v>
      </c>
      <c r="K2490" s="82" t="s">
        <v>1792</v>
      </c>
      <c r="L2490" s="82">
        <v>36.0</v>
      </c>
      <c r="M2490" s="128">
        <v>46042.0</v>
      </c>
      <c r="N2490" s="153">
        <f t="shared" si="145"/>
        <v>56</v>
      </c>
      <c r="O2490" s="96"/>
      <c r="P2490" s="36"/>
      <c r="Q2490" s="36"/>
      <c r="R2490" s="36"/>
      <c r="S2490" s="36"/>
      <c r="T2490" s="36"/>
      <c r="U2490" s="36"/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</row>
    <row r="2491" ht="22.5" customHeight="1">
      <c r="A2491" s="86">
        <v>46167.0</v>
      </c>
      <c r="B2491" s="137" t="s">
        <v>27</v>
      </c>
      <c r="C2491" s="79"/>
      <c r="D2491" s="79">
        <f>1240474.55+367.45+16025</f>
        <v>1256867</v>
      </c>
      <c r="E2491" s="66" t="s">
        <v>28</v>
      </c>
      <c r="F2491" s="67" t="s">
        <v>1734</v>
      </c>
      <c r="G2491" s="68">
        <v>0.0</v>
      </c>
      <c r="H2491" s="69">
        <f t="shared" si="144"/>
        <v>0</v>
      </c>
      <c r="I2491" s="89" t="s">
        <v>280</v>
      </c>
      <c r="J2491" s="81"/>
      <c r="K2491" s="95"/>
      <c r="L2491" s="95"/>
      <c r="M2491" s="95"/>
      <c r="N2491" s="153"/>
      <c r="O2491" s="96"/>
      <c r="P2491" s="36"/>
      <c r="Q2491" s="36"/>
      <c r="R2491" s="36"/>
      <c r="S2491" s="36"/>
      <c r="T2491" s="36"/>
      <c r="U2491" s="36"/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</row>
    <row r="2492" ht="22.5" customHeight="1">
      <c r="A2492" s="86">
        <v>46167.0</v>
      </c>
      <c r="B2492" s="137" t="s">
        <v>27</v>
      </c>
      <c r="C2492" s="79"/>
      <c r="D2492" s="80">
        <v>275000.0</v>
      </c>
      <c r="E2492" s="66" t="s">
        <v>33</v>
      </c>
      <c r="F2492" s="67" t="s">
        <v>1723</v>
      </c>
      <c r="G2492" s="68">
        <v>0.0</v>
      </c>
      <c r="H2492" s="69">
        <f t="shared" si="144"/>
        <v>0</v>
      </c>
      <c r="I2492" s="89" t="s">
        <v>93</v>
      </c>
      <c r="J2492" s="98" t="s">
        <v>1514</v>
      </c>
      <c r="K2492" s="95"/>
      <c r="L2492" s="95"/>
      <c r="M2492" s="95"/>
      <c r="N2492" s="153"/>
      <c r="O2492" s="96"/>
      <c r="P2492" s="36"/>
      <c r="Q2492" s="36"/>
      <c r="R2492" s="36"/>
      <c r="S2492" s="36"/>
      <c r="T2492" s="36"/>
      <c r="U2492" s="36"/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</row>
    <row r="2493" ht="22.5" customHeight="1">
      <c r="A2493" s="86">
        <v>46167.0</v>
      </c>
      <c r="B2493" s="137" t="s">
        <v>27</v>
      </c>
      <c r="C2493" s="79"/>
      <c r="D2493" s="80">
        <v>905882.4</v>
      </c>
      <c r="E2493" s="66" t="s">
        <v>28</v>
      </c>
      <c r="F2493" s="67" t="s">
        <v>1453</v>
      </c>
      <c r="G2493" s="68">
        <v>0.0</v>
      </c>
      <c r="H2493" s="69">
        <f t="shared" si="144"/>
        <v>0</v>
      </c>
      <c r="I2493" s="89" t="s">
        <v>322</v>
      </c>
      <c r="J2493" s="98" t="s">
        <v>624</v>
      </c>
      <c r="K2493" s="95"/>
      <c r="L2493" s="95"/>
      <c r="M2493" s="95"/>
      <c r="N2493" s="153"/>
      <c r="O2493" s="140" t="s">
        <v>1793</v>
      </c>
      <c r="P2493" s="36"/>
      <c r="Q2493" s="36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</row>
    <row r="2494" ht="22.5" customHeight="1">
      <c r="A2494" s="86">
        <v>46167.0</v>
      </c>
      <c r="B2494" s="137" t="s">
        <v>27</v>
      </c>
      <c r="C2494" s="80">
        <v>556625.0</v>
      </c>
      <c r="D2494" s="79"/>
      <c r="E2494" s="66" t="s">
        <v>28</v>
      </c>
      <c r="F2494" s="67" t="s">
        <v>1609</v>
      </c>
      <c r="G2494" s="68">
        <v>22.0</v>
      </c>
      <c r="H2494" s="69">
        <f t="shared" si="144"/>
        <v>100375</v>
      </c>
      <c r="I2494" s="89" t="s">
        <v>37</v>
      </c>
      <c r="J2494" s="98" t="s">
        <v>624</v>
      </c>
      <c r="K2494" s="82" t="s">
        <v>1260</v>
      </c>
      <c r="L2494" s="82">
        <v>117.0</v>
      </c>
      <c r="M2494" s="128">
        <v>46120.0</v>
      </c>
      <c r="N2494" s="153"/>
      <c r="O2494" s="140" t="s">
        <v>1794</v>
      </c>
      <c r="P2494" s="36"/>
      <c r="Q2494" s="36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</row>
    <row r="2495" ht="22.5" customHeight="1">
      <c r="A2495" s="86">
        <v>46167.0</v>
      </c>
      <c r="B2495" s="137" t="s">
        <v>27</v>
      </c>
      <c r="C2495" s="80">
        <f>485437.56-136180.16</f>
        <v>349257.4</v>
      </c>
      <c r="D2495" s="79"/>
      <c r="E2495" s="66" t="s">
        <v>28</v>
      </c>
      <c r="F2495" s="67" t="s">
        <v>1609</v>
      </c>
      <c r="G2495" s="68">
        <v>22.0</v>
      </c>
      <c r="H2495" s="69">
        <f t="shared" si="144"/>
        <v>62980.84262</v>
      </c>
      <c r="I2495" s="89" t="s">
        <v>37</v>
      </c>
      <c r="J2495" s="98" t="s">
        <v>624</v>
      </c>
      <c r="K2495" s="82" t="s">
        <v>1303</v>
      </c>
      <c r="L2495" s="82">
        <v>119.0</v>
      </c>
      <c r="M2495" s="128">
        <v>46120.0</v>
      </c>
      <c r="N2495" s="153"/>
      <c r="O2495" s="140" t="s">
        <v>1794</v>
      </c>
      <c r="P2495" s="36"/>
      <c r="Q2495" s="36"/>
      <c r="R2495" s="36"/>
      <c r="S2495" s="36"/>
      <c r="T2495" s="36"/>
      <c r="U2495" s="36"/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</row>
    <row r="2496" ht="22.5" customHeight="1">
      <c r="A2496" s="86">
        <v>46170.0</v>
      </c>
      <c r="B2496" s="137" t="s">
        <v>27</v>
      </c>
      <c r="C2496" s="79"/>
      <c r="D2496" s="80">
        <v>105932.0</v>
      </c>
      <c r="E2496" s="66" t="s">
        <v>28</v>
      </c>
      <c r="F2496" s="67" t="s">
        <v>1795</v>
      </c>
      <c r="G2496" s="68">
        <v>0.0</v>
      </c>
      <c r="H2496" s="69">
        <f t="shared" si="144"/>
        <v>0</v>
      </c>
      <c r="I2496" s="89" t="s">
        <v>598</v>
      </c>
      <c r="J2496" s="98" t="s">
        <v>72</v>
      </c>
      <c r="K2496" s="95"/>
      <c r="L2496" s="95"/>
      <c r="M2496" s="95"/>
      <c r="N2496" s="153"/>
      <c r="O2496" s="96"/>
      <c r="P2496" s="36"/>
      <c r="Q2496" s="36"/>
      <c r="R2496" s="36"/>
      <c r="S2496" s="36"/>
      <c r="T2496" s="36"/>
      <c r="U2496" s="36"/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</row>
    <row r="2497" ht="22.5" customHeight="1">
      <c r="A2497" s="86">
        <v>46170.0</v>
      </c>
      <c r="B2497" s="137" t="s">
        <v>27</v>
      </c>
      <c r="C2497" s="79"/>
      <c r="D2497" s="80">
        <v>283427.0</v>
      </c>
      <c r="E2497" s="66" t="s">
        <v>28</v>
      </c>
      <c r="F2497" s="67" t="s">
        <v>1734</v>
      </c>
      <c r="G2497" s="68">
        <v>0.0</v>
      </c>
      <c r="H2497" s="69">
        <f t="shared" si="144"/>
        <v>0</v>
      </c>
      <c r="I2497" s="89" t="s">
        <v>599</v>
      </c>
      <c r="J2497" s="98" t="s">
        <v>72</v>
      </c>
      <c r="K2497" s="95"/>
      <c r="L2497" s="95"/>
      <c r="M2497" s="95"/>
      <c r="N2497" s="153"/>
      <c r="O2497" s="96"/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</row>
    <row r="2498" ht="22.5" customHeight="1">
      <c r="A2498" s="86">
        <v>46170.0</v>
      </c>
      <c r="B2498" s="137" t="s">
        <v>27</v>
      </c>
      <c r="C2498" s="79"/>
      <c r="D2498" s="80">
        <v>668397.88</v>
      </c>
      <c r="E2498" s="66" t="s">
        <v>28</v>
      </c>
      <c r="F2498" s="67" t="s">
        <v>1734</v>
      </c>
      <c r="G2498" s="68">
        <v>0.0</v>
      </c>
      <c r="H2498" s="69">
        <f t="shared" si="144"/>
        <v>0</v>
      </c>
      <c r="I2498" s="89" t="s">
        <v>622</v>
      </c>
      <c r="J2498" s="98" t="s">
        <v>72</v>
      </c>
      <c r="K2498" s="95"/>
      <c r="L2498" s="95"/>
      <c r="M2498" s="95"/>
      <c r="N2498" s="153"/>
      <c r="O2498" s="96"/>
      <c r="P2498" s="36"/>
      <c r="Q2498" s="36"/>
      <c r="R2498" s="36"/>
      <c r="S2498" s="36"/>
      <c r="T2498" s="36"/>
      <c r="U2498" s="36"/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</row>
    <row r="2499" ht="22.5" customHeight="1">
      <c r="A2499" s="86">
        <v>46170.0</v>
      </c>
      <c r="B2499" s="137" t="s">
        <v>27</v>
      </c>
      <c r="C2499" s="79"/>
      <c r="D2499" s="80">
        <v>1854851.0</v>
      </c>
      <c r="E2499" s="66" t="s">
        <v>28</v>
      </c>
      <c r="F2499" s="67" t="s">
        <v>1723</v>
      </c>
      <c r="G2499" s="68">
        <v>0.0</v>
      </c>
      <c r="H2499" s="69">
        <f t="shared" si="144"/>
        <v>0</v>
      </c>
      <c r="I2499" s="89" t="s">
        <v>623</v>
      </c>
      <c r="J2499" s="98" t="s">
        <v>72</v>
      </c>
      <c r="K2499" s="95"/>
      <c r="L2499" s="95"/>
      <c r="M2499" s="95"/>
      <c r="N2499" s="153"/>
      <c r="O2499" s="96"/>
      <c r="P2499" s="36"/>
      <c r="Q2499" s="36"/>
      <c r="R2499" s="36"/>
      <c r="S2499" s="36"/>
      <c r="T2499" s="36"/>
      <c r="U2499" s="36"/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</row>
    <row r="2500" ht="22.5" customHeight="1">
      <c r="A2500" s="86">
        <v>46171.0</v>
      </c>
      <c r="B2500" s="137" t="s">
        <v>27</v>
      </c>
      <c r="C2500" s="80">
        <v>184525.0</v>
      </c>
      <c r="D2500" s="79"/>
      <c r="E2500" s="66" t="s">
        <v>28</v>
      </c>
      <c r="F2500" s="67" t="s">
        <v>603</v>
      </c>
      <c r="G2500" s="68">
        <v>22.0</v>
      </c>
      <c r="H2500" s="69">
        <f t="shared" si="144"/>
        <v>33275</v>
      </c>
      <c r="I2500" s="89" t="s">
        <v>37</v>
      </c>
      <c r="J2500" s="98" t="s">
        <v>944</v>
      </c>
      <c r="K2500" s="82" t="s">
        <v>1303</v>
      </c>
      <c r="L2500" s="82">
        <v>50.0</v>
      </c>
      <c r="M2500" s="128">
        <v>46069.0</v>
      </c>
      <c r="N2500" s="153">
        <f t="shared" ref="N2500:N2501" si="146">TODAY()-M2500-120</f>
        <v>-1</v>
      </c>
      <c r="O2500" s="96"/>
      <c r="P2500" s="36"/>
      <c r="Q2500" s="36"/>
      <c r="R2500" s="36"/>
      <c r="S2500" s="36"/>
      <c r="T2500" s="36"/>
      <c r="U2500" s="36"/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</row>
    <row r="2501" ht="22.5" customHeight="1">
      <c r="A2501" s="86">
        <v>46171.0</v>
      </c>
      <c r="B2501" s="137" t="s">
        <v>27</v>
      </c>
      <c r="C2501" s="80">
        <v>150975.0</v>
      </c>
      <c r="D2501" s="79"/>
      <c r="E2501" s="66" t="s">
        <v>28</v>
      </c>
      <c r="F2501" s="67" t="s">
        <v>603</v>
      </c>
      <c r="G2501" s="68">
        <v>22.0</v>
      </c>
      <c r="H2501" s="69">
        <f t="shared" si="144"/>
        <v>27225</v>
      </c>
      <c r="I2501" s="89" t="s">
        <v>37</v>
      </c>
      <c r="J2501" s="98" t="s">
        <v>944</v>
      </c>
      <c r="K2501" s="82" t="s">
        <v>1303</v>
      </c>
      <c r="L2501" s="82">
        <v>51.0</v>
      </c>
      <c r="M2501" s="128">
        <v>46069.0</v>
      </c>
      <c r="N2501" s="153">
        <f t="shared" si="146"/>
        <v>-1</v>
      </c>
      <c r="O2501" s="96"/>
      <c r="P2501" s="36"/>
      <c r="Q2501" s="36"/>
      <c r="R2501" s="36"/>
      <c r="S2501" s="36"/>
      <c r="T2501" s="36"/>
      <c r="U2501" s="36"/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</row>
    <row r="2502" ht="22.5" customHeight="1">
      <c r="A2502" s="86">
        <v>46175.0</v>
      </c>
      <c r="B2502" s="137" t="s">
        <v>27</v>
      </c>
      <c r="C2502" s="80">
        <v>610000.44</v>
      </c>
      <c r="D2502" s="79"/>
      <c r="E2502" s="66" t="s">
        <v>28</v>
      </c>
      <c r="F2502" s="67" t="s">
        <v>1609</v>
      </c>
      <c r="G2502" s="68">
        <v>22.0</v>
      </c>
      <c r="H2502" s="69">
        <f t="shared" si="144"/>
        <v>110000.0793</v>
      </c>
      <c r="I2502" s="89" t="s">
        <v>37</v>
      </c>
      <c r="J2502" s="98" t="s">
        <v>1796</v>
      </c>
      <c r="K2502" s="82" t="s">
        <v>808</v>
      </c>
      <c r="L2502" s="82">
        <v>101.0</v>
      </c>
      <c r="M2502" s="128">
        <v>46116.0</v>
      </c>
      <c r="N2502" s="153"/>
      <c r="O2502" s="96"/>
      <c r="P2502" s="36"/>
      <c r="Q2502" s="36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</row>
    <row r="2503" ht="22.5" customHeight="1">
      <c r="A2503" s="86">
        <v>46175.0</v>
      </c>
      <c r="B2503" s="137" t="s">
        <v>27</v>
      </c>
      <c r="C2503" s="79"/>
      <c r="D2503" s="80">
        <v>233415.92</v>
      </c>
      <c r="E2503" s="66" t="s">
        <v>28</v>
      </c>
      <c r="F2503" s="67" t="s">
        <v>1797</v>
      </c>
      <c r="G2503" s="68">
        <v>0.0</v>
      </c>
      <c r="H2503" s="69">
        <f t="shared" si="144"/>
        <v>0</v>
      </c>
      <c r="I2503" s="89" t="s">
        <v>280</v>
      </c>
      <c r="J2503" s="98" t="s">
        <v>1798</v>
      </c>
      <c r="K2503" s="95"/>
      <c r="L2503" s="95"/>
      <c r="M2503" s="95"/>
      <c r="N2503" s="153"/>
      <c r="O2503" s="96"/>
      <c r="P2503" s="36"/>
      <c r="Q2503" s="36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</row>
    <row r="2504" ht="22.5" customHeight="1">
      <c r="A2504" s="86">
        <v>46176.0</v>
      </c>
      <c r="B2504" s="137" t="s">
        <v>27</v>
      </c>
      <c r="C2504" s="79"/>
      <c r="D2504" s="80">
        <v>15000.0</v>
      </c>
      <c r="E2504" s="66" t="s">
        <v>33</v>
      </c>
      <c r="F2504" s="67" t="s">
        <v>1734</v>
      </c>
      <c r="G2504" s="68">
        <v>0.0</v>
      </c>
      <c r="H2504" s="69">
        <f t="shared" si="144"/>
        <v>0</v>
      </c>
      <c r="I2504" s="89" t="s">
        <v>53</v>
      </c>
      <c r="J2504" s="98" t="s">
        <v>1175</v>
      </c>
      <c r="K2504" s="95"/>
      <c r="L2504" s="95"/>
      <c r="M2504" s="95"/>
      <c r="N2504" s="153"/>
      <c r="O2504" s="96"/>
      <c r="P2504" s="36"/>
      <c r="Q2504" s="36"/>
      <c r="R2504" s="36"/>
      <c r="S2504" s="36"/>
      <c r="T2504" s="36"/>
      <c r="U2504" s="36"/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</row>
    <row r="2505" ht="22.5" customHeight="1">
      <c r="A2505" s="86">
        <v>46176.0</v>
      </c>
      <c r="B2505" s="137" t="s">
        <v>27</v>
      </c>
      <c r="C2505" s="79"/>
      <c r="D2505" s="80">
        <v>30000.0</v>
      </c>
      <c r="E2505" s="66" t="s">
        <v>33</v>
      </c>
      <c r="F2505" s="67" t="s">
        <v>1734</v>
      </c>
      <c r="G2505" s="68">
        <v>0.0</v>
      </c>
      <c r="H2505" s="69">
        <f t="shared" si="144"/>
        <v>0</v>
      </c>
      <c r="I2505" s="89" t="s">
        <v>53</v>
      </c>
      <c r="J2505" s="98" t="s">
        <v>1176</v>
      </c>
      <c r="K2505" s="95"/>
      <c r="L2505" s="95"/>
      <c r="M2505" s="95"/>
      <c r="N2505" s="153"/>
      <c r="O2505" s="96"/>
      <c r="P2505" s="36"/>
      <c r="Q2505" s="36"/>
      <c r="R2505" s="36"/>
      <c r="S2505" s="36"/>
      <c r="T2505" s="36"/>
      <c r="U2505" s="36"/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</row>
    <row r="2506" ht="22.5" customHeight="1">
      <c r="A2506" s="86">
        <v>46176.0</v>
      </c>
      <c r="B2506" s="137" t="s">
        <v>27</v>
      </c>
      <c r="C2506" s="79"/>
      <c r="D2506" s="80">
        <v>80000.0</v>
      </c>
      <c r="E2506" s="66" t="s">
        <v>33</v>
      </c>
      <c r="F2506" s="67" t="s">
        <v>1734</v>
      </c>
      <c r="G2506" s="68">
        <v>0.0</v>
      </c>
      <c r="H2506" s="69">
        <f t="shared" si="144"/>
        <v>0</v>
      </c>
      <c r="I2506" s="89" t="s">
        <v>53</v>
      </c>
      <c r="J2506" s="98" t="s">
        <v>467</v>
      </c>
      <c r="K2506" s="95"/>
      <c r="L2506" s="95"/>
      <c r="M2506" s="95"/>
      <c r="N2506" s="153"/>
      <c r="O2506" s="96"/>
      <c r="P2506" s="36"/>
      <c r="Q2506" s="36"/>
      <c r="R2506" s="36"/>
      <c r="S2506" s="36"/>
      <c r="T2506" s="36"/>
      <c r="U2506" s="36"/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</row>
    <row r="2507" ht="22.5" customHeight="1">
      <c r="A2507" s="86">
        <v>46176.0</v>
      </c>
      <c r="B2507" s="137" t="s">
        <v>27</v>
      </c>
      <c r="C2507" s="79"/>
      <c r="D2507" s="80">
        <v>20000.0</v>
      </c>
      <c r="E2507" s="66" t="s">
        <v>33</v>
      </c>
      <c r="F2507" s="67" t="s">
        <v>1734</v>
      </c>
      <c r="G2507" s="68">
        <v>0.0</v>
      </c>
      <c r="H2507" s="69">
        <f t="shared" si="144"/>
        <v>0</v>
      </c>
      <c r="I2507" s="89" t="s">
        <v>53</v>
      </c>
      <c r="J2507" s="98" t="s">
        <v>147</v>
      </c>
      <c r="K2507" s="95"/>
      <c r="L2507" s="95"/>
      <c r="M2507" s="95"/>
      <c r="N2507" s="153"/>
      <c r="O2507" s="96"/>
      <c r="P2507" s="36"/>
      <c r="Q2507" s="36"/>
      <c r="R2507" s="36"/>
      <c r="S2507" s="36"/>
      <c r="T2507" s="36"/>
      <c r="U2507" s="36"/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</row>
    <row r="2508" ht="22.5" customHeight="1">
      <c r="A2508" s="86">
        <v>46176.0</v>
      </c>
      <c r="B2508" s="137" t="s">
        <v>27</v>
      </c>
      <c r="C2508" s="79"/>
      <c r="D2508" s="80">
        <v>33808.22</v>
      </c>
      <c r="E2508" s="66" t="s">
        <v>28</v>
      </c>
      <c r="F2508" s="67" t="s">
        <v>1797</v>
      </c>
      <c r="G2508" s="68">
        <v>0.0</v>
      </c>
      <c r="H2508" s="69">
        <f t="shared" si="144"/>
        <v>0</v>
      </c>
      <c r="I2508" s="89" t="s">
        <v>68</v>
      </c>
      <c r="J2508" s="98" t="s">
        <v>1451</v>
      </c>
      <c r="K2508" s="95"/>
      <c r="L2508" s="95"/>
      <c r="M2508" s="95"/>
      <c r="N2508" s="153"/>
      <c r="O2508" s="96"/>
      <c r="P2508" s="36"/>
      <c r="Q2508" s="36"/>
      <c r="R2508" s="36"/>
      <c r="S2508" s="36"/>
      <c r="T2508" s="36"/>
      <c r="U2508" s="36"/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</row>
    <row r="2509" ht="22.5" customHeight="1">
      <c r="A2509" s="86">
        <v>46177.0</v>
      </c>
      <c r="B2509" s="137" t="s">
        <v>27</v>
      </c>
      <c r="C2509" s="80">
        <v>722609.55</v>
      </c>
      <c r="D2509" s="79"/>
      <c r="E2509" s="66" t="s">
        <v>28</v>
      </c>
      <c r="F2509" s="67" t="s">
        <v>1609</v>
      </c>
      <c r="G2509" s="68">
        <v>22.0</v>
      </c>
      <c r="H2509" s="69">
        <f t="shared" si="144"/>
        <v>130306.6402</v>
      </c>
      <c r="I2509" s="89" t="s">
        <v>37</v>
      </c>
      <c r="J2509" s="98" t="s">
        <v>750</v>
      </c>
      <c r="K2509" s="82" t="s">
        <v>753</v>
      </c>
      <c r="L2509" s="82">
        <v>93.0</v>
      </c>
      <c r="M2509" s="128">
        <v>46115.0</v>
      </c>
      <c r="N2509" s="153"/>
      <c r="O2509" s="96"/>
      <c r="P2509" s="36"/>
      <c r="Q2509" s="36"/>
      <c r="R2509" s="36"/>
      <c r="S2509" s="36"/>
      <c r="T2509" s="36"/>
      <c r="U2509" s="36"/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</row>
    <row r="2510" ht="22.5" customHeight="1">
      <c r="A2510" s="86">
        <v>46177.0</v>
      </c>
      <c r="B2510" s="137" t="s">
        <v>27</v>
      </c>
      <c r="C2510" s="79"/>
      <c r="D2510" s="80">
        <v>134280.0</v>
      </c>
      <c r="E2510" s="66" t="s">
        <v>28</v>
      </c>
      <c r="F2510" s="67" t="s">
        <v>1797</v>
      </c>
      <c r="G2510" s="68">
        <v>22.0</v>
      </c>
      <c r="H2510" s="69">
        <f t="shared" si="144"/>
        <v>24214.42623</v>
      </c>
      <c r="I2510" s="89" t="s">
        <v>259</v>
      </c>
      <c r="J2510" s="98" t="s">
        <v>1799</v>
      </c>
      <c r="K2510" s="95"/>
      <c r="L2510" s="95"/>
      <c r="M2510" s="95"/>
      <c r="N2510" s="153"/>
      <c r="O2510" s="96"/>
      <c r="P2510" s="36"/>
      <c r="Q2510" s="36"/>
      <c r="R2510" s="36"/>
      <c r="S2510" s="36"/>
      <c r="T2510" s="36"/>
      <c r="U2510" s="36"/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</row>
    <row r="2511" ht="22.5" customHeight="1">
      <c r="A2511" s="86">
        <v>46178.0</v>
      </c>
      <c r="B2511" s="137" t="s">
        <v>27</v>
      </c>
      <c r="C2511" s="79"/>
      <c r="D2511" s="80">
        <v>30000.0</v>
      </c>
      <c r="E2511" s="66" t="s">
        <v>33</v>
      </c>
      <c r="F2511" s="67" t="s">
        <v>1797</v>
      </c>
      <c r="G2511" s="68">
        <v>0.0</v>
      </c>
      <c r="H2511" s="69">
        <f t="shared" si="144"/>
        <v>0</v>
      </c>
      <c r="I2511" s="89" t="s">
        <v>53</v>
      </c>
      <c r="J2511" s="98" t="s">
        <v>128</v>
      </c>
      <c r="K2511" s="95"/>
      <c r="L2511" s="95"/>
      <c r="M2511" s="95"/>
      <c r="N2511" s="153"/>
      <c r="O2511" s="96"/>
      <c r="P2511" s="36"/>
      <c r="Q2511" s="36"/>
      <c r="R2511" s="36"/>
      <c r="S2511" s="36"/>
      <c r="T2511" s="36"/>
      <c r="U2511" s="36"/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</row>
    <row r="2512" ht="22.5" customHeight="1">
      <c r="A2512" s="86">
        <v>46178.0</v>
      </c>
      <c r="B2512" s="137" t="s">
        <v>27</v>
      </c>
      <c r="C2512" s="79"/>
      <c r="D2512" s="80">
        <v>54000.0</v>
      </c>
      <c r="E2512" s="66" t="s">
        <v>33</v>
      </c>
      <c r="F2512" s="67" t="s">
        <v>1734</v>
      </c>
      <c r="G2512" s="68">
        <v>0.0</v>
      </c>
      <c r="H2512" s="69">
        <f t="shared" si="144"/>
        <v>0</v>
      </c>
      <c r="I2512" s="89" t="s">
        <v>490</v>
      </c>
      <c r="J2512" s="98" t="s">
        <v>1800</v>
      </c>
      <c r="K2512" s="95"/>
      <c r="L2512" s="95"/>
      <c r="M2512" s="95"/>
      <c r="N2512" s="153"/>
      <c r="O2512" s="96"/>
      <c r="P2512" s="36"/>
      <c r="Q2512" s="36"/>
      <c r="R2512" s="36"/>
      <c r="S2512" s="36"/>
      <c r="T2512" s="36"/>
      <c r="U2512" s="36"/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</row>
    <row r="2513" ht="22.5" customHeight="1">
      <c r="A2513" s="86">
        <v>46178.0</v>
      </c>
      <c r="B2513" s="137" t="s">
        <v>27</v>
      </c>
      <c r="C2513" s="79"/>
      <c r="D2513" s="80">
        <v>190710.0</v>
      </c>
      <c r="E2513" s="66" t="s">
        <v>28</v>
      </c>
      <c r="F2513" s="67" t="s">
        <v>1734</v>
      </c>
      <c r="G2513" s="68">
        <v>0.0</v>
      </c>
      <c r="H2513" s="69">
        <f t="shared" si="144"/>
        <v>0</v>
      </c>
      <c r="I2513" s="89" t="s">
        <v>599</v>
      </c>
      <c r="J2513" s="81"/>
      <c r="K2513" s="95"/>
      <c r="L2513" s="95"/>
      <c r="M2513" s="95"/>
      <c r="N2513" s="153"/>
      <c r="O2513" s="96"/>
      <c r="P2513" s="36"/>
      <c r="Q2513" s="36"/>
      <c r="R2513" s="36"/>
      <c r="S2513" s="36"/>
      <c r="T2513" s="36"/>
      <c r="U2513" s="36"/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</row>
    <row r="2514" ht="22.5" customHeight="1">
      <c r="A2514" s="86">
        <v>46178.0</v>
      </c>
      <c r="B2514" s="137" t="s">
        <v>27</v>
      </c>
      <c r="C2514" s="79"/>
      <c r="D2514" s="80">
        <v>162566.14</v>
      </c>
      <c r="E2514" s="66" t="s">
        <v>28</v>
      </c>
      <c r="F2514" s="67" t="s">
        <v>1734</v>
      </c>
      <c r="G2514" s="68">
        <v>0.0</v>
      </c>
      <c r="H2514" s="69">
        <f t="shared" si="144"/>
        <v>0</v>
      </c>
      <c r="I2514" s="89" t="s">
        <v>68</v>
      </c>
      <c r="J2514" s="98" t="s">
        <v>1673</v>
      </c>
      <c r="K2514" s="95"/>
      <c r="L2514" s="95"/>
      <c r="M2514" s="95"/>
      <c r="N2514" s="153"/>
      <c r="O2514" s="96"/>
      <c r="P2514" s="36"/>
      <c r="Q2514" s="36"/>
      <c r="R2514" s="36"/>
      <c r="S2514" s="36"/>
      <c r="T2514" s="36"/>
      <c r="U2514" s="36"/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</row>
    <row r="2515" ht="22.5" customHeight="1">
      <c r="A2515" s="86">
        <v>46178.0</v>
      </c>
      <c r="B2515" s="137" t="s">
        <v>27</v>
      </c>
      <c r="C2515" s="80">
        <v>3000000.0</v>
      </c>
      <c r="D2515" s="80"/>
      <c r="E2515" s="66" t="s">
        <v>28</v>
      </c>
      <c r="F2515" s="67" t="s">
        <v>1797</v>
      </c>
      <c r="G2515" s="68">
        <v>0.0</v>
      </c>
      <c r="H2515" s="69">
        <f t="shared" si="144"/>
        <v>0</v>
      </c>
      <c r="I2515" s="89" t="s">
        <v>1373</v>
      </c>
      <c r="J2515" s="98" t="s">
        <v>1801</v>
      </c>
      <c r="K2515" s="95"/>
      <c r="L2515" s="95"/>
      <c r="M2515" s="95"/>
      <c r="N2515" s="153"/>
      <c r="O2515" s="96"/>
      <c r="P2515" s="36"/>
      <c r="Q2515" s="36"/>
      <c r="R2515" s="36"/>
      <c r="S2515" s="36"/>
      <c r="T2515" s="36"/>
      <c r="U2515" s="36"/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</row>
    <row r="2516" ht="22.5" customHeight="1">
      <c r="A2516" s="86">
        <v>46181.0</v>
      </c>
      <c r="B2516" s="137" t="s">
        <v>27</v>
      </c>
      <c r="C2516" s="79"/>
      <c r="D2516" s="80">
        <v>50000.0</v>
      </c>
      <c r="E2516" s="66" t="s">
        <v>33</v>
      </c>
      <c r="F2516" s="67" t="s">
        <v>1734</v>
      </c>
      <c r="G2516" s="68">
        <v>0.0</v>
      </c>
      <c r="H2516" s="69">
        <f t="shared" si="144"/>
        <v>0</v>
      </c>
      <c r="I2516" s="89" t="s">
        <v>53</v>
      </c>
      <c r="J2516" s="98" t="s">
        <v>1347</v>
      </c>
      <c r="K2516" s="95"/>
      <c r="L2516" s="95"/>
      <c r="M2516" s="95"/>
      <c r="N2516" s="153"/>
      <c r="O2516" s="96"/>
      <c r="P2516" s="36"/>
      <c r="Q2516" s="36"/>
      <c r="R2516" s="36"/>
      <c r="S2516" s="36"/>
      <c r="T2516" s="36"/>
      <c r="U2516" s="36"/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</row>
    <row r="2517" ht="22.5" customHeight="1">
      <c r="A2517" s="86">
        <v>46182.0</v>
      </c>
      <c r="B2517" s="137" t="s">
        <v>27</v>
      </c>
      <c r="C2517" s="80">
        <v>253389.5</v>
      </c>
      <c r="D2517" s="79"/>
      <c r="E2517" s="66" t="s">
        <v>28</v>
      </c>
      <c r="F2517" s="67" t="s">
        <v>1609</v>
      </c>
      <c r="G2517" s="68">
        <v>22.0</v>
      </c>
      <c r="H2517" s="69">
        <f t="shared" si="144"/>
        <v>45693.18852</v>
      </c>
      <c r="I2517" s="89" t="s">
        <v>37</v>
      </c>
      <c r="J2517" s="98" t="s">
        <v>675</v>
      </c>
      <c r="K2517" s="82" t="s">
        <v>1270</v>
      </c>
      <c r="L2517" s="82">
        <v>113.0</v>
      </c>
      <c r="M2517" s="128">
        <v>46119.0</v>
      </c>
      <c r="N2517" s="153"/>
      <c r="O2517" s="96"/>
      <c r="P2517" s="36"/>
      <c r="Q2517" s="36"/>
      <c r="R2517" s="36"/>
      <c r="S2517" s="36"/>
      <c r="T2517" s="36"/>
      <c r="U2517" s="36"/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</row>
    <row r="2518" ht="22.5" customHeight="1">
      <c r="A2518" s="86">
        <v>46182.0</v>
      </c>
      <c r="B2518" s="137" t="s">
        <v>27</v>
      </c>
      <c r="C2518" s="80">
        <v>164760.94</v>
      </c>
      <c r="D2518" s="79"/>
      <c r="E2518" s="66" t="s">
        <v>28</v>
      </c>
      <c r="F2518" s="67" t="s">
        <v>1609</v>
      </c>
      <c r="G2518" s="68">
        <v>22.0</v>
      </c>
      <c r="H2518" s="69">
        <f t="shared" si="144"/>
        <v>29710.98918</v>
      </c>
      <c r="I2518" s="89" t="s">
        <v>37</v>
      </c>
      <c r="J2518" s="98" t="s">
        <v>675</v>
      </c>
      <c r="K2518" s="82" t="s">
        <v>1270</v>
      </c>
      <c r="L2518" s="82">
        <v>114.0</v>
      </c>
      <c r="M2518" s="128">
        <v>46119.0</v>
      </c>
      <c r="N2518" s="153"/>
      <c r="O2518" s="96"/>
      <c r="P2518" s="36"/>
      <c r="Q2518" s="36"/>
      <c r="R2518" s="36"/>
      <c r="S2518" s="36"/>
      <c r="T2518" s="36"/>
      <c r="U2518" s="36"/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</row>
    <row r="2519" ht="22.5" customHeight="1">
      <c r="A2519" s="86">
        <v>46182.0</v>
      </c>
      <c r="B2519" s="137" t="s">
        <v>27</v>
      </c>
      <c r="C2519" s="79"/>
      <c r="D2519" s="79">
        <v>50000.0</v>
      </c>
      <c r="E2519" s="66" t="s">
        <v>33</v>
      </c>
      <c r="F2519" s="67" t="s">
        <v>1734</v>
      </c>
      <c r="G2519" s="68">
        <v>0.0</v>
      </c>
      <c r="H2519" s="69">
        <f t="shared" si="144"/>
        <v>0</v>
      </c>
      <c r="I2519" s="181" t="s">
        <v>53</v>
      </c>
      <c r="J2519" s="179" t="s">
        <v>1304</v>
      </c>
      <c r="K2519" s="95"/>
      <c r="L2519" s="95"/>
      <c r="M2519" s="95"/>
      <c r="N2519" s="153"/>
      <c r="O2519" s="96"/>
      <c r="P2519" s="36"/>
      <c r="Q2519" s="36"/>
      <c r="R2519" s="36"/>
      <c r="S2519" s="36"/>
      <c r="T2519" s="36"/>
      <c r="U2519" s="36"/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</row>
    <row r="2520" ht="22.5" customHeight="1">
      <c r="A2520" s="86">
        <v>46182.0</v>
      </c>
      <c r="B2520" s="137" t="s">
        <v>27</v>
      </c>
      <c r="C2520" s="79"/>
      <c r="D2520" s="79">
        <v>40000.0</v>
      </c>
      <c r="E2520" s="66" t="s">
        <v>33</v>
      </c>
      <c r="F2520" s="67" t="s">
        <v>1734</v>
      </c>
      <c r="G2520" s="68">
        <v>0.0</v>
      </c>
      <c r="H2520" s="69">
        <f t="shared" si="144"/>
        <v>0</v>
      </c>
      <c r="I2520" s="178" t="s">
        <v>53</v>
      </c>
      <c r="J2520" s="179" t="s">
        <v>1326</v>
      </c>
      <c r="K2520" s="95"/>
      <c r="L2520" s="95"/>
      <c r="M2520" s="95"/>
      <c r="N2520" s="153"/>
      <c r="O2520" s="96"/>
      <c r="P2520" s="36"/>
      <c r="Q2520" s="36"/>
      <c r="R2520" s="36"/>
      <c r="S2520" s="36"/>
      <c r="T2520" s="36"/>
      <c r="U2520" s="36"/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</row>
    <row r="2521" ht="22.5" customHeight="1">
      <c r="A2521" s="86">
        <v>46182.0</v>
      </c>
      <c r="B2521" s="137" t="s">
        <v>27</v>
      </c>
      <c r="C2521" s="79"/>
      <c r="D2521" s="79">
        <v>15000.0</v>
      </c>
      <c r="E2521" s="66" t="s">
        <v>33</v>
      </c>
      <c r="F2521" s="67" t="s">
        <v>1734</v>
      </c>
      <c r="G2521" s="68">
        <v>0.0</v>
      </c>
      <c r="H2521" s="69">
        <f t="shared" si="144"/>
        <v>0</v>
      </c>
      <c r="I2521" s="178" t="s">
        <v>53</v>
      </c>
      <c r="J2521" s="179" t="s">
        <v>1327</v>
      </c>
      <c r="K2521" s="95"/>
      <c r="L2521" s="95"/>
      <c r="M2521" s="95"/>
      <c r="N2521" s="153"/>
      <c r="O2521" s="96"/>
      <c r="P2521" s="36"/>
      <c r="Q2521" s="36"/>
      <c r="R2521" s="36"/>
      <c r="S2521" s="36"/>
      <c r="T2521" s="36"/>
      <c r="U2521" s="36"/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</row>
    <row r="2522" ht="22.5" customHeight="1">
      <c r="A2522" s="86">
        <v>46182.0</v>
      </c>
      <c r="B2522" s="137" t="s">
        <v>27</v>
      </c>
      <c r="C2522" s="79"/>
      <c r="D2522" s="80">
        <v>13555.0</v>
      </c>
      <c r="E2522" s="66" t="s">
        <v>33</v>
      </c>
      <c r="F2522" s="67" t="s">
        <v>1734</v>
      </c>
      <c r="G2522" s="68">
        <v>0.0</v>
      </c>
      <c r="H2522" s="69">
        <f t="shared" si="144"/>
        <v>0</v>
      </c>
      <c r="I2522" s="89" t="s">
        <v>490</v>
      </c>
      <c r="J2522" s="98" t="s">
        <v>1802</v>
      </c>
      <c r="K2522" s="95"/>
      <c r="L2522" s="95"/>
      <c r="M2522" s="95"/>
      <c r="N2522" s="153"/>
      <c r="O2522" s="96"/>
      <c r="P2522" s="36"/>
      <c r="Q2522" s="36"/>
      <c r="R2522" s="36"/>
      <c r="S2522" s="36"/>
      <c r="T2522" s="36"/>
      <c r="U2522" s="36"/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</row>
    <row r="2523" ht="22.5" customHeight="1">
      <c r="A2523" s="86">
        <v>46182.0</v>
      </c>
      <c r="B2523" s="137" t="s">
        <v>27</v>
      </c>
      <c r="C2523" s="80">
        <v>686250.0</v>
      </c>
      <c r="D2523" s="79"/>
      <c r="E2523" s="66" t="s">
        <v>28</v>
      </c>
      <c r="F2523" s="67" t="s">
        <v>1609</v>
      </c>
      <c r="G2523" s="68">
        <v>22.0</v>
      </c>
      <c r="H2523" s="69">
        <f t="shared" si="144"/>
        <v>123750</v>
      </c>
      <c r="I2523" s="89" t="s">
        <v>37</v>
      </c>
      <c r="J2523" s="98" t="s">
        <v>624</v>
      </c>
      <c r="K2523" s="82" t="s">
        <v>1260</v>
      </c>
      <c r="L2523" s="82">
        <v>118.0</v>
      </c>
      <c r="M2523" s="128">
        <v>46120.0</v>
      </c>
      <c r="N2523" s="153"/>
      <c r="O2523" s="83"/>
      <c r="P2523" s="36"/>
      <c r="Q2523" s="36"/>
      <c r="R2523" s="36"/>
      <c r="S2523" s="36"/>
      <c r="T2523" s="36"/>
      <c r="U2523" s="36"/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</row>
    <row r="2524" ht="22.5" customHeight="1">
      <c r="A2524" s="86">
        <v>46182.0</v>
      </c>
      <c r="B2524" s="137" t="s">
        <v>27</v>
      </c>
      <c r="C2524" s="80">
        <f>485437.56-349257.4</f>
        <v>136180.16</v>
      </c>
      <c r="D2524" s="79"/>
      <c r="E2524" s="66" t="s">
        <v>28</v>
      </c>
      <c r="F2524" s="67" t="s">
        <v>1609</v>
      </c>
      <c r="G2524" s="68">
        <v>22.0</v>
      </c>
      <c r="H2524" s="69">
        <f t="shared" si="144"/>
        <v>24557.07803</v>
      </c>
      <c r="I2524" s="89" t="s">
        <v>37</v>
      </c>
      <c r="J2524" s="98" t="s">
        <v>624</v>
      </c>
      <c r="K2524" s="82" t="s">
        <v>1303</v>
      </c>
      <c r="L2524" s="82">
        <v>119.0</v>
      </c>
      <c r="M2524" s="128">
        <v>46120.0</v>
      </c>
      <c r="N2524" s="153"/>
      <c r="O2524" s="96"/>
      <c r="P2524" s="36"/>
      <c r="Q2524" s="36"/>
      <c r="R2524" s="36"/>
      <c r="S2524" s="36"/>
      <c r="T2524" s="36"/>
      <c r="U2524" s="36"/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</row>
    <row r="2525" ht="22.5" customHeight="1">
      <c r="A2525" s="86">
        <v>46182.0</v>
      </c>
      <c r="B2525" s="137" t="s">
        <v>27</v>
      </c>
      <c r="C2525" s="79"/>
      <c r="D2525" s="80">
        <v>16800.0</v>
      </c>
      <c r="E2525" s="66" t="s">
        <v>28</v>
      </c>
      <c r="F2525" s="67" t="s">
        <v>1734</v>
      </c>
      <c r="G2525" s="68">
        <v>0.0</v>
      </c>
      <c r="H2525" s="69">
        <f t="shared" si="144"/>
        <v>0</v>
      </c>
      <c r="I2525" s="89" t="s">
        <v>30</v>
      </c>
      <c r="J2525" s="98" t="s">
        <v>1803</v>
      </c>
      <c r="K2525" s="95"/>
      <c r="L2525" s="95"/>
      <c r="M2525" s="95"/>
      <c r="N2525" s="153"/>
      <c r="O2525" s="96"/>
      <c r="P2525" s="36"/>
      <c r="Q2525" s="36"/>
      <c r="R2525" s="36"/>
      <c r="S2525" s="36"/>
      <c r="T2525" s="36"/>
      <c r="U2525" s="36"/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</row>
    <row r="2526" ht="22.5" customHeight="1">
      <c r="A2526" s="86">
        <v>46182.0</v>
      </c>
      <c r="B2526" s="137" t="s">
        <v>27</v>
      </c>
      <c r="C2526" s="80">
        <v>252988.96</v>
      </c>
      <c r="D2526" s="79"/>
      <c r="E2526" s="66" t="s">
        <v>28</v>
      </c>
      <c r="F2526" s="67" t="s">
        <v>1609</v>
      </c>
      <c r="G2526" s="68">
        <v>22.0</v>
      </c>
      <c r="H2526" s="69">
        <f t="shared" si="144"/>
        <v>45620.96</v>
      </c>
      <c r="I2526" s="89" t="s">
        <v>37</v>
      </c>
      <c r="J2526" s="98" t="s">
        <v>675</v>
      </c>
      <c r="K2526" s="82" t="s">
        <v>1242</v>
      </c>
      <c r="L2526" s="82">
        <v>96.0</v>
      </c>
      <c r="M2526" s="128">
        <v>46116.0</v>
      </c>
      <c r="N2526" s="153"/>
      <c r="O2526" s="96"/>
      <c r="P2526" s="36"/>
      <c r="Q2526" s="36"/>
      <c r="R2526" s="36"/>
      <c r="S2526" s="36"/>
      <c r="T2526" s="36"/>
      <c r="U2526" s="36"/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</row>
    <row r="2527" ht="22.5" customHeight="1">
      <c r="A2527" s="86">
        <v>46183.0</v>
      </c>
      <c r="B2527" s="137" t="s">
        <v>27</v>
      </c>
      <c r="C2527" s="79"/>
      <c r="D2527" s="80">
        <v>610.0</v>
      </c>
      <c r="E2527" s="66" t="s">
        <v>28</v>
      </c>
      <c r="F2527" s="67" t="s">
        <v>1531</v>
      </c>
      <c r="G2527" s="68">
        <v>22.0</v>
      </c>
      <c r="H2527" s="69">
        <f t="shared" si="144"/>
        <v>110</v>
      </c>
      <c r="I2527" s="89" t="s">
        <v>61</v>
      </c>
      <c r="J2527" s="98" t="s">
        <v>942</v>
      </c>
      <c r="K2527" s="95"/>
      <c r="L2527" s="95"/>
      <c r="M2527" s="95"/>
      <c r="N2527" s="153"/>
      <c r="O2527" s="140" t="s">
        <v>1804</v>
      </c>
      <c r="P2527" s="36"/>
      <c r="Q2527" s="36"/>
      <c r="R2527" s="36"/>
      <c r="S2527" s="36"/>
      <c r="T2527" s="36"/>
      <c r="U2527" s="36"/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</row>
    <row r="2528" ht="22.5" customHeight="1">
      <c r="A2528" s="86">
        <v>46183.0</v>
      </c>
      <c r="B2528" s="137" t="s">
        <v>27</v>
      </c>
      <c r="C2528" s="79"/>
      <c r="D2528" s="80">
        <v>103410.83</v>
      </c>
      <c r="E2528" s="66" t="s">
        <v>28</v>
      </c>
      <c r="F2528" s="67" t="s">
        <v>1531</v>
      </c>
      <c r="G2528" s="68">
        <v>5.0</v>
      </c>
      <c r="H2528" s="69">
        <f t="shared" si="144"/>
        <v>4924.325238</v>
      </c>
      <c r="I2528" s="89" t="s">
        <v>101</v>
      </c>
      <c r="J2528" s="151" t="s">
        <v>1707</v>
      </c>
      <c r="K2528" s="95"/>
      <c r="L2528" s="95"/>
      <c r="M2528" s="95"/>
      <c r="N2528" s="153"/>
      <c r="O2528" s="140" t="s">
        <v>1805</v>
      </c>
      <c r="P2528" s="36"/>
      <c r="Q2528" s="36"/>
      <c r="R2528" s="36"/>
      <c r="S2528" s="36"/>
      <c r="T2528" s="36"/>
      <c r="U2528" s="36"/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</row>
    <row r="2529" ht="22.5" customHeight="1">
      <c r="A2529" s="86">
        <v>46183.0</v>
      </c>
      <c r="B2529" s="137" t="s">
        <v>27</v>
      </c>
      <c r="C2529" s="79"/>
      <c r="D2529" s="80">
        <v>876600.44</v>
      </c>
      <c r="E2529" s="66" t="s">
        <v>28</v>
      </c>
      <c r="F2529" s="67" t="s">
        <v>1609</v>
      </c>
      <c r="G2529" s="68">
        <v>22.0</v>
      </c>
      <c r="H2529" s="69">
        <f t="shared" si="144"/>
        <v>158075.4892</v>
      </c>
      <c r="I2529" s="89" t="s">
        <v>101</v>
      </c>
      <c r="J2529" s="151" t="s">
        <v>1742</v>
      </c>
      <c r="K2529" s="95"/>
      <c r="L2529" s="95"/>
      <c r="M2529" s="95"/>
      <c r="N2529" s="153"/>
      <c r="O2529" s="140" t="s">
        <v>1806</v>
      </c>
      <c r="P2529" s="36"/>
      <c r="Q2529" s="36"/>
      <c r="R2529" s="36"/>
      <c r="S2529" s="36"/>
      <c r="T2529" s="36"/>
      <c r="U2529" s="36"/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</row>
    <row r="2530" ht="22.5" customHeight="1">
      <c r="A2530" s="86">
        <v>46183.0</v>
      </c>
      <c r="B2530" s="137" t="s">
        <v>27</v>
      </c>
      <c r="C2530" s="79"/>
      <c r="D2530" s="80">
        <v>366000.0</v>
      </c>
      <c r="E2530" s="66" t="s">
        <v>28</v>
      </c>
      <c r="F2530" s="67" t="s">
        <v>1609</v>
      </c>
      <c r="G2530" s="68">
        <v>22.0</v>
      </c>
      <c r="H2530" s="69">
        <f t="shared" si="144"/>
        <v>66000</v>
      </c>
      <c r="I2530" s="89" t="s">
        <v>30</v>
      </c>
      <c r="J2530" s="98" t="s">
        <v>1715</v>
      </c>
      <c r="K2530" s="95"/>
      <c r="L2530" s="95"/>
      <c r="M2530" s="95"/>
      <c r="N2530" s="153"/>
      <c r="O2530" s="140" t="s">
        <v>1807</v>
      </c>
      <c r="P2530" s="36"/>
      <c r="Q2530" s="36"/>
      <c r="R2530" s="36"/>
      <c r="S2530" s="36"/>
      <c r="T2530" s="36"/>
      <c r="U2530" s="36"/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</row>
    <row r="2531" ht="22.5" customHeight="1">
      <c r="A2531" s="86">
        <v>46183.0</v>
      </c>
      <c r="B2531" s="137" t="s">
        <v>27</v>
      </c>
      <c r="C2531" s="79"/>
      <c r="D2531" s="80">
        <v>220838.1</v>
      </c>
      <c r="E2531" s="66" t="s">
        <v>28</v>
      </c>
      <c r="F2531" s="67" t="s">
        <v>1609</v>
      </c>
      <c r="G2531" s="68">
        <v>22.0</v>
      </c>
      <c r="H2531" s="69">
        <f t="shared" si="144"/>
        <v>39823.26393</v>
      </c>
      <c r="I2531" s="89" t="s">
        <v>44</v>
      </c>
      <c r="J2531" s="98" t="s">
        <v>1653</v>
      </c>
      <c r="K2531" s="95"/>
      <c r="L2531" s="95"/>
      <c r="M2531" s="95"/>
      <c r="N2531" s="153"/>
      <c r="O2531" s="140" t="s">
        <v>1808</v>
      </c>
      <c r="P2531" s="36"/>
      <c r="Q2531" s="36"/>
      <c r="R2531" s="36"/>
      <c r="S2531" s="36"/>
      <c r="T2531" s="36"/>
      <c r="U2531" s="36"/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</row>
    <row r="2532" ht="22.5" customHeight="1">
      <c r="A2532" s="86">
        <v>46183.0</v>
      </c>
      <c r="B2532" s="137" t="s">
        <v>27</v>
      </c>
      <c r="C2532" s="79"/>
      <c r="D2532" s="80">
        <v>195276.27</v>
      </c>
      <c r="E2532" s="66" t="s">
        <v>28</v>
      </c>
      <c r="F2532" s="67" t="s">
        <v>1609</v>
      </c>
      <c r="G2532" s="68">
        <v>5.0</v>
      </c>
      <c r="H2532" s="69">
        <f t="shared" si="144"/>
        <v>9298.87</v>
      </c>
      <c r="I2532" s="89" t="s">
        <v>101</v>
      </c>
      <c r="J2532" s="151" t="s">
        <v>1707</v>
      </c>
      <c r="K2532" s="95"/>
      <c r="L2532" s="95"/>
      <c r="M2532" s="95"/>
      <c r="N2532" s="153"/>
      <c r="O2532" s="140" t="s">
        <v>1809</v>
      </c>
      <c r="P2532" s="36"/>
      <c r="Q2532" s="36"/>
      <c r="R2532" s="36"/>
      <c r="S2532" s="36"/>
      <c r="T2532" s="36"/>
      <c r="U2532" s="36"/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</row>
    <row r="2533" ht="22.5" customHeight="1">
      <c r="A2533" s="86">
        <v>46183.0</v>
      </c>
      <c r="B2533" s="137" t="s">
        <v>27</v>
      </c>
      <c r="C2533" s="79"/>
      <c r="D2533" s="80">
        <v>194507.41</v>
      </c>
      <c r="E2533" s="66" t="s">
        <v>28</v>
      </c>
      <c r="F2533" s="67" t="s">
        <v>1609</v>
      </c>
      <c r="G2533" s="68">
        <v>22.0</v>
      </c>
      <c r="H2533" s="69">
        <f t="shared" si="144"/>
        <v>35075.10672</v>
      </c>
      <c r="I2533" s="89" t="s">
        <v>101</v>
      </c>
      <c r="J2533" s="151" t="s">
        <v>1498</v>
      </c>
      <c r="K2533" s="95"/>
      <c r="L2533" s="95"/>
      <c r="M2533" s="95"/>
      <c r="N2533" s="153"/>
      <c r="O2533" s="140" t="s">
        <v>1810</v>
      </c>
      <c r="P2533" s="36"/>
      <c r="Q2533" s="36"/>
      <c r="R2533" s="36"/>
      <c r="S2533" s="36"/>
      <c r="T2533" s="36"/>
      <c r="U2533" s="36"/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</row>
    <row r="2534" ht="22.5" customHeight="1">
      <c r="A2534" s="86">
        <v>46183.0</v>
      </c>
      <c r="B2534" s="137" t="s">
        <v>27</v>
      </c>
      <c r="C2534" s="79"/>
      <c r="D2534" s="80">
        <v>495821.12</v>
      </c>
      <c r="E2534" s="66" t="s">
        <v>28</v>
      </c>
      <c r="F2534" s="67" t="s">
        <v>1609</v>
      </c>
      <c r="G2534" s="68">
        <v>22.0</v>
      </c>
      <c r="H2534" s="69">
        <f t="shared" si="144"/>
        <v>89410.3659</v>
      </c>
      <c r="I2534" s="89" t="s">
        <v>101</v>
      </c>
      <c r="J2534" s="151" t="s">
        <v>1811</v>
      </c>
      <c r="K2534" s="95"/>
      <c r="L2534" s="95"/>
      <c r="M2534" s="95"/>
      <c r="N2534" s="153"/>
      <c r="O2534" s="140" t="s">
        <v>1812</v>
      </c>
      <c r="P2534" s="36"/>
      <c r="Q2534" s="36"/>
      <c r="R2534" s="36"/>
      <c r="S2534" s="36"/>
      <c r="T2534" s="36"/>
      <c r="U2534" s="36"/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</row>
    <row r="2535" ht="22.5" customHeight="1">
      <c r="A2535" s="86">
        <v>46183.0</v>
      </c>
      <c r="B2535" s="137" t="s">
        <v>27</v>
      </c>
      <c r="C2535" s="79"/>
      <c r="D2535" s="80">
        <v>109650.87</v>
      </c>
      <c r="E2535" s="66" t="s">
        <v>28</v>
      </c>
      <c r="F2535" s="67" t="s">
        <v>1609</v>
      </c>
      <c r="G2535" s="68">
        <v>5.0</v>
      </c>
      <c r="H2535" s="69">
        <f t="shared" si="144"/>
        <v>5221.47</v>
      </c>
      <c r="I2535" s="89" t="s">
        <v>101</v>
      </c>
      <c r="J2535" s="151" t="s">
        <v>1627</v>
      </c>
      <c r="K2535" s="95"/>
      <c r="L2535" s="95"/>
      <c r="M2535" s="95"/>
      <c r="N2535" s="153"/>
      <c r="O2535" s="140" t="s">
        <v>1813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</row>
    <row r="2536" ht="22.5" customHeight="1">
      <c r="A2536" s="86">
        <v>46183.0</v>
      </c>
      <c r="B2536" s="137" t="s">
        <v>27</v>
      </c>
      <c r="C2536" s="79"/>
      <c r="D2536" s="80">
        <v>148632.72</v>
      </c>
      <c r="E2536" s="66" t="s">
        <v>28</v>
      </c>
      <c r="F2536" s="67" t="s">
        <v>1609</v>
      </c>
      <c r="G2536" s="68">
        <v>5.0</v>
      </c>
      <c r="H2536" s="69">
        <f t="shared" si="144"/>
        <v>7077.748571</v>
      </c>
      <c r="I2536" s="89" t="s">
        <v>101</v>
      </c>
      <c r="J2536" s="151" t="s">
        <v>1477</v>
      </c>
      <c r="K2536" s="95"/>
      <c r="L2536" s="95"/>
      <c r="M2536" s="95"/>
      <c r="N2536" s="153"/>
      <c r="O2536" s="140" t="s">
        <v>1814</v>
      </c>
      <c r="P2536" s="36"/>
      <c r="Q2536" s="36"/>
      <c r="R2536" s="36"/>
      <c r="S2536" s="36"/>
      <c r="T2536" s="36"/>
      <c r="U2536" s="36"/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</row>
    <row r="2537" ht="22.5" customHeight="1">
      <c r="A2537" s="86">
        <v>46183.0</v>
      </c>
      <c r="B2537" s="137" t="s">
        <v>27</v>
      </c>
      <c r="C2537" s="79"/>
      <c r="D2537" s="80">
        <v>480387.2</v>
      </c>
      <c r="E2537" s="66" t="s">
        <v>28</v>
      </c>
      <c r="F2537" s="67" t="s">
        <v>1609</v>
      </c>
      <c r="G2537" s="68">
        <v>22.0</v>
      </c>
      <c r="H2537" s="69">
        <f t="shared" si="144"/>
        <v>86627.2</v>
      </c>
      <c r="I2537" s="89" t="s">
        <v>1044</v>
      </c>
      <c r="J2537" s="151" t="s">
        <v>1815</v>
      </c>
      <c r="K2537" s="95"/>
      <c r="L2537" s="95"/>
      <c r="M2537" s="95"/>
      <c r="N2537" s="153"/>
      <c r="O2537" s="140" t="s">
        <v>1816</v>
      </c>
      <c r="P2537" s="36"/>
      <c r="Q2537" s="36"/>
      <c r="R2537" s="36"/>
      <c r="S2537" s="36"/>
      <c r="T2537" s="36"/>
      <c r="U2537" s="36"/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</row>
    <row r="2538" ht="22.5" customHeight="1">
      <c r="A2538" s="86">
        <v>46183.0</v>
      </c>
      <c r="B2538" s="137" t="s">
        <v>27</v>
      </c>
      <c r="C2538" s="79"/>
      <c r="D2538" s="80">
        <v>145537.77</v>
      </c>
      <c r="E2538" s="66" t="s">
        <v>28</v>
      </c>
      <c r="F2538" s="67" t="s">
        <v>1609</v>
      </c>
      <c r="G2538" s="68">
        <v>5.0</v>
      </c>
      <c r="H2538" s="69">
        <f t="shared" si="144"/>
        <v>6930.37</v>
      </c>
      <c r="I2538" s="89" t="s">
        <v>101</v>
      </c>
      <c r="J2538" s="136" t="s">
        <v>1032</v>
      </c>
      <c r="K2538" s="95"/>
      <c r="L2538" s="95"/>
      <c r="M2538" s="95"/>
      <c r="N2538" s="153"/>
      <c r="O2538" s="140" t="s">
        <v>1817</v>
      </c>
      <c r="P2538" s="36"/>
      <c r="Q2538" s="36"/>
      <c r="R2538" s="36"/>
      <c r="S2538" s="36"/>
      <c r="T2538" s="36"/>
      <c r="U2538" s="36"/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</row>
    <row r="2539" ht="22.5" customHeight="1">
      <c r="A2539" s="86">
        <v>46183.0</v>
      </c>
      <c r="B2539" s="137" t="s">
        <v>27</v>
      </c>
      <c r="C2539" s="79"/>
      <c r="D2539" s="80">
        <v>214739.91</v>
      </c>
      <c r="E2539" s="66" t="s">
        <v>28</v>
      </c>
      <c r="F2539" s="67" t="s">
        <v>1609</v>
      </c>
      <c r="G2539" s="68">
        <v>0.0</v>
      </c>
      <c r="H2539" s="69">
        <f t="shared" si="144"/>
        <v>0</v>
      </c>
      <c r="I2539" s="89" t="s">
        <v>101</v>
      </c>
      <c r="J2539" s="151" t="s">
        <v>1480</v>
      </c>
      <c r="K2539" s="95"/>
      <c r="L2539" s="95"/>
      <c r="M2539" s="95"/>
      <c r="N2539" s="153"/>
      <c r="O2539" s="140" t="s">
        <v>1818</v>
      </c>
      <c r="P2539" s="36"/>
      <c r="Q2539" s="36"/>
      <c r="R2539" s="36"/>
      <c r="S2539" s="36"/>
      <c r="T2539" s="36"/>
      <c r="U2539" s="36"/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</row>
    <row r="2540" ht="22.5" customHeight="1">
      <c r="A2540" s="86">
        <v>46183.0</v>
      </c>
      <c r="B2540" s="137" t="s">
        <v>27</v>
      </c>
      <c r="C2540" s="79"/>
      <c r="D2540" s="80">
        <v>359561.0</v>
      </c>
      <c r="E2540" s="66" t="s">
        <v>28</v>
      </c>
      <c r="F2540" s="67" t="s">
        <v>1609</v>
      </c>
      <c r="G2540" s="68">
        <v>22.0</v>
      </c>
      <c r="H2540" s="69">
        <f t="shared" si="144"/>
        <v>64838.86885</v>
      </c>
      <c r="I2540" s="89" t="s">
        <v>101</v>
      </c>
      <c r="J2540" s="136" t="s">
        <v>1284</v>
      </c>
      <c r="K2540" s="95"/>
      <c r="L2540" s="95"/>
      <c r="M2540" s="95"/>
      <c r="N2540" s="153"/>
      <c r="O2540" s="140" t="s">
        <v>1819</v>
      </c>
      <c r="P2540" s="36"/>
      <c r="Q2540" s="36"/>
      <c r="R2540" s="36"/>
      <c r="S2540" s="36"/>
      <c r="T2540" s="36"/>
      <c r="U2540" s="36"/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</row>
    <row r="2541" ht="22.5" customHeight="1">
      <c r="A2541" s="86">
        <v>46183.0</v>
      </c>
      <c r="B2541" s="137" t="s">
        <v>27</v>
      </c>
      <c r="C2541" s="79"/>
      <c r="D2541" s="80">
        <v>97600.0</v>
      </c>
      <c r="E2541" s="66" t="s">
        <v>28</v>
      </c>
      <c r="F2541" s="67" t="s">
        <v>1609</v>
      </c>
      <c r="G2541" s="68">
        <v>22.0</v>
      </c>
      <c r="H2541" s="69">
        <f t="shared" si="144"/>
        <v>17600</v>
      </c>
      <c r="I2541" s="89" t="s">
        <v>1044</v>
      </c>
      <c r="J2541" s="151" t="s">
        <v>1815</v>
      </c>
      <c r="K2541" s="95"/>
      <c r="L2541" s="95"/>
      <c r="M2541" s="95"/>
      <c r="N2541" s="153"/>
      <c r="O2541" s="140" t="s">
        <v>1820</v>
      </c>
      <c r="P2541" s="36"/>
      <c r="Q2541" s="36"/>
      <c r="R2541" s="36"/>
      <c r="S2541" s="36"/>
      <c r="T2541" s="36"/>
      <c r="U2541" s="36"/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</row>
    <row r="2542" ht="22.5" customHeight="1">
      <c r="A2542" s="86">
        <v>46183.0</v>
      </c>
      <c r="B2542" s="137" t="s">
        <v>27</v>
      </c>
      <c r="C2542" s="79"/>
      <c r="D2542" s="80">
        <v>244000.0</v>
      </c>
      <c r="E2542" s="66" t="s">
        <v>28</v>
      </c>
      <c r="F2542" s="67" t="s">
        <v>1609</v>
      </c>
      <c r="G2542" s="68">
        <v>22.0</v>
      </c>
      <c r="H2542" s="69">
        <f t="shared" si="144"/>
        <v>44000</v>
      </c>
      <c r="I2542" s="89" t="s">
        <v>1044</v>
      </c>
      <c r="J2542" s="151" t="s">
        <v>1815</v>
      </c>
      <c r="K2542" s="95"/>
      <c r="L2542" s="95"/>
      <c r="M2542" s="95"/>
      <c r="N2542" s="153"/>
      <c r="O2542" s="140" t="s">
        <v>1821</v>
      </c>
      <c r="P2542" s="36"/>
      <c r="Q2542" s="36"/>
      <c r="R2542" s="36"/>
      <c r="S2542" s="36"/>
      <c r="T2542" s="36"/>
      <c r="U2542" s="36"/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</row>
    <row r="2543" ht="22.5" customHeight="1">
      <c r="A2543" s="86">
        <v>46183.0</v>
      </c>
      <c r="B2543" s="137" t="s">
        <v>27</v>
      </c>
      <c r="C2543" s="79"/>
      <c r="D2543" s="80">
        <v>175680.0</v>
      </c>
      <c r="E2543" s="66" t="s">
        <v>28</v>
      </c>
      <c r="F2543" s="67" t="s">
        <v>1609</v>
      </c>
      <c r="G2543" s="68">
        <v>22.0</v>
      </c>
      <c r="H2543" s="69">
        <f t="shared" si="144"/>
        <v>31680</v>
      </c>
      <c r="I2543" s="89" t="s">
        <v>1044</v>
      </c>
      <c r="J2543" s="151" t="s">
        <v>1815</v>
      </c>
      <c r="K2543" s="95"/>
      <c r="L2543" s="95"/>
      <c r="M2543" s="95"/>
      <c r="N2543" s="153"/>
      <c r="O2543" s="140" t="s">
        <v>1822</v>
      </c>
      <c r="P2543" s="36"/>
      <c r="Q2543" s="36"/>
      <c r="R2543" s="36"/>
      <c r="S2543" s="36"/>
      <c r="T2543" s="36"/>
      <c r="U2543" s="36"/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</row>
    <row r="2544" ht="22.5" customHeight="1">
      <c r="A2544" s="86">
        <v>46183.0</v>
      </c>
      <c r="B2544" s="137" t="s">
        <v>27</v>
      </c>
      <c r="C2544" s="79"/>
      <c r="D2544" s="80">
        <v>95687.04</v>
      </c>
      <c r="E2544" s="66" t="s">
        <v>28</v>
      </c>
      <c r="F2544" s="67" t="s">
        <v>1609</v>
      </c>
      <c r="G2544" s="68">
        <v>22.0</v>
      </c>
      <c r="H2544" s="69">
        <f t="shared" si="144"/>
        <v>17255.04</v>
      </c>
      <c r="I2544" s="89" t="s">
        <v>1044</v>
      </c>
      <c r="J2544" s="151" t="s">
        <v>1815</v>
      </c>
      <c r="K2544" s="95"/>
      <c r="L2544" s="95"/>
      <c r="M2544" s="95"/>
      <c r="N2544" s="153"/>
      <c r="O2544" s="140" t="s">
        <v>1823</v>
      </c>
      <c r="P2544" s="36"/>
      <c r="Q2544" s="36"/>
      <c r="R2544" s="36"/>
      <c r="S2544" s="36"/>
      <c r="T2544" s="36"/>
      <c r="U2544" s="36"/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</row>
    <row r="2545" ht="22.5" customHeight="1">
      <c r="A2545" s="86">
        <v>46183.0</v>
      </c>
      <c r="B2545" s="137" t="s">
        <v>27</v>
      </c>
      <c r="C2545" s="79"/>
      <c r="D2545" s="80">
        <v>212794.55</v>
      </c>
      <c r="E2545" s="66" t="s">
        <v>28</v>
      </c>
      <c r="F2545" s="67" t="s">
        <v>1609</v>
      </c>
      <c r="G2545" s="68">
        <v>22.0</v>
      </c>
      <c r="H2545" s="69">
        <f t="shared" si="144"/>
        <v>38372.7877</v>
      </c>
      <c r="I2545" s="89" t="s">
        <v>1044</v>
      </c>
      <c r="J2545" s="151" t="s">
        <v>1815</v>
      </c>
      <c r="K2545" s="95"/>
      <c r="L2545" s="95"/>
      <c r="M2545" s="95"/>
      <c r="N2545" s="153"/>
      <c r="O2545" s="140" t="s">
        <v>1824</v>
      </c>
      <c r="P2545" s="36"/>
      <c r="Q2545" s="36"/>
      <c r="R2545" s="36"/>
      <c r="S2545" s="36"/>
      <c r="T2545" s="36"/>
      <c r="U2545" s="36"/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</row>
    <row r="2546" ht="22.5" customHeight="1">
      <c r="A2546" s="86">
        <v>46183.0</v>
      </c>
      <c r="B2546" s="137" t="s">
        <v>27</v>
      </c>
      <c r="C2546" s="79"/>
      <c r="D2546" s="80">
        <v>29380.92</v>
      </c>
      <c r="E2546" s="66" t="s">
        <v>28</v>
      </c>
      <c r="F2546" s="67" t="s">
        <v>1609</v>
      </c>
      <c r="G2546" s="68">
        <v>22.0</v>
      </c>
      <c r="H2546" s="69">
        <f t="shared" si="144"/>
        <v>5298.198689</v>
      </c>
      <c r="I2546" s="89" t="s">
        <v>1044</v>
      </c>
      <c r="J2546" s="151" t="s">
        <v>1815</v>
      </c>
      <c r="K2546" s="95"/>
      <c r="L2546" s="95"/>
      <c r="M2546" s="95"/>
      <c r="N2546" s="153"/>
      <c r="O2546" s="140" t="s">
        <v>1825</v>
      </c>
      <c r="P2546" s="36"/>
      <c r="Q2546" s="36"/>
      <c r="R2546" s="36"/>
      <c r="S2546" s="36"/>
      <c r="T2546" s="36"/>
      <c r="U2546" s="36"/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</row>
    <row r="2547" ht="22.5" customHeight="1">
      <c r="A2547" s="86">
        <v>46183.0</v>
      </c>
      <c r="B2547" s="137" t="s">
        <v>27</v>
      </c>
      <c r="C2547" s="79"/>
      <c r="D2547" s="80">
        <v>58581.67</v>
      </c>
      <c r="E2547" s="66" t="s">
        <v>28</v>
      </c>
      <c r="F2547" s="67" t="s">
        <v>1609</v>
      </c>
      <c r="G2547" s="68">
        <v>22.0</v>
      </c>
      <c r="H2547" s="69">
        <f t="shared" si="144"/>
        <v>10563.9077</v>
      </c>
      <c r="I2547" s="89" t="s">
        <v>1044</v>
      </c>
      <c r="J2547" s="151" t="s">
        <v>1815</v>
      </c>
      <c r="K2547" s="95"/>
      <c r="L2547" s="95"/>
      <c r="M2547" s="95"/>
      <c r="N2547" s="153"/>
      <c r="O2547" s="140" t="s">
        <v>1826</v>
      </c>
      <c r="P2547" s="36"/>
      <c r="Q2547" s="36"/>
      <c r="R2547" s="36"/>
      <c r="S2547" s="36"/>
      <c r="T2547" s="36"/>
      <c r="U2547" s="36"/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</row>
    <row r="2548" ht="22.5" customHeight="1">
      <c r="A2548" s="86">
        <v>46183.0</v>
      </c>
      <c r="B2548" s="137" t="s">
        <v>27</v>
      </c>
      <c r="C2548" s="79"/>
      <c r="D2548" s="80">
        <v>65133.5</v>
      </c>
      <c r="E2548" s="66" t="s">
        <v>28</v>
      </c>
      <c r="F2548" s="67" t="s">
        <v>1609</v>
      </c>
      <c r="G2548" s="68">
        <v>5.0</v>
      </c>
      <c r="H2548" s="69">
        <f t="shared" si="144"/>
        <v>3101.595238</v>
      </c>
      <c r="I2548" s="89" t="s">
        <v>101</v>
      </c>
      <c r="J2548" s="151" t="s">
        <v>671</v>
      </c>
      <c r="K2548" s="95"/>
      <c r="L2548" s="95"/>
      <c r="M2548" s="95"/>
      <c r="N2548" s="153"/>
      <c r="O2548" s="140" t="s">
        <v>1827</v>
      </c>
      <c r="P2548" s="36"/>
      <c r="Q2548" s="36"/>
      <c r="R2548" s="36"/>
      <c r="S2548" s="36"/>
      <c r="T2548" s="36"/>
      <c r="U2548" s="36"/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</row>
    <row r="2549" ht="22.5" customHeight="1">
      <c r="A2549" s="86">
        <v>46183.0</v>
      </c>
      <c r="B2549" s="137" t="s">
        <v>27</v>
      </c>
      <c r="C2549" s="79"/>
      <c r="D2549" s="80">
        <v>299841.26</v>
      </c>
      <c r="E2549" s="66" t="s">
        <v>28</v>
      </c>
      <c r="F2549" s="67" t="s">
        <v>1609</v>
      </c>
      <c r="G2549" s="68">
        <v>5.0</v>
      </c>
      <c r="H2549" s="69">
        <f t="shared" si="144"/>
        <v>14278.15524</v>
      </c>
      <c r="I2549" s="89" t="s">
        <v>101</v>
      </c>
      <c r="J2549" s="151" t="s">
        <v>631</v>
      </c>
      <c r="K2549" s="95"/>
      <c r="L2549" s="95"/>
      <c r="M2549" s="95"/>
      <c r="N2549" s="153"/>
      <c r="O2549" s="140" t="s">
        <v>1828</v>
      </c>
      <c r="P2549" s="36"/>
      <c r="Q2549" s="36"/>
      <c r="R2549" s="36"/>
      <c r="S2549" s="36"/>
      <c r="T2549" s="36"/>
      <c r="U2549" s="36"/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</row>
    <row r="2550" ht="22.5" customHeight="1">
      <c r="A2550" s="86">
        <v>46183.0</v>
      </c>
      <c r="B2550" s="137" t="s">
        <v>27</v>
      </c>
      <c r="C2550" s="79"/>
      <c r="D2550" s="80">
        <v>92089.14</v>
      </c>
      <c r="E2550" s="66" t="s">
        <v>28</v>
      </c>
      <c r="F2550" s="67" t="s">
        <v>1609</v>
      </c>
      <c r="G2550" s="68">
        <v>22.0</v>
      </c>
      <c r="H2550" s="69">
        <f t="shared" si="144"/>
        <v>16606.23836</v>
      </c>
      <c r="I2550" s="89" t="s">
        <v>101</v>
      </c>
      <c r="J2550" s="151" t="s">
        <v>1638</v>
      </c>
      <c r="K2550" s="95"/>
      <c r="L2550" s="95"/>
      <c r="M2550" s="95"/>
      <c r="N2550" s="153"/>
      <c r="O2550" s="140" t="s">
        <v>1829</v>
      </c>
      <c r="P2550" s="36"/>
      <c r="Q2550" s="36"/>
      <c r="R2550" s="36"/>
      <c r="S2550" s="36"/>
      <c r="T2550" s="36"/>
      <c r="U2550" s="36"/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</row>
    <row r="2551" ht="22.5" customHeight="1">
      <c r="A2551" s="86">
        <v>46183.0</v>
      </c>
      <c r="B2551" s="137" t="s">
        <v>27</v>
      </c>
      <c r="C2551" s="79"/>
      <c r="D2551" s="80">
        <v>143000.0</v>
      </c>
      <c r="E2551" s="66" t="s">
        <v>28</v>
      </c>
      <c r="F2551" s="67" t="s">
        <v>1609</v>
      </c>
      <c r="G2551" s="68">
        <v>0.0</v>
      </c>
      <c r="H2551" s="69">
        <f t="shared" si="144"/>
        <v>0</v>
      </c>
      <c r="I2551" s="89" t="s">
        <v>286</v>
      </c>
      <c r="J2551" s="98" t="s">
        <v>1830</v>
      </c>
      <c r="K2551" s="95"/>
      <c r="L2551" s="95"/>
      <c r="M2551" s="95"/>
      <c r="N2551" s="153"/>
      <c r="O2551" s="140" t="s">
        <v>1831</v>
      </c>
      <c r="P2551" s="36"/>
      <c r="Q2551" s="36"/>
      <c r="R2551" s="36"/>
      <c r="S2551" s="36"/>
      <c r="T2551" s="36"/>
      <c r="U2551" s="36"/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</row>
    <row r="2552" ht="22.5" customHeight="1">
      <c r="A2552" s="86">
        <v>46183.0</v>
      </c>
      <c r="B2552" s="137" t="s">
        <v>27</v>
      </c>
      <c r="C2552" s="79"/>
      <c r="D2552" s="80">
        <v>99603.74</v>
      </c>
      <c r="E2552" s="66" t="s">
        <v>28</v>
      </c>
      <c r="F2552" s="67" t="s">
        <v>1609</v>
      </c>
      <c r="G2552" s="68">
        <v>5.0</v>
      </c>
      <c r="H2552" s="69">
        <f t="shared" si="144"/>
        <v>4743.035238</v>
      </c>
      <c r="I2552" s="89" t="s">
        <v>101</v>
      </c>
      <c r="J2552" s="151" t="s">
        <v>1732</v>
      </c>
      <c r="K2552" s="95"/>
      <c r="L2552" s="95"/>
      <c r="M2552" s="95"/>
      <c r="N2552" s="153"/>
      <c r="O2552" s="140" t="s">
        <v>1832</v>
      </c>
      <c r="P2552" s="36"/>
      <c r="Q2552" s="36"/>
      <c r="R2552" s="36"/>
      <c r="S2552" s="36"/>
      <c r="T2552" s="36"/>
      <c r="U2552" s="36"/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</row>
    <row r="2553" ht="22.5" customHeight="1">
      <c r="A2553" s="86">
        <v>46183.0</v>
      </c>
      <c r="B2553" s="137" t="s">
        <v>27</v>
      </c>
      <c r="C2553" s="79"/>
      <c r="D2553" s="80">
        <v>29704.26</v>
      </c>
      <c r="E2553" s="66" t="s">
        <v>28</v>
      </c>
      <c r="F2553" s="67" t="s">
        <v>603</v>
      </c>
      <c r="G2553" s="68">
        <v>20.0</v>
      </c>
      <c r="H2553" s="69">
        <f t="shared" si="144"/>
        <v>4950.71</v>
      </c>
      <c r="I2553" s="89" t="s">
        <v>101</v>
      </c>
      <c r="J2553" s="151" t="s">
        <v>1118</v>
      </c>
      <c r="K2553" s="95"/>
      <c r="L2553" s="95"/>
      <c r="M2553" s="95"/>
      <c r="N2553" s="153"/>
      <c r="O2553" s="96"/>
      <c r="P2553" s="36"/>
      <c r="Q2553" s="36"/>
      <c r="R2553" s="36"/>
      <c r="S2553" s="36"/>
      <c r="T2553" s="36"/>
      <c r="U2553" s="36"/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</row>
    <row r="2554" ht="22.5" customHeight="1">
      <c r="A2554" s="86">
        <v>46183.0</v>
      </c>
      <c r="B2554" s="137" t="s">
        <v>27</v>
      </c>
      <c r="C2554" s="79"/>
      <c r="D2554" s="80">
        <v>142089.74</v>
      </c>
      <c r="E2554" s="66" t="s">
        <v>28</v>
      </c>
      <c r="F2554" s="67" t="s">
        <v>1531</v>
      </c>
      <c r="G2554" s="68">
        <v>20.0</v>
      </c>
      <c r="H2554" s="69">
        <f t="shared" si="144"/>
        <v>23681.62333</v>
      </c>
      <c r="I2554" s="89" t="s">
        <v>101</v>
      </c>
      <c r="J2554" s="151" t="s">
        <v>1118</v>
      </c>
      <c r="K2554" s="95"/>
      <c r="L2554" s="95"/>
      <c r="M2554" s="95"/>
      <c r="N2554" s="153"/>
      <c r="O2554" s="96"/>
      <c r="P2554" s="36"/>
      <c r="Q2554" s="36"/>
      <c r="R2554" s="36"/>
      <c r="S2554" s="36"/>
      <c r="T2554" s="36"/>
      <c r="U2554" s="36"/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</row>
    <row r="2555" ht="22.5" customHeight="1">
      <c r="A2555" s="86">
        <v>46183.0</v>
      </c>
      <c r="B2555" s="137" t="s">
        <v>27</v>
      </c>
      <c r="C2555" s="79"/>
      <c r="D2555" s="80">
        <v>46472.97</v>
      </c>
      <c r="E2555" s="66" t="s">
        <v>28</v>
      </c>
      <c r="F2555" s="67" t="s">
        <v>1609</v>
      </c>
      <c r="G2555" s="68">
        <v>22.0</v>
      </c>
      <c r="H2555" s="69">
        <f t="shared" si="144"/>
        <v>8380.371639</v>
      </c>
      <c r="I2555" s="89" t="s">
        <v>101</v>
      </c>
      <c r="J2555" s="151" t="s">
        <v>1762</v>
      </c>
      <c r="K2555" s="95"/>
      <c r="L2555" s="95"/>
      <c r="M2555" s="95"/>
      <c r="N2555" s="153"/>
      <c r="O2555" s="140" t="s">
        <v>1833</v>
      </c>
      <c r="P2555" s="36"/>
      <c r="Q2555" s="36"/>
      <c r="R2555" s="36"/>
      <c r="S2555" s="36"/>
      <c r="T2555" s="36"/>
      <c r="U2555" s="36"/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</row>
    <row r="2556" ht="22.5" customHeight="1">
      <c r="A2556" s="86">
        <v>46183.0</v>
      </c>
      <c r="B2556" s="137" t="s">
        <v>27</v>
      </c>
      <c r="C2556" s="79"/>
      <c r="D2556" s="80">
        <v>474560.77</v>
      </c>
      <c r="E2556" s="66" t="s">
        <v>28</v>
      </c>
      <c r="F2556" s="67" t="s">
        <v>1531</v>
      </c>
      <c r="G2556" s="68">
        <v>22.0</v>
      </c>
      <c r="H2556" s="69">
        <f t="shared" si="144"/>
        <v>85576.5323</v>
      </c>
      <c r="I2556" s="89" t="s">
        <v>61</v>
      </c>
      <c r="J2556" s="98" t="s">
        <v>1834</v>
      </c>
      <c r="K2556" s="95"/>
      <c r="L2556" s="95"/>
      <c r="M2556" s="95"/>
      <c r="N2556" s="153"/>
      <c r="O2556" s="140" t="s">
        <v>1835</v>
      </c>
      <c r="P2556" s="36"/>
      <c r="Q2556" s="36"/>
      <c r="R2556" s="36"/>
      <c r="S2556" s="36"/>
      <c r="T2556" s="36"/>
      <c r="U2556" s="36"/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</row>
    <row r="2557" ht="22.5" customHeight="1">
      <c r="A2557" s="86">
        <v>46183.0</v>
      </c>
      <c r="B2557" s="137" t="s">
        <v>27</v>
      </c>
      <c r="C2557" s="79"/>
      <c r="D2557" s="80">
        <v>14000.0</v>
      </c>
      <c r="E2557" s="66" t="s">
        <v>28</v>
      </c>
      <c r="F2557" s="67" t="s">
        <v>603</v>
      </c>
      <c r="G2557" s="68">
        <v>0.0</v>
      </c>
      <c r="H2557" s="69">
        <f t="shared" si="144"/>
        <v>0</v>
      </c>
      <c r="I2557" s="89" t="s">
        <v>30</v>
      </c>
      <c r="J2557" s="98" t="s">
        <v>1836</v>
      </c>
      <c r="K2557" s="95"/>
      <c r="L2557" s="95"/>
      <c r="M2557" s="95"/>
      <c r="N2557" s="153"/>
      <c r="O2557" s="140" t="s">
        <v>1837</v>
      </c>
      <c r="P2557" s="36"/>
      <c r="Q2557" s="36"/>
      <c r="R2557" s="36"/>
      <c r="S2557" s="36"/>
      <c r="T2557" s="36"/>
      <c r="U2557" s="36"/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</row>
    <row r="2558" ht="22.5" customHeight="1">
      <c r="A2558" s="86">
        <v>46183.0</v>
      </c>
      <c r="B2558" s="137" t="s">
        <v>27</v>
      </c>
      <c r="C2558" s="79"/>
      <c r="D2558" s="80">
        <v>14000.0</v>
      </c>
      <c r="E2558" s="66" t="s">
        <v>28</v>
      </c>
      <c r="F2558" s="67" t="s">
        <v>1531</v>
      </c>
      <c r="G2558" s="68">
        <v>0.0</v>
      </c>
      <c r="H2558" s="69">
        <f t="shared" si="144"/>
        <v>0</v>
      </c>
      <c r="I2558" s="89" t="s">
        <v>30</v>
      </c>
      <c r="J2558" s="98" t="s">
        <v>1836</v>
      </c>
      <c r="K2558" s="95"/>
      <c r="L2558" s="95"/>
      <c r="M2558" s="95"/>
      <c r="N2558" s="153"/>
      <c r="O2558" s="140" t="s">
        <v>1838</v>
      </c>
      <c r="P2558" s="36"/>
      <c r="Q2558" s="36"/>
      <c r="R2558" s="36"/>
      <c r="S2558" s="36"/>
      <c r="T2558" s="36"/>
      <c r="U2558" s="36"/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</row>
    <row r="2559" ht="22.5" customHeight="1">
      <c r="A2559" s="86">
        <v>46183.0</v>
      </c>
      <c r="B2559" s="137" t="s">
        <v>27</v>
      </c>
      <c r="C2559" s="79"/>
      <c r="D2559" s="80">
        <v>756332.57</v>
      </c>
      <c r="E2559" s="66" t="s">
        <v>28</v>
      </c>
      <c r="F2559" s="67" t="s">
        <v>1609</v>
      </c>
      <c r="G2559" s="68">
        <v>22.0</v>
      </c>
      <c r="H2559" s="69">
        <f t="shared" si="144"/>
        <v>136387.8405</v>
      </c>
      <c r="I2559" s="89" t="s">
        <v>1044</v>
      </c>
      <c r="J2559" s="98" t="s">
        <v>1514</v>
      </c>
      <c r="K2559" s="95"/>
      <c r="L2559" s="95"/>
      <c r="M2559" s="95"/>
      <c r="N2559" s="153"/>
      <c r="O2559" s="96"/>
      <c r="P2559" s="36"/>
      <c r="Q2559" s="36"/>
      <c r="R2559" s="36"/>
      <c r="S2559" s="36"/>
      <c r="T2559" s="36"/>
      <c r="U2559" s="36"/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</row>
    <row r="2560" ht="22.5" customHeight="1">
      <c r="A2560" s="86">
        <v>46183.0</v>
      </c>
      <c r="B2560" s="137" t="s">
        <v>27</v>
      </c>
      <c r="C2560" s="79"/>
      <c r="D2560" s="80">
        <v>11079.7</v>
      </c>
      <c r="E2560" s="66" t="s">
        <v>28</v>
      </c>
      <c r="F2560" s="67" t="s">
        <v>603</v>
      </c>
      <c r="G2560" s="68">
        <v>0.0</v>
      </c>
      <c r="H2560" s="69">
        <f t="shared" si="144"/>
        <v>0</v>
      </c>
      <c r="I2560" s="89" t="s">
        <v>101</v>
      </c>
      <c r="J2560" s="98" t="s">
        <v>1577</v>
      </c>
      <c r="K2560" s="95"/>
      <c r="L2560" s="95"/>
      <c r="M2560" s="95"/>
      <c r="N2560" s="153"/>
      <c r="O2560" s="140" t="s">
        <v>1839</v>
      </c>
      <c r="P2560" s="36"/>
      <c r="Q2560" s="36"/>
      <c r="R2560" s="36"/>
      <c r="S2560" s="36"/>
      <c r="T2560" s="36"/>
      <c r="U2560" s="36"/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</row>
    <row r="2561" ht="22.5" customHeight="1">
      <c r="A2561" s="86">
        <v>46183.0</v>
      </c>
      <c r="B2561" s="137" t="s">
        <v>27</v>
      </c>
      <c r="C2561" s="79"/>
      <c r="D2561" s="80">
        <v>33879.7</v>
      </c>
      <c r="E2561" s="66" t="s">
        <v>28</v>
      </c>
      <c r="F2561" s="67" t="s">
        <v>1531</v>
      </c>
      <c r="G2561" s="68">
        <v>0.0</v>
      </c>
      <c r="H2561" s="69">
        <f t="shared" si="144"/>
        <v>0</v>
      </c>
      <c r="I2561" s="89" t="s">
        <v>101</v>
      </c>
      <c r="J2561" s="98" t="s">
        <v>1577</v>
      </c>
      <c r="K2561" s="95"/>
      <c r="L2561" s="95"/>
      <c r="M2561" s="95"/>
      <c r="N2561" s="153"/>
      <c r="O2561" s="140" t="s">
        <v>1840</v>
      </c>
      <c r="P2561" s="36"/>
      <c r="Q2561" s="36"/>
      <c r="R2561" s="36"/>
      <c r="S2561" s="36"/>
      <c r="T2561" s="36"/>
      <c r="U2561" s="36"/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</row>
    <row r="2562" ht="22.5" customHeight="1">
      <c r="A2562" s="86">
        <v>46183.0</v>
      </c>
      <c r="B2562" s="137" t="s">
        <v>27</v>
      </c>
      <c r="C2562" s="79"/>
      <c r="D2562" s="80">
        <v>1911766.24</v>
      </c>
      <c r="E2562" s="66" t="s">
        <v>28</v>
      </c>
      <c r="F2562" s="67" t="s">
        <v>1734</v>
      </c>
      <c r="G2562" s="68">
        <v>0.0</v>
      </c>
      <c r="H2562" s="69">
        <f t="shared" si="144"/>
        <v>0</v>
      </c>
      <c r="I2562" s="89" t="s">
        <v>68</v>
      </c>
      <c r="J2562" s="81"/>
      <c r="K2562" s="95"/>
      <c r="L2562" s="95"/>
      <c r="M2562" s="95"/>
      <c r="N2562" s="153"/>
      <c r="O2562" s="96"/>
      <c r="P2562" s="36"/>
      <c r="Q2562" s="36"/>
      <c r="R2562" s="36"/>
      <c r="S2562" s="36"/>
      <c r="T2562" s="36"/>
      <c r="U2562" s="36"/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</row>
    <row r="2563" ht="22.5" customHeight="1">
      <c r="A2563" s="143"/>
      <c r="B2563" s="139" t="s">
        <v>1841</v>
      </c>
      <c r="C2563" s="79"/>
      <c r="D2563" s="80">
        <v>764037.72</v>
      </c>
      <c r="E2563" s="182"/>
      <c r="F2563" s="84" t="s">
        <v>951</v>
      </c>
      <c r="G2563" s="68">
        <v>0.0</v>
      </c>
      <c r="H2563" s="69">
        <f t="shared" si="144"/>
        <v>0</v>
      </c>
      <c r="I2563" s="76" t="s">
        <v>322</v>
      </c>
      <c r="J2563" s="87" t="s">
        <v>1014</v>
      </c>
      <c r="K2563" s="95"/>
      <c r="L2563" s="95"/>
      <c r="M2563" s="95"/>
      <c r="N2563" s="153"/>
      <c r="O2563" s="140" t="s">
        <v>1842</v>
      </c>
      <c r="P2563" s="36"/>
      <c r="Q2563" s="36"/>
      <c r="R2563" s="36"/>
      <c r="S2563" s="36"/>
      <c r="T2563" s="36"/>
      <c r="U2563" s="36"/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</row>
    <row r="2564" ht="22.5" customHeight="1">
      <c r="A2564" s="86">
        <v>46183.0</v>
      </c>
      <c r="B2564" s="137" t="s">
        <v>27</v>
      </c>
      <c r="C2564" s="79"/>
      <c r="D2564" s="80">
        <v>41017.01</v>
      </c>
      <c r="E2564" s="66" t="s">
        <v>28</v>
      </c>
      <c r="F2564" s="67" t="s">
        <v>1609</v>
      </c>
      <c r="G2564" s="68">
        <v>22.0</v>
      </c>
      <c r="H2564" s="69">
        <f t="shared" si="144"/>
        <v>7396.51</v>
      </c>
      <c r="I2564" s="89" t="s">
        <v>101</v>
      </c>
      <c r="J2564" s="136" t="s">
        <v>973</v>
      </c>
      <c r="K2564" s="95"/>
      <c r="L2564" s="95"/>
      <c r="M2564" s="95"/>
      <c r="N2564" s="153"/>
      <c r="O2564" s="140" t="s">
        <v>1843</v>
      </c>
      <c r="P2564" s="36"/>
      <c r="Q2564" s="36"/>
      <c r="R2564" s="36"/>
      <c r="S2564" s="36"/>
      <c r="T2564" s="36"/>
      <c r="U2564" s="36"/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</row>
    <row r="2565" ht="22.5" customHeight="1">
      <c r="A2565" s="143"/>
      <c r="B2565" s="139" t="s">
        <v>1841</v>
      </c>
      <c r="C2565" s="79"/>
      <c r="D2565" s="80">
        <v>500000.2</v>
      </c>
      <c r="E2565" s="183"/>
      <c r="F2565" s="84" t="s">
        <v>1160</v>
      </c>
      <c r="G2565" s="68">
        <v>0.0</v>
      </c>
      <c r="H2565" s="69">
        <f t="shared" si="144"/>
        <v>0</v>
      </c>
      <c r="I2565" s="76" t="s">
        <v>322</v>
      </c>
      <c r="J2565" s="98" t="s">
        <v>474</v>
      </c>
      <c r="K2565" s="95"/>
      <c r="L2565" s="95"/>
      <c r="M2565" s="95"/>
      <c r="N2565" s="184">
        <f>TODAY()-M2565-60</f>
        <v>46128</v>
      </c>
      <c r="O2565" s="140" t="s">
        <v>1844</v>
      </c>
      <c r="P2565" s="36"/>
      <c r="Q2565" s="36"/>
      <c r="R2565" s="36"/>
      <c r="S2565" s="36"/>
      <c r="T2565" s="36"/>
      <c r="U2565" s="36"/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</row>
    <row r="2566" ht="22.5" customHeight="1">
      <c r="A2566" s="86">
        <v>46183.0</v>
      </c>
      <c r="B2566" s="137" t="s">
        <v>27</v>
      </c>
      <c r="C2566" s="79"/>
      <c r="D2566" s="80">
        <v>46393.45</v>
      </c>
      <c r="E2566" s="66" t="s">
        <v>28</v>
      </c>
      <c r="F2566" s="67" t="s">
        <v>1680</v>
      </c>
      <c r="G2566" s="68">
        <v>22.0</v>
      </c>
      <c r="H2566" s="69">
        <f t="shared" si="144"/>
        <v>8366.031967</v>
      </c>
      <c r="I2566" s="89" t="s">
        <v>30</v>
      </c>
      <c r="J2566" s="98" t="s">
        <v>1335</v>
      </c>
      <c r="K2566" s="95"/>
      <c r="L2566" s="95"/>
      <c r="M2566" s="95"/>
      <c r="N2566" s="153"/>
      <c r="O2566" s="140" t="s">
        <v>1845</v>
      </c>
      <c r="P2566" s="36"/>
      <c r="Q2566" s="36"/>
      <c r="R2566" s="36"/>
      <c r="S2566" s="36"/>
      <c r="T2566" s="36"/>
      <c r="U2566" s="36"/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</row>
    <row r="2567" ht="22.5" customHeight="1">
      <c r="A2567" s="143"/>
      <c r="B2567" s="139" t="s">
        <v>1841</v>
      </c>
      <c r="C2567" s="79"/>
      <c r="D2567" s="80">
        <v>1049993.28</v>
      </c>
      <c r="E2567" s="183"/>
      <c r="F2567" s="84" t="s">
        <v>1160</v>
      </c>
      <c r="G2567" s="68">
        <v>0.0</v>
      </c>
      <c r="H2567" s="69">
        <f t="shared" si="144"/>
        <v>0</v>
      </c>
      <c r="I2567" s="76" t="s">
        <v>322</v>
      </c>
      <c r="J2567" s="98" t="s">
        <v>1014</v>
      </c>
      <c r="K2567" s="95"/>
      <c r="L2567" s="95"/>
      <c r="M2567" s="95"/>
      <c r="N2567" s="153"/>
      <c r="O2567" s="140" t="s">
        <v>1846</v>
      </c>
      <c r="P2567" s="36"/>
      <c r="Q2567" s="36"/>
      <c r="R2567" s="36"/>
      <c r="S2567" s="36"/>
      <c r="T2567" s="36"/>
      <c r="U2567" s="36"/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</row>
    <row r="2568" ht="22.5" customHeight="1">
      <c r="A2568" s="86"/>
      <c r="B2568" s="139" t="s">
        <v>1841</v>
      </c>
      <c r="C2568" s="79"/>
      <c r="D2568" s="80">
        <v>139832.0</v>
      </c>
      <c r="E2568" s="183"/>
      <c r="F2568" s="84" t="s">
        <v>1160</v>
      </c>
      <c r="G2568" s="68">
        <v>0.0</v>
      </c>
      <c r="H2568" s="69">
        <f t="shared" si="144"/>
        <v>0</v>
      </c>
      <c r="I2568" s="76" t="s">
        <v>322</v>
      </c>
      <c r="J2568" s="98" t="s">
        <v>1188</v>
      </c>
      <c r="K2568" s="95"/>
      <c r="L2568" s="95"/>
      <c r="M2568" s="95"/>
      <c r="N2568" s="153"/>
      <c r="O2568" s="140" t="s">
        <v>1847</v>
      </c>
      <c r="P2568" s="36"/>
      <c r="Q2568" s="36"/>
      <c r="R2568" s="36"/>
      <c r="S2568" s="36"/>
      <c r="T2568" s="36"/>
      <c r="U2568" s="36"/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</row>
    <row r="2569" ht="22.5" customHeight="1">
      <c r="A2569" s="86"/>
      <c r="B2569" s="137" t="s">
        <v>1841</v>
      </c>
      <c r="C2569" s="79"/>
      <c r="D2569" s="80">
        <v>300000.0</v>
      </c>
      <c r="E2569" s="183"/>
      <c r="F2569" s="67" t="s">
        <v>1160</v>
      </c>
      <c r="G2569" s="68">
        <v>0.0</v>
      </c>
      <c r="H2569" s="69">
        <f t="shared" si="144"/>
        <v>0</v>
      </c>
      <c r="I2569" s="89" t="s">
        <v>322</v>
      </c>
      <c r="J2569" s="98" t="s">
        <v>1088</v>
      </c>
      <c r="K2569" s="95"/>
      <c r="L2569" s="95"/>
      <c r="M2569" s="95"/>
      <c r="N2569" s="153"/>
      <c r="O2569" s="140" t="s">
        <v>1848</v>
      </c>
      <c r="P2569" s="36"/>
      <c r="Q2569" s="36"/>
      <c r="R2569" s="36"/>
      <c r="S2569" s="36"/>
      <c r="T2569" s="36"/>
      <c r="U2569" s="36"/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</row>
    <row r="2570" ht="22.5" customHeight="1">
      <c r="A2570" s="86"/>
      <c r="B2570" s="137" t="s">
        <v>1841</v>
      </c>
      <c r="C2570" s="79"/>
      <c r="D2570" s="80">
        <v>782208.0</v>
      </c>
      <c r="E2570" s="183"/>
      <c r="F2570" s="67" t="s">
        <v>1453</v>
      </c>
      <c r="G2570" s="68">
        <v>0.0</v>
      </c>
      <c r="H2570" s="69">
        <f t="shared" si="144"/>
        <v>0</v>
      </c>
      <c r="I2570" s="89" t="s">
        <v>322</v>
      </c>
      <c r="J2570" s="98" t="s">
        <v>1014</v>
      </c>
      <c r="K2570" s="95"/>
      <c r="L2570" s="95"/>
      <c r="M2570" s="95"/>
      <c r="N2570" s="153"/>
      <c r="O2570" s="140" t="s">
        <v>1849</v>
      </c>
      <c r="P2570" s="36"/>
      <c r="Q2570" s="36"/>
      <c r="R2570" s="36"/>
      <c r="S2570" s="36"/>
      <c r="T2570" s="36"/>
      <c r="U2570" s="36"/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</row>
    <row r="2571" ht="22.5" customHeight="1">
      <c r="A2571" s="86"/>
      <c r="B2571" s="137" t="s">
        <v>1841</v>
      </c>
      <c r="C2571" s="79"/>
      <c r="D2571" s="80">
        <v>485730.0</v>
      </c>
      <c r="E2571" s="183"/>
      <c r="F2571" s="67" t="s">
        <v>1453</v>
      </c>
      <c r="G2571" s="68">
        <v>0.0</v>
      </c>
      <c r="H2571" s="69">
        <f t="shared" si="144"/>
        <v>0</v>
      </c>
      <c r="I2571" s="89" t="s">
        <v>322</v>
      </c>
      <c r="J2571" s="98" t="s">
        <v>1786</v>
      </c>
      <c r="K2571" s="95"/>
      <c r="L2571" s="95"/>
      <c r="M2571" s="95"/>
      <c r="N2571" s="153"/>
      <c r="O2571" s="140" t="s">
        <v>1850</v>
      </c>
      <c r="P2571" s="36"/>
      <c r="Q2571" s="36"/>
      <c r="R2571" s="36"/>
      <c r="S2571" s="36"/>
      <c r="T2571" s="36"/>
      <c r="U2571" s="36"/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</row>
    <row r="2572" ht="22.5" customHeight="1">
      <c r="A2572" s="86"/>
      <c r="B2572" s="137" t="s">
        <v>1841</v>
      </c>
      <c r="C2572" s="79"/>
      <c r="D2572" s="80">
        <v>533750.3</v>
      </c>
      <c r="E2572" s="183"/>
      <c r="F2572" s="67" t="s">
        <v>1453</v>
      </c>
      <c r="G2572" s="68">
        <v>0.0</v>
      </c>
      <c r="H2572" s="69">
        <f t="shared" si="144"/>
        <v>0</v>
      </c>
      <c r="I2572" s="89" t="s">
        <v>322</v>
      </c>
      <c r="J2572" s="98" t="s">
        <v>627</v>
      </c>
      <c r="K2572" s="95"/>
      <c r="L2572" s="95"/>
      <c r="M2572" s="95"/>
      <c r="N2572" s="153"/>
      <c r="O2572" s="140" t="s">
        <v>1851</v>
      </c>
      <c r="P2572" s="36"/>
      <c r="Q2572" s="36"/>
      <c r="R2572" s="36"/>
      <c r="S2572" s="36"/>
      <c r="T2572" s="36"/>
      <c r="U2572" s="36"/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</row>
    <row r="2573" ht="22.5" customHeight="1">
      <c r="A2573" s="86"/>
      <c r="B2573" s="137" t="s">
        <v>1841</v>
      </c>
      <c r="C2573" s="79"/>
      <c r="D2573" s="80">
        <v>793200.11</v>
      </c>
      <c r="E2573" s="183"/>
      <c r="F2573" s="67" t="s">
        <v>1453</v>
      </c>
      <c r="G2573" s="68">
        <v>0.0</v>
      </c>
      <c r="H2573" s="69">
        <f t="shared" si="144"/>
        <v>0</v>
      </c>
      <c r="I2573" s="89" t="s">
        <v>322</v>
      </c>
      <c r="J2573" s="98" t="s">
        <v>474</v>
      </c>
      <c r="K2573" s="95"/>
      <c r="L2573" s="95"/>
      <c r="M2573" s="95"/>
      <c r="N2573" s="153"/>
      <c r="O2573" s="140" t="s">
        <v>1852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</row>
    <row r="2574" ht="22.5" customHeight="1">
      <c r="A2574" s="86"/>
      <c r="B2574" s="137" t="s">
        <v>1841</v>
      </c>
      <c r="C2574" s="79"/>
      <c r="D2574" s="80">
        <v>3979461.78</v>
      </c>
      <c r="E2574" s="183"/>
      <c r="F2574" s="67" t="s">
        <v>1453</v>
      </c>
      <c r="G2574" s="68">
        <v>0.0</v>
      </c>
      <c r="H2574" s="69">
        <f t="shared" si="144"/>
        <v>0</v>
      </c>
      <c r="I2574" s="89" t="s">
        <v>322</v>
      </c>
      <c r="J2574" s="98" t="s">
        <v>1271</v>
      </c>
      <c r="K2574" s="95"/>
      <c r="L2574" s="95"/>
      <c r="M2574" s="95"/>
      <c r="N2574" s="153"/>
      <c r="O2574" s="154" t="s">
        <v>1853</v>
      </c>
      <c r="P2574" s="36"/>
      <c r="Q2574" s="36"/>
      <c r="R2574" s="36"/>
      <c r="S2574" s="36"/>
      <c r="T2574" s="36"/>
      <c r="U2574" s="36"/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</row>
    <row r="2575" ht="22.5" customHeight="1">
      <c r="A2575" s="86"/>
      <c r="B2575" s="137" t="s">
        <v>1841</v>
      </c>
      <c r="C2575" s="79"/>
      <c r="D2575" s="80">
        <v>5272746.61</v>
      </c>
      <c r="E2575" s="183"/>
      <c r="F2575" s="67" t="s">
        <v>1453</v>
      </c>
      <c r="G2575" s="68">
        <v>0.0</v>
      </c>
      <c r="H2575" s="69">
        <f t="shared" si="144"/>
        <v>0</v>
      </c>
      <c r="I2575" s="89" t="s">
        <v>322</v>
      </c>
      <c r="J2575" s="87" t="s">
        <v>849</v>
      </c>
      <c r="K2575" s="95"/>
      <c r="L2575" s="95"/>
      <c r="M2575" s="95"/>
      <c r="N2575" s="153"/>
      <c r="O2575" s="140" t="s">
        <v>1854</v>
      </c>
      <c r="P2575" s="36"/>
      <c r="Q2575" s="36"/>
      <c r="R2575" s="36"/>
      <c r="S2575" s="36"/>
      <c r="T2575" s="36"/>
      <c r="U2575" s="36"/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</row>
    <row r="2576" ht="22.5" customHeight="1">
      <c r="A2576" s="86"/>
      <c r="B2576" s="137" t="s">
        <v>1841</v>
      </c>
      <c r="C2576" s="79"/>
      <c r="D2576" s="80">
        <v>3627676.28</v>
      </c>
      <c r="E2576" s="183"/>
      <c r="F2576" s="67" t="s">
        <v>1453</v>
      </c>
      <c r="G2576" s="68">
        <v>0.0</v>
      </c>
      <c r="H2576" s="69">
        <f t="shared" si="144"/>
        <v>0</v>
      </c>
      <c r="I2576" s="89" t="s">
        <v>322</v>
      </c>
      <c r="J2576" s="98" t="s">
        <v>1167</v>
      </c>
      <c r="K2576" s="95"/>
      <c r="L2576" s="95"/>
      <c r="M2576" s="95"/>
      <c r="N2576" s="153"/>
      <c r="O2576" s="140" t="s">
        <v>1855</v>
      </c>
      <c r="P2576" s="36"/>
      <c r="Q2576" s="36"/>
      <c r="R2576" s="36"/>
      <c r="S2576" s="36"/>
      <c r="T2576" s="36"/>
      <c r="U2576" s="36"/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</row>
    <row r="2577" ht="22.5" customHeight="1">
      <c r="A2577" s="86"/>
      <c r="B2577" s="137" t="s">
        <v>1841</v>
      </c>
      <c r="C2577" s="79"/>
      <c r="D2577" s="80">
        <v>634200.0</v>
      </c>
      <c r="E2577" s="183"/>
      <c r="F2577" s="67" t="s">
        <v>1453</v>
      </c>
      <c r="G2577" s="68">
        <v>0.0</v>
      </c>
      <c r="H2577" s="69">
        <f t="shared" si="144"/>
        <v>0</v>
      </c>
      <c r="I2577" s="89" t="s">
        <v>322</v>
      </c>
      <c r="J2577" s="98" t="s">
        <v>1611</v>
      </c>
      <c r="K2577" s="95"/>
      <c r="L2577" s="95"/>
      <c r="M2577" s="95"/>
      <c r="N2577" s="153"/>
      <c r="O2577" s="140" t="s">
        <v>1856</v>
      </c>
      <c r="P2577" s="36"/>
      <c r="Q2577" s="36"/>
      <c r="R2577" s="36"/>
      <c r="S2577" s="36"/>
      <c r="T2577" s="36"/>
      <c r="U2577" s="36"/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</row>
    <row r="2578" ht="22.5" customHeight="1">
      <c r="A2578" s="86"/>
      <c r="B2578" s="137" t="s">
        <v>1841</v>
      </c>
      <c r="C2578" s="79"/>
      <c r="D2578" s="80">
        <v>100010.0</v>
      </c>
      <c r="E2578" s="183"/>
      <c r="F2578" s="67" t="s">
        <v>1453</v>
      </c>
      <c r="G2578" s="68">
        <v>0.0</v>
      </c>
      <c r="H2578" s="69">
        <f t="shared" si="144"/>
        <v>0</v>
      </c>
      <c r="I2578" s="89" t="s">
        <v>322</v>
      </c>
      <c r="J2578" s="98" t="s">
        <v>1188</v>
      </c>
      <c r="K2578" s="95"/>
      <c r="L2578" s="95"/>
      <c r="M2578" s="95"/>
      <c r="N2578" s="153"/>
      <c r="O2578" s="96"/>
      <c r="P2578" s="36"/>
      <c r="Q2578" s="36"/>
      <c r="R2578" s="36"/>
      <c r="S2578" s="36"/>
      <c r="T2578" s="36"/>
      <c r="U2578" s="36"/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</row>
    <row r="2579" ht="22.5" customHeight="1">
      <c r="A2579" s="86"/>
      <c r="B2579" s="137" t="s">
        <v>1841</v>
      </c>
      <c r="C2579" s="79"/>
      <c r="D2579" s="80">
        <v>2925332.93</v>
      </c>
      <c r="E2579" s="183"/>
      <c r="F2579" s="67" t="s">
        <v>1453</v>
      </c>
      <c r="G2579" s="68">
        <v>0.0</v>
      </c>
      <c r="H2579" s="69">
        <f t="shared" si="144"/>
        <v>0</v>
      </c>
      <c r="I2579" s="89" t="s">
        <v>322</v>
      </c>
      <c r="J2579" s="98" t="s">
        <v>539</v>
      </c>
      <c r="K2579" s="95"/>
      <c r="L2579" s="95"/>
      <c r="M2579" s="95"/>
      <c r="N2579" s="153"/>
      <c r="O2579" s="140" t="s">
        <v>1857</v>
      </c>
      <c r="P2579" s="36"/>
      <c r="Q2579" s="36"/>
      <c r="R2579" s="36"/>
      <c r="S2579" s="36"/>
      <c r="T2579" s="36"/>
      <c r="U2579" s="36"/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</row>
    <row r="2580" ht="22.5" customHeight="1">
      <c r="A2580" s="86"/>
      <c r="B2580" s="137" t="s">
        <v>1841</v>
      </c>
      <c r="C2580" s="79"/>
      <c r="D2580" s="80">
        <v>342582.72</v>
      </c>
      <c r="E2580" s="183"/>
      <c r="F2580" s="67" t="s">
        <v>1453</v>
      </c>
      <c r="G2580" s="68">
        <v>0.0</v>
      </c>
      <c r="H2580" s="69">
        <f t="shared" si="144"/>
        <v>0</v>
      </c>
      <c r="I2580" s="89" t="s">
        <v>322</v>
      </c>
      <c r="J2580" s="98" t="s">
        <v>641</v>
      </c>
      <c r="K2580" s="95"/>
      <c r="L2580" s="95"/>
      <c r="M2580" s="95"/>
      <c r="N2580" s="153"/>
      <c r="O2580" s="140" t="s">
        <v>1858</v>
      </c>
      <c r="P2580" s="36"/>
      <c r="Q2580" s="36"/>
      <c r="R2580" s="36"/>
      <c r="S2580" s="36"/>
      <c r="T2580" s="36"/>
      <c r="U2580" s="36"/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</row>
    <row r="2581" ht="22.5" customHeight="1">
      <c r="A2581" s="86"/>
      <c r="B2581" s="137" t="s">
        <v>1841</v>
      </c>
      <c r="C2581" s="79"/>
      <c r="D2581" s="80">
        <v>3522000.06</v>
      </c>
      <c r="E2581" s="183"/>
      <c r="F2581" s="67" t="s">
        <v>1453</v>
      </c>
      <c r="G2581" s="68">
        <v>0.0</v>
      </c>
      <c r="H2581" s="69">
        <f t="shared" si="144"/>
        <v>0</v>
      </c>
      <c r="I2581" s="89" t="s">
        <v>322</v>
      </c>
      <c r="J2581" s="98" t="s">
        <v>675</v>
      </c>
      <c r="K2581" s="95"/>
      <c r="L2581" s="95"/>
      <c r="M2581" s="95"/>
      <c r="N2581" s="153"/>
      <c r="O2581" s="96"/>
      <c r="P2581" s="36"/>
      <c r="Q2581" s="36"/>
      <c r="R2581" s="36"/>
      <c r="S2581" s="36"/>
      <c r="T2581" s="36"/>
      <c r="U2581" s="36"/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</row>
    <row r="2582" ht="22.5" customHeight="1">
      <c r="A2582" s="86"/>
      <c r="B2582" s="137" t="s">
        <v>1841</v>
      </c>
      <c r="C2582" s="79"/>
      <c r="D2582" s="80">
        <v>147000.0</v>
      </c>
      <c r="E2582" s="183"/>
      <c r="F2582" s="67" t="s">
        <v>1453</v>
      </c>
      <c r="G2582" s="68">
        <v>0.0</v>
      </c>
      <c r="H2582" s="69">
        <f t="shared" si="144"/>
        <v>0</v>
      </c>
      <c r="I2582" s="89" t="s">
        <v>322</v>
      </c>
      <c r="J2582" s="98" t="s">
        <v>657</v>
      </c>
      <c r="K2582" s="95"/>
      <c r="L2582" s="95"/>
      <c r="M2582" s="95"/>
      <c r="N2582" s="153"/>
      <c r="O2582" s="140" t="s">
        <v>1859</v>
      </c>
      <c r="P2582" s="36"/>
      <c r="Q2582" s="36"/>
      <c r="R2582" s="36"/>
      <c r="S2582" s="36"/>
      <c r="T2582" s="36"/>
      <c r="U2582" s="36"/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</row>
    <row r="2583" ht="22.5" customHeight="1">
      <c r="A2583" s="86"/>
      <c r="B2583" s="137" t="s">
        <v>1841</v>
      </c>
      <c r="C2583" s="79"/>
      <c r="D2583" s="80">
        <v>33055.0</v>
      </c>
      <c r="E2583" s="66" t="s">
        <v>33</v>
      </c>
      <c r="F2583" s="67" t="s">
        <v>1453</v>
      </c>
      <c r="G2583" s="68">
        <v>0.0</v>
      </c>
      <c r="H2583" s="69">
        <f t="shared" si="144"/>
        <v>0</v>
      </c>
      <c r="I2583" s="89" t="s">
        <v>65</v>
      </c>
      <c r="J2583" s="98" t="s">
        <v>1512</v>
      </c>
      <c r="K2583" s="95"/>
      <c r="L2583" s="95"/>
      <c r="M2583" s="95"/>
      <c r="N2583" s="153"/>
      <c r="O2583" s="96"/>
      <c r="P2583" s="36"/>
      <c r="Q2583" s="36"/>
      <c r="R2583" s="36"/>
      <c r="S2583" s="36"/>
      <c r="T2583" s="36"/>
      <c r="U2583" s="36"/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</row>
    <row r="2584" ht="22.5" customHeight="1">
      <c r="A2584" s="86"/>
      <c r="B2584" s="137" t="s">
        <v>1841</v>
      </c>
      <c r="C2584" s="79"/>
      <c r="D2584" s="80">
        <v>3500.0</v>
      </c>
      <c r="E2584" s="66" t="s">
        <v>33</v>
      </c>
      <c r="F2584" s="67" t="s">
        <v>1453</v>
      </c>
      <c r="G2584" s="68">
        <v>0.0</v>
      </c>
      <c r="H2584" s="69">
        <f t="shared" si="144"/>
        <v>0</v>
      </c>
      <c r="I2584" s="89" t="s">
        <v>65</v>
      </c>
      <c r="J2584" s="98" t="s">
        <v>1451</v>
      </c>
      <c r="K2584" s="95"/>
      <c r="L2584" s="95"/>
      <c r="M2584" s="95"/>
      <c r="N2584" s="153"/>
      <c r="O2584" s="96"/>
      <c r="P2584" s="36"/>
      <c r="Q2584" s="36"/>
      <c r="R2584" s="36"/>
      <c r="S2584" s="36"/>
      <c r="T2584" s="36"/>
      <c r="U2584" s="36"/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</row>
    <row r="2585" ht="22.5" customHeight="1">
      <c r="A2585" s="86"/>
      <c r="B2585" s="137" t="s">
        <v>1841</v>
      </c>
      <c r="C2585" s="79"/>
      <c r="D2585" s="80">
        <v>352062.0</v>
      </c>
      <c r="E2585" s="66" t="s">
        <v>33</v>
      </c>
      <c r="F2585" s="67" t="s">
        <v>1453</v>
      </c>
      <c r="G2585" s="68">
        <v>0.0</v>
      </c>
      <c r="H2585" s="69">
        <f t="shared" si="144"/>
        <v>0</v>
      </c>
      <c r="I2585" s="89" t="s">
        <v>65</v>
      </c>
      <c r="J2585" s="98" t="s">
        <v>1513</v>
      </c>
      <c r="K2585" s="95"/>
      <c r="L2585" s="95"/>
      <c r="M2585" s="95"/>
      <c r="N2585" s="153"/>
      <c r="O2585" s="96"/>
      <c r="P2585" s="36"/>
      <c r="Q2585" s="36"/>
      <c r="R2585" s="36"/>
      <c r="S2585" s="36"/>
      <c r="T2585" s="36"/>
      <c r="U2585" s="36"/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</row>
    <row r="2586" ht="22.5" customHeight="1">
      <c r="A2586" s="86"/>
      <c r="B2586" s="137" t="s">
        <v>1841</v>
      </c>
      <c r="C2586" s="79"/>
      <c r="D2586" s="80">
        <v>496150.0</v>
      </c>
      <c r="E2586" s="66" t="s">
        <v>33</v>
      </c>
      <c r="F2586" s="67" t="s">
        <v>1453</v>
      </c>
      <c r="G2586" s="68">
        <v>0.0</v>
      </c>
      <c r="H2586" s="69">
        <f t="shared" si="144"/>
        <v>0</v>
      </c>
      <c r="I2586" s="89" t="s">
        <v>65</v>
      </c>
      <c r="J2586" s="98" t="s">
        <v>1347</v>
      </c>
      <c r="K2586" s="95"/>
      <c r="L2586" s="95"/>
      <c r="M2586" s="95"/>
      <c r="N2586" s="153"/>
      <c r="O2586" s="96"/>
      <c r="P2586" s="36"/>
      <c r="Q2586" s="36"/>
      <c r="R2586" s="36"/>
      <c r="S2586" s="36"/>
      <c r="T2586" s="36"/>
      <c r="U2586" s="36"/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</row>
    <row r="2587" ht="22.5" customHeight="1">
      <c r="A2587" s="86">
        <v>46183.0</v>
      </c>
      <c r="B2587" s="137" t="s">
        <v>27</v>
      </c>
      <c r="C2587" s="79"/>
      <c r="D2587" s="80">
        <v>10282.79</v>
      </c>
      <c r="E2587" s="66" t="s">
        <v>28</v>
      </c>
      <c r="F2587" s="67" t="s">
        <v>1680</v>
      </c>
      <c r="G2587" s="68">
        <v>5.0</v>
      </c>
      <c r="H2587" s="69">
        <f t="shared" si="144"/>
        <v>489.6566667</v>
      </c>
      <c r="I2587" s="89" t="s">
        <v>495</v>
      </c>
      <c r="J2587" s="98" t="s">
        <v>1419</v>
      </c>
      <c r="K2587" s="95"/>
      <c r="L2587" s="95"/>
      <c r="M2587" s="95"/>
      <c r="N2587" s="153"/>
      <c r="O2587" s="140" t="s">
        <v>1860</v>
      </c>
      <c r="P2587" s="36"/>
      <c r="Q2587" s="36"/>
      <c r="R2587" s="36"/>
      <c r="S2587" s="36"/>
      <c r="T2587" s="36"/>
      <c r="U2587" s="36"/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</row>
    <row r="2588" ht="22.5" customHeight="1">
      <c r="A2588" s="86">
        <v>46183.0</v>
      </c>
      <c r="B2588" s="137" t="s">
        <v>27</v>
      </c>
      <c r="C2588" s="79"/>
      <c r="D2588" s="80">
        <v>22516.4</v>
      </c>
      <c r="E2588" s="66" t="s">
        <v>28</v>
      </c>
      <c r="F2588" s="67" t="s">
        <v>1797</v>
      </c>
      <c r="G2588" s="68">
        <v>5.0</v>
      </c>
      <c r="H2588" s="69">
        <f t="shared" si="144"/>
        <v>1072.209524</v>
      </c>
      <c r="I2588" s="89" t="s">
        <v>495</v>
      </c>
      <c r="J2588" s="98" t="s">
        <v>1419</v>
      </c>
      <c r="K2588" s="95"/>
      <c r="L2588" s="95"/>
      <c r="M2588" s="95"/>
      <c r="N2588" s="153"/>
      <c r="O2588" s="140" t="s">
        <v>1861</v>
      </c>
      <c r="P2588" s="36"/>
      <c r="Q2588" s="36"/>
      <c r="R2588" s="36"/>
      <c r="S2588" s="36"/>
      <c r="T2588" s="36"/>
      <c r="U2588" s="36"/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</row>
    <row r="2589" ht="22.5" customHeight="1">
      <c r="A2589" s="86">
        <v>46183.0</v>
      </c>
      <c r="B2589" s="137" t="s">
        <v>27</v>
      </c>
      <c r="C2589" s="79"/>
      <c r="D2589" s="80">
        <v>2100.0</v>
      </c>
      <c r="E2589" s="66" t="s">
        <v>28</v>
      </c>
      <c r="F2589" s="67" t="s">
        <v>1797</v>
      </c>
      <c r="G2589" s="68">
        <v>5.0</v>
      </c>
      <c r="H2589" s="69">
        <f t="shared" si="144"/>
        <v>100</v>
      </c>
      <c r="I2589" s="89" t="s">
        <v>495</v>
      </c>
      <c r="J2589" s="98" t="s">
        <v>1419</v>
      </c>
      <c r="K2589" s="95"/>
      <c r="L2589" s="95"/>
      <c r="M2589" s="95"/>
      <c r="N2589" s="153"/>
      <c r="O2589" s="140" t="s">
        <v>1862</v>
      </c>
      <c r="P2589" s="36"/>
      <c r="Q2589" s="36"/>
      <c r="R2589" s="36"/>
      <c r="S2589" s="36"/>
      <c r="T2589" s="36"/>
      <c r="U2589" s="36"/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</row>
    <row r="2590" ht="22.5" customHeight="1">
      <c r="A2590" s="86">
        <v>46183.0</v>
      </c>
      <c r="B2590" s="137" t="s">
        <v>27</v>
      </c>
      <c r="C2590" s="79"/>
      <c r="D2590" s="80">
        <v>32100.0</v>
      </c>
      <c r="E2590" s="66" t="s">
        <v>28</v>
      </c>
      <c r="F2590" s="67" t="s">
        <v>1734</v>
      </c>
      <c r="G2590" s="68">
        <v>22.0</v>
      </c>
      <c r="H2590" s="69">
        <f t="shared" si="144"/>
        <v>5788.52459</v>
      </c>
      <c r="I2590" s="89" t="s">
        <v>383</v>
      </c>
      <c r="J2590" s="98" t="s">
        <v>1863</v>
      </c>
      <c r="K2590" s="95"/>
      <c r="L2590" s="95"/>
      <c r="M2590" s="95"/>
      <c r="N2590" s="153"/>
      <c r="O2590" s="140" t="s">
        <v>1864</v>
      </c>
      <c r="P2590" s="36"/>
      <c r="Q2590" s="36"/>
      <c r="R2590" s="36"/>
      <c r="S2590" s="36"/>
      <c r="T2590" s="36"/>
      <c r="U2590" s="36"/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</row>
    <row r="2591" ht="22.5" customHeight="1">
      <c r="A2591" s="86">
        <v>46183.0</v>
      </c>
      <c r="B2591" s="137" t="s">
        <v>27</v>
      </c>
      <c r="C2591" s="79"/>
      <c r="D2591" s="80">
        <v>23971.78</v>
      </c>
      <c r="E2591" s="66" t="s">
        <v>28</v>
      </c>
      <c r="F2591" s="67" t="s">
        <v>1797</v>
      </c>
      <c r="G2591" s="68">
        <v>22.0</v>
      </c>
      <c r="H2591" s="69">
        <f t="shared" si="144"/>
        <v>4322.78</v>
      </c>
      <c r="I2591" s="89" t="s">
        <v>495</v>
      </c>
      <c r="J2591" s="98" t="s">
        <v>910</v>
      </c>
      <c r="K2591" s="95"/>
      <c r="L2591" s="95"/>
      <c r="M2591" s="95"/>
      <c r="N2591" s="153"/>
      <c r="O2591" s="140" t="s">
        <v>1865</v>
      </c>
      <c r="P2591" s="36"/>
      <c r="Q2591" s="36"/>
      <c r="R2591" s="36"/>
      <c r="S2591" s="36"/>
      <c r="T2591" s="36"/>
      <c r="U2591" s="36"/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</row>
    <row r="2592" ht="22.5" customHeight="1">
      <c r="A2592" s="86">
        <v>46183.0</v>
      </c>
      <c r="B2592" s="137" t="s">
        <v>27</v>
      </c>
      <c r="C2592" s="79"/>
      <c r="D2592" s="80">
        <v>150000.0</v>
      </c>
      <c r="E2592" s="66" t="s">
        <v>28</v>
      </c>
      <c r="F2592" s="67" t="s">
        <v>1797</v>
      </c>
      <c r="G2592" s="68">
        <v>0.0</v>
      </c>
      <c r="H2592" s="69">
        <f t="shared" si="144"/>
        <v>0</v>
      </c>
      <c r="I2592" s="89" t="s">
        <v>101</v>
      </c>
      <c r="J2592" s="98" t="s">
        <v>1866</v>
      </c>
      <c r="K2592" s="95"/>
      <c r="L2592" s="95"/>
      <c r="M2592" s="95"/>
      <c r="N2592" s="153"/>
      <c r="O2592" s="140" t="s">
        <v>1867</v>
      </c>
      <c r="P2592" s="36"/>
      <c r="Q2592" s="36"/>
      <c r="R2592" s="36"/>
      <c r="S2592" s="36"/>
      <c r="T2592" s="36"/>
      <c r="U2592" s="36"/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</row>
    <row r="2593" ht="22.5" customHeight="1">
      <c r="A2593" s="86">
        <v>46183.0</v>
      </c>
      <c r="B2593" s="137" t="s">
        <v>27</v>
      </c>
      <c r="C2593" s="79"/>
      <c r="D2593" s="80">
        <v>238920.0</v>
      </c>
      <c r="E2593" s="66" t="s">
        <v>28</v>
      </c>
      <c r="F2593" s="67" t="s">
        <v>1797</v>
      </c>
      <c r="G2593" s="68">
        <v>0.0</v>
      </c>
      <c r="H2593" s="69">
        <f t="shared" si="144"/>
        <v>0</v>
      </c>
      <c r="I2593" s="89" t="s">
        <v>495</v>
      </c>
      <c r="J2593" s="98" t="s">
        <v>1868</v>
      </c>
      <c r="K2593" s="95"/>
      <c r="L2593" s="95"/>
      <c r="M2593" s="95"/>
      <c r="N2593" s="153"/>
      <c r="O2593" s="96"/>
      <c r="P2593" s="36"/>
      <c r="Q2593" s="36"/>
      <c r="R2593" s="36"/>
      <c r="S2593" s="36"/>
      <c r="T2593" s="36"/>
      <c r="U2593" s="36"/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</row>
    <row r="2594" ht="22.5" customHeight="1">
      <c r="A2594" s="143"/>
      <c r="B2594" s="157" t="s">
        <v>1869</v>
      </c>
      <c r="C2594" s="80">
        <v>600000.43</v>
      </c>
      <c r="D2594" s="79"/>
      <c r="E2594" s="183"/>
      <c r="F2594" s="67" t="s">
        <v>1179</v>
      </c>
      <c r="G2594" s="68">
        <v>20.0</v>
      </c>
      <c r="H2594" s="69">
        <f t="shared" si="144"/>
        <v>100000.0717</v>
      </c>
      <c r="I2594" s="76" t="s">
        <v>37</v>
      </c>
      <c r="J2594" s="98" t="s">
        <v>474</v>
      </c>
      <c r="K2594" s="82" t="s">
        <v>1240</v>
      </c>
      <c r="L2594" s="82">
        <v>383.0</v>
      </c>
      <c r="M2594" s="132">
        <v>45972.0</v>
      </c>
      <c r="N2594" s="153">
        <f t="shared" ref="N2594:N2595" si="147">TODAY()-M2594-60</f>
        <v>156</v>
      </c>
      <c r="O2594" s="96"/>
      <c r="P2594" s="36"/>
      <c r="Q2594" s="36"/>
      <c r="R2594" s="36"/>
      <c r="S2594" s="36"/>
      <c r="T2594" s="36"/>
      <c r="U2594" s="36"/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</row>
    <row r="2595" ht="22.5" customHeight="1">
      <c r="A2595" s="143"/>
      <c r="B2595" s="157" t="s">
        <v>1869</v>
      </c>
      <c r="C2595" s="80">
        <v>36000.0</v>
      </c>
      <c r="D2595" s="79"/>
      <c r="E2595" s="183"/>
      <c r="F2595" s="67" t="s">
        <v>1179</v>
      </c>
      <c r="G2595" s="68">
        <v>20.0</v>
      </c>
      <c r="H2595" s="69">
        <f t="shared" si="144"/>
        <v>6000</v>
      </c>
      <c r="I2595" s="76" t="s">
        <v>37</v>
      </c>
      <c r="J2595" s="98" t="s">
        <v>1188</v>
      </c>
      <c r="K2595" s="82" t="s">
        <v>1870</v>
      </c>
      <c r="L2595" s="82">
        <v>404.0</v>
      </c>
      <c r="M2595" s="132">
        <v>45973.0</v>
      </c>
      <c r="N2595" s="153">
        <f t="shared" si="147"/>
        <v>155</v>
      </c>
      <c r="O2595" s="96"/>
      <c r="P2595" s="36"/>
      <c r="Q2595" s="36"/>
      <c r="R2595" s="36"/>
      <c r="S2595" s="36"/>
      <c r="T2595" s="36"/>
      <c r="U2595" s="36"/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</row>
    <row r="2596" ht="22.5" customHeight="1">
      <c r="A2596" s="143"/>
      <c r="B2596" s="139" t="s">
        <v>1841</v>
      </c>
      <c r="C2596" s="79"/>
      <c r="D2596" s="80">
        <v>4000000.0</v>
      </c>
      <c r="E2596" s="182"/>
      <c r="F2596" s="84" t="s">
        <v>722</v>
      </c>
      <c r="G2596" s="68">
        <v>20.0</v>
      </c>
      <c r="H2596" s="69">
        <f t="shared" si="144"/>
        <v>666666.6667</v>
      </c>
      <c r="I2596" s="76" t="s">
        <v>101</v>
      </c>
      <c r="J2596" s="136" t="s">
        <v>725</v>
      </c>
      <c r="K2596" s="95"/>
      <c r="L2596" s="95"/>
      <c r="M2596" s="95"/>
      <c r="N2596" s="153"/>
      <c r="O2596" s="83"/>
      <c r="P2596" s="36"/>
      <c r="Q2596" s="36"/>
      <c r="R2596" s="36"/>
      <c r="S2596" s="36"/>
      <c r="T2596" s="36"/>
      <c r="U2596" s="36"/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</row>
    <row r="2597" ht="22.5" customHeight="1">
      <c r="A2597" s="86"/>
      <c r="B2597" s="157" t="s">
        <v>1869</v>
      </c>
      <c r="C2597" s="80">
        <v>600060.0</v>
      </c>
      <c r="D2597" s="80"/>
      <c r="E2597" s="183"/>
      <c r="F2597" s="67" t="s">
        <v>608</v>
      </c>
      <c r="G2597" s="68">
        <v>20.0</v>
      </c>
      <c r="H2597" s="69">
        <f t="shared" si="144"/>
        <v>100010</v>
      </c>
      <c r="I2597" s="76" t="s">
        <v>37</v>
      </c>
      <c r="J2597" s="98" t="s">
        <v>1188</v>
      </c>
      <c r="K2597" s="82" t="s">
        <v>1787</v>
      </c>
      <c r="L2597" s="82">
        <v>423.0</v>
      </c>
      <c r="M2597" s="128">
        <v>45996.0</v>
      </c>
      <c r="N2597" s="153">
        <f>TODAY()-M2597-60</f>
        <v>132</v>
      </c>
      <c r="O2597" s="96"/>
      <c r="P2597" s="36"/>
      <c r="Q2597" s="36"/>
      <c r="R2597" s="36"/>
      <c r="S2597" s="36"/>
      <c r="T2597" s="36"/>
      <c r="U2597" s="36"/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</row>
    <row r="2598" ht="22.5" customHeight="1">
      <c r="A2598" s="86"/>
      <c r="B2598" s="137" t="s">
        <v>1841</v>
      </c>
      <c r="C2598" s="79"/>
      <c r="D2598" s="80">
        <v>690480.0</v>
      </c>
      <c r="E2598" s="183"/>
      <c r="F2598" s="67" t="s">
        <v>1453</v>
      </c>
      <c r="G2598" s="68">
        <v>0.0</v>
      </c>
      <c r="H2598" s="69">
        <f t="shared" si="144"/>
        <v>0</v>
      </c>
      <c r="I2598" s="89" t="s">
        <v>322</v>
      </c>
      <c r="J2598" s="98" t="s">
        <v>1529</v>
      </c>
      <c r="K2598" s="95"/>
      <c r="L2598" s="95"/>
      <c r="M2598" s="95"/>
      <c r="N2598" s="153"/>
      <c r="O2598" s="96"/>
      <c r="P2598" s="36"/>
      <c r="Q2598" s="36"/>
      <c r="R2598" s="36"/>
      <c r="S2598" s="36"/>
      <c r="T2598" s="36"/>
      <c r="U2598" s="36"/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</row>
    <row r="2599" ht="22.5" customHeight="1">
      <c r="A2599" s="86"/>
      <c r="B2599" s="157" t="s">
        <v>1869</v>
      </c>
      <c r="C2599" s="80">
        <f>917460-300000</f>
        <v>617460</v>
      </c>
      <c r="D2599" s="80"/>
      <c r="E2599" s="183"/>
      <c r="F2599" s="67" t="s">
        <v>608</v>
      </c>
      <c r="G2599" s="68">
        <v>20.0</v>
      </c>
      <c r="H2599" s="69">
        <f t="shared" si="144"/>
        <v>102910</v>
      </c>
      <c r="I2599" s="76" t="s">
        <v>37</v>
      </c>
      <c r="J2599" s="98" t="s">
        <v>1786</v>
      </c>
      <c r="K2599" s="82" t="s">
        <v>1787</v>
      </c>
      <c r="L2599" s="82">
        <v>424.0</v>
      </c>
      <c r="M2599" s="128">
        <v>45996.0</v>
      </c>
      <c r="N2599" s="153">
        <f t="shared" ref="N2599:N2607" si="148">TODAY()-M2599-60</f>
        <v>132</v>
      </c>
      <c r="O2599" s="96"/>
      <c r="P2599" s="36"/>
      <c r="Q2599" s="36"/>
      <c r="R2599" s="36"/>
      <c r="S2599" s="36"/>
      <c r="T2599" s="36"/>
      <c r="U2599" s="36"/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</row>
    <row r="2600" ht="22.5" customHeight="1">
      <c r="A2600" s="86"/>
      <c r="B2600" s="157" t="s">
        <v>1869</v>
      </c>
      <c r="C2600" s="80">
        <v>1199682.0</v>
      </c>
      <c r="D2600" s="80"/>
      <c r="E2600" s="183"/>
      <c r="F2600" s="67" t="s">
        <v>608</v>
      </c>
      <c r="G2600" s="68">
        <v>20.0</v>
      </c>
      <c r="H2600" s="69">
        <f t="shared" si="144"/>
        <v>199947</v>
      </c>
      <c r="I2600" s="76" t="s">
        <v>37</v>
      </c>
      <c r="J2600" s="87" t="s">
        <v>849</v>
      </c>
      <c r="K2600" s="82" t="s">
        <v>1061</v>
      </c>
      <c r="L2600" s="82">
        <v>431.0</v>
      </c>
      <c r="M2600" s="128">
        <v>46000.0</v>
      </c>
      <c r="N2600" s="153">
        <f t="shared" si="148"/>
        <v>128</v>
      </c>
      <c r="O2600" s="96"/>
      <c r="P2600" s="36"/>
      <c r="Q2600" s="36"/>
      <c r="R2600" s="36"/>
      <c r="S2600" s="36"/>
      <c r="T2600" s="36"/>
      <c r="U2600" s="36"/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</row>
    <row r="2601" ht="22.5" customHeight="1">
      <c r="A2601" s="86"/>
      <c r="B2601" s="157" t="s">
        <v>1869</v>
      </c>
      <c r="C2601" s="80">
        <v>1296540.0</v>
      </c>
      <c r="D2601" s="80"/>
      <c r="E2601" s="183"/>
      <c r="F2601" s="67" t="s">
        <v>608</v>
      </c>
      <c r="G2601" s="68">
        <v>20.0</v>
      </c>
      <c r="H2601" s="69">
        <f t="shared" si="144"/>
        <v>216090</v>
      </c>
      <c r="I2601" s="76" t="s">
        <v>37</v>
      </c>
      <c r="J2601" s="87" t="s">
        <v>849</v>
      </c>
      <c r="K2601" s="82" t="s">
        <v>1230</v>
      </c>
      <c r="L2601" s="82">
        <v>433.0</v>
      </c>
      <c r="M2601" s="128">
        <v>46000.0</v>
      </c>
      <c r="N2601" s="153">
        <f t="shared" si="148"/>
        <v>128</v>
      </c>
      <c r="O2601" s="96"/>
      <c r="P2601" s="36"/>
      <c r="Q2601" s="36"/>
      <c r="R2601" s="36"/>
      <c r="S2601" s="36"/>
      <c r="T2601" s="36"/>
      <c r="U2601" s="36"/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</row>
    <row r="2602" ht="22.5" customHeight="1">
      <c r="A2602" s="86"/>
      <c r="B2602" s="157" t="s">
        <v>1869</v>
      </c>
      <c r="C2602" s="80">
        <v>1050000.0</v>
      </c>
      <c r="D2602" s="80"/>
      <c r="E2602" s="183"/>
      <c r="F2602" s="67" t="s">
        <v>608</v>
      </c>
      <c r="G2602" s="68">
        <v>20.0</v>
      </c>
      <c r="H2602" s="69">
        <f t="shared" si="144"/>
        <v>175000</v>
      </c>
      <c r="I2602" s="76" t="s">
        <v>37</v>
      </c>
      <c r="J2602" s="87" t="s">
        <v>849</v>
      </c>
      <c r="K2602" s="82" t="s">
        <v>1240</v>
      </c>
      <c r="L2602" s="82">
        <v>434.0</v>
      </c>
      <c r="M2602" s="128">
        <v>46000.0</v>
      </c>
      <c r="N2602" s="153">
        <f t="shared" si="148"/>
        <v>128</v>
      </c>
      <c r="O2602" s="96"/>
      <c r="P2602" s="36"/>
      <c r="Q2602" s="36"/>
      <c r="R2602" s="36"/>
      <c r="S2602" s="36"/>
      <c r="T2602" s="36"/>
      <c r="U2602" s="36"/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</row>
    <row r="2603" ht="22.5" customHeight="1">
      <c r="A2603" s="86"/>
      <c r="B2603" s="157" t="s">
        <v>1869</v>
      </c>
      <c r="C2603" s="80">
        <v>1323000.0</v>
      </c>
      <c r="D2603" s="80"/>
      <c r="E2603" s="183"/>
      <c r="F2603" s="67" t="s">
        <v>608</v>
      </c>
      <c r="G2603" s="68">
        <v>20.0</v>
      </c>
      <c r="H2603" s="69">
        <f t="shared" si="144"/>
        <v>220500</v>
      </c>
      <c r="I2603" s="76" t="s">
        <v>37</v>
      </c>
      <c r="J2603" s="87" t="s">
        <v>849</v>
      </c>
      <c r="K2603" s="82" t="s">
        <v>1163</v>
      </c>
      <c r="L2603" s="82">
        <v>437.0</v>
      </c>
      <c r="M2603" s="128">
        <v>46000.0</v>
      </c>
      <c r="N2603" s="153">
        <f t="shared" si="148"/>
        <v>128</v>
      </c>
      <c r="O2603" s="96"/>
      <c r="P2603" s="36"/>
      <c r="Q2603" s="36"/>
      <c r="R2603" s="36"/>
      <c r="S2603" s="36"/>
      <c r="T2603" s="36"/>
      <c r="U2603" s="36"/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</row>
    <row r="2604" ht="22.5" customHeight="1">
      <c r="A2604" s="86"/>
      <c r="B2604" s="157" t="s">
        <v>1869</v>
      </c>
      <c r="C2604" s="80">
        <v>1000860.0</v>
      </c>
      <c r="D2604" s="80"/>
      <c r="E2604" s="183"/>
      <c r="F2604" s="67" t="s">
        <v>608</v>
      </c>
      <c r="G2604" s="68">
        <v>20.0</v>
      </c>
      <c r="H2604" s="69">
        <f t="shared" si="144"/>
        <v>166810</v>
      </c>
      <c r="I2604" s="76" t="s">
        <v>37</v>
      </c>
      <c r="J2604" s="98" t="s">
        <v>849</v>
      </c>
      <c r="K2604" s="82" t="s">
        <v>1241</v>
      </c>
      <c r="L2604" s="82">
        <v>438.0</v>
      </c>
      <c r="M2604" s="128">
        <v>46000.0</v>
      </c>
      <c r="N2604" s="153">
        <f t="shared" si="148"/>
        <v>128</v>
      </c>
      <c r="O2604" s="96"/>
      <c r="P2604" s="36"/>
      <c r="Q2604" s="36"/>
      <c r="R2604" s="36"/>
      <c r="S2604" s="36"/>
      <c r="T2604" s="36"/>
      <c r="U2604" s="36"/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</row>
    <row r="2605" ht="22.5" customHeight="1">
      <c r="A2605" s="86"/>
      <c r="B2605" s="157" t="s">
        <v>1869</v>
      </c>
      <c r="C2605" s="80">
        <v>1134000.0</v>
      </c>
      <c r="D2605" s="80"/>
      <c r="E2605" s="183"/>
      <c r="F2605" s="67" t="s">
        <v>608</v>
      </c>
      <c r="G2605" s="68">
        <v>20.0</v>
      </c>
      <c r="H2605" s="69">
        <f t="shared" si="144"/>
        <v>189000</v>
      </c>
      <c r="I2605" s="76" t="s">
        <v>37</v>
      </c>
      <c r="J2605" s="98" t="s">
        <v>849</v>
      </c>
      <c r="K2605" s="82" t="s">
        <v>1351</v>
      </c>
      <c r="L2605" s="82">
        <v>439.0</v>
      </c>
      <c r="M2605" s="128">
        <v>46000.0</v>
      </c>
      <c r="N2605" s="153">
        <f t="shared" si="148"/>
        <v>128</v>
      </c>
      <c r="O2605" s="96"/>
      <c r="P2605" s="36"/>
      <c r="Q2605" s="36"/>
      <c r="R2605" s="36"/>
      <c r="S2605" s="36"/>
      <c r="T2605" s="36"/>
      <c r="U2605" s="36"/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</row>
    <row r="2606" ht="22.5" customHeight="1">
      <c r="A2606" s="86"/>
      <c r="B2606" s="157" t="s">
        <v>1869</v>
      </c>
      <c r="C2606" s="80">
        <v>608160.0</v>
      </c>
      <c r="D2606" s="80"/>
      <c r="E2606" s="183"/>
      <c r="F2606" s="67" t="s">
        <v>608</v>
      </c>
      <c r="G2606" s="68">
        <v>20.0</v>
      </c>
      <c r="H2606" s="69">
        <f t="shared" si="144"/>
        <v>101360</v>
      </c>
      <c r="I2606" s="76" t="s">
        <v>37</v>
      </c>
      <c r="J2606" s="98" t="s">
        <v>849</v>
      </c>
      <c r="K2606" s="82" t="s">
        <v>1270</v>
      </c>
      <c r="L2606" s="82">
        <v>440.0</v>
      </c>
      <c r="M2606" s="128">
        <v>46000.0</v>
      </c>
      <c r="N2606" s="153">
        <f t="shared" si="148"/>
        <v>128</v>
      </c>
      <c r="O2606" s="96"/>
      <c r="P2606" s="36"/>
      <c r="Q2606" s="36"/>
      <c r="R2606" s="36"/>
      <c r="S2606" s="36"/>
      <c r="T2606" s="36"/>
      <c r="U2606" s="36"/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</row>
    <row r="2607" ht="22.5" customHeight="1">
      <c r="A2607" s="86"/>
      <c r="B2607" s="157" t="s">
        <v>1869</v>
      </c>
      <c r="C2607" s="80">
        <v>688800.0</v>
      </c>
      <c r="D2607" s="80"/>
      <c r="E2607" s="183"/>
      <c r="F2607" s="67" t="s">
        <v>608</v>
      </c>
      <c r="G2607" s="68">
        <v>20.0</v>
      </c>
      <c r="H2607" s="69">
        <f t="shared" si="144"/>
        <v>114800</v>
      </c>
      <c r="I2607" s="76" t="s">
        <v>37</v>
      </c>
      <c r="J2607" s="98" t="s">
        <v>849</v>
      </c>
      <c r="K2607" s="82" t="s">
        <v>1242</v>
      </c>
      <c r="L2607" s="82">
        <v>441.0</v>
      </c>
      <c r="M2607" s="128">
        <v>46000.0</v>
      </c>
      <c r="N2607" s="153">
        <f t="shared" si="148"/>
        <v>128</v>
      </c>
      <c r="O2607" s="96"/>
      <c r="P2607" s="36"/>
      <c r="Q2607" s="36"/>
      <c r="R2607" s="36"/>
      <c r="S2607" s="36"/>
      <c r="T2607" s="36"/>
      <c r="U2607" s="36"/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</row>
    <row r="2608" ht="22.5" customHeight="1">
      <c r="A2608" s="86"/>
      <c r="B2608" s="137" t="s">
        <v>1841</v>
      </c>
      <c r="C2608" s="79"/>
      <c r="D2608" s="80">
        <v>1217060.7</v>
      </c>
      <c r="E2608" s="183"/>
      <c r="F2608" s="67" t="s">
        <v>604</v>
      </c>
      <c r="G2608" s="68">
        <v>0.0</v>
      </c>
      <c r="H2608" s="69">
        <f t="shared" si="144"/>
        <v>0</v>
      </c>
      <c r="I2608" s="76" t="s">
        <v>93</v>
      </c>
      <c r="J2608" s="158" t="s">
        <v>516</v>
      </c>
      <c r="K2608" s="95"/>
      <c r="L2608" s="95"/>
      <c r="M2608" s="95"/>
      <c r="N2608" s="153"/>
      <c r="O2608" s="140" t="s">
        <v>1871</v>
      </c>
      <c r="P2608" s="36"/>
      <c r="Q2608" s="36"/>
      <c r="R2608" s="36"/>
      <c r="S2608" s="36"/>
      <c r="T2608" s="36"/>
      <c r="U2608" s="36"/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</row>
    <row r="2609" ht="22.5" customHeight="1">
      <c r="A2609" s="86"/>
      <c r="B2609" s="137" t="s">
        <v>1841</v>
      </c>
      <c r="C2609" s="79"/>
      <c r="D2609" s="80">
        <v>923452.5</v>
      </c>
      <c r="E2609" s="183"/>
      <c r="F2609" s="67" t="s">
        <v>608</v>
      </c>
      <c r="G2609" s="68">
        <v>0.0</v>
      </c>
      <c r="H2609" s="69">
        <f t="shared" si="144"/>
        <v>0</v>
      </c>
      <c r="I2609" s="76" t="s">
        <v>93</v>
      </c>
      <c r="J2609" s="158" t="s">
        <v>516</v>
      </c>
      <c r="K2609" s="95"/>
      <c r="L2609" s="95"/>
      <c r="M2609" s="95"/>
      <c r="N2609" s="153"/>
      <c r="O2609" s="140" t="s">
        <v>1872</v>
      </c>
      <c r="P2609" s="36"/>
      <c r="Q2609" s="36"/>
      <c r="R2609" s="36"/>
      <c r="S2609" s="36"/>
      <c r="T2609" s="36"/>
      <c r="U2609" s="36"/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</row>
    <row r="2610" ht="22.5" customHeight="1">
      <c r="A2610" s="86"/>
      <c r="B2610" s="137" t="s">
        <v>1869</v>
      </c>
      <c r="C2610" s="80">
        <v>1657626.0</v>
      </c>
      <c r="D2610" s="79"/>
      <c r="E2610" s="183"/>
      <c r="F2610" s="67" t="s">
        <v>608</v>
      </c>
      <c r="G2610" s="68">
        <v>20.0</v>
      </c>
      <c r="H2610" s="69">
        <f t="shared" si="144"/>
        <v>276271</v>
      </c>
      <c r="I2610" s="89" t="s">
        <v>37</v>
      </c>
      <c r="J2610" s="98" t="s">
        <v>849</v>
      </c>
      <c r="K2610" s="82" t="s">
        <v>1398</v>
      </c>
      <c r="L2610" s="82">
        <v>454.0</v>
      </c>
      <c r="M2610" s="132">
        <v>46003.0</v>
      </c>
      <c r="N2610" s="153">
        <f t="shared" ref="N2610:N2620" si="149">TODAY()-M2610-60</f>
        <v>125</v>
      </c>
      <c r="O2610" s="96"/>
      <c r="P2610" s="36"/>
      <c r="Q2610" s="36"/>
      <c r="R2610" s="36"/>
      <c r="S2610" s="36"/>
      <c r="T2610" s="36"/>
      <c r="U2610" s="36"/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</row>
    <row r="2611" ht="22.5" customHeight="1">
      <c r="A2611" s="86"/>
      <c r="B2611" s="137" t="s">
        <v>1869</v>
      </c>
      <c r="C2611" s="80">
        <v>602430.0</v>
      </c>
      <c r="D2611" s="79"/>
      <c r="E2611" s="183"/>
      <c r="F2611" s="67" t="s">
        <v>604</v>
      </c>
      <c r="G2611" s="68">
        <v>20.0</v>
      </c>
      <c r="H2611" s="69">
        <f t="shared" si="144"/>
        <v>100405</v>
      </c>
      <c r="I2611" s="89" t="s">
        <v>37</v>
      </c>
      <c r="J2611" s="98" t="s">
        <v>849</v>
      </c>
      <c r="K2611" s="82" t="s">
        <v>1584</v>
      </c>
      <c r="L2611" s="82">
        <v>9.0</v>
      </c>
      <c r="M2611" s="166">
        <v>46033.0</v>
      </c>
      <c r="N2611" s="153">
        <f t="shared" si="149"/>
        <v>95</v>
      </c>
      <c r="O2611" s="96"/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</row>
    <row r="2612" ht="22.5" customHeight="1">
      <c r="A2612" s="86"/>
      <c r="B2612" s="137" t="s">
        <v>1869</v>
      </c>
      <c r="C2612" s="80">
        <v>1533000.0</v>
      </c>
      <c r="D2612" s="79"/>
      <c r="E2612" s="183"/>
      <c r="F2612" s="67" t="s">
        <v>604</v>
      </c>
      <c r="G2612" s="68">
        <v>20.0</v>
      </c>
      <c r="H2612" s="69">
        <f t="shared" si="144"/>
        <v>255500</v>
      </c>
      <c r="I2612" s="89" t="s">
        <v>37</v>
      </c>
      <c r="J2612" s="98" t="s">
        <v>849</v>
      </c>
      <c r="K2612" s="82" t="s">
        <v>1352</v>
      </c>
      <c r="L2612" s="82">
        <v>10.0</v>
      </c>
      <c r="M2612" s="166">
        <v>46033.0</v>
      </c>
      <c r="N2612" s="153">
        <f t="shared" si="149"/>
        <v>95</v>
      </c>
      <c r="O2612" s="96"/>
      <c r="P2612" s="36"/>
      <c r="Q2612" s="36"/>
      <c r="R2612" s="36"/>
      <c r="S2612" s="36"/>
      <c r="T2612" s="36"/>
      <c r="U2612" s="36"/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</row>
    <row r="2613" ht="22.5" customHeight="1">
      <c r="A2613" s="86"/>
      <c r="B2613" s="137" t="s">
        <v>1869</v>
      </c>
      <c r="C2613" s="80">
        <v>748440.0</v>
      </c>
      <c r="D2613" s="79"/>
      <c r="E2613" s="183"/>
      <c r="F2613" s="67" t="s">
        <v>604</v>
      </c>
      <c r="G2613" s="68">
        <v>20.0</v>
      </c>
      <c r="H2613" s="69">
        <f t="shared" si="144"/>
        <v>124740</v>
      </c>
      <c r="I2613" s="89" t="s">
        <v>37</v>
      </c>
      <c r="J2613" s="98" t="s">
        <v>849</v>
      </c>
      <c r="K2613" s="82" t="s">
        <v>1399</v>
      </c>
      <c r="L2613" s="82">
        <v>11.0</v>
      </c>
      <c r="M2613" s="166">
        <v>46034.0</v>
      </c>
      <c r="N2613" s="153">
        <f t="shared" si="149"/>
        <v>94</v>
      </c>
      <c r="O2613" s="96"/>
      <c r="P2613" s="36"/>
      <c r="Q2613" s="36"/>
      <c r="R2613" s="36"/>
      <c r="S2613" s="36"/>
      <c r="T2613" s="36"/>
      <c r="U2613" s="36"/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</row>
    <row r="2614" ht="22.5" customHeight="1">
      <c r="A2614" s="86"/>
      <c r="B2614" s="137" t="s">
        <v>1869</v>
      </c>
      <c r="C2614" s="80">
        <v>149550.66</v>
      </c>
      <c r="D2614" s="79"/>
      <c r="E2614" s="183"/>
      <c r="F2614" s="67" t="s">
        <v>604</v>
      </c>
      <c r="G2614" s="68">
        <v>20.0</v>
      </c>
      <c r="H2614" s="69">
        <f t="shared" si="144"/>
        <v>24925.11</v>
      </c>
      <c r="I2614" s="89" t="s">
        <v>37</v>
      </c>
      <c r="J2614" s="98" t="s">
        <v>849</v>
      </c>
      <c r="K2614" s="82" t="s">
        <v>1257</v>
      </c>
      <c r="L2614" s="82">
        <v>12.0</v>
      </c>
      <c r="M2614" s="166">
        <v>46034.0</v>
      </c>
      <c r="N2614" s="153">
        <f t="shared" si="149"/>
        <v>94</v>
      </c>
      <c r="O2614" s="96"/>
      <c r="P2614" s="36"/>
      <c r="Q2614" s="36"/>
      <c r="R2614" s="36"/>
      <c r="S2614" s="36"/>
      <c r="T2614" s="36"/>
      <c r="U2614" s="36"/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</row>
    <row r="2615" ht="22.5" customHeight="1">
      <c r="A2615" s="86"/>
      <c r="B2615" s="137" t="s">
        <v>1869</v>
      </c>
      <c r="C2615" s="80">
        <v>1251180.0</v>
      </c>
      <c r="D2615" s="79"/>
      <c r="E2615" s="183"/>
      <c r="F2615" s="67" t="s">
        <v>604</v>
      </c>
      <c r="G2615" s="68">
        <v>20.0</v>
      </c>
      <c r="H2615" s="69">
        <f t="shared" si="144"/>
        <v>208530</v>
      </c>
      <c r="I2615" s="89" t="s">
        <v>37</v>
      </c>
      <c r="J2615" s="98" t="s">
        <v>849</v>
      </c>
      <c r="K2615" s="82" t="s">
        <v>1402</v>
      </c>
      <c r="L2615" s="82">
        <v>13.0</v>
      </c>
      <c r="M2615" s="166">
        <v>46034.0</v>
      </c>
      <c r="N2615" s="153">
        <f t="shared" si="149"/>
        <v>94</v>
      </c>
      <c r="O2615" s="96"/>
      <c r="P2615" s="36"/>
      <c r="Q2615" s="36"/>
      <c r="R2615" s="36"/>
      <c r="S2615" s="36"/>
      <c r="T2615" s="36"/>
      <c r="U2615" s="36"/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</row>
    <row r="2616" ht="22.5" customHeight="1">
      <c r="A2616" s="86"/>
      <c r="B2616" s="137" t="s">
        <v>1869</v>
      </c>
      <c r="C2616" s="80">
        <v>917460.0</v>
      </c>
      <c r="D2616" s="79"/>
      <c r="E2616" s="183"/>
      <c r="F2616" s="67" t="s">
        <v>604</v>
      </c>
      <c r="G2616" s="68">
        <v>20.0</v>
      </c>
      <c r="H2616" s="69">
        <f t="shared" si="144"/>
        <v>152910</v>
      </c>
      <c r="I2616" s="89" t="s">
        <v>37</v>
      </c>
      <c r="J2616" s="98" t="s">
        <v>1786</v>
      </c>
      <c r="K2616" s="82" t="s">
        <v>1612</v>
      </c>
      <c r="L2616" s="82">
        <v>25.0</v>
      </c>
      <c r="M2616" s="166">
        <v>46041.0</v>
      </c>
      <c r="N2616" s="153">
        <f t="shared" si="149"/>
        <v>87</v>
      </c>
      <c r="O2616" s="96"/>
      <c r="P2616" s="36"/>
      <c r="Q2616" s="36"/>
      <c r="R2616" s="36"/>
      <c r="S2616" s="36"/>
      <c r="T2616" s="36"/>
      <c r="U2616" s="36"/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</row>
    <row r="2617" ht="22.5" customHeight="1">
      <c r="A2617" s="86"/>
      <c r="B2617" s="137" t="s">
        <v>1869</v>
      </c>
      <c r="C2617" s="80">
        <v>1199682.0</v>
      </c>
      <c r="D2617" s="79"/>
      <c r="E2617" s="183"/>
      <c r="F2617" s="67" t="s">
        <v>604</v>
      </c>
      <c r="G2617" s="68">
        <v>20.0</v>
      </c>
      <c r="H2617" s="69">
        <f t="shared" si="144"/>
        <v>199947</v>
      </c>
      <c r="I2617" s="89" t="s">
        <v>37</v>
      </c>
      <c r="J2617" s="98" t="s">
        <v>849</v>
      </c>
      <c r="K2617" s="82" t="s">
        <v>1353</v>
      </c>
      <c r="L2617" s="82">
        <v>27.0</v>
      </c>
      <c r="M2617" s="128">
        <v>46042.0</v>
      </c>
      <c r="N2617" s="153">
        <f t="shared" si="149"/>
        <v>86</v>
      </c>
      <c r="O2617" s="96"/>
      <c r="P2617" s="36"/>
      <c r="Q2617" s="36"/>
      <c r="R2617" s="36"/>
      <c r="S2617" s="36"/>
      <c r="T2617" s="36"/>
      <c r="U2617" s="36"/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</row>
    <row r="2618" ht="22.5" customHeight="1">
      <c r="A2618" s="86"/>
      <c r="B2618" s="137" t="s">
        <v>1869</v>
      </c>
      <c r="C2618" s="80">
        <v>373329.6</v>
      </c>
      <c r="D2618" s="79"/>
      <c r="E2618" s="183"/>
      <c r="F2618" s="67" t="s">
        <v>604</v>
      </c>
      <c r="G2618" s="68">
        <v>20.0</v>
      </c>
      <c r="H2618" s="69">
        <f t="shared" si="144"/>
        <v>62221.6</v>
      </c>
      <c r="I2618" s="89" t="s">
        <v>37</v>
      </c>
      <c r="J2618" s="98" t="s">
        <v>1784</v>
      </c>
      <c r="K2618" s="82" t="s">
        <v>844</v>
      </c>
      <c r="L2618" s="82">
        <v>39.0</v>
      </c>
      <c r="M2618" s="128">
        <v>46042.0</v>
      </c>
      <c r="N2618" s="153">
        <f t="shared" si="149"/>
        <v>86</v>
      </c>
      <c r="O2618" s="96"/>
      <c r="P2618" s="36"/>
      <c r="Q2618" s="36"/>
      <c r="R2618" s="36"/>
      <c r="S2618" s="36"/>
      <c r="T2618" s="36"/>
      <c r="U2618" s="36"/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</row>
    <row r="2619" ht="22.5" customHeight="1">
      <c r="A2619" s="86"/>
      <c r="B2619" s="137" t="s">
        <v>1869</v>
      </c>
      <c r="C2619" s="80">
        <v>305000.22</v>
      </c>
      <c r="D2619" s="79"/>
      <c r="E2619" s="183"/>
      <c r="F2619" s="67" t="s">
        <v>1531</v>
      </c>
      <c r="G2619" s="68">
        <v>22.0</v>
      </c>
      <c r="H2619" s="69">
        <f t="shared" si="144"/>
        <v>55000.03967</v>
      </c>
      <c r="I2619" s="89" t="s">
        <v>37</v>
      </c>
      <c r="J2619" s="98" t="s">
        <v>1014</v>
      </c>
      <c r="K2619" s="82" t="s">
        <v>1522</v>
      </c>
      <c r="L2619" s="82">
        <v>53.0</v>
      </c>
      <c r="M2619" s="128">
        <v>46085.0</v>
      </c>
      <c r="N2619" s="153">
        <f t="shared" si="149"/>
        <v>43</v>
      </c>
      <c r="O2619" s="96"/>
      <c r="P2619" s="36"/>
      <c r="Q2619" s="36"/>
      <c r="R2619" s="36"/>
      <c r="S2619" s="36"/>
      <c r="T2619" s="36"/>
      <c r="U2619" s="36"/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</row>
    <row r="2620" ht="22.5" customHeight="1">
      <c r="A2620" s="86"/>
      <c r="B2620" s="137" t="s">
        <v>1869</v>
      </c>
      <c r="C2620" s="80">
        <v>305000.24</v>
      </c>
      <c r="D2620" s="79"/>
      <c r="E2620" s="183"/>
      <c r="F2620" s="67" t="s">
        <v>1531</v>
      </c>
      <c r="G2620" s="68">
        <v>22.0</v>
      </c>
      <c r="H2620" s="69">
        <f t="shared" si="144"/>
        <v>55000.04328</v>
      </c>
      <c r="I2620" s="89" t="s">
        <v>37</v>
      </c>
      <c r="J2620" s="98" t="s">
        <v>1014</v>
      </c>
      <c r="K2620" s="82" t="s">
        <v>1522</v>
      </c>
      <c r="L2620" s="82">
        <v>66.0</v>
      </c>
      <c r="M2620" s="128">
        <v>46092.0</v>
      </c>
      <c r="N2620" s="153">
        <f t="shared" si="149"/>
        <v>36</v>
      </c>
      <c r="O2620" s="96"/>
      <c r="P2620" s="36"/>
      <c r="Q2620" s="36"/>
      <c r="R2620" s="36"/>
      <c r="S2620" s="36"/>
      <c r="T2620" s="36"/>
      <c r="U2620" s="36"/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</row>
    <row r="2621" ht="22.5" customHeight="1">
      <c r="A2621" s="86"/>
      <c r="B2621" s="137" t="s">
        <v>1869</v>
      </c>
      <c r="C2621" s="80">
        <v>427000.31</v>
      </c>
      <c r="D2621" s="79"/>
      <c r="E2621" s="183"/>
      <c r="F2621" s="67" t="s">
        <v>1531</v>
      </c>
      <c r="G2621" s="68">
        <v>22.0</v>
      </c>
      <c r="H2621" s="69">
        <f t="shared" si="144"/>
        <v>77000.0559</v>
      </c>
      <c r="I2621" s="89" t="s">
        <v>37</v>
      </c>
      <c r="J2621" s="98" t="s">
        <v>677</v>
      </c>
      <c r="K2621" s="82" t="s">
        <v>993</v>
      </c>
      <c r="L2621" s="82">
        <v>69.0</v>
      </c>
      <c r="M2621" s="128">
        <v>46092.0</v>
      </c>
      <c r="N2621" s="153"/>
      <c r="O2621" s="96"/>
      <c r="P2621" s="36"/>
      <c r="Q2621" s="36"/>
      <c r="R2621" s="36"/>
      <c r="S2621" s="36"/>
      <c r="T2621" s="36"/>
      <c r="U2621" s="36"/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</row>
    <row r="2622" ht="22.5" customHeight="1">
      <c r="A2622" s="86"/>
      <c r="B2622" s="137" t="s">
        <v>1869</v>
      </c>
      <c r="C2622" s="80">
        <v>368101.38</v>
      </c>
      <c r="D2622" s="79"/>
      <c r="E2622" s="183"/>
      <c r="F2622" s="67" t="s">
        <v>1531</v>
      </c>
      <c r="G2622" s="68">
        <v>22.0</v>
      </c>
      <c r="H2622" s="69">
        <f t="shared" si="144"/>
        <v>66378.93738</v>
      </c>
      <c r="I2622" s="89" t="s">
        <v>37</v>
      </c>
      <c r="J2622" s="98" t="s">
        <v>1784</v>
      </c>
      <c r="K2622" s="82" t="s">
        <v>754</v>
      </c>
      <c r="L2622" s="82">
        <v>70.0</v>
      </c>
      <c r="M2622" s="128">
        <v>46093.0</v>
      </c>
      <c r="N2622" s="153"/>
      <c r="O2622" s="96"/>
      <c r="P2622" s="36"/>
      <c r="Q2622" s="36"/>
      <c r="R2622" s="36"/>
      <c r="S2622" s="36"/>
      <c r="T2622" s="36"/>
      <c r="U2622" s="36"/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</row>
    <row r="2623" ht="22.5" customHeight="1">
      <c r="A2623" s="86"/>
      <c r="B2623" s="137" t="s">
        <v>1869</v>
      </c>
      <c r="C2623" s="80">
        <v>367073.12</v>
      </c>
      <c r="D2623" s="79"/>
      <c r="E2623" s="183"/>
      <c r="F2623" s="67" t="s">
        <v>1531</v>
      </c>
      <c r="G2623" s="68">
        <v>22.0</v>
      </c>
      <c r="H2623" s="69">
        <f t="shared" si="144"/>
        <v>66193.51344</v>
      </c>
      <c r="I2623" s="89" t="s">
        <v>37</v>
      </c>
      <c r="J2623" s="98" t="s">
        <v>1784</v>
      </c>
      <c r="K2623" s="82" t="s">
        <v>1093</v>
      </c>
      <c r="L2623" s="82">
        <v>71.0</v>
      </c>
      <c r="M2623" s="128">
        <v>46093.0</v>
      </c>
      <c r="N2623" s="153"/>
      <c r="O2623" s="96"/>
      <c r="P2623" s="36"/>
      <c r="Q2623" s="36"/>
      <c r="R2623" s="36"/>
      <c r="S2623" s="36"/>
      <c r="T2623" s="36"/>
      <c r="U2623" s="36"/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</row>
    <row r="2624" ht="22.5" customHeight="1">
      <c r="A2624" s="86"/>
      <c r="B2624" s="137" t="s">
        <v>1869</v>
      </c>
      <c r="C2624" s="80">
        <v>610061.0</v>
      </c>
      <c r="D2624" s="79"/>
      <c r="E2624" s="183"/>
      <c r="F2624" s="67" t="s">
        <v>1531</v>
      </c>
      <c r="G2624" s="68">
        <v>22.0</v>
      </c>
      <c r="H2624" s="69">
        <f t="shared" si="144"/>
        <v>110011</v>
      </c>
      <c r="I2624" s="89" t="s">
        <v>37</v>
      </c>
      <c r="J2624" s="98" t="s">
        <v>1167</v>
      </c>
      <c r="K2624" s="82" t="s">
        <v>1873</v>
      </c>
      <c r="L2624" s="82">
        <v>75.0</v>
      </c>
      <c r="M2624" s="128">
        <v>46094.0</v>
      </c>
      <c r="N2624" s="153"/>
      <c r="O2624" s="96"/>
      <c r="P2624" s="36"/>
      <c r="Q2624" s="36"/>
      <c r="R2624" s="36"/>
      <c r="S2624" s="36"/>
      <c r="T2624" s="36"/>
      <c r="U2624" s="36"/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</row>
    <row r="2625" ht="22.5" customHeight="1">
      <c r="A2625" s="86"/>
      <c r="B2625" s="137" t="s">
        <v>1869</v>
      </c>
      <c r="C2625" s="80">
        <v>610061.0</v>
      </c>
      <c r="D2625" s="79"/>
      <c r="E2625" s="183"/>
      <c r="F2625" s="67" t="s">
        <v>1531</v>
      </c>
      <c r="G2625" s="68">
        <v>22.0</v>
      </c>
      <c r="H2625" s="69">
        <f t="shared" si="144"/>
        <v>110011</v>
      </c>
      <c r="I2625" s="89" t="s">
        <v>37</v>
      </c>
      <c r="J2625" s="98" t="s">
        <v>1167</v>
      </c>
      <c r="K2625" s="82" t="s">
        <v>1874</v>
      </c>
      <c r="L2625" s="82">
        <v>76.0</v>
      </c>
      <c r="M2625" s="128">
        <v>46094.0</v>
      </c>
      <c r="N2625" s="153"/>
      <c r="O2625" s="96"/>
      <c r="P2625" s="36"/>
      <c r="Q2625" s="36"/>
      <c r="R2625" s="36"/>
      <c r="S2625" s="36"/>
      <c r="T2625" s="36"/>
      <c r="U2625" s="36"/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</row>
    <row r="2626" ht="22.5" customHeight="1">
      <c r="A2626" s="86"/>
      <c r="B2626" s="137" t="s">
        <v>1869</v>
      </c>
      <c r="C2626" s="80">
        <v>610061.0</v>
      </c>
      <c r="D2626" s="79"/>
      <c r="E2626" s="183"/>
      <c r="F2626" s="67" t="s">
        <v>1531</v>
      </c>
      <c r="G2626" s="68">
        <v>22.0</v>
      </c>
      <c r="H2626" s="69">
        <f t="shared" si="144"/>
        <v>110011</v>
      </c>
      <c r="I2626" s="89" t="s">
        <v>37</v>
      </c>
      <c r="J2626" s="98" t="s">
        <v>1167</v>
      </c>
      <c r="K2626" s="82" t="s">
        <v>1875</v>
      </c>
      <c r="L2626" s="82">
        <v>77.0</v>
      </c>
      <c r="M2626" s="128">
        <v>46094.0</v>
      </c>
      <c r="N2626" s="153"/>
      <c r="O2626" s="96"/>
      <c r="P2626" s="36"/>
      <c r="Q2626" s="36"/>
      <c r="R2626" s="36"/>
      <c r="S2626" s="36"/>
      <c r="T2626" s="36"/>
      <c r="U2626" s="36"/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</row>
    <row r="2627" ht="22.5" customHeight="1">
      <c r="A2627" s="86"/>
      <c r="B2627" s="137" t="s">
        <v>1869</v>
      </c>
      <c r="C2627" s="80">
        <v>610061.0</v>
      </c>
      <c r="D2627" s="79"/>
      <c r="E2627" s="183"/>
      <c r="F2627" s="67" t="s">
        <v>1531</v>
      </c>
      <c r="G2627" s="68">
        <v>22.0</v>
      </c>
      <c r="H2627" s="69">
        <f t="shared" si="144"/>
        <v>110011</v>
      </c>
      <c r="I2627" s="89" t="s">
        <v>37</v>
      </c>
      <c r="J2627" s="98" t="s">
        <v>1167</v>
      </c>
      <c r="K2627" s="82" t="s">
        <v>1876</v>
      </c>
      <c r="L2627" s="82">
        <v>78.0</v>
      </c>
      <c r="M2627" s="128">
        <v>46094.0</v>
      </c>
      <c r="N2627" s="153"/>
      <c r="O2627" s="96"/>
      <c r="P2627" s="36"/>
      <c r="Q2627" s="36"/>
      <c r="R2627" s="36"/>
      <c r="S2627" s="36"/>
      <c r="T2627" s="36"/>
      <c r="U2627" s="36"/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</row>
    <row r="2628" ht="22.5" customHeight="1">
      <c r="A2628" s="86"/>
      <c r="B2628" s="137" t="s">
        <v>1869</v>
      </c>
      <c r="C2628" s="80">
        <v>610061.0</v>
      </c>
      <c r="D2628" s="79"/>
      <c r="E2628" s="183"/>
      <c r="F2628" s="67" t="s">
        <v>1531</v>
      </c>
      <c r="G2628" s="68">
        <v>22.0</v>
      </c>
      <c r="H2628" s="69">
        <f t="shared" si="144"/>
        <v>110011</v>
      </c>
      <c r="I2628" s="89" t="s">
        <v>37</v>
      </c>
      <c r="J2628" s="98" t="s">
        <v>1167</v>
      </c>
      <c r="K2628" s="82" t="s">
        <v>1877</v>
      </c>
      <c r="L2628" s="82">
        <v>79.0</v>
      </c>
      <c r="M2628" s="128">
        <v>46094.0</v>
      </c>
      <c r="N2628" s="153"/>
      <c r="O2628" s="96"/>
      <c r="P2628" s="36"/>
      <c r="Q2628" s="36"/>
      <c r="R2628" s="36"/>
      <c r="S2628" s="36"/>
      <c r="T2628" s="36"/>
      <c r="U2628" s="36"/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</row>
    <row r="2629" ht="22.5" customHeight="1">
      <c r="A2629" s="86"/>
      <c r="B2629" s="137" t="s">
        <v>1869</v>
      </c>
      <c r="C2629" s="80">
        <v>610061.0</v>
      </c>
      <c r="D2629" s="79"/>
      <c r="E2629" s="183"/>
      <c r="F2629" s="67" t="s">
        <v>1531</v>
      </c>
      <c r="G2629" s="68">
        <v>22.0</v>
      </c>
      <c r="H2629" s="69">
        <f t="shared" si="144"/>
        <v>110011</v>
      </c>
      <c r="I2629" s="89" t="s">
        <v>37</v>
      </c>
      <c r="J2629" s="98" t="s">
        <v>1167</v>
      </c>
      <c r="K2629" s="82" t="s">
        <v>1878</v>
      </c>
      <c r="L2629" s="82">
        <v>80.0</v>
      </c>
      <c r="M2629" s="128">
        <v>46094.0</v>
      </c>
      <c r="N2629" s="153"/>
      <c r="O2629" s="96"/>
      <c r="P2629" s="36"/>
      <c r="Q2629" s="36"/>
      <c r="R2629" s="36"/>
      <c r="S2629" s="36"/>
      <c r="T2629" s="36"/>
      <c r="U2629" s="36"/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</row>
    <row r="2630" ht="22.5" customHeight="1">
      <c r="A2630" s="86"/>
      <c r="B2630" s="137" t="s">
        <v>1869</v>
      </c>
      <c r="C2630" s="80">
        <v>369050.0</v>
      </c>
      <c r="D2630" s="79"/>
      <c r="E2630" s="183"/>
      <c r="F2630" s="67" t="s">
        <v>1531</v>
      </c>
      <c r="G2630" s="68">
        <v>22.0</v>
      </c>
      <c r="H2630" s="69">
        <f t="shared" si="144"/>
        <v>66550</v>
      </c>
      <c r="I2630" s="89" t="s">
        <v>37</v>
      </c>
      <c r="J2630" s="98" t="s">
        <v>944</v>
      </c>
      <c r="K2630" s="82" t="s">
        <v>1263</v>
      </c>
      <c r="L2630" s="82">
        <v>86.0</v>
      </c>
      <c r="M2630" s="128">
        <v>46094.0</v>
      </c>
      <c r="N2630" s="153"/>
      <c r="O2630" s="96"/>
      <c r="P2630" s="36"/>
      <c r="Q2630" s="36"/>
      <c r="R2630" s="36"/>
      <c r="S2630" s="36"/>
      <c r="T2630" s="36"/>
      <c r="U2630" s="36"/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</row>
    <row r="2631" ht="22.5" customHeight="1">
      <c r="A2631" s="86"/>
      <c r="B2631" s="137" t="s">
        <v>1869</v>
      </c>
      <c r="C2631" s="80">
        <v>301950.0</v>
      </c>
      <c r="D2631" s="79"/>
      <c r="E2631" s="183"/>
      <c r="F2631" s="67" t="s">
        <v>1531</v>
      </c>
      <c r="G2631" s="68">
        <v>22.0</v>
      </c>
      <c r="H2631" s="69">
        <f t="shared" si="144"/>
        <v>54450</v>
      </c>
      <c r="I2631" s="89" t="s">
        <v>37</v>
      </c>
      <c r="J2631" s="98" t="s">
        <v>944</v>
      </c>
      <c r="K2631" s="82" t="s">
        <v>1263</v>
      </c>
      <c r="L2631" s="82">
        <v>87.0</v>
      </c>
      <c r="M2631" s="128">
        <v>46094.0</v>
      </c>
      <c r="N2631" s="153"/>
      <c r="O2631" s="96"/>
      <c r="P2631" s="36"/>
      <c r="Q2631" s="36"/>
      <c r="R2631" s="36"/>
      <c r="S2631" s="36"/>
      <c r="T2631" s="36"/>
      <c r="U2631" s="36"/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</row>
    <row r="2632" ht="22.5" customHeight="1">
      <c r="A2632" s="86"/>
      <c r="B2632" s="137" t="s">
        <v>1869</v>
      </c>
      <c r="C2632" s="80">
        <v>276787.63</v>
      </c>
      <c r="D2632" s="79"/>
      <c r="E2632" s="183"/>
      <c r="F2632" s="67" t="s">
        <v>1531</v>
      </c>
      <c r="G2632" s="68">
        <v>22.0</v>
      </c>
      <c r="H2632" s="69">
        <f t="shared" si="144"/>
        <v>49912.52344</v>
      </c>
      <c r="I2632" s="89" t="s">
        <v>37</v>
      </c>
      <c r="J2632" s="98" t="s">
        <v>944</v>
      </c>
      <c r="K2632" s="82" t="s">
        <v>1263</v>
      </c>
      <c r="L2632" s="82">
        <v>88.0</v>
      </c>
      <c r="M2632" s="128">
        <v>46094.0</v>
      </c>
      <c r="N2632" s="153"/>
      <c r="O2632" s="96"/>
      <c r="P2632" s="36"/>
      <c r="Q2632" s="36"/>
      <c r="R2632" s="36"/>
      <c r="S2632" s="36"/>
      <c r="T2632" s="36"/>
      <c r="U2632" s="36"/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</row>
    <row r="2633" ht="22.5" customHeight="1">
      <c r="A2633" s="86"/>
      <c r="B2633" s="137" t="s">
        <v>1869</v>
      </c>
      <c r="C2633" s="80">
        <v>226462.5</v>
      </c>
      <c r="D2633" s="79"/>
      <c r="E2633" s="183"/>
      <c r="F2633" s="67" t="s">
        <v>1531</v>
      </c>
      <c r="G2633" s="68">
        <v>22.0</v>
      </c>
      <c r="H2633" s="69">
        <f t="shared" si="144"/>
        <v>40837.5</v>
      </c>
      <c r="I2633" s="89" t="s">
        <v>37</v>
      </c>
      <c r="J2633" s="98" t="s">
        <v>944</v>
      </c>
      <c r="K2633" s="82" t="s">
        <v>1263</v>
      </c>
      <c r="L2633" s="82">
        <v>89.0</v>
      </c>
      <c r="M2633" s="128">
        <v>46094.0</v>
      </c>
      <c r="N2633" s="153"/>
      <c r="O2633" s="96"/>
      <c r="P2633" s="36"/>
      <c r="Q2633" s="36"/>
      <c r="R2633" s="36"/>
      <c r="S2633" s="36"/>
      <c r="T2633" s="36"/>
      <c r="U2633" s="36"/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</row>
    <row r="2634" ht="22.5" customHeight="1">
      <c r="A2634" s="86"/>
      <c r="B2634" s="137" t="s">
        <v>1869</v>
      </c>
      <c r="C2634" s="80">
        <v>751947.0</v>
      </c>
      <c r="D2634" s="79"/>
      <c r="E2634" s="183"/>
      <c r="F2634" s="67" t="s">
        <v>1531</v>
      </c>
      <c r="G2634" s="68">
        <v>22.0</v>
      </c>
      <c r="H2634" s="69">
        <f t="shared" si="144"/>
        <v>135597</v>
      </c>
      <c r="I2634" s="89" t="s">
        <v>37</v>
      </c>
      <c r="J2634" s="98" t="s">
        <v>1167</v>
      </c>
      <c r="K2634" s="82" t="s">
        <v>1879</v>
      </c>
      <c r="L2634" s="82">
        <v>90.0</v>
      </c>
      <c r="M2634" s="128">
        <v>46094.0</v>
      </c>
      <c r="N2634" s="153"/>
      <c r="O2634" s="96"/>
      <c r="P2634" s="36"/>
      <c r="Q2634" s="36"/>
      <c r="R2634" s="36"/>
      <c r="S2634" s="36"/>
      <c r="T2634" s="36"/>
      <c r="U2634" s="36"/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</row>
    <row r="2635" ht="22.5" customHeight="1">
      <c r="A2635" s="86"/>
      <c r="B2635" s="137" t="s">
        <v>1869</v>
      </c>
      <c r="C2635" s="80">
        <v>36600.0</v>
      </c>
      <c r="D2635" s="79"/>
      <c r="E2635" s="183"/>
      <c r="F2635" s="67" t="s">
        <v>1531</v>
      </c>
      <c r="G2635" s="68">
        <v>22.0</v>
      </c>
      <c r="H2635" s="69">
        <f t="shared" si="144"/>
        <v>6600</v>
      </c>
      <c r="I2635" s="89" t="s">
        <v>37</v>
      </c>
      <c r="J2635" s="98" t="s">
        <v>1167</v>
      </c>
      <c r="K2635" s="82" t="s">
        <v>1873</v>
      </c>
      <c r="L2635" s="82">
        <v>91.0</v>
      </c>
      <c r="M2635" s="128">
        <v>46094.0</v>
      </c>
      <c r="N2635" s="153"/>
      <c r="O2635" s="96"/>
      <c r="P2635" s="36"/>
      <c r="Q2635" s="36"/>
      <c r="R2635" s="36"/>
      <c r="S2635" s="36"/>
      <c r="T2635" s="36"/>
      <c r="U2635" s="36"/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</row>
    <row r="2636" ht="22.5" customHeight="1">
      <c r="A2636" s="86"/>
      <c r="B2636" s="137" t="s">
        <v>1869</v>
      </c>
      <c r="C2636" s="80">
        <v>253020.24</v>
      </c>
      <c r="D2636" s="79"/>
      <c r="E2636" s="183"/>
      <c r="F2636" s="67" t="s">
        <v>604</v>
      </c>
      <c r="G2636" s="68">
        <v>0.0</v>
      </c>
      <c r="H2636" s="69">
        <f t="shared" si="144"/>
        <v>0</v>
      </c>
      <c r="I2636" s="89" t="s">
        <v>35</v>
      </c>
      <c r="J2636" s="98" t="s">
        <v>1014</v>
      </c>
      <c r="K2636" s="82" t="s">
        <v>1880</v>
      </c>
      <c r="L2636" s="95"/>
      <c r="M2636" s="132">
        <v>45985.0</v>
      </c>
      <c r="N2636" s="153"/>
      <c r="O2636" s="96"/>
      <c r="P2636" s="36"/>
      <c r="Q2636" s="36"/>
      <c r="R2636" s="36"/>
      <c r="S2636" s="36"/>
      <c r="T2636" s="36"/>
      <c r="U2636" s="36"/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</row>
    <row r="2637" ht="22.5" customHeight="1">
      <c r="A2637" s="86"/>
      <c r="B2637" s="137" t="s">
        <v>1869</v>
      </c>
      <c r="C2637" s="80">
        <v>515604.84</v>
      </c>
      <c r="D2637" s="79"/>
      <c r="E2637" s="183"/>
      <c r="F2637" s="67" t="s">
        <v>608</v>
      </c>
      <c r="G2637" s="68">
        <v>0.0</v>
      </c>
      <c r="H2637" s="69">
        <f t="shared" si="144"/>
        <v>0</v>
      </c>
      <c r="I2637" s="89" t="s">
        <v>35</v>
      </c>
      <c r="J2637" s="98" t="s">
        <v>1014</v>
      </c>
      <c r="K2637" s="82" t="s">
        <v>1880</v>
      </c>
      <c r="L2637" s="95"/>
      <c r="M2637" s="132">
        <v>46006.0</v>
      </c>
      <c r="N2637" s="153"/>
      <c r="O2637" s="96"/>
      <c r="P2637" s="36"/>
      <c r="Q2637" s="36"/>
      <c r="R2637" s="36"/>
      <c r="S2637" s="36"/>
      <c r="T2637" s="36"/>
      <c r="U2637" s="36"/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</row>
    <row r="2638" ht="22.5" customHeight="1">
      <c r="A2638" s="86"/>
      <c r="B2638" s="137" t="s">
        <v>1841</v>
      </c>
      <c r="C2638" s="79"/>
      <c r="D2638" s="80">
        <v>216876.51</v>
      </c>
      <c r="E2638" s="183"/>
      <c r="F2638" s="67" t="s">
        <v>1609</v>
      </c>
      <c r="G2638" s="68">
        <v>22.0</v>
      </c>
      <c r="H2638" s="69">
        <f t="shared" si="144"/>
        <v>39108.87885</v>
      </c>
      <c r="I2638" s="89" t="s">
        <v>101</v>
      </c>
      <c r="J2638" s="151" t="s">
        <v>1881</v>
      </c>
      <c r="K2638" s="95"/>
      <c r="L2638" s="95"/>
      <c r="M2638" s="95"/>
      <c r="N2638" s="153"/>
      <c r="O2638" s="96"/>
      <c r="P2638" s="36"/>
      <c r="Q2638" s="36"/>
      <c r="R2638" s="36"/>
      <c r="S2638" s="36"/>
      <c r="T2638" s="36"/>
      <c r="U2638" s="36"/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</row>
    <row r="2639" ht="22.5" customHeight="1">
      <c r="A2639" s="86"/>
      <c r="B2639" s="137" t="s">
        <v>1841</v>
      </c>
      <c r="C2639" s="79"/>
      <c r="D2639" s="80">
        <v>94804.98</v>
      </c>
      <c r="E2639" s="183"/>
      <c r="F2639" s="67" t="s">
        <v>1680</v>
      </c>
      <c r="G2639" s="68">
        <v>22.0</v>
      </c>
      <c r="H2639" s="69">
        <f t="shared" si="144"/>
        <v>17095.98</v>
      </c>
      <c r="I2639" s="89" t="s">
        <v>259</v>
      </c>
      <c r="J2639" s="98" t="s">
        <v>1519</v>
      </c>
      <c r="K2639" s="95"/>
      <c r="L2639" s="95"/>
      <c r="M2639" s="95"/>
      <c r="N2639" s="153"/>
      <c r="O2639" s="140" t="s">
        <v>1882</v>
      </c>
      <c r="P2639" s="36"/>
      <c r="Q2639" s="36"/>
      <c r="R2639" s="36"/>
      <c r="S2639" s="36"/>
      <c r="T2639" s="36"/>
      <c r="U2639" s="36"/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</row>
    <row r="2640" ht="22.5" customHeight="1">
      <c r="A2640" s="86"/>
      <c r="B2640" s="137" t="s">
        <v>1869</v>
      </c>
      <c r="C2640" s="80">
        <v>610000.24</v>
      </c>
      <c r="D2640" s="79"/>
      <c r="E2640" s="183"/>
      <c r="F2640" s="67" t="s">
        <v>1609</v>
      </c>
      <c r="G2640" s="68">
        <v>22.0</v>
      </c>
      <c r="H2640" s="69">
        <f t="shared" si="144"/>
        <v>110000.0433</v>
      </c>
      <c r="I2640" s="89" t="s">
        <v>37</v>
      </c>
      <c r="J2640" s="98" t="s">
        <v>1271</v>
      </c>
      <c r="K2640" s="82" t="s">
        <v>757</v>
      </c>
      <c r="L2640" s="82">
        <v>94.0</v>
      </c>
      <c r="M2640" s="128">
        <v>46116.0</v>
      </c>
      <c r="N2640" s="153"/>
      <c r="O2640" s="96"/>
      <c r="P2640" s="36"/>
      <c r="Q2640" s="36"/>
      <c r="R2640" s="36"/>
      <c r="S2640" s="36"/>
      <c r="T2640" s="36"/>
      <c r="U2640" s="36"/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</row>
    <row r="2641" ht="22.5" customHeight="1">
      <c r="A2641" s="86"/>
      <c r="B2641" s="137" t="s">
        <v>1869</v>
      </c>
      <c r="C2641" s="80">
        <v>1415570.15</v>
      </c>
      <c r="D2641" s="79"/>
      <c r="E2641" s="183"/>
      <c r="F2641" s="67" t="s">
        <v>1609</v>
      </c>
      <c r="G2641" s="68">
        <v>22.0</v>
      </c>
      <c r="H2641" s="69">
        <f t="shared" si="144"/>
        <v>255266.7484</v>
      </c>
      <c r="I2641" s="89" t="s">
        <v>37</v>
      </c>
      <c r="J2641" s="98" t="s">
        <v>1678</v>
      </c>
      <c r="K2641" s="82" t="s">
        <v>607</v>
      </c>
      <c r="L2641" s="82">
        <v>97.0</v>
      </c>
      <c r="M2641" s="128">
        <v>46116.0</v>
      </c>
      <c r="N2641" s="153"/>
      <c r="O2641" s="96"/>
      <c r="P2641" s="36"/>
      <c r="Q2641" s="36"/>
      <c r="R2641" s="36"/>
      <c r="S2641" s="36"/>
      <c r="T2641" s="36"/>
      <c r="U2641" s="36"/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</row>
    <row r="2642" ht="22.5" customHeight="1">
      <c r="A2642" s="86"/>
      <c r="B2642" s="137" t="s">
        <v>1869</v>
      </c>
      <c r="C2642" s="80">
        <v>157285.57</v>
      </c>
      <c r="D2642" s="79"/>
      <c r="E2642" s="183"/>
      <c r="F2642" s="67" t="s">
        <v>1609</v>
      </c>
      <c r="G2642" s="68">
        <v>22.0</v>
      </c>
      <c r="H2642" s="69">
        <f t="shared" si="144"/>
        <v>28362.97164</v>
      </c>
      <c r="I2642" s="89" t="s">
        <v>37</v>
      </c>
      <c r="J2642" s="98" t="s">
        <v>1678</v>
      </c>
      <c r="K2642" s="82" t="s">
        <v>607</v>
      </c>
      <c r="L2642" s="82">
        <v>98.0</v>
      </c>
      <c r="M2642" s="128">
        <v>46116.0</v>
      </c>
      <c r="N2642" s="153"/>
      <c r="O2642" s="96"/>
      <c r="P2642" s="36"/>
      <c r="Q2642" s="36"/>
      <c r="R2642" s="36"/>
      <c r="S2642" s="36"/>
      <c r="T2642" s="36"/>
      <c r="U2642" s="36"/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</row>
    <row r="2643" ht="22.5" customHeight="1">
      <c r="A2643" s="86"/>
      <c r="B2643" s="137" t="s">
        <v>1869</v>
      </c>
      <c r="C2643" s="80">
        <v>2209121.1</v>
      </c>
      <c r="D2643" s="79"/>
      <c r="E2643" s="183"/>
      <c r="F2643" s="67" t="s">
        <v>1609</v>
      </c>
      <c r="G2643" s="68">
        <v>22.0</v>
      </c>
      <c r="H2643" s="69">
        <f t="shared" si="144"/>
        <v>398366.1</v>
      </c>
      <c r="I2643" s="89" t="s">
        <v>37</v>
      </c>
      <c r="J2643" s="98" t="s">
        <v>1678</v>
      </c>
      <c r="K2643" s="82" t="s">
        <v>753</v>
      </c>
      <c r="L2643" s="82">
        <v>99.0</v>
      </c>
      <c r="M2643" s="128">
        <v>46116.0</v>
      </c>
      <c r="N2643" s="153"/>
      <c r="O2643" s="96"/>
      <c r="P2643" s="36"/>
      <c r="Q2643" s="36"/>
      <c r="R2643" s="36"/>
      <c r="S2643" s="36"/>
      <c r="T2643" s="36"/>
      <c r="U2643" s="36"/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</row>
    <row r="2644" ht="22.5" customHeight="1">
      <c r="A2644" s="86"/>
      <c r="B2644" s="137" t="s">
        <v>1869</v>
      </c>
      <c r="C2644" s="80">
        <v>1351089.0</v>
      </c>
      <c r="D2644" s="79"/>
      <c r="E2644" s="183"/>
      <c r="F2644" s="67" t="s">
        <v>1609</v>
      </c>
      <c r="G2644" s="68">
        <v>22.0</v>
      </c>
      <c r="H2644" s="69">
        <f t="shared" si="144"/>
        <v>243639</v>
      </c>
      <c r="I2644" s="89" t="s">
        <v>37</v>
      </c>
      <c r="J2644" s="98" t="s">
        <v>1678</v>
      </c>
      <c r="K2644" s="82" t="s">
        <v>754</v>
      </c>
      <c r="L2644" s="82">
        <v>100.0</v>
      </c>
      <c r="M2644" s="128">
        <v>46116.0</v>
      </c>
      <c r="N2644" s="153"/>
      <c r="O2644" s="96"/>
      <c r="P2644" s="36"/>
      <c r="Q2644" s="36"/>
      <c r="R2644" s="36"/>
      <c r="S2644" s="36"/>
      <c r="T2644" s="36"/>
      <c r="U2644" s="36"/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</row>
    <row r="2645" ht="22.5" customHeight="1">
      <c r="A2645" s="86"/>
      <c r="B2645" s="137" t="s">
        <v>1869</v>
      </c>
      <c r="C2645" s="80">
        <v>732000.0</v>
      </c>
      <c r="D2645" s="79"/>
      <c r="E2645" s="183"/>
      <c r="F2645" s="67" t="s">
        <v>1609</v>
      </c>
      <c r="G2645" s="68">
        <v>22.0</v>
      </c>
      <c r="H2645" s="69">
        <f t="shared" si="144"/>
        <v>132000</v>
      </c>
      <c r="I2645" s="89" t="s">
        <v>37</v>
      </c>
      <c r="J2645" s="98" t="s">
        <v>675</v>
      </c>
      <c r="K2645" s="82" t="s">
        <v>1399</v>
      </c>
      <c r="L2645" s="82">
        <v>102.0</v>
      </c>
      <c r="M2645" s="128">
        <v>46116.0</v>
      </c>
      <c r="N2645" s="153"/>
      <c r="O2645" s="96"/>
      <c r="P2645" s="36"/>
      <c r="Q2645" s="36"/>
      <c r="R2645" s="36"/>
      <c r="S2645" s="36"/>
      <c r="T2645" s="36"/>
      <c r="U2645" s="36"/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</row>
    <row r="2646" ht="22.5" customHeight="1">
      <c r="A2646" s="86"/>
      <c r="B2646" s="137" t="s">
        <v>1869</v>
      </c>
      <c r="C2646" s="80">
        <v>1098000.0</v>
      </c>
      <c r="D2646" s="79"/>
      <c r="E2646" s="183"/>
      <c r="F2646" s="67" t="s">
        <v>1609</v>
      </c>
      <c r="G2646" s="68">
        <v>22.0</v>
      </c>
      <c r="H2646" s="69">
        <f t="shared" si="144"/>
        <v>198000</v>
      </c>
      <c r="I2646" s="89" t="s">
        <v>37</v>
      </c>
      <c r="J2646" s="98" t="s">
        <v>675</v>
      </c>
      <c r="K2646" s="82" t="s">
        <v>1257</v>
      </c>
      <c r="L2646" s="82">
        <v>103.0</v>
      </c>
      <c r="M2646" s="128">
        <v>46116.0</v>
      </c>
      <c r="N2646" s="153"/>
      <c r="O2646" s="96"/>
      <c r="P2646" s="36"/>
      <c r="Q2646" s="36"/>
      <c r="R2646" s="36"/>
      <c r="S2646" s="36"/>
      <c r="T2646" s="36"/>
      <c r="U2646" s="36"/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</row>
    <row r="2647" ht="22.5" customHeight="1">
      <c r="A2647" s="86"/>
      <c r="B2647" s="137" t="s">
        <v>1869</v>
      </c>
      <c r="C2647" s="80">
        <v>732000.0</v>
      </c>
      <c r="D2647" s="79"/>
      <c r="E2647" s="183"/>
      <c r="F2647" s="67" t="s">
        <v>1609</v>
      </c>
      <c r="G2647" s="68">
        <v>22.0</v>
      </c>
      <c r="H2647" s="69">
        <f t="shared" si="144"/>
        <v>132000</v>
      </c>
      <c r="I2647" s="89" t="s">
        <v>37</v>
      </c>
      <c r="J2647" s="98" t="s">
        <v>675</v>
      </c>
      <c r="K2647" s="82" t="s">
        <v>1353</v>
      </c>
      <c r="L2647" s="82">
        <v>104.0</v>
      </c>
      <c r="M2647" s="128">
        <v>46116.0</v>
      </c>
      <c r="N2647" s="153"/>
      <c r="O2647" s="96"/>
      <c r="P2647" s="36"/>
      <c r="Q2647" s="36"/>
      <c r="R2647" s="36"/>
      <c r="S2647" s="36"/>
      <c r="T2647" s="36"/>
      <c r="U2647" s="36"/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</row>
    <row r="2648" ht="22.5" customHeight="1">
      <c r="A2648" s="86"/>
      <c r="B2648" s="137" t="s">
        <v>1869</v>
      </c>
      <c r="C2648" s="80">
        <v>732000.0</v>
      </c>
      <c r="D2648" s="79"/>
      <c r="E2648" s="183"/>
      <c r="F2648" s="67" t="s">
        <v>1609</v>
      </c>
      <c r="G2648" s="68">
        <v>22.0</v>
      </c>
      <c r="H2648" s="69">
        <f t="shared" si="144"/>
        <v>132000</v>
      </c>
      <c r="I2648" s="89" t="s">
        <v>37</v>
      </c>
      <c r="J2648" s="98" t="s">
        <v>675</v>
      </c>
      <c r="K2648" s="82" t="s">
        <v>1584</v>
      </c>
      <c r="L2648" s="82">
        <v>105.0</v>
      </c>
      <c r="M2648" s="128">
        <v>46116.0</v>
      </c>
      <c r="N2648" s="153"/>
      <c r="O2648" s="96"/>
      <c r="P2648" s="36"/>
      <c r="Q2648" s="36"/>
      <c r="R2648" s="36"/>
      <c r="S2648" s="36"/>
      <c r="T2648" s="36"/>
      <c r="U2648" s="36"/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</row>
    <row r="2649" ht="22.5" customHeight="1">
      <c r="A2649" s="86"/>
      <c r="B2649" s="137" t="s">
        <v>1869</v>
      </c>
      <c r="C2649" s="80">
        <v>732000.0</v>
      </c>
      <c r="D2649" s="79"/>
      <c r="E2649" s="183"/>
      <c r="F2649" s="67" t="s">
        <v>1609</v>
      </c>
      <c r="G2649" s="68">
        <v>22.0</v>
      </c>
      <c r="H2649" s="69">
        <f t="shared" si="144"/>
        <v>132000</v>
      </c>
      <c r="I2649" s="89" t="s">
        <v>37</v>
      </c>
      <c r="J2649" s="98" t="s">
        <v>675</v>
      </c>
      <c r="K2649" s="82" t="s">
        <v>1402</v>
      </c>
      <c r="L2649" s="82">
        <v>106.0</v>
      </c>
      <c r="M2649" s="128">
        <v>46116.0</v>
      </c>
      <c r="N2649" s="153"/>
      <c r="O2649" s="96"/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</row>
    <row r="2650" ht="22.5" customHeight="1">
      <c r="A2650" s="86"/>
      <c r="B2650" s="137" t="s">
        <v>1869</v>
      </c>
      <c r="C2650" s="80">
        <v>732000.0</v>
      </c>
      <c r="D2650" s="79"/>
      <c r="E2650" s="183"/>
      <c r="F2650" s="67" t="s">
        <v>1609</v>
      </c>
      <c r="G2650" s="68">
        <v>22.0</v>
      </c>
      <c r="H2650" s="69">
        <f t="shared" si="144"/>
        <v>132000</v>
      </c>
      <c r="I2650" s="89" t="s">
        <v>37</v>
      </c>
      <c r="J2650" s="98" t="s">
        <v>675</v>
      </c>
      <c r="K2650" s="82" t="s">
        <v>1401</v>
      </c>
      <c r="L2650" s="82">
        <v>107.0</v>
      </c>
      <c r="M2650" s="128">
        <v>46116.0</v>
      </c>
      <c r="N2650" s="153"/>
      <c r="O2650" s="96"/>
      <c r="P2650" s="36"/>
      <c r="Q2650" s="36"/>
      <c r="R2650" s="36"/>
      <c r="S2650" s="36"/>
      <c r="T2650" s="36"/>
      <c r="U2650" s="36"/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</row>
    <row r="2651" ht="22.5" customHeight="1">
      <c r="A2651" s="86"/>
      <c r="B2651" s="137" t="s">
        <v>1869</v>
      </c>
      <c r="C2651" s="80">
        <v>732000.0</v>
      </c>
      <c r="D2651" s="79"/>
      <c r="E2651" s="183"/>
      <c r="F2651" s="67" t="s">
        <v>1609</v>
      </c>
      <c r="G2651" s="68">
        <v>22.0</v>
      </c>
      <c r="H2651" s="69">
        <f t="shared" si="144"/>
        <v>132000</v>
      </c>
      <c r="I2651" s="89" t="s">
        <v>37</v>
      </c>
      <c r="J2651" s="98" t="s">
        <v>675</v>
      </c>
      <c r="K2651" s="82" t="s">
        <v>1352</v>
      </c>
      <c r="L2651" s="82">
        <v>108.0</v>
      </c>
      <c r="M2651" s="128">
        <v>46116.0</v>
      </c>
      <c r="N2651" s="153"/>
      <c r="O2651" s="96"/>
      <c r="P2651" s="36"/>
      <c r="Q2651" s="36"/>
      <c r="R2651" s="36"/>
      <c r="S2651" s="36"/>
      <c r="T2651" s="36"/>
      <c r="U2651" s="36"/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</row>
    <row r="2652" ht="22.5" customHeight="1">
      <c r="A2652" s="86"/>
      <c r="B2652" s="137" t="s">
        <v>1869</v>
      </c>
      <c r="C2652" s="80">
        <v>536800.24</v>
      </c>
      <c r="D2652" s="79"/>
      <c r="E2652" s="183"/>
      <c r="F2652" s="67" t="s">
        <v>1609</v>
      </c>
      <c r="G2652" s="68">
        <v>22.0</v>
      </c>
      <c r="H2652" s="69">
        <f t="shared" si="144"/>
        <v>96800.04328</v>
      </c>
      <c r="I2652" s="89" t="s">
        <v>37</v>
      </c>
      <c r="J2652" s="98" t="s">
        <v>627</v>
      </c>
      <c r="K2652" s="82" t="s">
        <v>756</v>
      </c>
      <c r="L2652" s="82">
        <v>109.0</v>
      </c>
      <c r="M2652" s="128">
        <v>46119.0</v>
      </c>
      <c r="N2652" s="153"/>
      <c r="O2652" s="96"/>
      <c r="P2652" s="36"/>
      <c r="Q2652" s="36"/>
      <c r="R2652" s="36"/>
      <c r="S2652" s="36"/>
      <c r="T2652" s="36"/>
      <c r="U2652" s="36"/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</row>
    <row r="2653" ht="22.5" customHeight="1">
      <c r="A2653" s="86"/>
      <c r="B2653" s="137" t="s">
        <v>1869</v>
      </c>
      <c r="C2653" s="80">
        <v>183000.0</v>
      </c>
      <c r="D2653" s="79"/>
      <c r="E2653" s="183"/>
      <c r="F2653" s="67" t="s">
        <v>1609</v>
      </c>
      <c r="G2653" s="68">
        <v>22.0</v>
      </c>
      <c r="H2653" s="69">
        <f t="shared" si="144"/>
        <v>33000</v>
      </c>
      <c r="I2653" s="89" t="s">
        <v>37</v>
      </c>
      <c r="J2653" s="98" t="s">
        <v>675</v>
      </c>
      <c r="K2653" s="82" t="s">
        <v>1398</v>
      </c>
      <c r="L2653" s="82">
        <v>110.0</v>
      </c>
      <c r="M2653" s="128">
        <v>46119.0</v>
      </c>
      <c r="N2653" s="153"/>
      <c r="O2653" s="96"/>
      <c r="P2653" s="36"/>
      <c r="Q2653" s="36"/>
      <c r="R2653" s="36"/>
      <c r="S2653" s="36"/>
      <c r="T2653" s="36"/>
      <c r="U2653" s="36"/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</row>
    <row r="2654" ht="22.5" customHeight="1">
      <c r="A2654" s="86"/>
      <c r="B2654" s="137" t="s">
        <v>1869</v>
      </c>
      <c r="C2654" s="80">
        <v>305000.0</v>
      </c>
      <c r="D2654" s="79"/>
      <c r="E2654" s="183"/>
      <c r="F2654" s="67" t="s">
        <v>1609</v>
      </c>
      <c r="G2654" s="68">
        <v>22.0</v>
      </c>
      <c r="H2654" s="69">
        <f t="shared" si="144"/>
        <v>55000</v>
      </c>
      <c r="I2654" s="89" t="s">
        <v>37</v>
      </c>
      <c r="J2654" s="98" t="s">
        <v>675</v>
      </c>
      <c r="K2654" s="82" t="s">
        <v>1398</v>
      </c>
      <c r="L2654" s="82">
        <v>111.0</v>
      </c>
      <c r="M2654" s="128">
        <v>46119.0</v>
      </c>
      <c r="N2654" s="153"/>
      <c r="O2654" s="96"/>
      <c r="P2654" s="36"/>
      <c r="Q2654" s="36"/>
      <c r="R2654" s="36"/>
      <c r="S2654" s="36"/>
      <c r="T2654" s="36"/>
      <c r="U2654" s="36"/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</row>
    <row r="2655" ht="22.5" customHeight="1">
      <c r="A2655" s="86"/>
      <c r="B2655" s="137" t="s">
        <v>1869</v>
      </c>
      <c r="C2655" s="80">
        <v>305000.0</v>
      </c>
      <c r="D2655" s="79"/>
      <c r="E2655" s="183"/>
      <c r="F2655" s="67" t="s">
        <v>1609</v>
      </c>
      <c r="G2655" s="68">
        <v>22.0</v>
      </c>
      <c r="H2655" s="69">
        <f t="shared" si="144"/>
        <v>55000</v>
      </c>
      <c r="I2655" s="89" t="s">
        <v>37</v>
      </c>
      <c r="J2655" s="98" t="s">
        <v>675</v>
      </c>
      <c r="K2655" s="82" t="s">
        <v>1398</v>
      </c>
      <c r="L2655" s="82">
        <v>112.0</v>
      </c>
      <c r="M2655" s="128">
        <v>46119.0</v>
      </c>
      <c r="N2655" s="153"/>
      <c r="O2655" s="96"/>
      <c r="P2655" s="36"/>
      <c r="Q2655" s="36"/>
      <c r="R2655" s="36"/>
      <c r="S2655" s="36"/>
      <c r="T2655" s="36"/>
      <c r="U2655" s="36"/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</row>
    <row r="2656" ht="22.5" customHeight="1">
      <c r="A2656" s="86"/>
      <c r="B2656" s="137" t="s">
        <v>1869</v>
      </c>
      <c r="C2656" s="80">
        <v>558321.29</v>
      </c>
      <c r="D2656" s="79"/>
      <c r="E2656" s="183"/>
      <c r="F2656" s="67" t="s">
        <v>1609</v>
      </c>
      <c r="G2656" s="68">
        <v>22.0</v>
      </c>
      <c r="H2656" s="69">
        <f t="shared" si="144"/>
        <v>100680.8884</v>
      </c>
      <c r="I2656" s="89" t="s">
        <v>37</v>
      </c>
      <c r="J2656" s="98" t="s">
        <v>1784</v>
      </c>
      <c r="K2656" s="82" t="s">
        <v>753</v>
      </c>
      <c r="L2656" s="82">
        <v>115.0</v>
      </c>
      <c r="M2656" s="128">
        <v>46119.0</v>
      </c>
      <c r="N2656" s="153"/>
      <c r="O2656" s="96"/>
      <c r="P2656" s="36"/>
      <c r="Q2656" s="36"/>
      <c r="R2656" s="36"/>
      <c r="S2656" s="36"/>
      <c r="T2656" s="36"/>
      <c r="U2656" s="36"/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</row>
    <row r="2657" ht="22.5" customHeight="1">
      <c r="A2657" s="86"/>
      <c r="B2657" s="137" t="s">
        <v>1869</v>
      </c>
      <c r="C2657" s="80">
        <v>610000.0</v>
      </c>
      <c r="D2657" s="79"/>
      <c r="E2657" s="183"/>
      <c r="F2657" s="67" t="s">
        <v>1609</v>
      </c>
      <c r="G2657" s="68">
        <v>22.0</v>
      </c>
      <c r="H2657" s="69">
        <f t="shared" si="144"/>
        <v>110000</v>
      </c>
      <c r="I2657" s="89" t="s">
        <v>37</v>
      </c>
      <c r="J2657" s="98" t="s">
        <v>539</v>
      </c>
      <c r="K2657" s="82" t="s">
        <v>880</v>
      </c>
      <c r="L2657" s="82">
        <v>116.0</v>
      </c>
      <c r="M2657" s="128">
        <v>46119.0</v>
      </c>
      <c r="N2657" s="153"/>
      <c r="O2657" s="96"/>
      <c r="P2657" s="36"/>
      <c r="Q2657" s="36"/>
      <c r="R2657" s="36"/>
      <c r="S2657" s="36"/>
      <c r="T2657" s="36"/>
      <c r="U2657" s="36"/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</row>
    <row r="2658" ht="22.5" customHeight="1">
      <c r="A2658" s="86"/>
      <c r="B2658" s="137" t="s">
        <v>1869</v>
      </c>
      <c r="C2658" s="80">
        <v>135784.08</v>
      </c>
      <c r="D2658" s="79"/>
      <c r="E2658" s="183"/>
      <c r="F2658" s="67" t="s">
        <v>1609</v>
      </c>
      <c r="G2658" s="68">
        <v>22.0</v>
      </c>
      <c r="H2658" s="69">
        <f t="shared" si="144"/>
        <v>24485.65377</v>
      </c>
      <c r="I2658" s="89" t="s">
        <v>37</v>
      </c>
      <c r="J2658" s="98" t="s">
        <v>1786</v>
      </c>
      <c r="K2658" s="82" t="s">
        <v>1880</v>
      </c>
      <c r="L2658" s="82">
        <v>121.0</v>
      </c>
      <c r="M2658" s="128">
        <v>46122.0</v>
      </c>
      <c r="N2658" s="153"/>
      <c r="O2658" s="96"/>
      <c r="P2658" s="36"/>
      <c r="Q2658" s="36"/>
      <c r="R2658" s="36"/>
      <c r="S2658" s="36"/>
      <c r="T2658" s="36"/>
      <c r="U2658" s="36"/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</row>
    <row r="2659" ht="22.5" customHeight="1">
      <c r="A2659" s="86"/>
      <c r="B2659" s="137" t="s">
        <v>1869</v>
      </c>
      <c r="C2659" s="80">
        <v>1386266.03</v>
      </c>
      <c r="D2659" s="79"/>
      <c r="E2659" s="183"/>
      <c r="F2659" s="67" t="s">
        <v>1609</v>
      </c>
      <c r="G2659" s="68">
        <v>0.0</v>
      </c>
      <c r="H2659" s="69">
        <f t="shared" si="144"/>
        <v>0</v>
      </c>
      <c r="I2659" s="89" t="s">
        <v>35</v>
      </c>
      <c r="J2659" s="98" t="s">
        <v>849</v>
      </c>
      <c r="K2659" s="82" t="s">
        <v>1880</v>
      </c>
      <c r="L2659" s="82">
        <v>122.0</v>
      </c>
      <c r="M2659" s="128">
        <v>46122.0</v>
      </c>
      <c r="N2659" s="153"/>
      <c r="O2659" s="96"/>
      <c r="P2659" s="36"/>
      <c r="Q2659" s="36"/>
      <c r="R2659" s="36"/>
      <c r="S2659" s="36"/>
      <c r="T2659" s="36"/>
      <c r="U2659" s="36"/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</row>
    <row r="2660" ht="22.5" customHeight="1">
      <c r="A2660" s="86"/>
      <c r="B2660" s="137" t="s">
        <v>1869</v>
      </c>
      <c r="C2660" s="80">
        <v>610061.0</v>
      </c>
      <c r="D2660" s="79"/>
      <c r="E2660" s="183"/>
      <c r="F2660" s="67" t="s">
        <v>1609</v>
      </c>
      <c r="G2660" s="68">
        <v>22.0</v>
      </c>
      <c r="H2660" s="69">
        <f t="shared" si="144"/>
        <v>110011</v>
      </c>
      <c r="I2660" s="89" t="s">
        <v>37</v>
      </c>
      <c r="J2660" s="98" t="s">
        <v>1883</v>
      </c>
      <c r="K2660" s="82" t="s">
        <v>1884</v>
      </c>
      <c r="L2660" s="82">
        <v>123.0</v>
      </c>
      <c r="M2660" s="128">
        <v>46122.0</v>
      </c>
      <c r="N2660" s="153"/>
      <c r="O2660" s="96"/>
      <c r="P2660" s="36"/>
      <c r="Q2660" s="36"/>
      <c r="R2660" s="36"/>
      <c r="S2660" s="36"/>
      <c r="T2660" s="36"/>
      <c r="U2660" s="36"/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</row>
    <row r="2661" ht="22.5" customHeight="1">
      <c r="A2661" s="86"/>
      <c r="B2661" s="137" t="s">
        <v>1869</v>
      </c>
      <c r="C2661" s="80">
        <v>331413.49</v>
      </c>
      <c r="D2661" s="79"/>
      <c r="E2661" s="183"/>
      <c r="F2661" s="67" t="s">
        <v>1609</v>
      </c>
      <c r="G2661" s="68">
        <v>22.0</v>
      </c>
      <c r="H2661" s="69">
        <f t="shared" si="144"/>
        <v>59763.08836</v>
      </c>
      <c r="I2661" s="89" t="s">
        <v>37</v>
      </c>
      <c r="J2661" s="98" t="s">
        <v>1784</v>
      </c>
      <c r="K2661" s="82" t="s">
        <v>607</v>
      </c>
      <c r="L2661" s="82">
        <v>124.0</v>
      </c>
      <c r="M2661" s="128">
        <v>46122.0</v>
      </c>
      <c r="N2661" s="153"/>
      <c r="O2661" s="96"/>
      <c r="P2661" s="36"/>
      <c r="Q2661" s="36"/>
      <c r="R2661" s="36"/>
      <c r="S2661" s="36"/>
      <c r="T2661" s="36"/>
      <c r="U2661" s="36"/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</row>
    <row r="2662" ht="22.5" customHeight="1">
      <c r="A2662" s="86"/>
      <c r="B2662" s="137" t="s">
        <v>1869</v>
      </c>
      <c r="C2662" s="80">
        <v>331413.49</v>
      </c>
      <c r="D2662" s="79"/>
      <c r="E2662" s="183"/>
      <c r="F2662" s="67" t="s">
        <v>1609</v>
      </c>
      <c r="G2662" s="68">
        <v>22.0</v>
      </c>
      <c r="H2662" s="69">
        <f t="shared" si="144"/>
        <v>59763.08836</v>
      </c>
      <c r="I2662" s="89" t="s">
        <v>37</v>
      </c>
      <c r="J2662" s="98" t="s">
        <v>1784</v>
      </c>
      <c r="K2662" s="82" t="s">
        <v>994</v>
      </c>
      <c r="L2662" s="82">
        <v>125.0</v>
      </c>
      <c r="M2662" s="128">
        <v>46122.0</v>
      </c>
      <c r="N2662" s="153"/>
      <c r="O2662" s="96"/>
      <c r="P2662" s="36"/>
      <c r="Q2662" s="36"/>
      <c r="R2662" s="36"/>
      <c r="S2662" s="36"/>
      <c r="T2662" s="36"/>
      <c r="U2662" s="36"/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</row>
    <row r="2663" ht="22.5" customHeight="1">
      <c r="A2663" s="86"/>
      <c r="B2663" s="137" t="s">
        <v>1869</v>
      </c>
      <c r="C2663" s="80">
        <v>331413.49</v>
      </c>
      <c r="D2663" s="79"/>
      <c r="E2663" s="183"/>
      <c r="F2663" s="67" t="s">
        <v>1609</v>
      </c>
      <c r="G2663" s="68">
        <v>22.0</v>
      </c>
      <c r="H2663" s="69">
        <f t="shared" si="144"/>
        <v>59763.08836</v>
      </c>
      <c r="I2663" s="89" t="s">
        <v>37</v>
      </c>
      <c r="J2663" s="98" t="s">
        <v>1784</v>
      </c>
      <c r="K2663" s="82" t="s">
        <v>993</v>
      </c>
      <c r="L2663" s="82">
        <v>126.0</v>
      </c>
      <c r="M2663" s="128">
        <v>46122.0</v>
      </c>
      <c r="N2663" s="153"/>
      <c r="O2663" s="96"/>
      <c r="P2663" s="36"/>
      <c r="Q2663" s="36"/>
      <c r="R2663" s="36"/>
      <c r="S2663" s="36"/>
      <c r="T2663" s="36"/>
      <c r="U2663" s="36"/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</row>
    <row r="2664" ht="22.5" customHeight="1">
      <c r="A2664" s="86"/>
      <c r="B2664" s="137" t="s">
        <v>1869</v>
      </c>
      <c r="C2664" s="80">
        <v>36600.0</v>
      </c>
      <c r="D2664" s="79"/>
      <c r="E2664" s="183"/>
      <c r="F2664" s="67" t="s">
        <v>1609</v>
      </c>
      <c r="G2664" s="68">
        <v>22.0</v>
      </c>
      <c r="H2664" s="69">
        <f t="shared" si="144"/>
        <v>6600</v>
      </c>
      <c r="I2664" s="89" t="s">
        <v>37</v>
      </c>
      <c r="J2664" s="98" t="s">
        <v>1167</v>
      </c>
      <c r="K2664" s="82" t="s">
        <v>1885</v>
      </c>
      <c r="L2664" s="82">
        <v>127.0</v>
      </c>
      <c r="M2664" s="128">
        <v>46122.0</v>
      </c>
      <c r="N2664" s="153"/>
      <c r="O2664" s="96"/>
      <c r="P2664" s="36"/>
      <c r="Q2664" s="36"/>
      <c r="R2664" s="36"/>
      <c r="S2664" s="36"/>
      <c r="T2664" s="36"/>
      <c r="U2664" s="36"/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</row>
    <row r="2665" ht="22.5" customHeight="1">
      <c r="A2665" s="86"/>
      <c r="B2665" s="137" t="s">
        <v>1869</v>
      </c>
      <c r="C2665" s="80">
        <v>797087.0</v>
      </c>
      <c r="D2665" s="79"/>
      <c r="E2665" s="183"/>
      <c r="F2665" s="67" t="s">
        <v>1609</v>
      </c>
      <c r="G2665" s="68">
        <v>22.0</v>
      </c>
      <c r="H2665" s="69">
        <f t="shared" si="144"/>
        <v>143737</v>
      </c>
      <c r="I2665" s="89" t="s">
        <v>37</v>
      </c>
      <c r="J2665" s="98" t="s">
        <v>1167</v>
      </c>
      <c r="K2665" s="82" t="s">
        <v>1886</v>
      </c>
      <c r="L2665" s="82">
        <v>128.0</v>
      </c>
      <c r="M2665" s="128">
        <v>46122.0</v>
      </c>
      <c r="N2665" s="153"/>
      <c r="O2665" s="96"/>
      <c r="P2665" s="36"/>
      <c r="Q2665" s="36"/>
      <c r="R2665" s="36"/>
      <c r="S2665" s="36"/>
      <c r="T2665" s="36"/>
      <c r="U2665" s="36"/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</row>
    <row r="2666" ht="22.5" customHeight="1">
      <c r="A2666" s="86"/>
      <c r="B2666" s="137" t="s">
        <v>1869</v>
      </c>
      <c r="C2666" s="80">
        <v>797087.0</v>
      </c>
      <c r="D2666" s="79"/>
      <c r="E2666" s="183"/>
      <c r="F2666" s="67" t="s">
        <v>1609</v>
      </c>
      <c r="G2666" s="68">
        <v>22.0</v>
      </c>
      <c r="H2666" s="69">
        <f t="shared" si="144"/>
        <v>143737</v>
      </c>
      <c r="I2666" s="89" t="s">
        <v>37</v>
      </c>
      <c r="J2666" s="98" t="s">
        <v>1167</v>
      </c>
      <c r="K2666" s="82" t="s">
        <v>1879</v>
      </c>
      <c r="L2666" s="82">
        <v>129.0</v>
      </c>
      <c r="M2666" s="128">
        <v>46122.0</v>
      </c>
      <c r="N2666" s="153"/>
      <c r="O2666" s="96"/>
      <c r="P2666" s="36"/>
      <c r="Q2666" s="36"/>
      <c r="R2666" s="36"/>
      <c r="S2666" s="36"/>
      <c r="T2666" s="36"/>
      <c r="U2666" s="36"/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</row>
    <row r="2667" ht="22.5" customHeight="1">
      <c r="A2667" s="86"/>
      <c r="B2667" s="137" t="s">
        <v>1869</v>
      </c>
      <c r="C2667" s="80">
        <v>610061.0</v>
      </c>
      <c r="D2667" s="79"/>
      <c r="E2667" s="183"/>
      <c r="F2667" s="67" t="s">
        <v>1609</v>
      </c>
      <c r="G2667" s="68">
        <v>22.0</v>
      </c>
      <c r="H2667" s="69">
        <f t="shared" si="144"/>
        <v>110011</v>
      </c>
      <c r="I2667" s="89" t="s">
        <v>37</v>
      </c>
      <c r="J2667" s="98" t="s">
        <v>1167</v>
      </c>
      <c r="K2667" s="82" t="s">
        <v>1887</v>
      </c>
      <c r="L2667" s="82">
        <v>130.0</v>
      </c>
      <c r="M2667" s="128">
        <v>46122.0</v>
      </c>
      <c r="N2667" s="153"/>
      <c r="O2667" s="96"/>
      <c r="P2667" s="36"/>
      <c r="Q2667" s="36"/>
      <c r="R2667" s="36"/>
      <c r="S2667" s="36"/>
      <c r="T2667" s="36"/>
      <c r="U2667" s="36"/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</row>
    <row r="2668" ht="22.5" customHeight="1">
      <c r="A2668" s="86"/>
      <c r="B2668" s="137" t="s">
        <v>1869</v>
      </c>
      <c r="C2668" s="80">
        <v>36600.0</v>
      </c>
      <c r="D2668" s="79"/>
      <c r="E2668" s="183"/>
      <c r="F2668" s="67" t="s">
        <v>1609</v>
      </c>
      <c r="G2668" s="68">
        <v>22.0</v>
      </c>
      <c r="H2668" s="69">
        <f t="shared" si="144"/>
        <v>6600</v>
      </c>
      <c r="I2668" s="89" t="s">
        <v>37</v>
      </c>
      <c r="J2668" s="98" t="s">
        <v>1167</v>
      </c>
      <c r="K2668" s="82" t="s">
        <v>1888</v>
      </c>
      <c r="L2668" s="82">
        <v>131.0</v>
      </c>
      <c r="M2668" s="128">
        <v>46126.0</v>
      </c>
      <c r="N2668" s="153"/>
      <c r="O2668" s="96"/>
      <c r="P2668" s="36"/>
      <c r="Q2668" s="36"/>
      <c r="R2668" s="36"/>
      <c r="S2668" s="36"/>
      <c r="T2668" s="36"/>
      <c r="U2668" s="36"/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</row>
    <row r="2669" ht="22.5" customHeight="1">
      <c r="A2669" s="86"/>
      <c r="B2669" s="137" t="s">
        <v>1869</v>
      </c>
      <c r="C2669" s="80">
        <v>610061.0</v>
      </c>
      <c r="D2669" s="79"/>
      <c r="E2669" s="183"/>
      <c r="F2669" s="67" t="s">
        <v>1609</v>
      </c>
      <c r="G2669" s="68">
        <v>22.0</v>
      </c>
      <c r="H2669" s="69">
        <f t="shared" si="144"/>
        <v>110011</v>
      </c>
      <c r="I2669" s="89" t="s">
        <v>37</v>
      </c>
      <c r="J2669" s="98" t="s">
        <v>1167</v>
      </c>
      <c r="K2669" s="82" t="s">
        <v>1889</v>
      </c>
      <c r="L2669" s="82">
        <v>132.0</v>
      </c>
      <c r="M2669" s="128">
        <v>46126.0</v>
      </c>
      <c r="N2669" s="153"/>
      <c r="O2669" s="96"/>
      <c r="P2669" s="36"/>
      <c r="Q2669" s="36"/>
      <c r="R2669" s="36"/>
      <c r="S2669" s="36"/>
      <c r="T2669" s="36"/>
      <c r="U2669" s="36"/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</row>
    <row r="2670" ht="22.5" customHeight="1">
      <c r="A2670" s="86"/>
      <c r="B2670" s="137" t="s">
        <v>1869</v>
      </c>
      <c r="C2670" s="80">
        <v>610061.0</v>
      </c>
      <c r="D2670" s="79"/>
      <c r="E2670" s="183"/>
      <c r="F2670" s="67" t="s">
        <v>1609</v>
      </c>
      <c r="G2670" s="68">
        <v>22.0</v>
      </c>
      <c r="H2670" s="69">
        <f t="shared" si="144"/>
        <v>110011</v>
      </c>
      <c r="I2670" s="89" t="s">
        <v>37</v>
      </c>
      <c r="J2670" s="98" t="s">
        <v>1167</v>
      </c>
      <c r="K2670" s="82" t="s">
        <v>1890</v>
      </c>
      <c r="L2670" s="82">
        <v>133.0</v>
      </c>
      <c r="M2670" s="128">
        <v>46126.0</v>
      </c>
      <c r="N2670" s="153"/>
      <c r="O2670" s="96"/>
      <c r="P2670" s="36"/>
      <c r="Q2670" s="36"/>
      <c r="R2670" s="36"/>
      <c r="S2670" s="36"/>
      <c r="T2670" s="36"/>
      <c r="U2670" s="36"/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</row>
    <row r="2671" ht="22.5" customHeight="1">
      <c r="A2671" s="86"/>
      <c r="B2671" s="137" t="s">
        <v>1869</v>
      </c>
      <c r="C2671" s="80">
        <v>610061.0</v>
      </c>
      <c r="D2671" s="79"/>
      <c r="E2671" s="183"/>
      <c r="F2671" s="67" t="s">
        <v>1609</v>
      </c>
      <c r="G2671" s="68">
        <v>22.0</v>
      </c>
      <c r="H2671" s="69">
        <f t="shared" si="144"/>
        <v>110011</v>
      </c>
      <c r="I2671" s="89" t="s">
        <v>37</v>
      </c>
      <c r="J2671" s="98" t="s">
        <v>1167</v>
      </c>
      <c r="K2671" s="82" t="s">
        <v>1891</v>
      </c>
      <c r="L2671" s="82">
        <v>134.0</v>
      </c>
      <c r="M2671" s="128">
        <v>46126.0</v>
      </c>
      <c r="N2671" s="153"/>
      <c r="O2671" s="96"/>
      <c r="P2671" s="36"/>
      <c r="Q2671" s="36"/>
      <c r="R2671" s="36"/>
      <c r="S2671" s="36"/>
      <c r="T2671" s="36"/>
      <c r="U2671" s="36"/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</row>
    <row r="2672" ht="22.5" customHeight="1">
      <c r="A2672" s="86"/>
      <c r="B2672" s="137" t="s">
        <v>1869</v>
      </c>
      <c r="C2672" s="80">
        <v>610061.0</v>
      </c>
      <c r="D2672" s="79"/>
      <c r="E2672" s="183"/>
      <c r="F2672" s="67" t="s">
        <v>1609</v>
      </c>
      <c r="G2672" s="68">
        <v>22.0</v>
      </c>
      <c r="H2672" s="69">
        <f t="shared" si="144"/>
        <v>110011</v>
      </c>
      <c r="I2672" s="89" t="s">
        <v>37</v>
      </c>
      <c r="J2672" s="98" t="s">
        <v>1167</v>
      </c>
      <c r="K2672" s="82" t="s">
        <v>1892</v>
      </c>
      <c r="L2672" s="82">
        <v>135.0</v>
      </c>
      <c r="M2672" s="128">
        <v>46126.0</v>
      </c>
      <c r="N2672" s="153"/>
      <c r="O2672" s="96"/>
      <c r="P2672" s="36"/>
      <c r="Q2672" s="36"/>
      <c r="R2672" s="36"/>
      <c r="S2672" s="36"/>
      <c r="T2672" s="36"/>
      <c r="U2672" s="36"/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</row>
    <row r="2673" ht="22.5" customHeight="1">
      <c r="A2673" s="86"/>
      <c r="B2673" s="137" t="s">
        <v>1869</v>
      </c>
      <c r="C2673" s="80">
        <v>610061.0</v>
      </c>
      <c r="D2673" s="79"/>
      <c r="E2673" s="183"/>
      <c r="F2673" s="67" t="s">
        <v>1609</v>
      </c>
      <c r="G2673" s="68">
        <v>22.0</v>
      </c>
      <c r="H2673" s="69">
        <f t="shared" si="144"/>
        <v>110011</v>
      </c>
      <c r="I2673" s="89" t="s">
        <v>37</v>
      </c>
      <c r="J2673" s="98" t="s">
        <v>1167</v>
      </c>
      <c r="K2673" s="82" t="s">
        <v>1893</v>
      </c>
      <c r="L2673" s="82">
        <v>136.0</v>
      </c>
      <c r="M2673" s="128">
        <v>46126.0</v>
      </c>
      <c r="N2673" s="153"/>
      <c r="O2673" s="96"/>
      <c r="P2673" s="36"/>
      <c r="Q2673" s="36"/>
      <c r="R2673" s="36"/>
      <c r="S2673" s="36"/>
      <c r="T2673" s="36"/>
      <c r="U2673" s="36"/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</row>
    <row r="2674" ht="22.5" customHeight="1">
      <c r="A2674" s="86"/>
      <c r="B2674" s="137" t="s">
        <v>1869</v>
      </c>
      <c r="C2674" s="80">
        <v>610061.0</v>
      </c>
      <c r="D2674" s="79"/>
      <c r="E2674" s="183"/>
      <c r="F2674" s="67" t="s">
        <v>1609</v>
      </c>
      <c r="G2674" s="68">
        <v>22.0</v>
      </c>
      <c r="H2674" s="69">
        <f t="shared" si="144"/>
        <v>110011</v>
      </c>
      <c r="I2674" s="89" t="s">
        <v>37</v>
      </c>
      <c r="J2674" s="98" t="s">
        <v>1167</v>
      </c>
      <c r="K2674" s="82" t="s">
        <v>1894</v>
      </c>
      <c r="L2674" s="82">
        <v>137.0</v>
      </c>
      <c r="M2674" s="128">
        <v>46126.0</v>
      </c>
      <c r="N2674" s="153"/>
      <c r="O2674" s="96"/>
      <c r="P2674" s="36"/>
      <c r="Q2674" s="36"/>
      <c r="R2674" s="36"/>
      <c r="S2674" s="36"/>
      <c r="T2674" s="36"/>
      <c r="U2674" s="36"/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</row>
    <row r="2675" ht="22.5" customHeight="1">
      <c r="A2675" s="86"/>
      <c r="B2675" s="137" t="s">
        <v>1869</v>
      </c>
      <c r="C2675" s="80">
        <v>610061.0</v>
      </c>
      <c r="D2675" s="79"/>
      <c r="E2675" s="183"/>
      <c r="F2675" s="67" t="s">
        <v>1609</v>
      </c>
      <c r="G2675" s="68">
        <v>22.0</v>
      </c>
      <c r="H2675" s="69">
        <f t="shared" si="144"/>
        <v>110011</v>
      </c>
      <c r="I2675" s="89" t="s">
        <v>37</v>
      </c>
      <c r="J2675" s="98" t="s">
        <v>1167</v>
      </c>
      <c r="K2675" s="82" t="s">
        <v>1895</v>
      </c>
      <c r="L2675" s="82">
        <v>138.0</v>
      </c>
      <c r="M2675" s="128">
        <v>46126.0</v>
      </c>
      <c r="N2675" s="153"/>
      <c r="O2675" s="96"/>
      <c r="P2675" s="36"/>
      <c r="Q2675" s="36"/>
      <c r="R2675" s="36"/>
      <c r="S2675" s="36"/>
      <c r="T2675" s="36"/>
      <c r="U2675" s="36"/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</row>
    <row r="2676" ht="22.5" customHeight="1">
      <c r="A2676" s="86"/>
      <c r="B2676" s="137" t="s">
        <v>1869</v>
      </c>
      <c r="C2676" s="80">
        <v>610061.0</v>
      </c>
      <c r="D2676" s="79"/>
      <c r="E2676" s="183"/>
      <c r="F2676" s="67" t="s">
        <v>1609</v>
      </c>
      <c r="G2676" s="68">
        <v>22.0</v>
      </c>
      <c r="H2676" s="69">
        <f t="shared" si="144"/>
        <v>110011</v>
      </c>
      <c r="I2676" s="89" t="s">
        <v>37</v>
      </c>
      <c r="J2676" s="98" t="s">
        <v>1167</v>
      </c>
      <c r="K2676" s="82" t="s">
        <v>1896</v>
      </c>
      <c r="L2676" s="82">
        <v>139.0</v>
      </c>
      <c r="M2676" s="128">
        <v>46126.0</v>
      </c>
      <c r="N2676" s="153"/>
      <c r="O2676" s="96"/>
      <c r="P2676" s="36"/>
      <c r="Q2676" s="36"/>
      <c r="R2676" s="36"/>
      <c r="S2676" s="36"/>
      <c r="T2676" s="36"/>
      <c r="U2676" s="36"/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</row>
    <row r="2677" ht="22.5" customHeight="1">
      <c r="A2677" s="86"/>
      <c r="B2677" s="137" t="s">
        <v>1869</v>
      </c>
      <c r="C2677" s="80">
        <v>369049.92</v>
      </c>
      <c r="D2677" s="79"/>
      <c r="E2677" s="183"/>
      <c r="F2677" s="67" t="s">
        <v>1609</v>
      </c>
      <c r="G2677" s="68">
        <v>22.0</v>
      </c>
      <c r="H2677" s="69">
        <f t="shared" si="144"/>
        <v>66549.98557</v>
      </c>
      <c r="I2677" s="89" t="s">
        <v>37</v>
      </c>
      <c r="J2677" s="98" t="s">
        <v>944</v>
      </c>
      <c r="K2677" s="82" t="s">
        <v>1340</v>
      </c>
      <c r="L2677" s="82">
        <v>140.0</v>
      </c>
      <c r="M2677" s="128">
        <v>46126.0</v>
      </c>
      <c r="N2677" s="153"/>
      <c r="O2677" s="96"/>
      <c r="P2677" s="36"/>
      <c r="Q2677" s="36"/>
      <c r="R2677" s="36"/>
      <c r="S2677" s="36"/>
      <c r="T2677" s="36"/>
      <c r="U2677" s="36"/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</row>
    <row r="2678" ht="22.5" customHeight="1">
      <c r="A2678" s="86"/>
      <c r="B2678" s="137" t="s">
        <v>1841</v>
      </c>
      <c r="C2678" s="79"/>
      <c r="D2678" s="80">
        <v>150015.0</v>
      </c>
      <c r="E2678" s="183"/>
      <c r="F2678" s="67" t="s">
        <v>1723</v>
      </c>
      <c r="G2678" s="68">
        <v>0.0</v>
      </c>
      <c r="H2678" s="69">
        <f t="shared" si="144"/>
        <v>0</v>
      </c>
      <c r="I2678" s="89" t="s">
        <v>322</v>
      </c>
      <c r="J2678" s="98" t="s">
        <v>1897</v>
      </c>
      <c r="K2678" s="95"/>
      <c r="L2678" s="95"/>
      <c r="M2678" s="95"/>
      <c r="N2678" s="153"/>
      <c r="O2678" s="140" t="s">
        <v>1898</v>
      </c>
      <c r="P2678" s="36"/>
      <c r="Q2678" s="36"/>
      <c r="R2678" s="36"/>
      <c r="S2678" s="36"/>
      <c r="T2678" s="36"/>
      <c r="U2678" s="36"/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</row>
    <row r="2679" ht="22.5" customHeight="1">
      <c r="A2679" s="86"/>
      <c r="B2679" s="137" t="s">
        <v>1841</v>
      </c>
      <c r="C2679" s="79"/>
      <c r="D2679" s="80">
        <v>150000.0</v>
      </c>
      <c r="E2679" s="183"/>
      <c r="F2679" s="67" t="s">
        <v>1723</v>
      </c>
      <c r="G2679" s="68">
        <v>0.0</v>
      </c>
      <c r="H2679" s="69">
        <f t="shared" si="144"/>
        <v>0</v>
      </c>
      <c r="I2679" s="89" t="s">
        <v>322</v>
      </c>
      <c r="J2679" s="98" t="s">
        <v>539</v>
      </c>
      <c r="K2679" s="95"/>
      <c r="L2679" s="95"/>
      <c r="M2679" s="95"/>
      <c r="N2679" s="153"/>
      <c r="O2679" s="140" t="s">
        <v>1899</v>
      </c>
      <c r="P2679" s="36"/>
      <c r="Q2679" s="36"/>
      <c r="R2679" s="36"/>
      <c r="S2679" s="36"/>
      <c r="T2679" s="36"/>
      <c r="U2679" s="36"/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</row>
    <row r="2680" ht="22.5" customHeight="1">
      <c r="A2680" s="86"/>
      <c r="B2680" s="137" t="s">
        <v>1841</v>
      </c>
      <c r="C2680" s="79"/>
      <c r="D2680" s="80">
        <v>1025609.86</v>
      </c>
      <c r="E2680" s="183"/>
      <c r="F2680" s="67" t="s">
        <v>1723</v>
      </c>
      <c r="G2680" s="68">
        <v>0.0</v>
      </c>
      <c r="H2680" s="69">
        <f t="shared" si="144"/>
        <v>0</v>
      </c>
      <c r="I2680" s="89" t="s">
        <v>322</v>
      </c>
      <c r="J2680" s="98" t="s">
        <v>624</v>
      </c>
      <c r="K2680" s="95"/>
      <c r="L2680" s="95"/>
      <c r="M2680" s="95"/>
      <c r="N2680" s="153"/>
      <c r="O2680" s="140" t="s">
        <v>1900</v>
      </c>
      <c r="P2680" s="36"/>
      <c r="Q2680" s="36"/>
      <c r="R2680" s="36"/>
      <c r="S2680" s="36"/>
      <c r="T2680" s="36"/>
      <c r="U2680" s="36"/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</row>
    <row r="2681" ht="22.5" customHeight="1">
      <c r="A2681" s="86"/>
      <c r="B2681" s="137" t="s">
        <v>1841</v>
      </c>
      <c r="C2681" s="79"/>
      <c r="D2681" s="80">
        <v>1069243.48</v>
      </c>
      <c r="E2681" s="183"/>
      <c r="F2681" s="67" t="s">
        <v>1723</v>
      </c>
      <c r="G2681" s="68">
        <v>0.0</v>
      </c>
      <c r="H2681" s="69">
        <f t="shared" si="144"/>
        <v>0</v>
      </c>
      <c r="I2681" s="89" t="s">
        <v>322</v>
      </c>
      <c r="J2681" s="98" t="s">
        <v>1901</v>
      </c>
      <c r="K2681" s="95"/>
      <c r="L2681" s="95"/>
      <c r="M2681" s="95"/>
      <c r="N2681" s="153"/>
      <c r="O2681" s="140" t="s">
        <v>1902</v>
      </c>
      <c r="P2681" s="36"/>
      <c r="Q2681" s="36"/>
      <c r="R2681" s="36"/>
      <c r="S2681" s="36"/>
      <c r="T2681" s="36"/>
      <c r="U2681" s="36"/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</row>
    <row r="2682" ht="22.5" customHeight="1">
      <c r="A2682" s="86"/>
      <c r="B2682" s="137" t="s">
        <v>1841</v>
      </c>
      <c r="C2682" s="79"/>
      <c r="D2682" s="80">
        <v>341610.37</v>
      </c>
      <c r="E2682" s="183"/>
      <c r="F2682" s="67" t="s">
        <v>1723</v>
      </c>
      <c r="G2682" s="68">
        <v>0.0</v>
      </c>
      <c r="H2682" s="69">
        <f t="shared" si="144"/>
        <v>0</v>
      </c>
      <c r="I2682" s="89" t="s">
        <v>322</v>
      </c>
      <c r="J2682" s="98" t="s">
        <v>948</v>
      </c>
      <c r="K2682" s="95"/>
      <c r="L2682" s="95"/>
      <c r="M2682" s="95"/>
      <c r="N2682" s="153"/>
      <c r="O2682" s="140" t="s">
        <v>1903</v>
      </c>
      <c r="P2682" s="36"/>
      <c r="Q2682" s="36"/>
      <c r="R2682" s="36"/>
      <c r="S2682" s="36"/>
      <c r="T2682" s="36"/>
      <c r="U2682" s="36"/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</row>
    <row r="2683" ht="22.5" customHeight="1">
      <c r="A2683" s="86"/>
      <c r="B2683" s="137" t="s">
        <v>1841</v>
      </c>
      <c r="C2683" s="79"/>
      <c r="D2683" s="80">
        <v>942380.0</v>
      </c>
      <c r="E2683" s="183"/>
      <c r="F2683" s="67" t="s">
        <v>1723</v>
      </c>
      <c r="G2683" s="68">
        <v>0.0</v>
      </c>
      <c r="H2683" s="69">
        <f t="shared" si="144"/>
        <v>0</v>
      </c>
      <c r="I2683" s="89" t="s">
        <v>322</v>
      </c>
      <c r="J2683" s="98" t="s">
        <v>1167</v>
      </c>
      <c r="K2683" s="95"/>
      <c r="L2683" s="95"/>
      <c r="M2683" s="95"/>
      <c r="N2683" s="153"/>
      <c r="O2683" s="140" t="s">
        <v>1904</v>
      </c>
      <c r="P2683" s="36"/>
      <c r="Q2683" s="36"/>
      <c r="R2683" s="36"/>
      <c r="S2683" s="36"/>
      <c r="T2683" s="36"/>
      <c r="U2683" s="36"/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</row>
    <row r="2684" ht="22.5" customHeight="1">
      <c r="A2684" s="86"/>
      <c r="B2684" s="137" t="s">
        <v>1841</v>
      </c>
      <c r="C2684" s="79"/>
      <c r="D2684" s="80">
        <v>1237499.87</v>
      </c>
      <c r="E2684" s="183"/>
      <c r="F2684" s="67" t="s">
        <v>1723</v>
      </c>
      <c r="G2684" s="68">
        <v>0.0</v>
      </c>
      <c r="H2684" s="69">
        <f t="shared" si="144"/>
        <v>0</v>
      </c>
      <c r="I2684" s="89" t="s">
        <v>322</v>
      </c>
      <c r="J2684" s="98" t="s">
        <v>1271</v>
      </c>
      <c r="K2684" s="95"/>
      <c r="L2684" s="95"/>
      <c r="M2684" s="95"/>
      <c r="N2684" s="153"/>
      <c r="O2684" s="140" t="s">
        <v>1905</v>
      </c>
      <c r="P2684" s="36"/>
      <c r="Q2684" s="36"/>
      <c r="R2684" s="36"/>
      <c r="S2684" s="36"/>
      <c r="T2684" s="36"/>
      <c r="U2684" s="36"/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</row>
    <row r="2685" ht="22.5" customHeight="1">
      <c r="A2685" s="86"/>
      <c r="B2685" s="137" t="s">
        <v>1869</v>
      </c>
      <c r="C2685" s="80">
        <v>301950.0</v>
      </c>
      <c r="D2685" s="79"/>
      <c r="E2685" s="183"/>
      <c r="F2685" s="67" t="s">
        <v>1609</v>
      </c>
      <c r="G2685" s="68">
        <v>22.0</v>
      </c>
      <c r="H2685" s="69">
        <f t="shared" si="144"/>
        <v>54450</v>
      </c>
      <c r="I2685" s="89" t="s">
        <v>37</v>
      </c>
      <c r="J2685" s="98" t="s">
        <v>944</v>
      </c>
      <c r="K2685" s="82" t="s">
        <v>1340</v>
      </c>
      <c r="L2685" s="82">
        <v>141.0</v>
      </c>
      <c r="M2685" s="128">
        <v>46126.0</v>
      </c>
      <c r="N2685" s="153"/>
      <c r="O2685" s="96"/>
      <c r="P2685" s="36"/>
      <c r="Q2685" s="36"/>
      <c r="R2685" s="36"/>
      <c r="S2685" s="36"/>
      <c r="T2685" s="36"/>
      <c r="U2685" s="36"/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</row>
    <row r="2686" ht="22.5" customHeight="1">
      <c r="A2686" s="86"/>
      <c r="B2686" s="137" t="s">
        <v>1869</v>
      </c>
      <c r="C2686" s="80">
        <v>184525.09</v>
      </c>
      <c r="D2686" s="79"/>
      <c r="E2686" s="183"/>
      <c r="F2686" s="67" t="s">
        <v>1609</v>
      </c>
      <c r="G2686" s="68">
        <v>22.0</v>
      </c>
      <c r="H2686" s="69">
        <f t="shared" si="144"/>
        <v>33275.01623</v>
      </c>
      <c r="I2686" s="89" t="s">
        <v>37</v>
      </c>
      <c r="J2686" s="98" t="s">
        <v>944</v>
      </c>
      <c r="K2686" s="82" t="s">
        <v>1340</v>
      </c>
      <c r="L2686" s="82">
        <v>142.0</v>
      </c>
      <c r="M2686" s="128">
        <v>46126.0</v>
      </c>
      <c r="N2686" s="153"/>
      <c r="O2686" s="96"/>
      <c r="P2686" s="36"/>
      <c r="Q2686" s="36"/>
      <c r="R2686" s="36"/>
      <c r="S2686" s="36"/>
      <c r="T2686" s="36"/>
      <c r="U2686" s="36"/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</row>
    <row r="2687" ht="22.5" customHeight="1">
      <c r="A2687" s="86"/>
      <c r="B2687" s="137" t="s">
        <v>1841</v>
      </c>
      <c r="C2687" s="79"/>
      <c r="D2687" s="80">
        <v>2622823.91</v>
      </c>
      <c r="E2687" s="183"/>
      <c r="F2687" s="67" t="s">
        <v>1723</v>
      </c>
      <c r="G2687" s="68">
        <v>0.0</v>
      </c>
      <c r="H2687" s="69">
        <f t="shared" si="144"/>
        <v>0</v>
      </c>
      <c r="I2687" s="89" t="s">
        <v>322</v>
      </c>
      <c r="J2687" s="98" t="s">
        <v>675</v>
      </c>
      <c r="K2687" s="95"/>
      <c r="L2687" s="95"/>
      <c r="M2687" s="95"/>
      <c r="N2687" s="153"/>
      <c r="O2687" s="140" t="s">
        <v>1906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</row>
    <row r="2688" ht="22.5" customHeight="1">
      <c r="A2688" s="86"/>
      <c r="B2688" s="137" t="s">
        <v>1841</v>
      </c>
      <c r="C2688" s="79"/>
      <c r="D2688" s="80">
        <v>87629.46</v>
      </c>
      <c r="E2688" s="183"/>
      <c r="F2688" s="67" t="s">
        <v>1723</v>
      </c>
      <c r="G2688" s="68">
        <v>0.0</v>
      </c>
      <c r="H2688" s="69">
        <f t="shared" si="144"/>
        <v>0</v>
      </c>
      <c r="I2688" s="89" t="s">
        <v>322</v>
      </c>
      <c r="J2688" s="98" t="s">
        <v>1780</v>
      </c>
      <c r="K2688" s="95"/>
      <c r="L2688" s="95"/>
      <c r="M2688" s="95"/>
      <c r="N2688" s="153"/>
      <c r="O2688" s="140" t="s">
        <v>1907</v>
      </c>
      <c r="P2688" s="36"/>
      <c r="Q2688" s="36"/>
      <c r="R2688" s="36"/>
      <c r="S2688" s="36"/>
      <c r="T2688" s="36"/>
      <c r="U2688" s="36"/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</row>
    <row r="2689" ht="22.5" customHeight="1">
      <c r="A2689" s="86"/>
      <c r="B2689" s="137" t="s">
        <v>1841</v>
      </c>
      <c r="C2689" s="79"/>
      <c r="D2689" s="80">
        <v>150000.11</v>
      </c>
      <c r="E2689" s="183"/>
      <c r="F2689" s="67" t="s">
        <v>1723</v>
      </c>
      <c r="G2689" s="68">
        <v>0.0</v>
      </c>
      <c r="H2689" s="69">
        <f t="shared" si="144"/>
        <v>0</v>
      </c>
      <c r="I2689" s="89" t="s">
        <v>322</v>
      </c>
      <c r="J2689" s="98" t="s">
        <v>1796</v>
      </c>
      <c r="K2689" s="95"/>
      <c r="L2689" s="95"/>
      <c r="M2689" s="95"/>
      <c r="N2689" s="153"/>
      <c r="O2689" s="140" t="s">
        <v>1908</v>
      </c>
      <c r="P2689" s="36"/>
      <c r="Q2689" s="36"/>
      <c r="R2689" s="36"/>
      <c r="S2689" s="36"/>
      <c r="T2689" s="36"/>
      <c r="U2689" s="36"/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</row>
    <row r="2690" ht="22.5" customHeight="1">
      <c r="A2690" s="86"/>
      <c r="B2690" s="137" t="s">
        <v>1841</v>
      </c>
      <c r="C2690" s="79"/>
      <c r="D2690" s="80">
        <v>432000.22</v>
      </c>
      <c r="E2690" s="183"/>
      <c r="F2690" s="67" t="s">
        <v>1723</v>
      </c>
      <c r="G2690" s="68">
        <v>0.0</v>
      </c>
      <c r="H2690" s="69">
        <f t="shared" si="144"/>
        <v>0</v>
      </c>
      <c r="I2690" s="89" t="s">
        <v>322</v>
      </c>
      <c r="J2690" s="98" t="s">
        <v>627</v>
      </c>
      <c r="K2690" s="95"/>
      <c r="L2690" s="95"/>
      <c r="M2690" s="95"/>
      <c r="N2690" s="153"/>
      <c r="O2690" s="140" t="s">
        <v>1909</v>
      </c>
      <c r="P2690" s="36"/>
      <c r="Q2690" s="36"/>
      <c r="R2690" s="36"/>
      <c r="S2690" s="36"/>
      <c r="T2690" s="36"/>
      <c r="U2690" s="36"/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</row>
    <row r="2691" ht="22.5" customHeight="1">
      <c r="A2691" s="86"/>
      <c r="B2691" s="137" t="s">
        <v>1841</v>
      </c>
      <c r="C2691" s="79"/>
      <c r="D2691" s="80">
        <v>300231.63</v>
      </c>
      <c r="E2691" s="66" t="s">
        <v>33</v>
      </c>
      <c r="F2691" s="67" t="s">
        <v>1723</v>
      </c>
      <c r="G2691" s="68">
        <v>0.0</v>
      </c>
      <c r="H2691" s="69">
        <f t="shared" si="144"/>
        <v>0</v>
      </c>
      <c r="I2691" s="89" t="s">
        <v>65</v>
      </c>
      <c r="J2691" s="98" t="s">
        <v>1347</v>
      </c>
      <c r="K2691" s="95"/>
      <c r="L2691" s="95"/>
      <c r="M2691" s="95"/>
      <c r="N2691" s="153"/>
      <c r="O2691" s="96"/>
      <c r="P2691" s="36"/>
      <c r="Q2691" s="36"/>
      <c r="R2691" s="36"/>
      <c r="S2691" s="36"/>
      <c r="T2691" s="36"/>
      <c r="U2691" s="36"/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</row>
    <row r="2692" ht="22.5" customHeight="1">
      <c r="A2692" s="86"/>
      <c r="B2692" s="137" t="s">
        <v>1841</v>
      </c>
      <c r="C2692" s="79"/>
      <c r="D2692" s="80">
        <v>49166.68</v>
      </c>
      <c r="E2692" s="66" t="s">
        <v>33</v>
      </c>
      <c r="F2692" s="67" t="s">
        <v>1723</v>
      </c>
      <c r="G2692" s="68">
        <v>0.0</v>
      </c>
      <c r="H2692" s="69">
        <f t="shared" si="144"/>
        <v>0</v>
      </c>
      <c r="I2692" s="89" t="s">
        <v>65</v>
      </c>
      <c r="J2692" s="98" t="s">
        <v>1451</v>
      </c>
      <c r="K2692" s="95"/>
      <c r="L2692" s="95"/>
      <c r="M2692" s="95"/>
      <c r="N2692" s="153"/>
      <c r="O2692" s="96"/>
      <c r="P2692" s="36"/>
      <c r="Q2692" s="36"/>
      <c r="R2692" s="36"/>
      <c r="S2692" s="36"/>
      <c r="T2692" s="36"/>
      <c r="U2692" s="36"/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</row>
    <row r="2693" ht="22.5" customHeight="1">
      <c r="A2693" s="86"/>
      <c r="B2693" s="137" t="s">
        <v>1841</v>
      </c>
      <c r="C2693" s="79"/>
      <c r="D2693" s="80">
        <v>135449.99</v>
      </c>
      <c r="E2693" s="66" t="s">
        <v>33</v>
      </c>
      <c r="F2693" s="67" t="s">
        <v>1723</v>
      </c>
      <c r="G2693" s="68">
        <v>0.0</v>
      </c>
      <c r="H2693" s="69">
        <f t="shared" si="144"/>
        <v>0</v>
      </c>
      <c r="I2693" s="89" t="s">
        <v>65</v>
      </c>
      <c r="J2693" s="98" t="s">
        <v>1513</v>
      </c>
      <c r="K2693" s="95"/>
      <c r="L2693" s="95"/>
      <c r="M2693" s="95"/>
      <c r="N2693" s="153"/>
      <c r="O2693" s="96"/>
      <c r="P2693" s="36"/>
      <c r="Q2693" s="36"/>
      <c r="R2693" s="36"/>
      <c r="S2693" s="36"/>
      <c r="T2693" s="36"/>
      <c r="U2693" s="36"/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</row>
    <row r="2694" ht="22.5" customHeight="1">
      <c r="A2694" s="86"/>
      <c r="B2694" s="137" t="s">
        <v>1869</v>
      </c>
      <c r="C2694" s="80">
        <v>150975.0</v>
      </c>
      <c r="D2694" s="79"/>
      <c r="E2694" s="183"/>
      <c r="F2694" s="67" t="s">
        <v>1609</v>
      </c>
      <c r="G2694" s="68">
        <v>22.0</v>
      </c>
      <c r="H2694" s="69">
        <f t="shared" si="144"/>
        <v>27225</v>
      </c>
      <c r="I2694" s="89" t="s">
        <v>37</v>
      </c>
      <c r="J2694" s="98" t="s">
        <v>944</v>
      </c>
      <c r="K2694" s="82" t="s">
        <v>1340</v>
      </c>
      <c r="L2694" s="82">
        <v>143.0</v>
      </c>
      <c r="M2694" s="128">
        <v>46126.0</v>
      </c>
      <c r="N2694" s="153"/>
      <c r="O2694" s="96"/>
      <c r="P2694" s="36"/>
      <c r="Q2694" s="36"/>
      <c r="R2694" s="36"/>
      <c r="S2694" s="36"/>
      <c r="T2694" s="36"/>
      <c r="U2694" s="36"/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</row>
    <row r="2695" ht="22.5" customHeight="1">
      <c r="A2695" s="86"/>
      <c r="B2695" s="137" t="s">
        <v>1869</v>
      </c>
      <c r="C2695" s="80">
        <v>110591.86</v>
      </c>
      <c r="D2695" s="79"/>
      <c r="E2695" s="183"/>
      <c r="F2695" s="67" t="s">
        <v>1609</v>
      </c>
      <c r="G2695" s="68">
        <v>22.0</v>
      </c>
      <c r="H2695" s="69">
        <f t="shared" si="144"/>
        <v>19942.79443</v>
      </c>
      <c r="I2695" s="89" t="s">
        <v>37</v>
      </c>
      <c r="J2695" s="98" t="s">
        <v>944</v>
      </c>
      <c r="K2695" s="82" t="s">
        <v>1340</v>
      </c>
      <c r="L2695" s="82">
        <v>144.0</v>
      </c>
      <c r="M2695" s="128">
        <v>46126.0</v>
      </c>
      <c r="N2695" s="153"/>
      <c r="O2695" s="96"/>
      <c r="P2695" s="36"/>
      <c r="Q2695" s="36"/>
      <c r="R2695" s="36"/>
      <c r="S2695" s="36"/>
      <c r="T2695" s="36"/>
      <c r="U2695" s="36"/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</row>
    <row r="2696" ht="22.5" customHeight="1">
      <c r="A2696" s="86"/>
      <c r="B2696" s="137" t="s">
        <v>1841</v>
      </c>
      <c r="C2696" s="79"/>
      <c r="D2696" s="80">
        <v>1122787.86</v>
      </c>
      <c r="E2696" s="183"/>
      <c r="F2696" s="67" t="s">
        <v>1609</v>
      </c>
      <c r="G2696" s="68">
        <v>22.0</v>
      </c>
      <c r="H2696" s="69">
        <f t="shared" si="144"/>
        <v>202469.942</v>
      </c>
      <c r="I2696" s="89" t="s">
        <v>101</v>
      </c>
      <c r="J2696" s="151" t="s">
        <v>1764</v>
      </c>
      <c r="K2696" s="95"/>
      <c r="L2696" s="95"/>
      <c r="M2696" s="95"/>
      <c r="N2696" s="153"/>
      <c r="O2696" s="140" t="s">
        <v>1910</v>
      </c>
      <c r="P2696" s="36"/>
      <c r="Q2696" s="36"/>
      <c r="R2696" s="36"/>
      <c r="S2696" s="36"/>
      <c r="T2696" s="36"/>
      <c r="U2696" s="36"/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</row>
    <row r="2697" ht="22.5" customHeight="1">
      <c r="A2697" s="86"/>
      <c r="B2697" s="137" t="s">
        <v>1841</v>
      </c>
      <c r="C2697" s="79"/>
      <c r="D2697" s="80">
        <v>403951.27</v>
      </c>
      <c r="E2697" s="183"/>
      <c r="F2697" s="67" t="s">
        <v>1609</v>
      </c>
      <c r="G2697" s="68">
        <v>22.0</v>
      </c>
      <c r="H2697" s="69">
        <f t="shared" si="144"/>
        <v>72843.67164</v>
      </c>
      <c r="I2697" s="89" t="s">
        <v>101</v>
      </c>
      <c r="J2697" s="151" t="s">
        <v>1766</v>
      </c>
      <c r="K2697" s="95"/>
      <c r="L2697" s="95"/>
      <c r="M2697" s="95"/>
      <c r="N2697" s="153"/>
      <c r="O2697" s="140" t="s">
        <v>1911</v>
      </c>
      <c r="P2697" s="36"/>
      <c r="Q2697" s="36"/>
      <c r="R2697" s="36"/>
      <c r="S2697" s="36"/>
      <c r="T2697" s="36"/>
      <c r="U2697" s="36"/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</row>
    <row r="2698" ht="22.5" customHeight="1">
      <c r="A2698" s="86"/>
      <c r="B2698" s="137" t="s">
        <v>1841</v>
      </c>
      <c r="C2698" s="79"/>
      <c r="D2698" s="80">
        <v>247592.5</v>
      </c>
      <c r="E2698" s="183"/>
      <c r="F2698" s="67" t="s">
        <v>1609</v>
      </c>
      <c r="G2698" s="68">
        <v>20.0</v>
      </c>
      <c r="H2698" s="69">
        <f t="shared" si="144"/>
        <v>41265.41667</v>
      </c>
      <c r="I2698" s="89" t="s">
        <v>101</v>
      </c>
      <c r="J2698" s="151" t="s">
        <v>1118</v>
      </c>
      <c r="K2698" s="95"/>
      <c r="L2698" s="95"/>
      <c r="M2698" s="95"/>
      <c r="N2698" s="153"/>
      <c r="O2698" s="96"/>
      <c r="P2698" s="36"/>
      <c r="Q2698" s="36"/>
      <c r="R2698" s="36"/>
      <c r="S2698" s="36"/>
      <c r="T2698" s="36"/>
      <c r="U2698" s="36"/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</row>
    <row r="2699" ht="22.5" customHeight="1">
      <c r="A2699" s="86"/>
      <c r="B2699" s="137" t="s">
        <v>1841</v>
      </c>
      <c r="C2699" s="79"/>
      <c r="D2699" s="79">
        <f>3840+282976+5564551+304185+666668.37-2712519.37-1854851-105932</f>
        <v>2148918</v>
      </c>
      <c r="E2699" s="183"/>
      <c r="F2699" s="67" t="s">
        <v>1723</v>
      </c>
      <c r="G2699" s="68">
        <v>0.0</v>
      </c>
      <c r="H2699" s="69">
        <f t="shared" si="144"/>
        <v>0</v>
      </c>
      <c r="I2699" s="89" t="s">
        <v>71</v>
      </c>
      <c r="J2699" s="98" t="s">
        <v>1912</v>
      </c>
      <c r="K2699" s="95"/>
      <c r="L2699" s="95"/>
      <c r="M2699" s="95"/>
      <c r="N2699" s="153"/>
      <c r="O2699" s="96"/>
      <c r="P2699" s="36"/>
      <c r="Q2699" s="36"/>
      <c r="R2699" s="36"/>
      <c r="S2699" s="36"/>
      <c r="T2699" s="36"/>
      <c r="U2699" s="36"/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</row>
    <row r="2700" ht="22.5" customHeight="1">
      <c r="A2700" s="86"/>
      <c r="B2700" s="137" t="s">
        <v>1841</v>
      </c>
      <c r="C2700" s="79"/>
      <c r="D2700" s="80">
        <v>14000.0</v>
      </c>
      <c r="E2700" s="183"/>
      <c r="F2700" s="67" t="s">
        <v>1609</v>
      </c>
      <c r="G2700" s="68">
        <v>0.0</v>
      </c>
      <c r="H2700" s="69">
        <f t="shared" si="144"/>
        <v>0</v>
      </c>
      <c r="I2700" s="89" t="s">
        <v>30</v>
      </c>
      <c r="J2700" s="98" t="s">
        <v>1836</v>
      </c>
      <c r="K2700" s="95"/>
      <c r="L2700" s="95"/>
      <c r="M2700" s="95"/>
      <c r="N2700" s="153"/>
      <c r="O2700" s="140" t="s">
        <v>1913</v>
      </c>
      <c r="P2700" s="36"/>
      <c r="Q2700" s="36"/>
      <c r="R2700" s="36"/>
      <c r="S2700" s="36"/>
      <c r="T2700" s="36"/>
      <c r="U2700" s="36"/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</row>
    <row r="2701" ht="22.5" customHeight="1">
      <c r="A2701" s="86"/>
      <c r="B2701" s="137" t="s">
        <v>1841</v>
      </c>
      <c r="C2701" s="79"/>
      <c r="D2701" s="80">
        <v>14000.0</v>
      </c>
      <c r="E2701" s="183"/>
      <c r="F2701" s="67" t="s">
        <v>1680</v>
      </c>
      <c r="G2701" s="68">
        <v>0.0</v>
      </c>
      <c r="H2701" s="69">
        <f t="shared" si="144"/>
        <v>0</v>
      </c>
      <c r="I2701" s="89" t="s">
        <v>30</v>
      </c>
      <c r="J2701" s="98" t="s">
        <v>1836</v>
      </c>
      <c r="K2701" s="95"/>
      <c r="L2701" s="95"/>
      <c r="M2701" s="95"/>
      <c r="N2701" s="153"/>
      <c r="O2701" s="140" t="s">
        <v>1914</v>
      </c>
      <c r="P2701" s="36"/>
      <c r="Q2701" s="36"/>
      <c r="R2701" s="36"/>
      <c r="S2701" s="36"/>
      <c r="T2701" s="36"/>
      <c r="U2701" s="36"/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</row>
    <row r="2702" ht="22.5" customHeight="1">
      <c r="A2702" s="86"/>
      <c r="B2702" s="137" t="s">
        <v>1841</v>
      </c>
      <c r="C2702" s="79"/>
      <c r="D2702" s="80">
        <v>126639.15</v>
      </c>
      <c r="E2702" s="183"/>
      <c r="F2702" s="67" t="s">
        <v>1680</v>
      </c>
      <c r="G2702" s="68">
        <v>0.0</v>
      </c>
      <c r="H2702" s="69">
        <f t="shared" si="144"/>
        <v>0</v>
      </c>
      <c r="I2702" s="89" t="s">
        <v>101</v>
      </c>
      <c r="J2702" s="151" t="s">
        <v>1480</v>
      </c>
      <c r="K2702" s="95"/>
      <c r="L2702" s="95"/>
      <c r="M2702" s="95"/>
      <c r="N2702" s="153"/>
      <c r="O2702" s="140" t="s">
        <v>1915</v>
      </c>
      <c r="P2702" s="36"/>
      <c r="Q2702" s="36"/>
      <c r="R2702" s="36"/>
      <c r="S2702" s="36"/>
      <c r="T2702" s="36"/>
      <c r="U2702" s="36"/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</row>
    <row r="2703" ht="22.5" customHeight="1">
      <c r="A2703" s="86"/>
      <c r="B2703" s="137" t="s">
        <v>1841</v>
      </c>
      <c r="C2703" s="79"/>
      <c r="D2703" s="80">
        <v>145920.81</v>
      </c>
      <c r="E2703" s="183"/>
      <c r="F2703" s="67" t="s">
        <v>1680</v>
      </c>
      <c r="G2703" s="68">
        <v>5.0</v>
      </c>
      <c r="H2703" s="69">
        <f t="shared" si="144"/>
        <v>6948.61</v>
      </c>
      <c r="I2703" s="89" t="s">
        <v>101</v>
      </c>
      <c r="J2703" s="151" t="s">
        <v>1627</v>
      </c>
      <c r="K2703" s="95"/>
      <c r="L2703" s="95"/>
      <c r="M2703" s="95"/>
      <c r="N2703" s="153"/>
      <c r="O2703" s="140" t="s">
        <v>1916</v>
      </c>
      <c r="P2703" s="36"/>
      <c r="Q2703" s="36"/>
      <c r="R2703" s="36"/>
      <c r="S2703" s="36"/>
      <c r="T2703" s="36"/>
      <c r="U2703" s="36"/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</row>
    <row r="2704" ht="22.5" customHeight="1">
      <c r="A2704" s="86"/>
      <c r="B2704" s="137" t="s">
        <v>1841</v>
      </c>
      <c r="C2704" s="79"/>
      <c r="D2704" s="80">
        <v>41489.7</v>
      </c>
      <c r="E2704" s="183"/>
      <c r="F2704" s="67" t="s">
        <v>1680</v>
      </c>
      <c r="G2704" s="68">
        <v>5.0</v>
      </c>
      <c r="H2704" s="69">
        <f t="shared" si="144"/>
        <v>1975.7</v>
      </c>
      <c r="I2704" s="89" t="s">
        <v>101</v>
      </c>
      <c r="J2704" s="151" t="s">
        <v>1707</v>
      </c>
      <c r="K2704" s="95"/>
      <c r="L2704" s="95"/>
      <c r="M2704" s="95"/>
      <c r="N2704" s="153"/>
      <c r="O2704" s="140" t="s">
        <v>1917</v>
      </c>
      <c r="P2704" s="36"/>
      <c r="Q2704" s="36"/>
      <c r="R2704" s="36"/>
      <c r="S2704" s="36"/>
      <c r="T2704" s="36"/>
      <c r="U2704" s="36"/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</row>
    <row r="2705" ht="22.5" customHeight="1">
      <c r="A2705" s="86"/>
      <c r="B2705" s="137" t="s">
        <v>1841</v>
      </c>
      <c r="C2705" s="79"/>
      <c r="D2705" s="80">
        <v>164232.99</v>
      </c>
      <c r="E2705" s="183"/>
      <c r="F2705" s="67" t="s">
        <v>1680</v>
      </c>
      <c r="G2705" s="68">
        <v>22.0</v>
      </c>
      <c r="H2705" s="69">
        <f t="shared" si="144"/>
        <v>29615.78508</v>
      </c>
      <c r="I2705" s="89" t="s">
        <v>101</v>
      </c>
      <c r="J2705" s="151" t="s">
        <v>1638</v>
      </c>
      <c r="K2705" s="95"/>
      <c r="L2705" s="95"/>
      <c r="M2705" s="95"/>
      <c r="N2705" s="153"/>
      <c r="O2705" s="140" t="s">
        <v>1918</v>
      </c>
      <c r="P2705" s="36"/>
      <c r="Q2705" s="36"/>
      <c r="R2705" s="36"/>
      <c r="S2705" s="36"/>
      <c r="T2705" s="36"/>
      <c r="U2705" s="36"/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</row>
    <row r="2706" ht="22.5" customHeight="1">
      <c r="A2706" s="86"/>
      <c r="B2706" s="137" t="s">
        <v>1841</v>
      </c>
      <c r="C2706" s="79"/>
      <c r="D2706" s="80">
        <v>41924.45</v>
      </c>
      <c r="E2706" s="183"/>
      <c r="F2706" s="67" t="s">
        <v>1680</v>
      </c>
      <c r="G2706" s="68">
        <v>22.0</v>
      </c>
      <c r="H2706" s="69">
        <f t="shared" si="144"/>
        <v>7560.146721</v>
      </c>
      <c r="I2706" s="89" t="s">
        <v>101</v>
      </c>
      <c r="J2706" s="151" t="s">
        <v>1477</v>
      </c>
      <c r="K2706" s="95"/>
      <c r="L2706" s="95"/>
      <c r="M2706" s="95"/>
      <c r="N2706" s="153"/>
      <c r="O2706" s="140" t="s">
        <v>1919</v>
      </c>
      <c r="P2706" s="36"/>
      <c r="Q2706" s="36"/>
      <c r="R2706" s="36"/>
      <c r="S2706" s="36"/>
      <c r="T2706" s="36"/>
      <c r="U2706" s="36"/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</row>
    <row r="2707" ht="22.5" customHeight="1">
      <c r="A2707" s="86"/>
      <c r="B2707" s="137" t="s">
        <v>1841</v>
      </c>
      <c r="C2707" s="79"/>
      <c r="D2707" s="80">
        <v>420762.75</v>
      </c>
      <c r="E2707" s="183"/>
      <c r="F2707" s="67" t="s">
        <v>1680</v>
      </c>
      <c r="G2707" s="68">
        <v>22.0</v>
      </c>
      <c r="H2707" s="69">
        <f t="shared" si="144"/>
        <v>75875.25</v>
      </c>
      <c r="I2707" s="89" t="s">
        <v>101</v>
      </c>
      <c r="J2707" s="151" t="s">
        <v>1811</v>
      </c>
      <c r="K2707" s="95"/>
      <c r="L2707" s="95"/>
      <c r="M2707" s="95"/>
      <c r="N2707" s="153"/>
      <c r="O2707" s="140" t="s">
        <v>1920</v>
      </c>
      <c r="P2707" s="36"/>
      <c r="Q2707" s="36"/>
      <c r="R2707" s="36"/>
      <c r="S2707" s="36"/>
      <c r="T2707" s="36"/>
      <c r="U2707" s="36"/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</row>
    <row r="2708" ht="22.5" customHeight="1">
      <c r="A2708" s="86"/>
      <c r="B2708" s="137" t="s">
        <v>1841</v>
      </c>
      <c r="C2708" s="79"/>
      <c r="D2708" s="80">
        <v>671950.23</v>
      </c>
      <c r="E2708" s="183"/>
      <c r="F2708" s="67" t="s">
        <v>1680</v>
      </c>
      <c r="G2708" s="68">
        <v>22.0</v>
      </c>
      <c r="H2708" s="69">
        <f t="shared" si="144"/>
        <v>121171.353</v>
      </c>
      <c r="I2708" s="89" t="s">
        <v>101</v>
      </c>
      <c r="J2708" s="151" t="s">
        <v>1764</v>
      </c>
      <c r="K2708" s="95"/>
      <c r="L2708" s="95"/>
      <c r="M2708" s="95"/>
      <c r="N2708" s="153"/>
      <c r="O2708" s="140" t="s">
        <v>1921</v>
      </c>
      <c r="P2708" s="36"/>
      <c r="Q2708" s="36"/>
      <c r="R2708" s="36"/>
      <c r="S2708" s="36"/>
      <c r="T2708" s="36"/>
      <c r="U2708" s="36"/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</row>
    <row r="2709" ht="22.5" customHeight="1">
      <c r="A2709" s="86"/>
      <c r="B2709" s="137" t="s">
        <v>1841</v>
      </c>
      <c r="C2709" s="79"/>
      <c r="D2709" s="80">
        <v>180060.29</v>
      </c>
      <c r="E2709" s="183"/>
      <c r="F2709" s="67" t="s">
        <v>1680</v>
      </c>
      <c r="G2709" s="68">
        <v>22.0</v>
      </c>
      <c r="H2709" s="69">
        <f t="shared" si="144"/>
        <v>32469.88836</v>
      </c>
      <c r="I2709" s="89" t="s">
        <v>101</v>
      </c>
      <c r="J2709" s="151" t="s">
        <v>1766</v>
      </c>
      <c r="K2709" s="95"/>
      <c r="L2709" s="95"/>
      <c r="M2709" s="95"/>
      <c r="N2709" s="153"/>
      <c r="O2709" s="140" t="s">
        <v>1922</v>
      </c>
      <c r="P2709" s="36"/>
      <c r="Q2709" s="36"/>
      <c r="R2709" s="36"/>
      <c r="S2709" s="36"/>
      <c r="T2709" s="36"/>
      <c r="U2709" s="36"/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</row>
    <row r="2710" ht="22.5" customHeight="1">
      <c r="A2710" s="86"/>
      <c r="B2710" s="137" t="s">
        <v>1841</v>
      </c>
      <c r="C2710" s="79"/>
      <c r="D2710" s="80">
        <v>37847.36</v>
      </c>
      <c r="E2710" s="183"/>
      <c r="F2710" s="67" t="s">
        <v>1680</v>
      </c>
      <c r="G2710" s="68">
        <v>5.0</v>
      </c>
      <c r="H2710" s="69">
        <f t="shared" si="144"/>
        <v>1802.255238</v>
      </c>
      <c r="I2710" s="89" t="s">
        <v>101</v>
      </c>
      <c r="J2710" s="151" t="s">
        <v>1732</v>
      </c>
      <c r="K2710" s="95"/>
      <c r="L2710" s="95"/>
      <c r="M2710" s="95"/>
      <c r="N2710" s="153"/>
      <c r="O2710" s="140" t="s">
        <v>1923</v>
      </c>
      <c r="P2710" s="36"/>
      <c r="Q2710" s="36"/>
      <c r="R2710" s="36"/>
      <c r="S2710" s="36"/>
      <c r="T2710" s="36"/>
      <c r="U2710" s="36"/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</row>
    <row r="2711" ht="22.5" customHeight="1">
      <c r="A2711" s="86"/>
      <c r="B2711" s="137" t="s">
        <v>1841</v>
      </c>
      <c r="C2711" s="79"/>
      <c r="D2711" s="80">
        <v>15619.54</v>
      </c>
      <c r="E2711" s="183"/>
      <c r="F2711" s="67" t="s">
        <v>1680</v>
      </c>
      <c r="G2711" s="68">
        <v>22.0</v>
      </c>
      <c r="H2711" s="69">
        <f t="shared" si="144"/>
        <v>2816.638361</v>
      </c>
      <c r="I2711" s="89" t="s">
        <v>101</v>
      </c>
      <c r="J2711" s="151" t="s">
        <v>1498</v>
      </c>
      <c r="K2711" s="95"/>
      <c r="L2711" s="95"/>
      <c r="M2711" s="95"/>
      <c r="N2711" s="153"/>
      <c r="O2711" s="140" t="s">
        <v>1924</v>
      </c>
      <c r="P2711" s="36"/>
      <c r="Q2711" s="36"/>
      <c r="R2711" s="36"/>
      <c r="S2711" s="36"/>
      <c r="T2711" s="36"/>
      <c r="U2711" s="36"/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</row>
    <row r="2712" ht="22.5" customHeight="1">
      <c r="A2712" s="86"/>
      <c r="B2712" s="137" t="s">
        <v>1841</v>
      </c>
      <c r="C2712" s="79"/>
      <c r="D2712" s="80">
        <v>11965.25</v>
      </c>
      <c r="E2712" s="183"/>
      <c r="F2712" s="67" t="s">
        <v>1680</v>
      </c>
      <c r="G2712" s="68">
        <v>5.0</v>
      </c>
      <c r="H2712" s="69">
        <f t="shared" si="144"/>
        <v>569.7738095</v>
      </c>
      <c r="I2712" s="89" t="s">
        <v>101</v>
      </c>
      <c r="J2712" s="151" t="s">
        <v>671</v>
      </c>
      <c r="K2712" s="95"/>
      <c r="L2712" s="95"/>
      <c r="M2712" s="95"/>
      <c r="N2712" s="153"/>
      <c r="O2712" s="140" t="s">
        <v>1925</v>
      </c>
      <c r="P2712" s="36"/>
      <c r="Q2712" s="36"/>
      <c r="R2712" s="36"/>
      <c r="S2712" s="36"/>
      <c r="T2712" s="36"/>
      <c r="U2712" s="36"/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</row>
    <row r="2713" ht="22.5" customHeight="1">
      <c r="A2713" s="86"/>
      <c r="B2713" s="137" t="s">
        <v>1841</v>
      </c>
      <c r="C2713" s="79"/>
      <c r="D2713" s="80">
        <v>479921.22</v>
      </c>
      <c r="E2713" s="183"/>
      <c r="F2713" s="67" t="s">
        <v>1680</v>
      </c>
      <c r="G2713" s="68">
        <v>22.0</v>
      </c>
      <c r="H2713" s="69">
        <f t="shared" si="144"/>
        <v>86543.17082</v>
      </c>
      <c r="I2713" s="89" t="s">
        <v>101</v>
      </c>
      <c r="J2713" s="151" t="s">
        <v>1742</v>
      </c>
      <c r="K2713" s="95"/>
      <c r="L2713" s="95"/>
      <c r="M2713" s="95"/>
      <c r="N2713" s="153"/>
      <c r="O2713" s="140" t="s">
        <v>1926</v>
      </c>
      <c r="P2713" s="36"/>
      <c r="Q2713" s="36"/>
      <c r="R2713" s="36"/>
      <c r="S2713" s="36"/>
      <c r="T2713" s="36"/>
      <c r="U2713" s="36"/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</row>
    <row r="2714" ht="22.5" customHeight="1">
      <c r="A2714" s="86"/>
      <c r="B2714" s="137" t="s">
        <v>1841</v>
      </c>
      <c r="C2714" s="79"/>
      <c r="D2714" s="80">
        <v>52500.0</v>
      </c>
      <c r="E2714" s="183"/>
      <c r="F2714" s="67" t="s">
        <v>1734</v>
      </c>
      <c r="G2714" s="68">
        <v>5.0</v>
      </c>
      <c r="H2714" s="69">
        <f t="shared" si="144"/>
        <v>2500</v>
      </c>
      <c r="I2714" s="89" t="s">
        <v>101</v>
      </c>
      <c r="J2714" s="151" t="s">
        <v>631</v>
      </c>
      <c r="K2714" s="95"/>
      <c r="L2714" s="95"/>
      <c r="M2714" s="95"/>
      <c r="N2714" s="153"/>
      <c r="O2714" s="140" t="s">
        <v>1927</v>
      </c>
      <c r="P2714" s="36"/>
      <c r="Q2714" s="36"/>
      <c r="R2714" s="36"/>
      <c r="S2714" s="36"/>
      <c r="T2714" s="36"/>
      <c r="U2714" s="36"/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</row>
    <row r="2715" ht="22.5" customHeight="1">
      <c r="A2715" s="86"/>
      <c r="B2715" s="137" t="s">
        <v>1841</v>
      </c>
      <c r="C2715" s="79"/>
      <c r="D2715" s="80">
        <v>314484.06</v>
      </c>
      <c r="E2715" s="183"/>
      <c r="F2715" s="67" t="s">
        <v>1680</v>
      </c>
      <c r="G2715" s="68">
        <v>22.0</v>
      </c>
      <c r="H2715" s="69">
        <f t="shared" si="144"/>
        <v>56710.24033</v>
      </c>
      <c r="I2715" s="89" t="s">
        <v>44</v>
      </c>
      <c r="J2715" s="98" t="s">
        <v>1653</v>
      </c>
      <c r="K2715" s="95"/>
      <c r="L2715" s="95"/>
      <c r="M2715" s="95"/>
      <c r="N2715" s="153"/>
      <c r="O2715" s="140" t="s">
        <v>1928</v>
      </c>
      <c r="P2715" s="36"/>
      <c r="Q2715" s="36"/>
      <c r="R2715" s="36"/>
      <c r="S2715" s="36"/>
      <c r="T2715" s="36"/>
      <c r="U2715" s="36"/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</row>
    <row r="2716" ht="22.5" customHeight="1">
      <c r="A2716" s="86"/>
      <c r="B2716" s="137" t="s">
        <v>1841</v>
      </c>
      <c r="C2716" s="79"/>
      <c r="D2716" s="80">
        <v>199043.63</v>
      </c>
      <c r="E2716" s="183"/>
      <c r="F2716" s="67" t="s">
        <v>1680</v>
      </c>
      <c r="G2716" s="68">
        <v>22.0</v>
      </c>
      <c r="H2716" s="69">
        <f t="shared" si="144"/>
        <v>35893.11361</v>
      </c>
      <c r="I2716" s="89" t="s">
        <v>101</v>
      </c>
      <c r="J2716" s="151" t="s">
        <v>1742</v>
      </c>
      <c r="K2716" s="95"/>
      <c r="L2716" s="95"/>
      <c r="M2716" s="95"/>
      <c r="N2716" s="153"/>
      <c r="O2716" s="140" t="s">
        <v>1929</v>
      </c>
      <c r="P2716" s="36"/>
      <c r="Q2716" s="36"/>
      <c r="R2716" s="36"/>
      <c r="S2716" s="36"/>
      <c r="T2716" s="36"/>
      <c r="U2716" s="36"/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</row>
    <row r="2717" ht="22.5" customHeight="1">
      <c r="A2717" s="86"/>
      <c r="B2717" s="137" t="s">
        <v>1841</v>
      </c>
      <c r="C2717" s="79"/>
      <c r="D2717" s="80">
        <v>38225.65</v>
      </c>
      <c r="E2717" s="183"/>
      <c r="F2717" s="67" t="s">
        <v>1680</v>
      </c>
      <c r="G2717" s="68">
        <v>22.0</v>
      </c>
      <c r="H2717" s="69">
        <f t="shared" si="144"/>
        <v>6893.15</v>
      </c>
      <c r="I2717" s="89" t="s">
        <v>101</v>
      </c>
      <c r="J2717" s="136" t="s">
        <v>1284</v>
      </c>
      <c r="K2717" s="95"/>
      <c r="L2717" s="95"/>
      <c r="M2717" s="95"/>
      <c r="N2717" s="153"/>
      <c r="O2717" s="140" t="s">
        <v>1930</v>
      </c>
      <c r="P2717" s="36"/>
      <c r="Q2717" s="36"/>
      <c r="R2717" s="36"/>
      <c r="S2717" s="36"/>
      <c r="T2717" s="36"/>
      <c r="U2717" s="36"/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</row>
    <row r="2718" ht="22.5" customHeight="1">
      <c r="A2718" s="86"/>
      <c r="B2718" s="137" t="s">
        <v>1841</v>
      </c>
      <c r="C2718" s="79"/>
      <c r="D2718" s="80">
        <v>36010.3</v>
      </c>
      <c r="E2718" s="183"/>
      <c r="F2718" s="67" t="s">
        <v>1680</v>
      </c>
      <c r="G2718" s="68">
        <v>22.0</v>
      </c>
      <c r="H2718" s="69">
        <f t="shared" si="144"/>
        <v>6493.660656</v>
      </c>
      <c r="I2718" s="89" t="s">
        <v>1044</v>
      </c>
      <c r="J2718" s="151" t="s">
        <v>1815</v>
      </c>
      <c r="K2718" s="95"/>
      <c r="L2718" s="95"/>
      <c r="M2718" s="95"/>
      <c r="N2718" s="153"/>
      <c r="O2718" s="140" t="s">
        <v>1931</v>
      </c>
      <c r="P2718" s="36"/>
      <c r="Q2718" s="36"/>
      <c r="R2718" s="36"/>
      <c r="S2718" s="36"/>
      <c r="T2718" s="36"/>
      <c r="U2718" s="36"/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</row>
    <row r="2719" ht="22.5" customHeight="1">
      <c r="A2719" s="86"/>
      <c r="B2719" s="137" t="s">
        <v>1841</v>
      </c>
      <c r="C2719" s="79"/>
      <c r="D2719" s="80">
        <v>35961.9</v>
      </c>
      <c r="E2719" s="183"/>
      <c r="F2719" s="67" t="s">
        <v>1680</v>
      </c>
      <c r="G2719" s="68">
        <v>22.0</v>
      </c>
      <c r="H2719" s="69">
        <f t="shared" si="144"/>
        <v>6484.932787</v>
      </c>
      <c r="I2719" s="89" t="s">
        <v>1044</v>
      </c>
      <c r="J2719" s="151" t="s">
        <v>1815</v>
      </c>
      <c r="K2719" s="95"/>
      <c r="L2719" s="95"/>
      <c r="M2719" s="95"/>
      <c r="N2719" s="153"/>
      <c r="O2719" s="140" t="s">
        <v>1932</v>
      </c>
      <c r="P2719" s="36"/>
      <c r="Q2719" s="36"/>
      <c r="R2719" s="36"/>
      <c r="S2719" s="36"/>
      <c r="T2719" s="36"/>
      <c r="U2719" s="36"/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</row>
    <row r="2720" ht="22.5" customHeight="1">
      <c r="A2720" s="86"/>
      <c r="B2720" s="137" t="s">
        <v>1841</v>
      </c>
      <c r="C2720" s="79"/>
      <c r="D2720" s="80">
        <v>10076.03</v>
      </c>
      <c r="E2720" s="183"/>
      <c r="F2720" s="67" t="s">
        <v>1680</v>
      </c>
      <c r="G2720" s="68">
        <v>22.0</v>
      </c>
      <c r="H2720" s="69">
        <f t="shared" si="144"/>
        <v>1816.989016</v>
      </c>
      <c r="I2720" s="89" t="s">
        <v>1044</v>
      </c>
      <c r="J2720" s="151" t="s">
        <v>1815</v>
      </c>
      <c r="K2720" s="95"/>
      <c r="L2720" s="95"/>
      <c r="M2720" s="95"/>
      <c r="N2720" s="153"/>
      <c r="O2720" s="140" t="s">
        <v>1933</v>
      </c>
      <c r="P2720" s="36"/>
      <c r="Q2720" s="36"/>
      <c r="R2720" s="36"/>
      <c r="S2720" s="36"/>
      <c r="T2720" s="36"/>
      <c r="U2720" s="36"/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</row>
    <row r="2721" ht="22.5" customHeight="1">
      <c r="A2721" s="86"/>
      <c r="B2721" s="137" t="s">
        <v>1841</v>
      </c>
      <c r="C2721" s="79"/>
      <c r="D2721" s="80">
        <v>4604000.0</v>
      </c>
      <c r="E2721" s="183"/>
      <c r="F2721" s="67" t="s">
        <v>1680</v>
      </c>
      <c r="G2721" s="68">
        <v>0.0</v>
      </c>
      <c r="H2721" s="69">
        <f t="shared" si="144"/>
        <v>0</v>
      </c>
      <c r="I2721" s="89" t="s">
        <v>322</v>
      </c>
      <c r="J2721" s="98" t="s">
        <v>1912</v>
      </c>
      <c r="K2721" s="95"/>
      <c r="L2721" s="95"/>
      <c r="M2721" s="95"/>
      <c r="N2721" s="153"/>
      <c r="O2721" s="96"/>
      <c r="P2721" s="36"/>
      <c r="Q2721" s="36"/>
      <c r="R2721" s="36"/>
      <c r="S2721" s="36"/>
      <c r="T2721" s="36"/>
      <c r="U2721" s="36"/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</row>
    <row r="2722" ht="22.5" customHeight="1">
      <c r="A2722" s="86"/>
      <c r="B2722" s="137" t="s">
        <v>1841</v>
      </c>
      <c r="C2722" s="79"/>
      <c r="D2722" s="80">
        <v>78080.0</v>
      </c>
      <c r="E2722" s="183"/>
      <c r="F2722" s="67" t="s">
        <v>1680</v>
      </c>
      <c r="G2722" s="68">
        <v>22.0</v>
      </c>
      <c r="H2722" s="69">
        <f t="shared" si="144"/>
        <v>14080</v>
      </c>
      <c r="I2722" s="89" t="s">
        <v>1044</v>
      </c>
      <c r="J2722" s="151" t="s">
        <v>1815</v>
      </c>
      <c r="K2722" s="95"/>
      <c r="L2722" s="95"/>
      <c r="M2722" s="95"/>
      <c r="N2722" s="153"/>
      <c r="O2722" s="140" t="s">
        <v>1934</v>
      </c>
      <c r="P2722" s="36"/>
      <c r="Q2722" s="36"/>
      <c r="R2722" s="36"/>
      <c r="S2722" s="36"/>
      <c r="T2722" s="36"/>
      <c r="U2722" s="36"/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</row>
    <row r="2723" ht="22.5" customHeight="1">
      <c r="A2723" s="86"/>
      <c r="B2723" s="137" t="s">
        <v>1841</v>
      </c>
      <c r="C2723" s="79"/>
      <c r="D2723" s="80">
        <v>89141.41</v>
      </c>
      <c r="E2723" s="183"/>
      <c r="F2723" s="67" t="s">
        <v>1680</v>
      </c>
      <c r="G2723" s="68">
        <v>22.0</v>
      </c>
      <c r="H2723" s="69">
        <f t="shared" si="144"/>
        <v>16074.68049</v>
      </c>
      <c r="I2723" s="89" t="s">
        <v>1044</v>
      </c>
      <c r="J2723" s="151" t="s">
        <v>1815</v>
      </c>
      <c r="K2723" s="95"/>
      <c r="L2723" s="95"/>
      <c r="M2723" s="95"/>
      <c r="N2723" s="153"/>
      <c r="O2723" s="140" t="s">
        <v>1935</v>
      </c>
      <c r="P2723" s="36"/>
      <c r="Q2723" s="36"/>
      <c r="R2723" s="36"/>
      <c r="S2723" s="36"/>
      <c r="T2723" s="36"/>
      <c r="U2723" s="36"/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</row>
    <row r="2724" ht="22.5" customHeight="1">
      <c r="A2724" s="86"/>
      <c r="B2724" s="137" t="s">
        <v>1841</v>
      </c>
      <c r="C2724" s="79"/>
      <c r="D2724" s="80">
        <v>66876.1</v>
      </c>
      <c r="E2724" s="183"/>
      <c r="F2724" s="67" t="s">
        <v>1680</v>
      </c>
      <c r="G2724" s="68">
        <v>22.0</v>
      </c>
      <c r="H2724" s="69">
        <f t="shared" si="144"/>
        <v>12059.62459</v>
      </c>
      <c r="I2724" s="89" t="s">
        <v>1044</v>
      </c>
      <c r="J2724" s="151" t="s">
        <v>1815</v>
      </c>
      <c r="K2724" s="95"/>
      <c r="L2724" s="95"/>
      <c r="M2724" s="95"/>
      <c r="N2724" s="153"/>
      <c r="O2724" s="140" t="s">
        <v>1936</v>
      </c>
      <c r="P2724" s="36"/>
      <c r="Q2724" s="36"/>
      <c r="R2724" s="36"/>
      <c r="S2724" s="36"/>
      <c r="T2724" s="36"/>
      <c r="U2724" s="36"/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</row>
    <row r="2725" ht="22.5" customHeight="1">
      <c r="A2725" s="86"/>
      <c r="B2725" s="137" t="s">
        <v>1841</v>
      </c>
      <c r="C2725" s="79"/>
      <c r="D2725" s="80">
        <v>47977.2</v>
      </c>
      <c r="E2725" s="183"/>
      <c r="F2725" s="67" t="s">
        <v>1680</v>
      </c>
      <c r="G2725" s="68">
        <v>22.0</v>
      </c>
      <c r="H2725" s="69">
        <f t="shared" si="144"/>
        <v>8651.62623</v>
      </c>
      <c r="I2725" s="89" t="s">
        <v>1044</v>
      </c>
      <c r="J2725" s="151" t="s">
        <v>1815</v>
      </c>
      <c r="K2725" s="95"/>
      <c r="L2725" s="95"/>
      <c r="M2725" s="95"/>
      <c r="N2725" s="153"/>
      <c r="O2725" s="140" t="s">
        <v>1937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</row>
    <row r="2726" ht="22.5" customHeight="1">
      <c r="A2726" s="86"/>
      <c r="B2726" s="137" t="s">
        <v>1841</v>
      </c>
      <c r="C2726" s="79"/>
      <c r="D2726" s="80">
        <v>66876.1</v>
      </c>
      <c r="E2726" s="183"/>
      <c r="F2726" s="67" t="s">
        <v>1680</v>
      </c>
      <c r="G2726" s="68">
        <v>22.0</v>
      </c>
      <c r="H2726" s="69">
        <f t="shared" si="144"/>
        <v>12059.62459</v>
      </c>
      <c r="I2726" s="89" t="s">
        <v>1044</v>
      </c>
      <c r="J2726" s="151" t="s">
        <v>1815</v>
      </c>
      <c r="K2726" s="95"/>
      <c r="L2726" s="95"/>
      <c r="M2726" s="95"/>
      <c r="N2726" s="153"/>
      <c r="O2726" s="140" t="s">
        <v>1938</v>
      </c>
      <c r="P2726" s="36"/>
      <c r="Q2726" s="36"/>
      <c r="R2726" s="36"/>
      <c r="S2726" s="36"/>
      <c r="T2726" s="36"/>
      <c r="U2726" s="36"/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</row>
    <row r="2727" ht="22.5" customHeight="1">
      <c r="A2727" s="86"/>
      <c r="B2727" s="137" t="s">
        <v>1841</v>
      </c>
      <c r="C2727" s="79"/>
      <c r="D2727" s="80">
        <v>10076.03</v>
      </c>
      <c r="E2727" s="183"/>
      <c r="F2727" s="67" t="s">
        <v>1680</v>
      </c>
      <c r="G2727" s="68">
        <v>22.0</v>
      </c>
      <c r="H2727" s="69">
        <f t="shared" si="144"/>
        <v>1816.989016</v>
      </c>
      <c r="I2727" s="89" t="s">
        <v>1044</v>
      </c>
      <c r="J2727" s="151" t="s">
        <v>1815</v>
      </c>
      <c r="K2727" s="95"/>
      <c r="L2727" s="95"/>
      <c r="M2727" s="95"/>
      <c r="N2727" s="153"/>
      <c r="O2727" s="140" t="s">
        <v>1939</v>
      </c>
      <c r="P2727" s="36"/>
      <c r="Q2727" s="36"/>
      <c r="R2727" s="36"/>
      <c r="S2727" s="36"/>
      <c r="T2727" s="36"/>
      <c r="U2727" s="36"/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</row>
    <row r="2728" ht="22.5" customHeight="1">
      <c r="A2728" s="86"/>
      <c r="B2728" s="137" t="s">
        <v>1841</v>
      </c>
      <c r="C2728" s="79"/>
      <c r="D2728" s="80">
        <v>63410.24</v>
      </c>
      <c r="E2728" s="183"/>
      <c r="F2728" s="67" t="s">
        <v>1680</v>
      </c>
      <c r="G2728" s="68">
        <v>5.0</v>
      </c>
      <c r="H2728" s="69">
        <f t="shared" si="144"/>
        <v>3019.535238</v>
      </c>
      <c r="I2728" s="89" t="s">
        <v>101</v>
      </c>
      <c r="J2728" s="151" t="s">
        <v>631</v>
      </c>
      <c r="K2728" s="95"/>
      <c r="L2728" s="95"/>
      <c r="M2728" s="95"/>
      <c r="N2728" s="153"/>
      <c r="O2728" s="96"/>
      <c r="P2728" s="36"/>
      <c r="Q2728" s="36"/>
      <c r="R2728" s="36"/>
      <c r="S2728" s="36"/>
      <c r="T2728" s="36"/>
      <c r="U2728" s="36"/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</row>
    <row r="2729" ht="22.5" customHeight="1">
      <c r="A2729" s="86"/>
      <c r="B2729" s="137" t="s">
        <v>1841</v>
      </c>
      <c r="C2729" s="79"/>
      <c r="D2729" s="80">
        <v>793000.0</v>
      </c>
      <c r="E2729" s="183"/>
      <c r="F2729" s="67" t="s">
        <v>1609</v>
      </c>
      <c r="G2729" s="68">
        <v>22.0</v>
      </c>
      <c r="H2729" s="69">
        <f t="shared" si="144"/>
        <v>143000</v>
      </c>
      <c r="I2729" s="89" t="s">
        <v>101</v>
      </c>
      <c r="J2729" s="98" t="s">
        <v>1940</v>
      </c>
      <c r="K2729" s="95"/>
      <c r="L2729" s="95"/>
      <c r="M2729" s="95"/>
      <c r="N2729" s="153"/>
      <c r="O2729" s="83" t="s">
        <v>1941</v>
      </c>
      <c r="P2729" s="36"/>
      <c r="Q2729" s="36"/>
      <c r="R2729" s="36"/>
      <c r="S2729" s="36"/>
      <c r="T2729" s="36"/>
      <c r="U2729" s="36"/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</row>
    <row r="2730" ht="22.5" customHeight="1">
      <c r="A2730" s="86"/>
      <c r="B2730" s="137" t="s">
        <v>1841</v>
      </c>
      <c r="C2730" s="79"/>
      <c r="D2730" s="80">
        <v>9662.03</v>
      </c>
      <c r="E2730" s="183"/>
      <c r="F2730" s="67" t="s">
        <v>1680</v>
      </c>
      <c r="G2730" s="68">
        <v>22.0</v>
      </c>
      <c r="H2730" s="69">
        <f t="shared" si="144"/>
        <v>1742.333279</v>
      </c>
      <c r="I2730" s="89" t="s">
        <v>101</v>
      </c>
      <c r="J2730" s="136" t="s">
        <v>973</v>
      </c>
      <c r="K2730" s="95"/>
      <c r="L2730" s="95"/>
      <c r="M2730" s="95"/>
      <c r="N2730" s="153"/>
      <c r="O2730" s="140" t="s">
        <v>1942</v>
      </c>
      <c r="P2730" s="36"/>
      <c r="Q2730" s="36"/>
      <c r="R2730" s="36"/>
      <c r="S2730" s="36"/>
      <c r="T2730" s="36"/>
      <c r="U2730" s="36"/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</row>
    <row r="2731" ht="22.5" customHeight="1">
      <c r="A2731" s="86"/>
      <c r="B2731" s="137" t="s">
        <v>1841</v>
      </c>
      <c r="C2731" s="79"/>
      <c r="D2731" s="80">
        <v>7498.97</v>
      </c>
      <c r="E2731" s="183"/>
      <c r="F2731" s="67" t="s">
        <v>1680</v>
      </c>
      <c r="G2731" s="68">
        <v>22.0</v>
      </c>
      <c r="H2731" s="69">
        <f t="shared" si="144"/>
        <v>1352.273279</v>
      </c>
      <c r="I2731" s="89" t="s">
        <v>101</v>
      </c>
      <c r="J2731" s="151" t="s">
        <v>1762</v>
      </c>
      <c r="K2731" s="95"/>
      <c r="L2731" s="95"/>
      <c r="M2731" s="95"/>
      <c r="N2731" s="153"/>
      <c r="O2731" s="140" t="s">
        <v>1943</v>
      </c>
      <c r="P2731" s="36"/>
      <c r="Q2731" s="36"/>
      <c r="R2731" s="36"/>
      <c r="S2731" s="36"/>
      <c r="T2731" s="36"/>
      <c r="U2731" s="36"/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</row>
    <row r="2732" ht="22.5" customHeight="1">
      <c r="A2732" s="86"/>
      <c r="B2732" s="137" t="s">
        <v>1841</v>
      </c>
      <c r="C2732" s="79"/>
      <c r="D2732" s="80">
        <v>120500.0</v>
      </c>
      <c r="E2732" s="183"/>
      <c r="F2732" s="67" t="s">
        <v>1680</v>
      </c>
      <c r="G2732" s="68">
        <v>0.0</v>
      </c>
      <c r="H2732" s="69">
        <f t="shared" si="144"/>
        <v>0</v>
      </c>
      <c r="I2732" s="89" t="s">
        <v>286</v>
      </c>
      <c r="J2732" s="98" t="s">
        <v>1645</v>
      </c>
      <c r="K2732" s="95"/>
      <c r="L2732" s="95"/>
      <c r="M2732" s="95"/>
      <c r="N2732" s="153"/>
      <c r="O2732" s="140" t="s">
        <v>1944</v>
      </c>
      <c r="P2732" s="36"/>
      <c r="Q2732" s="36"/>
      <c r="R2732" s="36"/>
      <c r="S2732" s="36"/>
      <c r="T2732" s="36"/>
      <c r="U2732" s="36"/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</row>
    <row r="2733" ht="22.5" customHeight="1">
      <c r="A2733" s="86"/>
      <c r="B2733" s="137" t="s">
        <v>1841</v>
      </c>
      <c r="C2733" s="79"/>
      <c r="D2733" s="80">
        <v>27059.48</v>
      </c>
      <c r="E2733" s="183"/>
      <c r="F2733" s="67" t="s">
        <v>1680</v>
      </c>
      <c r="G2733" s="68">
        <v>5.0</v>
      </c>
      <c r="H2733" s="69">
        <f t="shared" si="144"/>
        <v>1288.546667</v>
      </c>
      <c r="I2733" s="89" t="s">
        <v>101</v>
      </c>
      <c r="J2733" s="136" t="s">
        <v>1032</v>
      </c>
      <c r="K2733" s="95"/>
      <c r="L2733" s="95"/>
      <c r="M2733" s="95"/>
      <c r="N2733" s="153"/>
      <c r="O2733" s="140" t="s">
        <v>1945</v>
      </c>
      <c r="P2733" s="36"/>
      <c r="Q2733" s="36"/>
      <c r="R2733" s="36"/>
      <c r="S2733" s="36"/>
      <c r="T2733" s="36"/>
      <c r="U2733" s="36"/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</row>
    <row r="2734" ht="22.5" customHeight="1">
      <c r="A2734" s="86"/>
      <c r="B2734" s="137" t="s">
        <v>1841</v>
      </c>
      <c r="C2734" s="79"/>
      <c r="D2734" s="80">
        <v>955406.4</v>
      </c>
      <c r="E2734" s="183"/>
      <c r="F2734" s="67" t="s">
        <v>1680</v>
      </c>
      <c r="G2734" s="68">
        <v>22.0</v>
      </c>
      <c r="H2734" s="69">
        <f t="shared" si="144"/>
        <v>172286.4</v>
      </c>
      <c r="I2734" s="89" t="s">
        <v>61</v>
      </c>
      <c r="J2734" s="98" t="s">
        <v>1946</v>
      </c>
      <c r="K2734" s="95"/>
      <c r="L2734" s="95"/>
      <c r="M2734" s="95"/>
      <c r="N2734" s="153"/>
      <c r="O2734" s="140" t="s">
        <v>1947</v>
      </c>
      <c r="P2734" s="36"/>
      <c r="Q2734" s="36"/>
      <c r="R2734" s="36"/>
      <c r="S2734" s="36"/>
      <c r="T2734" s="36"/>
      <c r="U2734" s="36"/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</row>
    <row r="2735" ht="22.5" customHeight="1">
      <c r="A2735" s="86"/>
      <c r="B2735" s="137" t="s">
        <v>1841</v>
      </c>
      <c r="C2735" s="79"/>
      <c r="D2735" s="80">
        <v>736982.37</v>
      </c>
      <c r="E2735" s="183"/>
      <c r="F2735" s="67" t="s">
        <v>1723</v>
      </c>
      <c r="G2735" s="68">
        <v>0.0</v>
      </c>
      <c r="H2735" s="69">
        <f t="shared" si="144"/>
        <v>0</v>
      </c>
      <c r="I2735" s="89" t="s">
        <v>1097</v>
      </c>
      <c r="J2735" s="81"/>
      <c r="K2735" s="95"/>
      <c r="L2735" s="95"/>
      <c r="M2735" s="95"/>
      <c r="N2735" s="153"/>
      <c r="O2735" s="96"/>
      <c r="P2735" s="36"/>
      <c r="Q2735" s="36"/>
      <c r="R2735" s="36"/>
      <c r="S2735" s="36"/>
      <c r="T2735" s="36"/>
      <c r="U2735" s="36"/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</row>
    <row r="2736" ht="22.5" customHeight="1">
      <c r="A2736" s="86"/>
      <c r="B2736" s="137" t="s">
        <v>1869</v>
      </c>
      <c r="C2736" s="80">
        <v>36600.0</v>
      </c>
      <c r="D2736" s="79"/>
      <c r="E2736" s="183"/>
      <c r="F2736" s="67" t="s">
        <v>1680</v>
      </c>
      <c r="G2736" s="68">
        <v>22.0</v>
      </c>
      <c r="H2736" s="69">
        <f t="shared" si="144"/>
        <v>6600</v>
      </c>
      <c r="I2736" s="89" t="s">
        <v>37</v>
      </c>
      <c r="J2736" s="98" t="s">
        <v>1167</v>
      </c>
      <c r="K2736" s="82" t="s">
        <v>1948</v>
      </c>
      <c r="L2736" s="82">
        <v>146.0</v>
      </c>
      <c r="M2736" s="128">
        <v>46128.0</v>
      </c>
      <c r="N2736" s="153"/>
      <c r="O2736" s="96"/>
      <c r="P2736" s="36"/>
      <c r="Q2736" s="36"/>
      <c r="R2736" s="36"/>
      <c r="S2736" s="36"/>
      <c r="T2736" s="36"/>
      <c r="U2736" s="36"/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</row>
    <row r="2737" ht="22.5" customHeight="1">
      <c r="A2737" s="86"/>
      <c r="B2737" s="137" t="s">
        <v>1869</v>
      </c>
      <c r="C2737" s="80">
        <v>1220000.44</v>
      </c>
      <c r="D2737" s="79"/>
      <c r="E2737" s="183"/>
      <c r="F2737" s="67" t="s">
        <v>1680</v>
      </c>
      <c r="G2737" s="68">
        <v>22.0</v>
      </c>
      <c r="H2737" s="69">
        <f t="shared" si="144"/>
        <v>220000.0793</v>
      </c>
      <c r="I2737" s="89" t="s">
        <v>37</v>
      </c>
      <c r="J2737" s="98" t="s">
        <v>539</v>
      </c>
      <c r="K2737" s="82" t="s">
        <v>882</v>
      </c>
      <c r="L2737" s="82">
        <v>147.0</v>
      </c>
      <c r="M2737" s="128">
        <v>46149.0</v>
      </c>
      <c r="N2737" s="153"/>
      <c r="O2737" s="96"/>
      <c r="P2737" s="36"/>
      <c r="Q2737" s="36"/>
      <c r="R2737" s="36"/>
      <c r="S2737" s="36"/>
      <c r="T2737" s="36"/>
      <c r="U2737" s="36"/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</row>
    <row r="2738" ht="22.5" customHeight="1">
      <c r="A2738" s="86"/>
      <c r="B2738" s="137" t="s">
        <v>1869</v>
      </c>
      <c r="C2738" s="80">
        <v>732000.0</v>
      </c>
      <c r="D2738" s="79"/>
      <c r="E2738" s="183"/>
      <c r="F2738" s="67" t="s">
        <v>1680</v>
      </c>
      <c r="G2738" s="68">
        <v>22.0</v>
      </c>
      <c r="H2738" s="69">
        <f t="shared" si="144"/>
        <v>132000</v>
      </c>
      <c r="I2738" s="89" t="s">
        <v>37</v>
      </c>
      <c r="J2738" s="98" t="s">
        <v>675</v>
      </c>
      <c r="K2738" s="82" t="s">
        <v>783</v>
      </c>
      <c r="L2738" s="82">
        <v>154.0</v>
      </c>
      <c r="M2738" s="128">
        <v>46153.0</v>
      </c>
      <c r="N2738" s="153"/>
      <c r="O2738" s="96"/>
      <c r="P2738" s="36"/>
      <c r="Q2738" s="36"/>
      <c r="R2738" s="36"/>
      <c r="S2738" s="36"/>
      <c r="T2738" s="36"/>
      <c r="U2738" s="36"/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</row>
    <row r="2739" ht="22.5" customHeight="1">
      <c r="A2739" s="86"/>
      <c r="B2739" s="137" t="s">
        <v>1869</v>
      </c>
      <c r="C2739" s="80">
        <v>1830000.73</v>
      </c>
      <c r="D2739" s="79"/>
      <c r="E2739" s="183"/>
      <c r="F2739" s="67" t="s">
        <v>1680</v>
      </c>
      <c r="G2739" s="68">
        <v>22.0</v>
      </c>
      <c r="H2739" s="69">
        <f t="shared" si="144"/>
        <v>330000.1316</v>
      </c>
      <c r="I2739" s="89" t="s">
        <v>37</v>
      </c>
      <c r="J2739" s="98" t="s">
        <v>1271</v>
      </c>
      <c r="K2739" s="82" t="s">
        <v>804</v>
      </c>
      <c r="L2739" s="82">
        <v>148.0</v>
      </c>
      <c r="M2739" s="128">
        <v>46153.0</v>
      </c>
      <c r="N2739" s="153"/>
      <c r="O2739" s="96"/>
      <c r="P2739" s="36"/>
      <c r="Q2739" s="36"/>
      <c r="R2739" s="36"/>
      <c r="S2739" s="36"/>
      <c r="T2739" s="36"/>
      <c r="U2739" s="36"/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</row>
    <row r="2740" ht="22.5" customHeight="1">
      <c r="A2740" s="86"/>
      <c r="B2740" s="137" t="s">
        <v>1869</v>
      </c>
      <c r="C2740" s="80">
        <v>732000.0</v>
      </c>
      <c r="D2740" s="79"/>
      <c r="E2740" s="183"/>
      <c r="F2740" s="67" t="s">
        <v>1680</v>
      </c>
      <c r="G2740" s="68">
        <v>22.0</v>
      </c>
      <c r="H2740" s="69">
        <f t="shared" si="144"/>
        <v>132000</v>
      </c>
      <c r="I2740" s="89" t="s">
        <v>37</v>
      </c>
      <c r="J2740" s="98" t="s">
        <v>675</v>
      </c>
      <c r="K2740" s="82" t="s">
        <v>1592</v>
      </c>
      <c r="L2740" s="82">
        <v>149.0</v>
      </c>
      <c r="M2740" s="128">
        <v>46153.0</v>
      </c>
      <c r="N2740" s="153"/>
      <c r="O2740" s="96"/>
      <c r="P2740" s="36"/>
      <c r="Q2740" s="36"/>
      <c r="R2740" s="36"/>
      <c r="S2740" s="36"/>
      <c r="T2740" s="36"/>
      <c r="U2740" s="36"/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</row>
    <row r="2741" ht="22.5" customHeight="1">
      <c r="A2741" s="86"/>
      <c r="B2741" s="137" t="s">
        <v>1869</v>
      </c>
      <c r="C2741" s="80">
        <v>732000.0</v>
      </c>
      <c r="D2741" s="79"/>
      <c r="E2741" s="183"/>
      <c r="F2741" s="67" t="s">
        <v>1680</v>
      </c>
      <c r="G2741" s="68">
        <v>22.0</v>
      </c>
      <c r="H2741" s="69">
        <f t="shared" si="144"/>
        <v>132000</v>
      </c>
      <c r="I2741" s="89" t="s">
        <v>37</v>
      </c>
      <c r="J2741" s="98" t="s">
        <v>675</v>
      </c>
      <c r="K2741" s="82" t="s">
        <v>811</v>
      </c>
      <c r="L2741" s="82">
        <v>150.0</v>
      </c>
      <c r="M2741" s="128">
        <v>46153.0</v>
      </c>
      <c r="N2741" s="153"/>
      <c r="O2741" s="96"/>
      <c r="P2741" s="36"/>
      <c r="Q2741" s="36"/>
      <c r="R2741" s="36"/>
      <c r="S2741" s="36"/>
      <c r="T2741" s="36"/>
      <c r="U2741" s="36"/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</row>
    <row r="2742" ht="22.5" customHeight="1">
      <c r="A2742" s="86"/>
      <c r="B2742" s="137" t="s">
        <v>1869</v>
      </c>
      <c r="C2742" s="80">
        <v>610000.44</v>
      </c>
      <c r="D2742" s="79"/>
      <c r="E2742" s="183"/>
      <c r="F2742" s="67" t="s">
        <v>1680</v>
      </c>
      <c r="G2742" s="68">
        <v>22.0</v>
      </c>
      <c r="H2742" s="69">
        <f t="shared" si="144"/>
        <v>110000.0793</v>
      </c>
      <c r="I2742" s="89" t="s">
        <v>37</v>
      </c>
      <c r="J2742" s="98" t="s">
        <v>1883</v>
      </c>
      <c r="K2742" s="82" t="s">
        <v>1949</v>
      </c>
      <c r="L2742" s="82">
        <v>151.0</v>
      </c>
      <c r="M2742" s="128">
        <v>46153.0</v>
      </c>
      <c r="N2742" s="153"/>
      <c r="O2742" s="96"/>
      <c r="P2742" s="36"/>
      <c r="Q2742" s="36"/>
      <c r="R2742" s="36"/>
      <c r="S2742" s="36"/>
      <c r="T2742" s="36"/>
      <c r="U2742" s="36"/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</row>
    <row r="2743" ht="22.5" customHeight="1">
      <c r="A2743" s="86"/>
      <c r="B2743" s="137" t="s">
        <v>1869</v>
      </c>
      <c r="C2743" s="80">
        <v>610061.0</v>
      </c>
      <c r="D2743" s="79"/>
      <c r="E2743" s="183"/>
      <c r="F2743" s="67" t="s">
        <v>1680</v>
      </c>
      <c r="G2743" s="68">
        <v>22.0</v>
      </c>
      <c r="H2743" s="69">
        <f t="shared" si="144"/>
        <v>110011</v>
      </c>
      <c r="I2743" s="89" t="s">
        <v>37</v>
      </c>
      <c r="J2743" s="98" t="s">
        <v>1883</v>
      </c>
      <c r="K2743" s="82" t="s">
        <v>1950</v>
      </c>
      <c r="L2743" s="82">
        <v>152.0</v>
      </c>
      <c r="M2743" s="128">
        <v>46153.0</v>
      </c>
      <c r="N2743" s="153"/>
      <c r="O2743" s="96"/>
      <c r="P2743" s="36"/>
      <c r="Q2743" s="36"/>
      <c r="R2743" s="36"/>
      <c r="S2743" s="36"/>
      <c r="T2743" s="36"/>
      <c r="U2743" s="36"/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</row>
    <row r="2744" ht="22.5" customHeight="1">
      <c r="A2744" s="86"/>
      <c r="B2744" s="137" t="s">
        <v>1869</v>
      </c>
      <c r="C2744" s="80">
        <v>732000.0</v>
      </c>
      <c r="D2744" s="79"/>
      <c r="E2744" s="183"/>
      <c r="F2744" s="67" t="s">
        <v>1680</v>
      </c>
      <c r="G2744" s="68">
        <v>22.0</v>
      </c>
      <c r="H2744" s="69">
        <f t="shared" si="144"/>
        <v>132000</v>
      </c>
      <c r="I2744" s="89" t="s">
        <v>37</v>
      </c>
      <c r="J2744" s="98" t="s">
        <v>675</v>
      </c>
      <c r="K2744" s="82" t="s">
        <v>813</v>
      </c>
      <c r="L2744" s="82">
        <v>153.0</v>
      </c>
      <c r="M2744" s="128">
        <v>46153.0</v>
      </c>
      <c r="N2744" s="153"/>
      <c r="O2744" s="96"/>
      <c r="P2744" s="36"/>
      <c r="Q2744" s="36"/>
      <c r="R2744" s="36"/>
      <c r="S2744" s="36"/>
      <c r="T2744" s="36"/>
      <c r="U2744" s="36"/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</row>
    <row r="2745" ht="22.5" customHeight="1">
      <c r="A2745" s="86"/>
      <c r="B2745" s="137" t="s">
        <v>1869</v>
      </c>
      <c r="C2745" s="80">
        <v>183000.0</v>
      </c>
      <c r="D2745" s="79"/>
      <c r="E2745" s="183"/>
      <c r="F2745" s="67" t="s">
        <v>1680</v>
      </c>
      <c r="G2745" s="68">
        <v>22.0</v>
      </c>
      <c r="H2745" s="69">
        <f t="shared" si="144"/>
        <v>33000</v>
      </c>
      <c r="I2745" s="89" t="s">
        <v>37</v>
      </c>
      <c r="J2745" s="98" t="s">
        <v>675</v>
      </c>
      <c r="K2745" s="82" t="s">
        <v>1617</v>
      </c>
      <c r="L2745" s="82">
        <v>172.0</v>
      </c>
      <c r="M2745" s="128">
        <v>46153.0</v>
      </c>
      <c r="N2745" s="153"/>
      <c r="O2745" s="96"/>
      <c r="P2745" s="36"/>
      <c r="Q2745" s="36"/>
      <c r="R2745" s="36"/>
      <c r="S2745" s="36"/>
      <c r="T2745" s="36"/>
      <c r="U2745" s="36"/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</row>
    <row r="2746" ht="22.5" customHeight="1">
      <c r="A2746" s="86"/>
      <c r="B2746" s="137" t="s">
        <v>1869</v>
      </c>
      <c r="C2746" s="80">
        <v>168669.82</v>
      </c>
      <c r="D2746" s="79"/>
      <c r="E2746" s="183"/>
      <c r="F2746" s="67" t="s">
        <v>1680</v>
      </c>
      <c r="G2746" s="68">
        <v>22.0</v>
      </c>
      <c r="H2746" s="69">
        <f t="shared" si="144"/>
        <v>30415.86918</v>
      </c>
      <c r="I2746" s="89" t="s">
        <v>37</v>
      </c>
      <c r="J2746" s="98" t="s">
        <v>675</v>
      </c>
      <c r="K2746" s="82" t="s">
        <v>1403</v>
      </c>
      <c r="L2746" s="82">
        <v>155.0</v>
      </c>
      <c r="M2746" s="128">
        <v>46153.0</v>
      </c>
      <c r="N2746" s="153"/>
      <c r="O2746" s="96"/>
      <c r="P2746" s="36"/>
      <c r="Q2746" s="36"/>
      <c r="R2746" s="36"/>
      <c r="S2746" s="36"/>
      <c r="T2746" s="36"/>
      <c r="U2746" s="36"/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</row>
    <row r="2747" ht="22.5" customHeight="1">
      <c r="A2747" s="86"/>
      <c r="B2747" s="137" t="s">
        <v>1869</v>
      </c>
      <c r="C2747" s="80">
        <v>267180.0</v>
      </c>
      <c r="D2747" s="79"/>
      <c r="E2747" s="183"/>
      <c r="F2747" s="67" t="s">
        <v>1680</v>
      </c>
      <c r="G2747" s="68">
        <v>22.0</v>
      </c>
      <c r="H2747" s="69">
        <f t="shared" si="144"/>
        <v>48180</v>
      </c>
      <c r="I2747" s="89" t="s">
        <v>37</v>
      </c>
      <c r="J2747" s="98" t="s">
        <v>675</v>
      </c>
      <c r="K2747" s="82" t="s">
        <v>1403</v>
      </c>
      <c r="L2747" s="82">
        <v>156.0</v>
      </c>
      <c r="M2747" s="128">
        <v>46153.0</v>
      </c>
      <c r="N2747" s="153"/>
      <c r="O2747" s="96"/>
      <c r="P2747" s="36"/>
      <c r="Q2747" s="36"/>
      <c r="R2747" s="36"/>
      <c r="S2747" s="36"/>
      <c r="T2747" s="36"/>
      <c r="U2747" s="36"/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</row>
    <row r="2748" ht="22.5" customHeight="1">
      <c r="A2748" s="86"/>
      <c r="B2748" s="137" t="s">
        <v>1869</v>
      </c>
      <c r="C2748" s="80">
        <v>610061.0</v>
      </c>
      <c r="D2748" s="79"/>
      <c r="E2748" s="183"/>
      <c r="F2748" s="67" t="s">
        <v>1680</v>
      </c>
      <c r="G2748" s="68">
        <v>22.0</v>
      </c>
      <c r="H2748" s="69">
        <f t="shared" si="144"/>
        <v>110011</v>
      </c>
      <c r="I2748" s="89" t="s">
        <v>37</v>
      </c>
      <c r="J2748" s="98" t="s">
        <v>1167</v>
      </c>
      <c r="K2748" s="82" t="s">
        <v>1951</v>
      </c>
      <c r="L2748" s="82">
        <v>157.0</v>
      </c>
      <c r="M2748" s="128">
        <v>46155.0</v>
      </c>
      <c r="N2748" s="153"/>
      <c r="O2748" s="96"/>
      <c r="P2748" s="36"/>
      <c r="Q2748" s="36"/>
      <c r="R2748" s="36"/>
      <c r="S2748" s="36"/>
      <c r="T2748" s="36"/>
      <c r="U2748" s="36"/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</row>
    <row r="2749" ht="22.5" customHeight="1">
      <c r="A2749" s="86"/>
      <c r="B2749" s="137" t="s">
        <v>1869</v>
      </c>
      <c r="C2749" s="80">
        <v>609999.79</v>
      </c>
      <c r="D2749" s="79"/>
      <c r="E2749" s="183"/>
      <c r="F2749" s="67" t="s">
        <v>1680</v>
      </c>
      <c r="G2749" s="68">
        <v>22.0</v>
      </c>
      <c r="H2749" s="69">
        <f t="shared" si="144"/>
        <v>109999.9621</v>
      </c>
      <c r="I2749" s="89" t="s">
        <v>37</v>
      </c>
      <c r="J2749" s="98" t="s">
        <v>1952</v>
      </c>
      <c r="K2749" s="82" t="s">
        <v>1268</v>
      </c>
      <c r="L2749" s="82">
        <v>158.0</v>
      </c>
      <c r="M2749" s="128">
        <v>46155.0</v>
      </c>
      <c r="N2749" s="153"/>
      <c r="O2749" s="96"/>
      <c r="P2749" s="36"/>
      <c r="Q2749" s="36"/>
      <c r="R2749" s="36"/>
      <c r="S2749" s="36"/>
      <c r="T2749" s="36"/>
      <c r="U2749" s="36"/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</row>
    <row r="2750" ht="22.5" customHeight="1">
      <c r="A2750" s="86"/>
      <c r="B2750" s="137" t="s">
        <v>1869</v>
      </c>
      <c r="C2750" s="80">
        <v>610061.0</v>
      </c>
      <c r="D2750" s="79"/>
      <c r="E2750" s="183"/>
      <c r="F2750" s="67" t="s">
        <v>1680</v>
      </c>
      <c r="G2750" s="68">
        <v>22.0</v>
      </c>
      <c r="H2750" s="69">
        <f t="shared" si="144"/>
        <v>110011</v>
      </c>
      <c r="I2750" s="89" t="s">
        <v>37</v>
      </c>
      <c r="J2750" s="98" t="s">
        <v>1167</v>
      </c>
      <c r="K2750" s="82" t="s">
        <v>1953</v>
      </c>
      <c r="L2750" s="82">
        <v>159.0</v>
      </c>
      <c r="M2750" s="128">
        <v>46155.0</v>
      </c>
      <c r="N2750" s="153"/>
      <c r="O2750" s="96"/>
      <c r="P2750" s="36"/>
      <c r="Q2750" s="36"/>
      <c r="R2750" s="36"/>
      <c r="S2750" s="36"/>
      <c r="T2750" s="36"/>
      <c r="U2750" s="36"/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</row>
    <row r="2751" ht="22.5" customHeight="1">
      <c r="A2751" s="86"/>
      <c r="B2751" s="137" t="s">
        <v>1869</v>
      </c>
      <c r="C2751" s="80">
        <v>610061.0</v>
      </c>
      <c r="D2751" s="79"/>
      <c r="E2751" s="183"/>
      <c r="F2751" s="67" t="s">
        <v>1680</v>
      </c>
      <c r="G2751" s="68">
        <v>22.0</v>
      </c>
      <c r="H2751" s="69">
        <f t="shared" si="144"/>
        <v>110011</v>
      </c>
      <c r="I2751" s="89" t="s">
        <v>37</v>
      </c>
      <c r="J2751" s="98" t="s">
        <v>1167</v>
      </c>
      <c r="K2751" s="82" t="s">
        <v>1954</v>
      </c>
      <c r="L2751" s="82">
        <v>160.0</v>
      </c>
      <c r="M2751" s="128">
        <v>46155.0</v>
      </c>
      <c r="N2751" s="153"/>
      <c r="O2751" s="96"/>
      <c r="P2751" s="36"/>
      <c r="Q2751" s="36"/>
      <c r="R2751" s="36"/>
      <c r="S2751" s="36"/>
      <c r="T2751" s="36"/>
      <c r="U2751" s="36"/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</row>
    <row r="2752" ht="22.5" customHeight="1">
      <c r="A2752" s="86"/>
      <c r="B2752" s="137" t="s">
        <v>1869</v>
      </c>
      <c r="C2752" s="80">
        <v>610061.0</v>
      </c>
      <c r="D2752" s="79"/>
      <c r="E2752" s="183"/>
      <c r="F2752" s="67" t="s">
        <v>1680</v>
      </c>
      <c r="G2752" s="68">
        <v>22.0</v>
      </c>
      <c r="H2752" s="69">
        <f t="shared" si="144"/>
        <v>110011</v>
      </c>
      <c r="I2752" s="89" t="s">
        <v>37</v>
      </c>
      <c r="J2752" s="98" t="s">
        <v>1167</v>
      </c>
      <c r="K2752" s="82" t="s">
        <v>1955</v>
      </c>
      <c r="L2752" s="82">
        <v>161.0</v>
      </c>
      <c r="M2752" s="128">
        <v>46155.0</v>
      </c>
      <c r="N2752" s="153"/>
      <c r="O2752" s="96"/>
      <c r="P2752" s="36"/>
      <c r="Q2752" s="36"/>
      <c r="R2752" s="36"/>
      <c r="S2752" s="36"/>
      <c r="T2752" s="36"/>
      <c r="U2752" s="36"/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</row>
    <row r="2753" ht="22.5" customHeight="1">
      <c r="A2753" s="86"/>
      <c r="B2753" s="137" t="s">
        <v>1869</v>
      </c>
      <c r="C2753" s="80">
        <v>36600.0</v>
      </c>
      <c r="D2753" s="79"/>
      <c r="E2753" s="183"/>
      <c r="F2753" s="67" t="s">
        <v>1680</v>
      </c>
      <c r="G2753" s="68">
        <v>22.0</v>
      </c>
      <c r="H2753" s="69">
        <f t="shared" si="144"/>
        <v>6600</v>
      </c>
      <c r="I2753" s="89" t="s">
        <v>37</v>
      </c>
      <c r="J2753" s="98" t="s">
        <v>1167</v>
      </c>
      <c r="K2753" s="82" t="s">
        <v>1956</v>
      </c>
      <c r="L2753" s="82">
        <v>162.0</v>
      </c>
      <c r="M2753" s="128">
        <v>46155.0</v>
      </c>
      <c r="N2753" s="153"/>
      <c r="O2753" s="96"/>
      <c r="P2753" s="36"/>
      <c r="Q2753" s="36"/>
      <c r="R2753" s="36"/>
      <c r="S2753" s="36"/>
      <c r="T2753" s="36"/>
      <c r="U2753" s="36"/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</row>
    <row r="2754" ht="22.5" customHeight="1">
      <c r="A2754" s="86"/>
      <c r="B2754" s="137" t="s">
        <v>1869</v>
      </c>
      <c r="C2754" s="80">
        <v>698694.0</v>
      </c>
      <c r="D2754" s="79"/>
      <c r="E2754" s="183"/>
      <c r="F2754" s="67" t="s">
        <v>1680</v>
      </c>
      <c r="G2754" s="68">
        <v>22.0</v>
      </c>
      <c r="H2754" s="69">
        <f t="shared" si="144"/>
        <v>125994</v>
      </c>
      <c r="I2754" s="89" t="s">
        <v>37</v>
      </c>
      <c r="J2754" s="98" t="s">
        <v>1167</v>
      </c>
      <c r="K2754" s="82" t="s">
        <v>1957</v>
      </c>
      <c r="L2754" s="82">
        <v>163.0</v>
      </c>
      <c r="M2754" s="128">
        <v>46155.0</v>
      </c>
      <c r="N2754" s="153"/>
      <c r="O2754" s="96"/>
      <c r="P2754" s="36"/>
      <c r="Q2754" s="36"/>
      <c r="R2754" s="36"/>
      <c r="S2754" s="36"/>
      <c r="T2754" s="36"/>
      <c r="U2754" s="36"/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</row>
    <row r="2755" ht="22.5" customHeight="1">
      <c r="A2755" s="86"/>
      <c r="B2755" s="137" t="s">
        <v>1869</v>
      </c>
      <c r="C2755" s="80">
        <v>610061.0</v>
      </c>
      <c r="D2755" s="79"/>
      <c r="E2755" s="183"/>
      <c r="F2755" s="67" t="s">
        <v>1680</v>
      </c>
      <c r="G2755" s="68">
        <v>22.0</v>
      </c>
      <c r="H2755" s="69">
        <f t="shared" si="144"/>
        <v>110011</v>
      </c>
      <c r="I2755" s="89" t="s">
        <v>37</v>
      </c>
      <c r="J2755" s="98" t="s">
        <v>1167</v>
      </c>
      <c r="K2755" s="82" t="s">
        <v>1958</v>
      </c>
      <c r="L2755" s="82">
        <v>164.0</v>
      </c>
      <c r="M2755" s="128">
        <v>46155.0</v>
      </c>
      <c r="N2755" s="153"/>
      <c r="O2755" s="96"/>
      <c r="P2755" s="36"/>
      <c r="Q2755" s="36"/>
      <c r="R2755" s="36"/>
      <c r="S2755" s="36"/>
      <c r="T2755" s="36"/>
      <c r="U2755" s="36"/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</row>
    <row r="2756" ht="22.5" customHeight="1">
      <c r="A2756" s="86"/>
      <c r="B2756" s="137" t="s">
        <v>1869</v>
      </c>
      <c r="C2756" s="80">
        <v>85400.0</v>
      </c>
      <c r="D2756" s="79"/>
      <c r="E2756" s="183"/>
      <c r="F2756" s="67" t="s">
        <v>1680</v>
      </c>
      <c r="G2756" s="68">
        <v>22.0</v>
      </c>
      <c r="H2756" s="69">
        <f t="shared" si="144"/>
        <v>15400</v>
      </c>
      <c r="I2756" s="89" t="s">
        <v>37</v>
      </c>
      <c r="J2756" s="98" t="s">
        <v>1167</v>
      </c>
      <c r="K2756" s="82" t="s">
        <v>1959</v>
      </c>
      <c r="L2756" s="82">
        <v>165.0</v>
      </c>
      <c r="M2756" s="128">
        <v>46155.0</v>
      </c>
      <c r="N2756" s="153"/>
      <c r="O2756" s="96"/>
      <c r="P2756" s="36"/>
      <c r="Q2756" s="36"/>
      <c r="R2756" s="36"/>
      <c r="S2756" s="36"/>
      <c r="T2756" s="36"/>
      <c r="U2756" s="36"/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</row>
    <row r="2757" ht="22.5" customHeight="1">
      <c r="A2757" s="86"/>
      <c r="B2757" s="137" t="s">
        <v>1869</v>
      </c>
      <c r="C2757" s="80">
        <v>85400.0</v>
      </c>
      <c r="D2757" s="79"/>
      <c r="E2757" s="183"/>
      <c r="F2757" s="67" t="s">
        <v>1680</v>
      </c>
      <c r="G2757" s="68">
        <v>22.0</v>
      </c>
      <c r="H2757" s="69">
        <f t="shared" si="144"/>
        <v>15400</v>
      </c>
      <c r="I2757" s="89" t="s">
        <v>37</v>
      </c>
      <c r="J2757" s="98" t="s">
        <v>1167</v>
      </c>
      <c r="K2757" s="82" t="s">
        <v>1960</v>
      </c>
      <c r="L2757" s="82">
        <v>166.0</v>
      </c>
      <c r="M2757" s="128">
        <v>46155.0</v>
      </c>
      <c r="N2757" s="153"/>
      <c r="O2757" s="96"/>
      <c r="P2757" s="36"/>
      <c r="Q2757" s="36"/>
      <c r="R2757" s="36"/>
      <c r="S2757" s="36"/>
      <c r="T2757" s="36"/>
      <c r="U2757" s="36"/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</row>
    <row r="2758" ht="22.5" customHeight="1">
      <c r="A2758" s="86"/>
      <c r="B2758" s="137" t="s">
        <v>1869</v>
      </c>
      <c r="C2758" s="80">
        <v>396499.8</v>
      </c>
      <c r="D2758" s="79"/>
      <c r="E2758" s="183"/>
      <c r="F2758" s="67" t="s">
        <v>1680</v>
      </c>
      <c r="G2758" s="68">
        <v>22.0</v>
      </c>
      <c r="H2758" s="69">
        <f t="shared" si="144"/>
        <v>71499.96393</v>
      </c>
      <c r="I2758" s="89" t="s">
        <v>37</v>
      </c>
      <c r="J2758" s="98" t="s">
        <v>1952</v>
      </c>
      <c r="K2758" s="82" t="s">
        <v>1168</v>
      </c>
      <c r="L2758" s="82">
        <v>167.0</v>
      </c>
      <c r="M2758" s="128">
        <v>46156.0</v>
      </c>
      <c r="N2758" s="153"/>
      <c r="O2758" s="96"/>
      <c r="P2758" s="36"/>
      <c r="Q2758" s="36"/>
      <c r="R2758" s="36"/>
      <c r="S2758" s="36"/>
      <c r="T2758" s="36"/>
      <c r="U2758" s="36"/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</row>
    <row r="2759" ht="22.5" customHeight="1">
      <c r="A2759" s="86"/>
      <c r="B2759" s="137" t="s">
        <v>1869</v>
      </c>
      <c r="C2759" s="80">
        <v>488000.32</v>
      </c>
      <c r="D2759" s="79"/>
      <c r="E2759" s="183"/>
      <c r="F2759" s="67" t="s">
        <v>1680</v>
      </c>
      <c r="G2759" s="68">
        <v>22.0</v>
      </c>
      <c r="H2759" s="69">
        <f t="shared" si="144"/>
        <v>88000.0577</v>
      </c>
      <c r="I2759" s="89" t="s">
        <v>37</v>
      </c>
      <c r="J2759" s="98" t="s">
        <v>1952</v>
      </c>
      <c r="K2759" s="82" t="s">
        <v>1169</v>
      </c>
      <c r="L2759" s="82">
        <v>168.0</v>
      </c>
      <c r="M2759" s="128">
        <v>46156.0</v>
      </c>
      <c r="N2759" s="153"/>
      <c r="O2759" s="96"/>
      <c r="P2759" s="36"/>
      <c r="Q2759" s="36"/>
      <c r="R2759" s="36"/>
      <c r="S2759" s="36"/>
      <c r="T2759" s="36"/>
      <c r="U2759" s="36"/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</row>
    <row r="2760" ht="22.5" customHeight="1">
      <c r="A2760" s="86"/>
      <c r="B2760" s="137" t="s">
        <v>1869</v>
      </c>
      <c r="C2760" s="80">
        <v>335533.55</v>
      </c>
      <c r="D2760" s="79"/>
      <c r="E2760" s="183"/>
      <c r="F2760" s="67" t="s">
        <v>1680</v>
      </c>
      <c r="G2760" s="68">
        <v>22.0</v>
      </c>
      <c r="H2760" s="69">
        <f t="shared" si="144"/>
        <v>60506.05</v>
      </c>
      <c r="I2760" s="89" t="s">
        <v>37</v>
      </c>
      <c r="J2760" s="98" t="s">
        <v>944</v>
      </c>
      <c r="K2760" s="82" t="s">
        <v>1341</v>
      </c>
      <c r="L2760" s="82">
        <v>169.0</v>
      </c>
      <c r="M2760" s="128">
        <v>46161.0</v>
      </c>
      <c r="N2760" s="153"/>
      <c r="O2760" s="96"/>
      <c r="P2760" s="36"/>
      <c r="Q2760" s="36"/>
      <c r="R2760" s="36"/>
      <c r="S2760" s="36"/>
      <c r="T2760" s="36"/>
      <c r="U2760" s="36"/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</row>
    <row r="2761" ht="22.5" customHeight="1">
      <c r="A2761" s="86"/>
      <c r="B2761" s="137" t="s">
        <v>1869</v>
      </c>
      <c r="C2761" s="80">
        <v>150975.0</v>
      </c>
      <c r="D2761" s="79"/>
      <c r="E2761" s="183"/>
      <c r="F2761" s="67" t="s">
        <v>1680</v>
      </c>
      <c r="G2761" s="68">
        <v>22.0</v>
      </c>
      <c r="H2761" s="69">
        <f t="shared" si="144"/>
        <v>27225</v>
      </c>
      <c r="I2761" s="89" t="s">
        <v>37</v>
      </c>
      <c r="J2761" s="98" t="s">
        <v>944</v>
      </c>
      <c r="K2761" s="82" t="s">
        <v>1341</v>
      </c>
      <c r="L2761" s="82">
        <v>170.0</v>
      </c>
      <c r="M2761" s="128">
        <v>46161.0</v>
      </c>
      <c r="N2761" s="153"/>
      <c r="O2761" s="96"/>
      <c r="P2761" s="36"/>
      <c r="Q2761" s="36"/>
      <c r="R2761" s="36"/>
      <c r="S2761" s="36"/>
      <c r="T2761" s="36"/>
      <c r="U2761" s="36"/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</row>
    <row r="2762" ht="22.5" customHeight="1">
      <c r="A2762" s="86"/>
      <c r="B2762" s="137" t="s">
        <v>1869</v>
      </c>
      <c r="C2762" s="80">
        <v>184525.0</v>
      </c>
      <c r="D2762" s="79"/>
      <c r="E2762" s="183"/>
      <c r="F2762" s="67" t="s">
        <v>1680</v>
      </c>
      <c r="G2762" s="68">
        <v>22.0</v>
      </c>
      <c r="H2762" s="69">
        <f t="shared" si="144"/>
        <v>33275</v>
      </c>
      <c r="I2762" s="89" t="s">
        <v>37</v>
      </c>
      <c r="J2762" s="98" t="s">
        <v>944</v>
      </c>
      <c r="K2762" s="82" t="s">
        <v>1341</v>
      </c>
      <c r="L2762" s="82">
        <v>171.0</v>
      </c>
      <c r="M2762" s="128">
        <v>46161.0</v>
      </c>
      <c r="N2762" s="153"/>
      <c r="O2762" s="96"/>
      <c r="P2762" s="36"/>
      <c r="Q2762" s="36"/>
      <c r="R2762" s="36"/>
      <c r="S2762" s="36"/>
      <c r="T2762" s="36"/>
      <c r="U2762" s="36"/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</row>
    <row r="2763" ht="22.5" customHeight="1">
      <c r="A2763" s="86"/>
      <c r="B2763" s="137" t="s">
        <v>1869</v>
      </c>
      <c r="C2763" s="80">
        <v>994240.46</v>
      </c>
      <c r="D2763" s="79"/>
      <c r="E2763" s="183"/>
      <c r="F2763" s="67" t="s">
        <v>1680</v>
      </c>
      <c r="G2763" s="68">
        <v>22.0</v>
      </c>
      <c r="H2763" s="69">
        <f t="shared" si="144"/>
        <v>179289.2633</v>
      </c>
      <c r="I2763" s="89" t="s">
        <v>37</v>
      </c>
      <c r="J2763" s="98" t="s">
        <v>1784</v>
      </c>
      <c r="K2763" s="82" t="s">
        <v>949</v>
      </c>
      <c r="L2763" s="82">
        <v>173.0</v>
      </c>
      <c r="M2763" s="128">
        <v>46162.0</v>
      </c>
      <c r="N2763" s="153"/>
      <c r="O2763" s="96"/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</row>
    <row r="2764" ht="22.5" customHeight="1">
      <c r="A2764" s="86"/>
      <c r="B2764" s="137" t="s">
        <v>1869</v>
      </c>
      <c r="C2764" s="80">
        <v>1348100.0</v>
      </c>
      <c r="D2764" s="79"/>
      <c r="E2764" s="183"/>
      <c r="F2764" s="67" t="s">
        <v>1680</v>
      </c>
      <c r="G2764" s="68">
        <v>22.0</v>
      </c>
      <c r="H2764" s="69">
        <f t="shared" si="144"/>
        <v>243100</v>
      </c>
      <c r="I2764" s="89" t="s">
        <v>37</v>
      </c>
      <c r="J2764" s="98" t="s">
        <v>944</v>
      </c>
      <c r="K2764" s="82" t="s">
        <v>1342</v>
      </c>
      <c r="L2764" s="82">
        <v>174.0</v>
      </c>
      <c r="M2764" s="128">
        <v>46162.0</v>
      </c>
      <c r="N2764" s="153"/>
      <c r="O2764" s="96"/>
      <c r="P2764" s="36"/>
      <c r="Q2764" s="36"/>
      <c r="R2764" s="36"/>
      <c r="S2764" s="36"/>
      <c r="T2764" s="36"/>
      <c r="U2764" s="36"/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</row>
    <row r="2765" ht="22.5" customHeight="1">
      <c r="A2765" s="86"/>
      <c r="B2765" s="137" t="s">
        <v>1869</v>
      </c>
      <c r="C2765" s="80">
        <v>1037000.0</v>
      </c>
      <c r="D2765" s="79"/>
      <c r="E2765" s="183"/>
      <c r="F2765" s="67" t="s">
        <v>1680</v>
      </c>
      <c r="G2765" s="68">
        <v>22.0</v>
      </c>
      <c r="H2765" s="69">
        <f t="shared" si="144"/>
        <v>187000</v>
      </c>
      <c r="I2765" s="89" t="s">
        <v>37</v>
      </c>
      <c r="J2765" s="98" t="s">
        <v>944</v>
      </c>
      <c r="K2765" s="82" t="s">
        <v>1339</v>
      </c>
      <c r="L2765" s="82">
        <v>175.0</v>
      </c>
      <c r="M2765" s="128">
        <v>46162.0</v>
      </c>
      <c r="N2765" s="153"/>
      <c r="O2765" s="96"/>
      <c r="P2765" s="36"/>
      <c r="Q2765" s="36"/>
      <c r="R2765" s="36"/>
      <c r="S2765" s="36"/>
      <c r="T2765" s="36"/>
      <c r="U2765" s="36"/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</row>
    <row r="2766" ht="22.5" customHeight="1">
      <c r="A2766" s="86"/>
      <c r="B2766" s="137" t="s">
        <v>1841</v>
      </c>
      <c r="C2766" s="79"/>
      <c r="D2766" s="80">
        <v>307550.35</v>
      </c>
      <c r="E2766" s="183"/>
      <c r="F2766" s="67" t="s">
        <v>1734</v>
      </c>
      <c r="G2766" s="68">
        <v>22.0</v>
      </c>
      <c r="H2766" s="69">
        <f t="shared" si="144"/>
        <v>55459.89918</v>
      </c>
      <c r="I2766" s="89" t="s">
        <v>61</v>
      </c>
      <c r="J2766" s="98" t="s">
        <v>1834</v>
      </c>
      <c r="K2766" s="95"/>
      <c r="L2766" s="95"/>
      <c r="M2766" s="95"/>
      <c r="N2766" s="153"/>
      <c r="O2766" s="140" t="s">
        <v>1961</v>
      </c>
      <c r="P2766" s="36"/>
      <c r="Q2766" s="36"/>
      <c r="R2766" s="36"/>
      <c r="S2766" s="36"/>
      <c r="T2766" s="36"/>
      <c r="U2766" s="36"/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</row>
    <row r="2767" ht="22.5" customHeight="1">
      <c r="A2767" s="86"/>
      <c r="B2767" s="137" t="s">
        <v>1841</v>
      </c>
      <c r="C2767" s="79"/>
      <c r="D2767" s="80">
        <v>16055.2</v>
      </c>
      <c r="E2767" s="183"/>
      <c r="F2767" s="67" t="s">
        <v>1797</v>
      </c>
      <c r="G2767" s="68">
        <v>22.0</v>
      </c>
      <c r="H2767" s="69">
        <f t="shared" si="144"/>
        <v>2895.2</v>
      </c>
      <c r="I2767" s="89" t="s">
        <v>259</v>
      </c>
      <c r="J2767" s="98" t="s">
        <v>1519</v>
      </c>
      <c r="K2767" s="95"/>
      <c r="L2767" s="95"/>
      <c r="M2767" s="95"/>
      <c r="N2767" s="153"/>
      <c r="O2767" s="140" t="s">
        <v>1962</v>
      </c>
      <c r="P2767" s="36"/>
      <c r="Q2767" s="36"/>
      <c r="R2767" s="36"/>
      <c r="S2767" s="36"/>
      <c r="T2767" s="36"/>
      <c r="U2767" s="36"/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</row>
    <row r="2768" ht="22.5" customHeight="1">
      <c r="A2768" s="86"/>
      <c r="B2768" s="137" t="s">
        <v>1841</v>
      </c>
      <c r="C2768" s="79"/>
      <c r="D2768" s="80">
        <v>550000.0</v>
      </c>
      <c r="E2768" s="183"/>
      <c r="F2768" s="67" t="s">
        <v>1734</v>
      </c>
      <c r="G2768" s="68">
        <v>0.0</v>
      </c>
      <c r="H2768" s="69">
        <f t="shared" si="144"/>
        <v>0</v>
      </c>
      <c r="I2768" s="89" t="s">
        <v>504</v>
      </c>
      <c r="J2768" s="98" t="s">
        <v>1664</v>
      </c>
      <c r="K2768" s="95"/>
      <c r="L2768" s="95"/>
      <c r="M2768" s="95"/>
      <c r="N2768" s="153"/>
      <c r="O2768" s="140" t="s">
        <v>1963</v>
      </c>
      <c r="P2768" s="36"/>
      <c r="Q2768" s="36"/>
      <c r="R2768" s="36"/>
      <c r="S2768" s="36"/>
      <c r="T2768" s="36"/>
      <c r="U2768" s="36"/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</row>
    <row r="2769" ht="22.5" customHeight="1">
      <c r="A2769" s="86"/>
      <c r="B2769" s="137" t="s">
        <v>1841</v>
      </c>
      <c r="C2769" s="79"/>
      <c r="D2769" s="80">
        <v>549000.0</v>
      </c>
      <c r="E2769" s="183"/>
      <c r="F2769" s="67" t="s">
        <v>1734</v>
      </c>
      <c r="G2769" s="68">
        <v>22.0</v>
      </c>
      <c r="H2769" s="69">
        <f t="shared" si="144"/>
        <v>99000</v>
      </c>
      <c r="I2769" s="89" t="s">
        <v>30</v>
      </c>
      <c r="J2769" s="98" t="s">
        <v>1715</v>
      </c>
      <c r="K2769" s="95"/>
      <c r="L2769" s="95"/>
      <c r="M2769" s="95"/>
      <c r="N2769" s="153"/>
      <c r="O2769" s="140" t="s">
        <v>1964</v>
      </c>
      <c r="P2769" s="36"/>
      <c r="Q2769" s="36"/>
      <c r="R2769" s="36"/>
      <c r="S2769" s="36"/>
      <c r="T2769" s="36"/>
      <c r="U2769" s="36"/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</row>
    <row r="2770" ht="22.5" customHeight="1">
      <c r="A2770" s="86"/>
      <c r="B2770" s="137" t="s">
        <v>1841</v>
      </c>
      <c r="C2770" s="79"/>
      <c r="D2770" s="80">
        <v>57303.8</v>
      </c>
      <c r="E2770" s="183"/>
      <c r="F2770" s="67" t="s">
        <v>1609</v>
      </c>
      <c r="G2770" s="68">
        <v>0.0</v>
      </c>
      <c r="H2770" s="69">
        <f t="shared" si="144"/>
        <v>0</v>
      </c>
      <c r="I2770" s="89" t="s">
        <v>101</v>
      </c>
      <c r="J2770" s="98" t="s">
        <v>1577</v>
      </c>
      <c r="K2770" s="95"/>
      <c r="L2770" s="95"/>
      <c r="M2770" s="95"/>
      <c r="N2770" s="153"/>
      <c r="O2770" s="140" t="s">
        <v>1965</v>
      </c>
      <c r="P2770" s="36"/>
      <c r="Q2770" s="36"/>
      <c r="R2770" s="36"/>
      <c r="S2770" s="36"/>
      <c r="T2770" s="36"/>
      <c r="U2770" s="36"/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</row>
    <row r="2771" ht="22.5" customHeight="1">
      <c r="A2771" s="86"/>
      <c r="B2771" s="137" t="s">
        <v>1841</v>
      </c>
      <c r="C2771" s="79"/>
      <c r="D2771" s="80">
        <v>24902.5</v>
      </c>
      <c r="E2771" s="183"/>
      <c r="F2771" s="67" t="s">
        <v>1680</v>
      </c>
      <c r="G2771" s="68">
        <v>0.0</v>
      </c>
      <c r="H2771" s="69">
        <f t="shared" si="144"/>
        <v>0</v>
      </c>
      <c r="I2771" s="89" t="s">
        <v>101</v>
      </c>
      <c r="J2771" s="98" t="s">
        <v>1577</v>
      </c>
      <c r="K2771" s="95"/>
      <c r="L2771" s="95"/>
      <c r="M2771" s="95"/>
      <c r="N2771" s="153"/>
      <c r="O2771" s="140" t="s">
        <v>1966</v>
      </c>
      <c r="P2771" s="36"/>
      <c r="Q2771" s="36"/>
      <c r="R2771" s="36"/>
      <c r="S2771" s="36"/>
      <c r="T2771" s="36"/>
      <c r="U2771" s="36"/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</row>
    <row r="2772" ht="22.5" customHeight="1">
      <c r="A2772" s="86"/>
      <c r="B2772" s="137" t="s">
        <v>1841</v>
      </c>
      <c r="C2772" s="79"/>
      <c r="D2772" s="80">
        <v>153235.42</v>
      </c>
      <c r="E2772" s="183"/>
      <c r="F2772" s="67" t="s">
        <v>1734</v>
      </c>
      <c r="G2772" s="68">
        <v>22.0</v>
      </c>
      <c r="H2772" s="69">
        <f t="shared" si="144"/>
        <v>27632.61672</v>
      </c>
      <c r="I2772" s="89" t="s">
        <v>101</v>
      </c>
      <c r="J2772" s="98" t="s">
        <v>1638</v>
      </c>
      <c r="K2772" s="95"/>
      <c r="L2772" s="95"/>
      <c r="M2772" s="95"/>
      <c r="N2772" s="153"/>
      <c r="O2772" s="140" t="s">
        <v>1967</v>
      </c>
      <c r="P2772" s="36"/>
      <c r="Q2772" s="36"/>
      <c r="R2772" s="36"/>
      <c r="S2772" s="36"/>
      <c r="T2772" s="36"/>
      <c r="U2772" s="36"/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</row>
    <row r="2773" ht="22.5" customHeight="1">
      <c r="A2773" s="86"/>
      <c r="B2773" s="137" t="s">
        <v>1841</v>
      </c>
      <c r="C2773" s="79"/>
      <c r="D2773" s="80">
        <v>294408.86</v>
      </c>
      <c r="E2773" s="183"/>
      <c r="F2773" s="67" t="s">
        <v>1734</v>
      </c>
      <c r="G2773" s="68">
        <v>22.0</v>
      </c>
      <c r="H2773" s="69">
        <f t="shared" si="144"/>
        <v>53090.1223</v>
      </c>
      <c r="I2773" s="89" t="s">
        <v>101</v>
      </c>
      <c r="J2773" s="98" t="s">
        <v>1742</v>
      </c>
      <c r="K2773" s="95"/>
      <c r="L2773" s="95"/>
      <c r="M2773" s="95"/>
      <c r="N2773" s="153"/>
      <c r="O2773" s="140" t="s">
        <v>1968</v>
      </c>
      <c r="P2773" s="36"/>
      <c r="Q2773" s="36"/>
      <c r="R2773" s="36"/>
      <c r="S2773" s="36"/>
      <c r="T2773" s="36"/>
      <c r="U2773" s="36"/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</row>
    <row r="2774" ht="22.5" customHeight="1">
      <c r="A2774" s="86"/>
      <c r="B2774" s="137" t="s">
        <v>1841</v>
      </c>
      <c r="C2774" s="79"/>
      <c r="D2774" s="80">
        <v>75826.66</v>
      </c>
      <c r="E2774" s="183"/>
      <c r="F2774" s="67" t="s">
        <v>1734</v>
      </c>
      <c r="G2774" s="68">
        <v>22.0</v>
      </c>
      <c r="H2774" s="69">
        <f t="shared" si="144"/>
        <v>13673.66</v>
      </c>
      <c r="I2774" s="89" t="s">
        <v>101</v>
      </c>
      <c r="J2774" s="98" t="s">
        <v>1742</v>
      </c>
      <c r="K2774" s="95"/>
      <c r="L2774" s="95"/>
      <c r="M2774" s="95"/>
      <c r="N2774" s="153"/>
      <c r="O2774" s="140" t="s">
        <v>1969</v>
      </c>
      <c r="P2774" s="36"/>
      <c r="Q2774" s="36"/>
      <c r="R2774" s="36"/>
      <c r="S2774" s="36"/>
      <c r="T2774" s="36"/>
      <c r="U2774" s="36"/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</row>
    <row r="2775" ht="22.5" customHeight="1">
      <c r="A2775" s="86"/>
      <c r="B2775" s="137" t="s">
        <v>1841</v>
      </c>
      <c r="C2775" s="79"/>
      <c r="D2775" s="80">
        <v>89787.94</v>
      </c>
      <c r="E2775" s="183"/>
      <c r="F2775" s="67" t="s">
        <v>1734</v>
      </c>
      <c r="G2775" s="68">
        <v>22.0</v>
      </c>
      <c r="H2775" s="69">
        <f t="shared" si="144"/>
        <v>16191.26787</v>
      </c>
      <c r="I2775" s="89" t="s">
        <v>101</v>
      </c>
      <c r="J2775" s="98" t="s">
        <v>1480</v>
      </c>
      <c r="K2775" s="95"/>
      <c r="L2775" s="95"/>
      <c r="M2775" s="95"/>
      <c r="N2775" s="153"/>
      <c r="O2775" s="140" t="s">
        <v>1970</v>
      </c>
      <c r="P2775" s="36"/>
      <c r="Q2775" s="36"/>
      <c r="R2775" s="36"/>
      <c r="S2775" s="36"/>
      <c r="T2775" s="36"/>
      <c r="U2775" s="36"/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</row>
    <row r="2776" ht="22.5" customHeight="1">
      <c r="A2776" s="86"/>
      <c r="B2776" s="137" t="s">
        <v>1841</v>
      </c>
      <c r="C2776" s="79"/>
      <c r="D2776" s="80">
        <v>90615.0</v>
      </c>
      <c r="E2776" s="183"/>
      <c r="F2776" s="67" t="s">
        <v>1734</v>
      </c>
      <c r="G2776" s="68">
        <v>5.0</v>
      </c>
      <c r="H2776" s="69">
        <f t="shared" si="144"/>
        <v>4315</v>
      </c>
      <c r="I2776" s="89" t="s">
        <v>101</v>
      </c>
      <c r="J2776" s="98" t="s">
        <v>1627</v>
      </c>
      <c r="K2776" s="95"/>
      <c r="L2776" s="95"/>
      <c r="M2776" s="95"/>
      <c r="N2776" s="153"/>
      <c r="O2776" s="140" t="s">
        <v>1971</v>
      </c>
      <c r="P2776" s="36"/>
      <c r="Q2776" s="36"/>
      <c r="R2776" s="36"/>
      <c r="S2776" s="36"/>
      <c r="T2776" s="36"/>
      <c r="U2776" s="36"/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</row>
    <row r="2777" ht="22.5" customHeight="1">
      <c r="A2777" s="86"/>
      <c r="B2777" s="137" t="s">
        <v>1841</v>
      </c>
      <c r="C2777" s="79"/>
      <c r="D2777" s="80">
        <v>25077.34</v>
      </c>
      <c r="E2777" s="183"/>
      <c r="F2777" s="67" t="s">
        <v>1734</v>
      </c>
      <c r="G2777" s="68">
        <v>5.0</v>
      </c>
      <c r="H2777" s="69">
        <f t="shared" si="144"/>
        <v>1194.159048</v>
      </c>
      <c r="I2777" s="89" t="s">
        <v>101</v>
      </c>
      <c r="J2777" s="98" t="s">
        <v>1477</v>
      </c>
      <c r="K2777" s="95"/>
      <c r="L2777" s="95"/>
      <c r="M2777" s="95"/>
      <c r="N2777" s="153"/>
      <c r="O2777" s="140" t="s">
        <v>1972</v>
      </c>
      <c r="P2777" s="36"/>
      <c r="Q2777" s="36"/>
      <c r="R2777" s="36"/>
      <c r="S2777" s="36"/>
      <c r="T2777" s="36"/>
      <c r="U2777" s="36"/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</row>
    <row r="2778" ht="22.5" customHeight="1">
      <c r="A2778" s="86"/>
      <c r="B2778" s="137" t="s">
        <v>1841</v>
      </c>
      <c r="C2778" s="79"/>
      <c r="D2778" s="80">
        <v>8468.02</v>
      </c>
      <c r="E2778" s="183"/>
      <c r="F2778" s="67" t="s">
        <v>1734</v>
      </c>
      <c r="G2778" s="68">
        <v>5.0</v>
      </c>
      <c r="H2778" s="69">
        <f t="shared" si="144"/>
        <v>403.2390476</v>
      </c>
      <c r="I2778" s="89" t="s">
        <v>101</v>
      </c>
      <c r="J2778" s="98" t="s">
        <v>1498</v>
      </c>
      <c r="K2778" s="95"/>
      <c r="L2778" s="95"/>
      <c r="M2778" s="95"/>
      <c r="N2778" s="153"/>
      <c r="O2778" s="140" t="s">
        <v>1973</v>
      </c>
      <c r="P2778" s="36"/>
      <c r="Q2778" s="36"/>
      <c r="R2778" s="36"/>
      <c r="S2778" s="36"/>
      <c r="T2778" s="36"/>
      <c r="U2778" s="36"/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</row>
    <row r="2779" ht="22.5" customHeight="1">
      <c r="A2779" s="86"/>
      <c r="B2779" s="137" t="s">
        <v>1841</v>
      </c>
      <c r="C2779" s="79"/>
      <c r="D2779" s="80">
        <v>70066.61</v>
      </c>
      <c r="E2779" s="183"/>
      <c r="F2779" s="67" t="s">
        <v>1734</v>
      </c>
      <c r="G2779" s="68">
        <v>5.0</v>
      </c>
      <c r="H2779" s="69">
        <f t="shared" si="144"/>
        <v>3336.505238</v>
      </c>
      <c r="I2779" s="89" t="s">
        <v>101</v>
      </c>
      <c r="J2779" s="98" t="s">
        <v>1747</v>
      </c>
      <c r="K2779" s="95"/>
      <c r="L2779" s="95"/>
      <c r="M2779" s="95"/>
      <c r="N2779" s="153"/>
      <c r="O2779" s="140" t="s">
        <v>1974</v>
      </c>
      <c r="P2779" s="36"/>
      <c r="Q2779" s="36"/>
      <c r="R2779" s="36"/>
      <c r="S2779" s="36"/>
      <c r="T2779" s="36"/>
      <c r="U2779" s="36"/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</row>
    <row r="2780" ht="22.5" customHeight="1">
      <c r="A2780" s="86"/>
      <c r="B2780" s="137" t="s">
        <v>1841</v>
      </c>
      <c r="C2780" s="79"/>
      <c r="D2780" s="80">
        <v>157131.58</v>
      </c>
      <c r="E2780" s="183"/>
      <c r="F2780" s="67" t="s">
        <v>1734</v>
      </c>
      <c r="G2780" s="68">
        <v>22.0</v>
      </c>
      <c r="H2780" s="69">
        <f t="shared" si="144"/>
        <v>28335.20295</v>
      </c>
      <c r="I2780" s="89" t="s">
        <v>44</v>
      </c>
      <c r="J2780" s="98" t="s">
        <v>1653</v>
      </c>
      <c r="K2780" s="95"/>
      <c r="L2780" s="95"/>
      <c r="M2780" s="95"/>
      <c r="N2780" s="153"/>
      <c r="O2780" s="140" t="s">
        <v>1975</v>
      </c>
      <c r="P2780" s="36"/>
      <c r="Q2780" s="36"/>
      <c r="R2780" s="36"/>
      <c r="S2780" s="36"/>
      <c r="T2780" s="36"/>
      <c r="U2780" s="36"/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</row>
    <row r="2781" ht="22.5" customHeight="1">
      <c r="A2781" s="86"/>
      <c r="B2781" s="137" t="s">
        <v>1841</v>
      </c>
      <c r="C2781" s="79"/>
      <c r="D2781" s="80">
        <v>6392.13</v>
      </c>
      <c r="E2781" s="183"/>
      <c r="F2781" s="67" t="s">
        <v>1734</v>
      </c>
      <c r="G2781" s="68">
        <v>5.0</v>
      </c>
      <c r="H2781" s="69">
        <f t="shared" si="144"/>
        <v>304.3871429</v>
      </c>
      <c r="I2781" s="89" t="s">
        <v>101</v>
      </c>
      <c r="J2781" s="151" t="s">
        <v>671</v>
      </c>
      <c r="K2781" s="95"/>
      <c r="L2781" s="95"/>
      <c r="M2781" s="95"/>
      <c r="N2781" s="153"/>
      <c r="O2781" s="140" t="s">
        <v>1976</v>
      </c>
      <c r="P2781" s="36"/>
      <c r="Q2781" s="36"/>
      <c r="R2781" s="36"/>
      <c r="S2781" s="36"/>
      <c r="T2781" s="36"/>
      <c r="U2781" s="36"/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</row>
    <row r="2782" ht="22.5" customHeight="1">
      <c r="A2782" s="86"/>
      <c r="B2782" s="137" t="s">
        <v>1841</v>
      </c>
      <c r="C2782" s="79"/>
      <c r="D2782" s="80">
        <v>8897.6</v>
      </c>
      <c r="E2782" s="183"/>
      <c r="F2782" s="67" t="s">
        <v>1734</v>
      </c>
      <c r="G2782" s="68">
        <v>5.0</v>
      </c>
      <c r="H2782" s="69">
        <f t="shared" si="144"/>
        <v>423.6952381</v>
      </c>
      <c r="I2782" s="89" t="s">
        <v>101</v>
      </c>
      <c r="J2782" s="151" t="s">
        <v>1732</v>
      </c>
      <c r="K2782" s="95"/>
      <c r="L2782" s="95"/>
      <c r="M2782" s="95"/>
      <c r="N2782" s="153"/>
      <c r="O2782" s="140" t="s">
        <v>1977</v>
      </c>
      <c r="P2782" s="36"/>
      <c r="Q2782" s="36"/>
      <c r="R2782" s="36"/>
      <c r="S2782" s="36"/>
      <c r="T2782" s="36"/>
      <c r="U2782" s="36"/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</row>
    <row r="2783" ht="22.5" customHeight="1">
      <c r="A2783" s="86"/>
      <c r="B2783" s="137" t="s">
        <v>1841</v>
      </c>
      <c r="C2783" s="79"/>
      <c r="D2783" s="80">
        <v>217816.67</v>
      </c>
      <c r="E2783" s="183"/>
      <c r="F2783" s="67" t="s">
        <v>1734</v>
      </c>
      <c r="G2783" s="68">
        <v>22.0</v>
      </c>
      <c r="H2783" s="69">
        <f t="shared" si="144"/>
        <v>39278.4159</v>
      </c>
      <c r="I2783" s="89" t="s">
        <v>101</v>
      </c>
      <c r="J2783" s="98" t="s">
        <v>1811</v>
      </c>
      <c r="K2783" s="95"/>
      <c r="L2783" s="95"/>
      <c r="M2783" s="95"/>
      <c r="N2783" s="153"/>
      <c r="O2783" s="140" t="s">
        <v>1978</v>
      </c>
      <c r="P2783" s="36"/>
      <c r="Q2783" s="36"/>
      <c r="R2783" s="36"/>
      <c r="S2783" s="36"/>
      <c r="T2783" s="36"/>
      <c r="U2783" s="36"/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</row>
    <row r="2784" ht="22.5" customHeight="1">
      <c r="A2784" s="86"/>
      <c r="B2784" s="137" t="s">
        <v>1841</v>
      </c>
      <c r="C2784" s="79"/>
      <c r="D2784" s="80">
        <v>185684.31</v>
      </c>
      <c r="E2784" s="183"/>
      <c r="F2784" s="67" t="s">
        <v>1734</v>
      </c>
      <c r="G2784" s="68">
        <v>22.0</v>
      </c>
      <c r="H2784" s="69">
        <f t="shared" si="144"/>
        <v>33484.0559</v>
      </c>
      <c r="I2784" s="89" t="s">
        <v>101</v>
      </c>
      <c r="J2784" s="98" t="s">
        <v>1979</v>
      </c>
      <c r="K2784" s="95"/>
      <c r="L2784" s="95"/>
      <c r="M2784" s="95"/>
      <c r="N2784" s="153"/>
      <c r="O2784" s="140" t="s">
        <v>1980</v>
      </c>
      <c r="P2784" s="36"/>
      <c r="Q2784" s="36"/>
      <c r="R2784" s="36"/>
      <c r="S2784" s="36"/>
      <c r="T2784" s="36"/>
      <c r="U2784" s="36"/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</row>
    <row r="2785" ht="22.5" customHeight="1">
      <c r="A2785" s="86"/>
      <c r="B2785" s="185"/>
      <c r="C2785" s="79"/>
      <c r="D2785" s="79"/>
      <c r="E2785" s="183"/>
      <c r="F2785" s="77"/>
      <c r="G2785" s="69"/>
      <c r="H2785" s="69"/>
      <c r="I2785" s="88"/>
      <c r="J2785" s="81"/>
      <c r="K2785" s="95"/>
      <c r="L2785" s="95"/>
      <c r="M2785" s="95"/>
      <c r="N2785" s="153"/>
      <c r="O2785" s="96"/>
      <c r="P2785" s="36"/>
      <c r="Q2785" s="36"/>
      <c r="R2785" s="36"/>
      <c r="S2785" s="36"/>
      <c r="T2785" s="36"/>
      <c r="U2785" s="36"/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</row>
    <row r="2786" ht="22.5" customHeight="1">
      <c r="A2786" s="86"/>
      <c r="B2786" s="185"/>
      <c r="C2786" s="79"/>
      <c r="D2786" s="79"/>
      <c r="E2786" s="183"/>
      <c r="F2786" s="77"/>
      <c r="G2786" s="69"/>
      <c r="H2786" s="69"/>
      <c r="I2786" s="88"/>
      <c r="J2786" s="81"/>
      <c r="K2786" s="95"/>
      <c r="L2786" s="95"/>
      <c r="M2786" s="95"/>
      <c r="N2786" s="153"/>
      <c r="O2786" s="96"/>
      <c r="P2786" s="36"/>
      <c r="Q2786" s="36"/>
      <c r="R2786" s="36"/>
      <c r="S2786" s="36"/>
      <c r="T2786" s="36"/>
      <c r="U2786" s="36"/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</row>
    <row r="2787" ht="22.5" customHeight="1">
      <c r="A2787" s="86"/>
      <c r="B2787" s="185"/>
      <c r="C2787" s="79"/>
      <c r="D2787" s="79"/>
      <c r="E2787" s="183"/>
      <c r="F2787" s="77"/>
      <c r="G2787" s="69"/>
      <c r="H2787" s="69"/>
      <c r="I2787" s="88"/>
      <c r="J2787" s="81"/>
      <c r="K2787" s="95"/>
      <c r="L2787" s="95"/>
      <c r="M2787" s="95"/>
      <c r="N2787" s="153"/>
      <c r="O2787" s="96"/>
      <c r="P2787" s="36"/>
      <c r="Q2787" s="36"/>
      <c r="R2787" s="36"/>
      <c r="S2787" s="36"/>
      <c r="T2787" s="36"/>
      <c r="U2787" s="36"/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</row>
    <row r="2788" ht="22.5" customHeight="1">
      <c r="A2788" s="86"/>
      <c r="B2788" s="185"/>
      <c r="C2788" s="79"/>
      <c r="D2788" s="79"/>
      <c r="E2788" s="183"/>
      <c r="F2788" s="77"/>
      <c r="G2788" s="69"/>
      <c r="H2788" s="69"/>
      <c r="I2788" s="88"/>
      <c r="J2788" s="81"/>
      <c r="K2788" s="95"/>
      <c r="L2788" s="95"/>
      <c r="M2788" s="95"/>
      <c r="N2788" s="153"/>
      <c r="O2788" s="96"/>
      <c r="P2788" s="36"/>
      <c r="Q2788" s="36"/>
      <c r="R2788" s="36"/>
      <c r="S2788" s="36"/>
      <c r="T2788" s="36"/>
      <c r="U2788" s="36"/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</row>
    <row r="2789" ht="22.5" customHeight="1">
      <c r="A2789" s="86"/>
      <c r="B2789" s="185"/>
      <c r="C2789" s="79"/>
      <c r="D2789" s="79"/>
      <c r="E2789" s="183"/>
      <c r="F2789" s="77"/>
      <c r="G2789" s="69"/>
      <c r="H2789" s="69"/>
      <c r="I2789" s="88"/>
      <c r="J2789" s="81"/>
      <c r="K2789" s="95"/>
      <c r="L2789" s="95"/>
      <c r="M2789" s="95"/>
      <c r="N2789" s="153"/>
      <c r="O2789" s="96"/>
      <c r="P2789" s="36"/>
      <c r="Q2789" s="36"/>
      <c r="R2789" s="36"/>
      <c r="S2789" s="36"/>
      <c r="T2789" s="36"/>
      <c r="U2789" s="36"/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</row>
    <row r="2790" ht="22.5" customHeight="1">
      <c r="A2790" s="86"/>
      <c r="B2790" s="185"/>
      <c r="C2790" s="79"/>
      <c r="D2790" s="79"/>
      <c r="E2790" s="183"/>
      <c r="F2790" s="77"/>
      <c r="G2790" s="69"/>
      <c r="H2790" s="69"/>
      <c r="I2790" s="88"/>
      <c r="J2790" s="81"/>
      <c r="K2790" s="95"/>
      <c r="L2790" s="95"/>
      <c r="M2790" s="95"/>
      <c r="N2790" s="153"/>
      <c r="O2790" s="96"/>
      <c r="P2790" s="36"/>
      <c r="Q2790" s="36"/>
      <c r="R2790" s="36"/>
      <c r="S2790" s="36"/>
      <c r="T2790" s="36"/>
      <c r="U2790" s="36"/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</row>
    <row r="2791" ht="22.5" customHeight="1">
      <c r="A2791" s="86"/>
      <c r="B2791" s="185"/>
      <c r="C2791" s="79"/>
      <c r="D2791" s="79"/>
      <c r="E2791" s="183"/>
      <c r="F2791" s="77"/>
      <c r="G2791" s="69"/>
      <c r="H2791" s="69"/>
      <c r="I2791" s="88"/>
      <c r="J2791" s="81"/>
      <c r="K2791" s="95"/>
      <c r="L2791" s="95"/>
      <c r="M2791" s="95"/>
      <c r="N2791" s="153"/>
      <c r="O2791" s="96"/>
      <c r="P2791" s="36"/>
      <c r="Q2791" s="36"/>
      <c r="R2791" s="36"/>
      <c r="S2791" s="36"/>
      <c r="T2791" s="36"/>
      <c r="U2791" s="36"/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</row>
    <row r="2792" ht="22.5" customHeight="1">
      <c r="A2792" s="86"/>
      <c r="B2792" s="185"/>
      <c r="C2792" s="79"/>
      <c r="D2792" s="79"/>
      <c r="E2792" s="183"/>
      <c r="F2792" s="77"/>
      <c r="G2792" s="69"/>
      <c r="H2792" s="69"/>
      <c r="I2792" s="88"/>
      <c r="J2792" s="81"/>
      <c r="K2792" s="95"/>
      <c r="L2792" s="95"/>
      <c r="M2792" s="95"/>
      <c r="N2792" s="153"/>
      <c r="O2792" s="96"/>
      <c r="P2792" s="36"/>
      <c r="Q2792" s="36"/>
      <c r="R2792" s="36"/>
      <c r="S2792" s="36"/>
      <c r="T2792" s="36"/>
      <c r="U2792" s="36"/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</row>
    <row r="2793" ht="22.5" customHeight="1">
      <c r="A2793" s="86"/>
      <c r="B2793" s="185"/>
      <c r="C2793" s="79"/>
      <c r="D2793" s="79"/>
      <c r="E2793" s="183"/>
      <c r="F2793" s="77"/>
      <c r="G2793" s="69"/>
      <c r="H2793" s="69"/>
      <c r="I2793" s="88"/>
      <c r="J2793" s="81"/>
      <c r="K2793" s="95"/>
      <c r="L2793" s="95"/>
      <c r="M2793" s="95"/>
      <c r="N2793" s="153"/>
      <c r="O2793" s="96"/>
      <c r="P2793" s="36"/>
      <c r="Q2793" s="36"/>
      <c r="R2793" s="36"/>
      <c r="S2793" s="36"/>
      <c r="T2793" s="36"/>
      <c r="U2793" s="36"/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</row>
    <row r="2794" ht="22.5" customHeight="1">
      <c r="A2794" s="86"/>
      <c r="B2794" s="185"/>
      <c r="C2794" s="79"/>
      <c r="D2794" s="79"/>
      <c r="E2794" s="183"/>
      <c r="F2794" s="77"/>
      <c r="G2794" s="69"/>
      <c r="H2794" s="69"/>
      <c r="I2794" s="88"/>
      <c r="J2794" s="81"/>
      <c r="K2794" s="95"/>
      <c r="L2794" s="95"/>
      <c r="M2794" s="95"/>
      <c r="N2794" s="153"/>
      <c r="O2794" s="96"/>
      <c r="P2794" s="36"/>
      <c r="Q2794" s="36"/>
      <c r="R2794" s="36"/>
      <c r="S2794" s="36"/>
      <c r="T2794" s="36"/>
      <c r="U2794" s="36"/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</row>
    <row r="2795" ht="22.5" customHeight="1">
      <c r="A2795" s="86"/>
      <c r="B2795" s="185"/>
      <c r="C2795" s="79"/>
      <c r="D2795" s="79"/>
      <c r="E2795" s="183"/>
      <c r="F2795" s="77"/>
      <c r="G2795" s="69"/>
      <c r="H2795" s="69"/>
      <c r="I2795" s="88"/>
      <c r="J2795" s="81"/>
      <c r="K2795" s="95"/>
      <c r="L2795" s="95"/>
      <c r="M2795" s="95"/>
      <c r="N2795" s="153"/>
      <c r="O2795" s="96"/>
      <c r="P2795" s="36"/>
      <c r="Q2795" s="36"/>
      <c r="R2795" s="36"/>
      <c r="S2795" s="36"/>
      <c r="T2795" s="36"/>
      <c r="U2795" s="36"/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</row>
    <row r="2796" ht="22.5" customHeight="1">
      <c r="A2796" s="86"/>
      <c r="B2796" s="185"/>
      <c r="C2796" s="79"/>
      <c r="D2796" s="79"/>
      <c r="E2796" s="183"/>
      <c r="F2796" s="77"/>
      <c r="G2796" s="69"/>
      <c r="H2796" s="69"/>
      <c r="I2796" s="88"/>
      <c r="J2796" s="81"/>
      <c r="K2796" s="95"/>
      <c r="L2796" s="95"/>
      <c r="M2796" s="95"/>
      <c r="N2796" s="153"/>
      <c r="O2796" s="96"/>
      <c r="P2796" s="36"/>
      <c r="Q2796" s="36"/>
      <c r="R2796" s="36"/>
      <c r="S2796" s="36"/>
      <c r="T2796" s="36"/>
      <c r="U2796" s="36"/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</row>
    <row r="2797" ht="22.5" customHeight="1">
      <c r="A2797" s="86"/>
      <c r="B2797" s="185"/>
      <c r="C2797" s="79"/>
      <c r="D2797" s="79"/>
      <c r="E2797" s="183"/>
      <c r="F2797" s="77"/>
      <c r="G2797" s="69"/>
      <c r="H2797" s="69"/>
      <c r="I2797" s="88"/>
      <c r="J2797" s="81"/>
      <c r="K2797" s="95"/>
      <c r="L2797" s="95"/>
      <c r="M2797" s="95"/>
      <c r="N2797" s="153"/>
      <c r="O2797" s="96"/>
      <c r="P2797" s="36"/>
      <c r="Q2797" s="36"/>
      <c r="R2797" s="36"/>
      <c r="S2797" s="36"/>
      <c r="T2797" s="36"/>
      <c r="U2797" s="36"/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</row>
    <row r="2798" ht="22.5" customHeight="1">
      <c r="A2798" s="86"/>
      <c r="B2798" s="185"/>
      <c r="C2798" s="79"/>
      <c r="D2798" s="79"/>
      <c r="E2798" s="183"/>
      <c r="F2798" s="77"/>
      <c r="G2798" s="69"/>
      <c r="H2798" s="69"/>
      <c r="I2798" s="88"/>
      <c r="J2798" s="81"/>
      <c r="K2798" s="95"/>
      <c r="L2798" s="95"/>
      <c r="M2798" s="95"/>
      <c r="N2798" s="153"/>
      <c r="O2798" s="96"/>
      <c r="P2798" s="36"/>
      <c r="Q2798" s="36"/>
      <c r="R2798" s="36"/>
      <c r="S2798" s="36"/>
      <c r="T2798" s="36"/>
      <c r="U2798" s="36"/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</row>
    <row r="2799" ht="22.5" customHeight="1">
      <c r="A2799" s="86"/>
      <c r="B2799" s="185"/>
      <c r="C2799" s="79"/>
      <c r="D2799" s="79"/>
      <c r="E2799" s="183"/>
      <c r="F2799" s="77"/>
      <c r="G2799" s="69"/>
      <c r="H2799" s="69"/>
      <c r="I2799" s="88"/>
      <c r="J2799" s="81"/>
      <c r="K2799" s="95"/>
      <c r="L2799" s="95"/>
      <c r="M2799" s="95"/>
      <c r="N2799" s="153"/>
      <c r="O2799" s="96"/>
      <c r="P2799" s="36"/>
      <c r="Q2799" s="36"/>
      <c r="R2799" s="36"/>
      <c r="S2799" s="36"/>
      <c r="T2799" s="36"/>
      <c r="U2799" s="36"/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</row>
    <row r="2800" ht="22.5" customHeight="1">
      <c r="A2800" s="86"/>
      <c r="B2800" s="185"/>
      <c r="C2800" s="79"/>
      <c r="D2800" s="79"/>
      <c r="E2800" s="183"/>
      <c r="F2800" s="77"/>
      <c r="G2800" s="69"/>
      <c r="H2800" s="69"/>
      <c r="I2800" s="88"/>
      <c r="J2800" s="81"/>
      <c r="K2800" s="95"/>
      <c r="L2800" s="95"/>
      <c r="M2800" s="95"/>
      <c r="N2800" s="153"/>
      <c r="O2800" s="96"/>
      <c r="P2800" s="36"/>
      <c r="Q2800" s="36"/>
      <c r="R2800" s="36"/>
      <c r="S2800" s="36"/>
      <c r="T2800" s="36"/>
      <c r="U2800" s="36"/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</row>
    <row r="2801" ht="22.5" customHeight="1">
      <c r="A2801" s="86"/>
      <c r="B2801" s="185"/>
      <c r="C2801" s="79"/>
      <c r="D2801" s="79"/>
      <c r="E2801" s="183"/>
      <c r="F2801" s="77"/>
      <c r="G2801" s="69"/>
      <c r="H2801" s="69"/>
      <c r="I2801" s="88"/>
      <c r="J2801" s="81"/>
      <c r="K2801" s="95"/>
      <c r="L2801" s="95"/>
      <c r="M2801" s="95"/>
      <c r="N2801" s="153"/>
      <c r="O2801" s="96"/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</row>
    <row r="2802" ht="22.5" customHeight="1">
      <c r="A2802" s="86"/>
      <c r="B2802" s="185"/>
      <c r="C2802" s="79"/>
      <c r="D2802" s="79"/>
      <c r="E2802" s="183"/>
      <c r="F2802" s="77"/>
      <c r="G2802" s="69"/>
      <c r="H2802" s="69"/>
      <c r="I2802" s="88"/>
      <c r="J2802" s="81"/>
      <c r="K2802" s="95"/>
      <c r="L2802" s="95"/>
      <c r="M2802" s="95"/>
      <c r="N2802" s="153"/>
      <c r="O2802" s="96"/>
      <c r="P2802" s="36"/>
      <c r="Q2802" s="36"/>
      <c r="R2802" s="36"/>
      <c r="S2802" s="36"/>
      <c r="T2802" s="36"/>
      <c r="U2802" s="36"/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</row>
    <row r="2803" ht="22.5" customHeight="1">
      <c r="A2803" s="113"/>
      <c r="B2803" s="186"/>
      <c r="C2803" s="187"/>
      <c r="D2803" s="187"/>
      <c r="E2803" s="188"/>
      <c r="F2803" s="189"/>
      <c r="G2803" s="190"/>
      <c r="H2803" s="190"/>
      <c r="I2803" s="191"/>
      <c r="J2803" s="90"/>
      <c r="K2803" s="102"/>
      <c r="L2803" s="102"/>
      <c r="M2803" s="102"/>
      <c r="N2803" s="72"/>
      <c r="O2803" s="121"/>
      <c r="P2803" s="36"/>
      <c r="Q2803" s="36"/>
      <c r="R2803" s="36"/>
      <c r="S2803" s="36"/>
      <c r="T2803" s="36"/>
      <c r="U2803" s="36"/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</row>
    <row r="2804" ht="22.5" customHeight="1">
      <c r="A2804" s="113"/>
      <c r="B2804" s="186"/>
      <c r="C2804" s="187"/>
      <c r="D2804" s="187"/>
      <c r="E2804" s="188"/>
      <c r="F2804" s="189"/>
      <c r="G2804" s="190"/>
      <c r="H2804" s="190"/>
      <c r="I2804" s="191"/>
      <c r="J2804" s="90"/>
      <c r="K2804" s="102"/>
      <c r="L2804" s="102"/>
      <c r="M2804" s="102"/>
      <c r="N2804" s="72"/>
      <c r="O2804" s="121"/>
      <c r="P2804" s="36"/>
      <c r="Q2804" s="36"/>
      <c r="R2804" s="36"/>
      <c r="S2804" s="36"/>
      <c r="T2804" s="36"/>
      <c r="U2804" s="36"/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</row>
    <row r="2805" ht="22.5" customHeight="1">
      <c r="A2805" s="113"/>
      <c r="B2805" s="186"/>
      <c r="C2805" s="187"/>
      <c r="D2805" s="187"/>
      <c r="E2805" s="188"/>
      <c r="F2805" s="189"/>
      <c r="G2805" s="190"/>
      <c r="H2805" s="190"/>
      <c r="I2805" s="191"/>
      <c r="J2805" s="90"/>
      <c r="K2805" s="102"/>
      <c r="L2805" s="102"/>
      <c r="M2805" s="102"/>
      <c r="N2805" s="72"/>
      <c r="O2805" s="121"/>
      <c r="P2805" s="36"/>
      <c r="Q2805" s="36"/>
      <c r="R2805" s="36"/>
      <c r="S2805" s="36"/>
      <c r="T2805" s="36"/>
      <c r="U2805" s="36"/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</row>
    <row r="2806" ht="22.5" customHeight="1">
      <c r="A2806" s="113"/>
      <c r="B2806" s="186"/>
      <c r="C2806" s="187"/>
      <c r="D2806" s="187"/>
      <c r="E2806" s="188"/>
      <c r="F2806" s="189"/>
      <c r="G2806" s="190"/>
      <c r="H2806" s="190"/>
      <c r="I2806" s="191"/>
      <c r="J2806" s="90"/>
      <c r="K2806" s="102"/>
      <c r="L2806" s="102"/>
      <c r="M2806" s="102"/>
      <c r="N2806" s="72"/>
      <c r="O2806" s="121"/>
      <c r="P2806" s="36"/>
      <c r="Q2806" s="36"/>
      <c r="R2806" s="36"/>
      <c r="S2806" s="36"/>
      <c r="T2806" s="36"/>
      <c r="U2806" s="36"/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</row>
    <row r="2807" ht="22.5" customHeight="1">
      <c r="A2807" s="113"/>
      <c r="B2807" s="186"/>
      <c r="C2807" s="187"/>
      <c r="D2807" s="187"/>
      <c r="E2807" s="188"/>
      <c r="F2807" s="189"/>
      <c r="G2807" s="190"/>
      <c r="H2807" s="190"/>
      <c r="I2807" s="191"/>
      <c r="J2807" s="90"/>
      <c r="K2807" s="102"/>
      <c r="L2807" s="102"/>
      <c r="M2807" s="102"/>
      <c r="N2807" s="72"/>
      <c r="O2807" s="121"/>
      <c r="P2807" s="36"/>
      <c r="Q2807" s="36"/>
      <c r="R2807" s="36"/>
      <c r="S2807" s="36"/>
      <c r="T2807" s="36"/>
      <c r="U2807" s="36"/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</row>
    <row r="2808" ht="22.5" customHeight="1">
      <c r="A2808" s="113"/>
      <c r="B2808" s="186"/>
      <c r="C2808" s="187"/>
      <c r="D2808" s="187"/>
      <c r="E2808" s="188"/>
      <c r="F2808" s="189"/>
      <c r="G2808" s="190"/>
      <c r="H2808" s="190"/>
      <c r="I2808" s="191"/>
      <c r="J2808" s="90"/>
      <c r="K2808" s="102"/>
      <c r="L2808" s="102"/>
      <c r="M2808" s="102"/>
      <c r="N2808" s="72"/>
      <c r="O2808" s="121"/>
      <c r="P2808" s="36"/>
      <c r="Q2808" s="36"/>
      <c r="R2808" s="36"/>
      <c r="S2808" s="36"/>
      <c r="T2808" s="36"/>
      <c r="U2808" s="36"/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</row>
    <row r="2809" ht="22.5" customHeight="1">
      <c r="A2809" s="113"/>
      <c r="B2809" s="186"/>
      <c r="C2809" s="187"/>
      <c r="D2809" s="187"/>
      <c r="E2809" s="188"/>
      <c r="F2809" s="189"/>
      <c r="G2809" s="190"/>
      <c r="H2809" s="190"/>
      <c r="I2809" s="191"/>
      <c r="J2809" s="90"/>
      <c r="K2809" s="102"/>
      <c r="L2809" s="102"/>
      <c r="M2809" s="102"/>
      <c r="N2809" s="72"/>
      <c r="O2809" s="121"/>
      <c r="P2809" s="36"/>
      <c r="Q2809" s="36"/>
      <c r="R2809" s="36"/>
      <c r="S2809" s="36"/>
      <c r="T2809" s="36"/>
      <c r="U2809" s="36"/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</row>
    <row r="2810" ht="22.5" customHeight="1">
      <c r="A2810" s="113"/>
      <c r="B2810" s="186"/>
      <c r="C2810" s="187"/>
      <c r="D2810" s="187"/>
      <c r="E2810" s="188"/>
      <c r="F2810" s="189"/>
      <c r="G2810" s="190"/>
      <c r="H2810" s="190"/>
      <c r="I2810" s="191"/>
      <c r="J2810" s="90"/>
      <c r="K2810" s="102"/>
      <c r="L2810" s="102"/>
      <c r="M2810" s="102"/>
      <c r="N2810" s="72"/>
      <c r="O2810" s="121"/>
      <c r="P2810" s="36"/>
      <c r="Q2810" s="36"/>
      <c r="R2810" s="36"/>
      <c r="S2810" s="36"/>
      <c r="T2810" s="36"/>
      <c r="U2810" s="36"/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</row>
    <row r="2811" ht="22.5" customHeight="1">
      <c r="A2811" s="113"/>
      <c r="B2811" s="186"/>
      <c r="C2811" s="187"/>
      <c r="D2811" s="187"/>
      <c r="E2811" s="188"/>
      <c r="F2811" s="189"/>
      <c r="G2811" s="190"/>
      <c r="H2811" s="190"/>
      <c r="I2811" s="191"/>
      <c r="J2811" s="90"/>
      <c r="K2811" s="102"/>
      <c r="L2811" s="102"/>
      <c r="M2811" s="102"/>
      <c r="N2811" s="72"/>
      <c r="O2811" s="121"/>
      <c r="P2811" s="36"/>
      <c r="Q2811" s="36"/>
      <c r="R2811" s="36"/>
      <c r="S2811" s="36"/>
      <c r="T2811" s="36"/>
      <c r="U2811" s="36"/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</row>
    <row r="2812" ht="22.5" customHeight="1">
      <c r="A2812" s="113"/>
      <c r="B2812" s="186"/>
      <c r="C2812" s="187"/>
      <c r="D2812" s="187"/>
      <c r="E2812" s="188"/>
      <c r="F2812" s="189"/>
      <c r="G2812" s="190"/>
      <c r="H2812" s="190"/>
      <c r="I2812" s="191"/>
      <c r="J2812" s="90"/>
      <c r="K2812" s="102"/>
      <c r="L2812" s="102"/>
      <c r="M2812" s="102"/>
      <c r="N2812" s="72"/>
      <c r="O2812" s="121"/>
      <c r="P2812" s="36"/>
      <c r="Q2812" s="36"/>
      <c r="R2812" s="36"/>
      <c r="S2812" s="36"/>
      <c r="T2812" s="36"/>
      <c r="U2812" s="36"/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</row>
    <row r="2813" ht="22.5" customHeight="1">
      <c r="A2813" s="113"/>
      <c r="B2813" s="186"/>
      <c r="C2813" s="187"/>
      <c r="D2813" s="187"/>
      <c r="E2813" s="188"/>
      <c r="F2813" s="189"/>
      <c r="G2813" s="190"/>
      <c r="H2813" s="190"/>
      <c r="I2813" s="191"/>
      <c r="J2813" s="90"/>
      <c r="K2813" s="102"/>
      <c r="L2813" s="102"/>
      <c r="M2813" s="102"/>
      <c r="N2813" s="72"/>
      <c r="O2813" s="121"/>
      <c r="P2813" s="36"/>
      <c r="Q2813" s="36"/>
      <c r="R2813" s="36"/>
      <c r="S2813" s="36"/>
      <c r="T2813" s="36"/>
      <c r="U2813" s="36"/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</row>
    <row r="2814" ht="22.5" customHeight="1">
      <c r="A2814" s="113"/>
      <c r="B2814" s="186"/>
      <c r="C2814" s="187"/>
      <c r="D2814" s="187"/>
      <c r="E2814" s="188"/>
      <c r="F2814" s="189"/>
      <c r="G2814" s="190"/>
      <c r="H2814" s="190"/>
      <c r="I2814" s="191"/>
      <c r="J2814" s="90"/>
      <c r="K2814" s="102"/>
      <c r="L2814" s="102"/>
      <c r="M2814" s="102"/>
      <c r="N2814" s="72"/>
      <c r="O2814" s="121"/>
      <c r="P2814" s="36"/>
      <c r="Q2814" s="36"/>
      <c r="R2814" s="36"/>
      <c r="S2814" s="36"/>
      <c r="T2814" s="36"/>
      <c r="U2814" s="36"/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</row>
    <row r="2815" ht="22.5" customHeight="1">
      <c r="A2815" s="113"/>
      <c r="B2815" s="186"/>
      <c r="C2815" s="187"/>
      <c r="D2815" s="187"/>
      <c r="E2815" s="188"/>
      <c r="F2815" s="189"/>
      <c r="G2815" s="190"/>
      <c r="H2815" s="190"/>
      <c r="I2815" s="191"/>
      <c r="J2815" s="90"/>
      <c r="K2815" s="102"/>
      <c r="L2815" s="102"/>
      <c r="M2815" s="102"/>
      <c r="N2815" s="72"/>
      <c r="O2815" s="121"/>
      <c r="P2815" s="36"/>
      <c r="Q2815" s="36"/>
      <c r="R2815" s="36"/>
      <c r="S2815" s="36"/>
      <c r="T2815" s="36"/>
      <c r="U2815" s="36"/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</row>
    <row r="2816" ht="22.5" customHeight="1">
      <c r="A2816" s="113"/>
      <c r="B2816" s="186"/>
      <c r="C2816" s="187"/>
      <c r="D2816" s="187"/>
      <c r="E2816" s="188"/>
      <c r="F2816" s="189"/>
      <c r="G2816" s="190"/>
      <c r="H2816" s="190"/>
      <c r="I2816" s="191"/>
      <c r="J2816" s="90"/>
      <c r="K2816" s="102"/>
      <c r="L2816" s="102"/>
      <c r="M2816" s="102"/>
      <c r="N2816" s="72"/>
      <c r="O2816" s="121"/>
      <c r="P2816" s="36"/>
      <c r="Q2816" s="36"/>
      <c r="R2816" s="36"/>
      <c r="S2816" s="36"/>
      <c r="T2816" s="36"/>
      <c r="U2816" s="36"/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</row>
    <row r="2817" ht="22.5" customHeight="1">
      <c r="A2817" s="113"/>
      <c r="B2817" s="186"/>
      <c r="C2817" s="187"/>
      <c r="D2817" s="187"/>
      <c r="E2817" s="188"/>
      <c r="F2817" s="189"/>
      <c r="G2817" s="190"/>
      <c r="H2817" s="190"/>
      <c r="I2817" s="191"/>
      <c r="J2817" s="90"/>
      <c r="K2817" s="102"/>
      <c r="L2817" s="102"/>
      <c r="M2817" s="102"/>
      <c r="N2817" s="72"/>
      <c r="O2817" s="121"/>
      <c r="P2817" s="36"/>
      <c r="Q2817" s="36"/>
      <c r="R2817" s="36"/>
      <c r="S2817" s="36"/>
      <c r="T2817" s="36"/>
      <c r="U2817" s="36"/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</row>
    <row r="2818" ht="22.5" customHeight="1">
      <c r="A2818" s="113"/>
      <c r="B2818" s="186"/>
      <c r="C2818" s="187"/>
      <c r="D2818" s="187"/>
      <c r="E2818" s="188"/>
      <c r="F2818" s="189"/>
      <c r="G2818" s="190"/>
      <c r="H2818" s="190"/>
      <c r="I2818" s="191"/>
      <c r="J2818" s="90"/>
      <c r="K2818" s="102"/>
      <c r="L2818" s="102"/>
      <c r="M2818" s="102"/>
      <c r="N2818" s="72"/>
      <c r="O2818" s="121"/>
      <c r="P2818" s="36"/>
      <c r="Q2818" s="36"/>
      <c r="R2818" s="36"/>
      <c r="S2818" s="36"/>
      <c r="T2818" s="36"/>
      <c r="U2818" s="36"/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</row>
    <row r="2819" ht="22.5" customHeight="1">
      <c r="A2819" s="113"/>
      <c r="B2819" s="186"/>
      <c r="C2819" s="187"/>
      <c r="D2819" s="187"/>
      <c r="E2819" s="188"/>
      <c r="F2819" s="189"/>
      <c r="G2819" s="190"/>
      <c r="H2819" s="190"/>
      <c r="I2819" s="191"/>
      <c r="J2819" s="90"/>
      <c r="K2819" s="102"/>
      <c r="L2819" s="102"/>
      <c r="M2819" s="102"/>
      <c r="N2819" s="72"/>
      <c r="O2819" s="121"/>
      <c r="P2819" s="36"/>
      <c r="Q2819" s="36"/>
      <c r="R2819" s="36"/>
      <c r="S2819" s="36"/>
      <c r="T2819" s="36"/>
      <c r="U2819" s="36"/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</row>
    <row r="2820" ht="22.5" customHeight="1">
      <c r="A2820" s="113"/>
      <c r="B2820" s="186"/>
      <c r="C2820" s="187"/>
      <c r="D2820" s="187"/>
      <c r="E2820" s="188"/>
      <c r="F2820" s="189"/>
      <c r="G2820" s="190"/>
      <c r="H2820" s="190"/>
      <c r="I2820" s="191"/>
      <c r="J2820" s="90"/>
      <c r="K2820" s="102"/>
      <c r="L2820" s="102"/>
      <c r="M2820" s="102"/>
      <c r="N2820" s="72"/>
      <c r="O2820" s="121"/>
      <c r="P2820" s="36"/>
      <c r="Q2820" s="36"/>
      <c r="R2820" s="36"/>
      <c r="S2820" s="36"/>
      <c r="T2820" s="36"/>
      <c r="U2820" s="36"/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</row>
    <row r="2821" ht="22.5" customHeight="1">
      <c r="A2821" s="113"/>
      <c r="B2821" s="186"/>
      <c r="C2821" s="187"/>
      <c r="D2821" s="187"/>
      <c r="E2821" s="188"/>
      <c r="F2821" s="189"/>
      <c r="G2821" s="190"/>
      <c r="H2821" s="190"/>
      <c r="I2821" s="191"/>
      <c r="J2821" s="90"/>
      <c r="K2821" s="102"/>
      <c r="L2821" s="102"/>
      <c r="M2821" s="102"/>
      <c r="N2821" s="72"/>
      <c r="O2821" s="121"/>
      <c r="P2821" s="36"/>
      <c r="Q2821" s="36"/>
      <c r="R2821" s="36"/>
      <c r="S2821" s="36"/>
      <c r="T2821" s="36"/>
      <c r="U2821" s="36"/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</row>
    <row r="2822" ht="22.5" customHeight="1">
      <c r="A2822" s="113"/>
      <c r="B2822" s="186"/>
      <c r="C2822" s="187"/>
      <c r="D2822" s="187"/>
      <c r="E2822" s="188"/>
      <c r="F2822" s="189"/>
      <c r="G2822" s="190"/>
      <c r="H2822" s="190"/>
      <c r="I2822" s="191"/>
      <c r="J2822" s="90"/>
      <c r="K2822" s="102"/>
      <c r="L2822" s="102"/>
      <c r="M2822" s="102"/>
      <c r="N2822" s="72"/>
      <c r="O2822" s="121"/>
      <c r="P2822" s="36"/>
      <c r="Q2822" s="36"/>
      <c r="R2822" s="36"/>
      <c r="S2822" s="36"/>
      <c r="T2822" s="36"/>
      <c r="U2822" s="36"/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</row>
    <row r="2823" ht="22.5" customHeight="1">
      <c r="A2823" s="113"/>
      <c r="B2823" s="186"/>
      <c r="C2823" s="187"/>
      <c r="D2823" s="187"/>
      <c r="E2823" s="188"/>
      <c r="F2823" s="189"/>
      <c r="G2823" s="190"/>
      <c r="H2823" s="190"/>
      <c r="I2823" s="191"/>
      <c r="J2823" s="90"/>
      <c r="K2823" s="102"/>
      <c r="L2823" s="102"/>
      <c r="M2823" s="102"/>
      <c r="N2823" s="72"/>
      <c r="O2823" s="121"/>
      <c r="P2823" s="36"/>
      <c r="Q2823" s="36"/>
      <c r="R2823" s="36"/>
      <c r="S2823" s="36"/>
      <c r="T2823" s="36"/>
      <c r="U2823" s="36"/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</row>
    <row r="2824" ht="22.5" customHeight="1">
      <c r="A2824" s="113"/>
      <c r="B2824" s="186"/>
      <c r="C2824" s="187"/>
      <c r="D2824" s="187"/>
      <c r="E2824" s="188"/>
      <c r="F2824" s="189"/>
      <c r="G2824" s="190"/>
      <c r="H2824" s="190"/>
      <c r="I2824" s="191"/>
      <c r="J2824" s="90"/>
      <c r="K2824" s="102"/>
      <c r="L2824" s="102"/>
      <c r="M2824" s="102"/>
      <c r="N2824" s="72"/>
      <c r="O2824" s="121"/>
      <c r="P2824" s="36"/>
      <c r="Q2824" s="36"/>
      <c r="R2824" s="36"/>
      <c r="S2824" s="36"/>
      <c r="T2824" s="36"/>
      <c r="U2824" s="36"/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</row>
    <row r="2825" ht="22.5" customHeight="1">
      <c r="A2825" s="113"/>
      <c r="B2825" s="186"/>
      <c r="C2825" s="187"/>
      <c r="D2825" s="187"/>
      <c r="E2825" s="188"/>
      <c r="F2825" s="189"/>
      <c r="G2825" s="190"/>
      <c r="H2825" s="190"/>
      <c r="I2825" s="191"/>
      <c r="J2825" s="90"/>
      <c r="K2825" s="102"/>
      <c r="L2825" s="102"/>
      <c r="M2825" s="102"/>
      <c r="N2825" s="72"/>
      <c r="O2825" s="121"/>
      <c r="P2825" s="36"/>
      <c r="Q2825" s="36"/>
      <c r="R2825" s="36"/>
      <c r="S2825" s="36"/>
      <c r="T2825" s="36"/>
      <c r="U2825" s="36"/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</row>
    <row r="2826" ht="22.5" customHeight="1">
      <c r="A2826" s="113"/>
      <c r="B2826" s="186"/>
      <c r="C2826" s="187"/>
      <c r="D2826" s="187"/>
      <c r="E2826" s="188"/>
      <c r="F2826" s="189"/>
      <c r="G2826" s="190"/>
      <c r="H2826" s="190"/>
      <c r="I2826" s="191"/>
      <c r="J2826" s="90"/>
      <c r="K2826" s="102"/>
      <c r="L2826" s="102"/>
      <c r="M2826" s="102"/>
      <c r="N2826" s="72"/>
      <c r="O2826" s="121"/>
      <c r="P2826" s="36"/>
      <c r="Q2826" s="36"/>
      <c r="R2826" s="36"/>
      <c r="S2826" s="36"/>
      <c r="T2826" s="36"/>
      <c r="U2826" s="36"/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</row>
    <row r="2827" ht="22.5" customHeight="1">
      <c r="A2827" s="113"/>
      <c r="B2827" s="186"/>
      <c r="C2827" s="187"/>
      <c r="D2827" s="187"/>
      <c r="E2827" s="188"/>
      <c r="F2827" s="189"/>
      <c r="G2827" s="190"/>
      <c r="H2827" s="190"/>
      <c r="I2827" s="191"/>
      <c r="J2827" s="90"/>
      <c r="K2827" s="102"/>
      <c r="L2827" s="102"/>
      <c r="M2827" s="102"/>
      <c r="N2827" s="72"/>
      <c r="O2827" s="121"/>
      <c r="P2827" s="36"/>
      <c r="Q2827" s="36"/>
      <c r="R2827" s="36"/>
      <c r="S2827" s="36"/>
      <c r="T2827" s="36"/>
      <c r="U2827" s="36"/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</row>
    <row r="2828" ht="22.5" customHeight="1">
      <c r="A2828" s="113"/>
      <c r="B2828" s="186"/>
      <c r="C2828" s="187"/>
      <c r="D2828" s="187"/>
      <c r="E2828" s="188"/>
      <c r="F2828" s="189"/>
      <c r="G2828" s="190"/>
      <c r="H2828" s="190"/>
      <c r="I2828" s="191"/>
      <c r="J2828" s="90"/>
      <c r="K2828" s="102"/>
      <c r="L2828" s="102"/>
      <c r="M2828" s="102"/>
      <c r="N2828" s="72"/>
      <c r="O2828" s="121"/>
      <c r="P2828" s="36"/>
      <c r="Q2828" s="36"/>
      <c r="R2828" s="36"/>
      <c r="S2828" s="36"/>
      <c r="T2828" s="36"/>
      <c r="U2828" s="36"/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</row>
    <row r="2829" ht="22.5" customHeight="1">
      <c r="A2829" s="113"/>
      <c r="B2829" s="186"/>
      <c r="C2829" s="187"/>
      <c r="D2829" s="187"/>
      <c r="E2829" s="188"/>
      <c r="F2829" s="189"/>
      <c r="G2829" s="190"/>
      <c r="H2829" s="190"/>
      <c r="I2829" s="191"/>
      <c r="J2829" s="90"/>
      <c r="K2829" s="102"/>
      <c r="L2829" s="102"/>
      <c r="M2829" s="102"/>
      <c r="N2829" s="72"/>
      <c r="O2829" s="121"/>
      <c r="P2829" s="36"/>
      <c r="Q2829" s="36"/>
      <c r="R2829" s="36"/>
      <c r="S2829" s="36"/>
      <c r="T2829" s="36"/>
      <c r="U2829" s="36"/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</row>
    <row r="2830" ht="22.5" customHeight="1">
      <c r="A2830" s="113"/>
      <c r="B2830" s="186"/>
      <c r="C2830" s="187"/>
      <c r="D2830" s="187"/>
      <c r="E2830" s="188"/>
      <c r="F2830" s="189"/>
      <c r="G2830" s="190"/>
      <c r="H2830" s="190"/>
      <c r="I2830" s="191"/>
      <c r="J2830" s="90"/>
      <c r="K2830" s="102"/>
      <c r="L2830" s="102"/>
      <c r="M2830" s="102"/>
      <c r="N2830" s="72"/>
      <c r="O2830" s="121"/>
      <c r="P2830" s="36"/>
      <c r="Q2830" s="36"/>
      <c r="R2830" s="36"/>
      <c r="S2830" s="36"/>
      <c r="T2830" s="36"/>
      <c r="U2830" s="36"/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</row>
    <row r="2831" ht="22.5" customHeight="1">
      <c r="A2831" s="113"/>
      <c r="B2831" s="186"/>
      <c r="C2831" s="187"/>
      <c r="D2831" s="187"/>
      <c r="E2831" s="188"/>
      <c r="F2831" s="189"/>
      <c r="G2831" s="190"/>
      <c r="H2831" s="190"/>
      <c r="I2831" s="191"/>
      <c r="J2831" s="90"/>
      <c r="K2831" s="102"/>
      <c r="L2831" s="102"/>
      <c r="M2831" s="102"/>
      <c r="N2831" s="72"/>
      <c r="O2831" s="121"/>
      <c r="P2831" s="36"/>
      <c r="Q2831" s="36"/>
      <c r="R2831" s="36"/>
      <c r="S2831" s="36"/>
      <c r="T2831" s="36"/>
      <c r="U2831" s="36"/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</row>
    <row r="2832" ht="22.5" customHeight="1">
      <c r="A2832" s="113"/>
      <c r="B2832" s="186"/>
      <c r="C2832" s="187"/>
      <c r="D2832" s="187"/>
      <c r="E2832" s="188"/>
      <c r="F2832" s="189"/>
      <c r="G2832" s="190"/>
      <c r="H2832" s="190"/>
      <c r="I2832" s="191"/>
      <c r="J2832" s="90"/>
      <c r="K2832" s="102"/>
      <c r="L2832" s="102"/>
      <c r="M2832" s="102"/>
      <c r="N2832" s="72"/>
      <c r="O2832" s="121"/>
      <c r="P2832" s="36"/>
      <c r="Q2832" s="36"/>
      <c r="R2832" s="36"/>
      <c r="S2832" s="36"/>
      <c r="T2832" s="36"/>
      <c r="U2832" s="36"/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</row>
    <row r="2833" ht="22.5" customHeight="1">
      <c r="A2833" s="113"/>
      <c r="B2833" s="186"/>
      <c r="C2833" s="187"/>
      <c r="D2833" s="187"/>
      <c r="E2833" s="188"/>
      <c r="F2833" s="189"/>
      <c r="G2833" s="190"/>
      <c r="H2833" s="190"/>
      <c r="I2833" s="191"/>
      <c r="J2833" s="90"/>
      <c r="K2833" s="102"/>
      <c r="L2833" s="102"/>
      <c r="M2833" s="102"/>
      <c r="N2833" s="72"/>
      <c r="O2833" s="121"/>
      <c r="P2833" s="36"/>
      <c r="Q2833" s="36"/>
      <c r="R2833" s="36"/>
      <c r="S2833" s="36"/>
      <c r="T2833" s="36"/>
      <c r="U2833" s="36"/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</row>
    <row r="2834" ht="22.5" customHeight="1">
      <c r="A2834" s="113"/>
      <c r="B2834" s="186"/>
      <c r="C2834" s="187"/>
      <c r="D2834" s="187"/>
      <c r="E2834" s="188"/>
      <c r="F2834" s="189"/>
      <c r="G2834" s="190"/>
      <c r="H2834" s="190"/>
      <c r="I2834" s="191"/>
      <c r="J2834" s="90"/>
      <c r="K2834" s="102"/>
      <c r="L2834" s="102"/>
      <c r="M2834" s="102"/>
      <c r="N2834" s="72"/>
      <c r="O2834" s="121"/>
      <c r="P2834" s="36"/>
      <c r="Q2834" s="36"/>
      <c r="R2834" s="36"/>
      <c r="S2834" s="36"/>
      <c r="T2834" s="36"/>
      <c r="U2834" s="36"/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</row>
    <row r="2835" ht="22.5" customHeight="1">
      <c r="A2835" s="113"/>
      <c r="B2835" s="186"/>
      <c r="C2835" s="187"/>
      <c r="D2835" s="187"/>
      <c r="E2835" s="188"/>
      <c r="F2835" s="189"/>
      <c r="G2835" s="190"/>
      <c r="H2835" s="190"/>
      <c r="I2835" s="191"/>
      <c r="J2835" s="90"/>
      <c r="K2835" s="102"/>
      <c r="L2835" s="102"/>
      <c r="M2835" s="102"/>
      <c r="N2835" s="72"/>
      <c r="O2835" s="121"/>
      <c r="P2835" s="36"/>
      <c r="Q2835" s="36"/>
      <c r="R2835" s="36"/>
      <c r="S2835" s="36"/>
      <c r="T2835" s="36"/>
      <c r="U2835" s="36"/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</row>
    <row r="2836" ht="22.5" customHeight="1">
      <c r="A2836" s="113"/>
      <c r="B2836" s="186"/>
      <c r="C2836" s="187"/>
      <c r="D2836" s="187"/>
      <c r="E2836" s="188"/>
      <c r="F2836" s="189"/>
      <c r="G2836" s="190"/>
      <c r="H2836" s="190"/>
      <c r="I2836" s="191"/>
      <c r="J2836" s="90"/>
      <c r="K2836" s="102"/>
      <c r="L2836" s="102"/>
      <c r="M2836" s="102"/>
      <c r="N2836" s="72"/>
      <c r="O2836" s="121"/>
      <c r="P2836" s="36"/>
      <c r="Q2836" s="36"/>
      <c r="R2836" s="36"/>
      <c r="S2836" s="36"/>
      <c r="T2836" s="36"/>
      <c r="U2836" s="36"/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</row>
    <row r="2837" ht="22.5" customHeight="1">
      <c r="A2837" s="113"/>
      <c r="B2837" s="186"/>
      <c r="C2837" s="187"/>
      <c r="D2837" s="187"/>
      <c r="E2837" s="188"/>
      <c r="F2837" s="189"/>
      <c r="G2837" s="190"/>
      <c r="H2837" s="190"/>
      <c r="I2837" s="191"/>
      <c r="J2837" s="90"/>
      <c r="K2837" s="102"/>
      <c r="L2837" s="102"/>
      <c r="M2837" s="102"/>
      <c r="N2837" s="72"/>
      <c r="O2837" s="121"/>
      <c r="P2837" s="36"/>
      <c r="Q2837" s="36"/>
      <c r="R2837" s="36"/>
      <c r="S2837" s="36"/>
      <c r="T2837" s="36"/>
      <c r="U2837" s="36"/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</row>
    <row r="2838" ht="22.5" customHeight="1">
      <c r="A2838" s="113"/>
      <c r="B2838" s="186"/>
      <c r="C2838" s="187"/>
      <c r="D2838" s="187"/>
      <c r="E2838" s="188"/>
      <c r="F2838" s="189"/>
      <c r="G2838" s="190"/>
      <c r="H2838" s="190"/>
      <c r="I2838" s="191"/>
      <c r="J2838" s="90"/>
      <c r="K2838" s="102"/>
      <c r="L2838" s="102"/>
      <c r="M2838" s="102"/>
      <c r="N2838" s="72"/>
      <c r="O2838" s="121"/>
      <c r="P2838" s="36"/>
      <c r="Q2838" s="36"/>
      <c r="R2838" s="36"/>
      <c r="S2838" s="36"/>
      <c r="T2838" s="36"/>
      <c r="U2838" s="36"/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</row>
    <row r="2839" ht="22.5" customHeight="1">
      <c r="A2839" s="113"/>
      <c r="B2839" s="186"/>
      <c r="C2839" s="187"/>
      <c r="D2839" s="187"/>
      <c r="E2839" s="188"/>
      <c r="F2839" s="189"/>
      <c r="G2839" s="190"/>
      <c r="H2839" s="190"/>
      <c r="I2839" s="191"/>
      <c r="J2839" s="90"/>
      <c r="K2839" s="102"/>
      <c r="L2839" s="102"/>
      <c r="M2839" s="102"/>
      <c r="N2839" s="72"/>
      <c r="O2839" s="121"/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</row>
    <row r="2840" ht="22.5" customHeight="1">
      <c r="A2840" s="113"/>
      <c r="B2840" s="186"/>
      <c r="C2840" s="187"/>
      <c r="D2840" s="187"/>
      <c r="E2840" s="188"/>
      <c r="F2840" s="189"/>
      <c r="G2840" s="190"/>
      <c r="H2840" s="190"/>
      <c r="I2840" s="191"/>
      <c r="J2840" s="90"/>
      <c r="K2840" s="102"/>
      <c r="L2840" s="102"/>
      <c r="M2840" s="102"/>
      <c r="N2840" s="72"/>
      <c r="O2840" s="121"/>
      <c r="P2840" s="36"/>
      <c r="Q2840" s="36"/>
      <c r="R2840" s="36"/>
      <c r="S2840" s="36"/>
      <c r="T2840" s="36"/>
      <c r="U2840" s="36"/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</row>
    <row r="2841" ht="22.5" customHeight="1">
      <c r="A2841" s="113"/>
      <c r="B2841" s="186"/>
      <c r="C2841" s="187"/>
      <c r="D2841" s="187"/>
      <c r="E2841" s="188"/>
      <c r="F2841" s="189"/>
      <c r="G2841" s="190"/>
      <c r="H2841" s="190"/>
      <c r="I2841" s="191"/>
      <c r="J2841" s="90"/>
      <c r="K2841" s="102"/>
      <c r="L2841" s="102"/>
      <c r="M2841" s="102"/>
      <c r="N2841" s="72"/>
      <c r="O2841" s="121"/>
      <c r="P2841" s="36"/>
      <c r="Q2841" s="36"/>
      <c r="R2841" s="36"/>
      <c r="S2841" s="36"/>
      <c r="T2841" s="36"/>
      <c r="U2841" s="36"/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</row>
    <row r="2842" ht="22.5" customHeight="1">
      <c r="A2842" s="113"/>
      <c r="B2842" s="186"/>
      <c r="C2842" s="187"/>
      <c r="D2842" s="187"/>
      <c r="E2842" s="188"/>
      <c r="F2842" s="189"/>
      <c r="G2842" s="190"/>
      <c r="H2842" s="190"/>
      <c r="I2842" s="191"/>
      <c r="J2842" s="90"/>
      <c r="K2842" s="102"/>
      <c r="L2842" s="102"/>
      <c r="M2842" s="102"/>
      <c r="N2842" s="72"/>
      <c r="O2842" s="121"/>
      <c r="P2842" s="36"/>
      <c r="Q2842" s="36"/>
      <c r="R2842" s="36"/>
      <c r="S2842" s="36"/>
      <c r="T2842" s="36"/>
      <c r="U2842" s="36"/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</row>
    <row r="2843" ht="22.5" customHeight="1">
      <c r="A2843" s="113"/>
      <c r="B2843" s="186"/>
      <c r="C2843" s="187"/>
      <c r="D2843" s="187"/>
      <c r="E2843" s="188"/>
      <c r="F2843" s="189"/>
      <c r="G2843" s="190"/>
      <c r="H2843" s="190"/>
      <c r="I2843" s="191"/>
      <c r="J2843" s="90"/>
      <c r="K2843" s="102"/>
      <c r="L2843" s="102"/>
      <c r="M2843" s="102"/>
      <c r="N2843" s="72"/>
      <c r="O2843" s="121"/>
      <c r="P2843" s="36"/>
      <c r="Q2843" s="36"/>
      <c r="R2843" s="36"/>
      <c r="S2843" s="36"/>
      <c r="T2843" s="36"/>
      <c r="U2843" s="36"/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</row>
    <row r="2844" ht="22.5" customHeight="1">
      <c r="A2844" s="113"/>
      <c r="B2844" s="186"/>
      <c r="C2844" s="187"/>
      <c r="D2844" s="187"/>
      <c r="E2844" s="188"/>
      <c r="F2844" s="189"/>
      <c r="G2844" s="190"/>
      <c r="H2844" s="190"/>
      <c r="I2844" s="191"/>
      <c r="J2844" s="90"/>
      <c r="K2844" s="102"/>
      <c r="L2844" s="102"/>
      <c r="M2844" s="102"/>
      <c r="N2844" s="72"/>
      <c r="O2844" s="121"/>
      <c r="P2844" s="36"/>
      <c r="Q2844" s="36"/>
      <c r="R2844" s="36"/>
      <c r="S2844" s="36"/>
      <c r="T2844" s="36"/>
      <c r="U2844" s="36"/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</row>
    <row r="2845" ht="22.5" customHeight="1">
      <c r="A2845" s="113"/>
      <c r="B2845" s="186"/>
      <c r="C2845" s="187"/>
      <c r="D2845" s="187"/>
      <c r="E2845" s="188"/>
      <c r="F2845" s="189"/>
      <c r="G2845" s="190"/>
      <c r="H2845" s="190"/>
      <c r="I2845" s="191"/>
      <c r="J2845" s="90"/>
      <c r="K2845" s="102"/>
      <c r="L2845" s="102"/>
      <c r="M2845" s="102"/>
      <c r="N2845" s="72"/>
      <c r="O2845" s="121"/>
      <c r="P2845" s="36"/>
      <c r="Q2845" s="36"/>
      <c r="R2845" s="36"/>
      <c r="S2845" s="36"/>
      <c r="T2845" s="36"/>
      <c r="U2845" s="36"/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</row>
    <row r="2846" ht="22.5" customHeight="1">
      <c r="A2846" s="113"/>
      <c r="B2846" s="186"/>
      <c r="C2846" s="187"/>
      <c r="D2846" s="187"/>
      <c r="E2846" s="188"/>
      <c r="F2846" s="189"/>
      <c r="G2846" s="190"/>
      <c r="H2846" s="190"/>
      <c r="I2846" s="191"/>
      <c r="J2846" s="90"/>
      <c r="K2846" s="102"/>
      <c r="L2846" s="102"/>
      <c r="M2846" s="102"/>
      <c r="N2846" s="72"/>
      <c r="O2846" s="121"/>
      <c r="P2846" s="36"/>
      <c r="Q2846" s="36"/>
      <c r="R2846" s="36"/>
      <c r="S2846" s="36"/>
      <c r="T2846" s="36"/>
      <c r="U2846" s="36"/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</row>
    <row r="2847" ht="22.5" customHeight="1">
      <c r="A2847" s="113"/>
      <c r="B2847" s="186"/>
      <c r="C2847" s="187"/>
      <c r="D2847" s="187"/>
      <c r="E2847" s="188"/>
      <c r="F2847" s="189"/>
      <c r="G2847" s="190"/>
      <c r="H2847" s="190"/>
      <c r="I2847" s="191"/>
      <c r="J2847" s="90"/>
      <c r="K2847" s="102"/>
      <c r="L2847" s="102"/>
      <c r="M2847" s="102"/>
      <c r="N2847" s="72"/>
      <c r="O2847" s="121"/>
      <c r="P2847" s="36"/>
      <c r="Q2847" s="36"/>
      <c r="R2847" s="36"/>
      <c r="S2847" s="36"/>
      <c r="T2847" s="36"/>
      <c r="U2847" s="36"/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</row>
    <row r="2848" ht="22.5" customHeight="1">
      <c r="A2848" s="113"/>
      <c r="B2848" s="186"/>
      <c r="C2848" s="187"/>
      <c r="D2848" s="187"/>
      <c r="E2848" s="188"/>
      <c r="F2848" s="189"/>
      <c r="G2848" s="190"/>
      <c r="H2848" s="190"/>
      <c r="I2848" s="191"/>
      <c r="J2848" s="90"/>
      <c r="K2848" s="102"/>
      <c r="L2848" s="102"/>
      <c r="M2848" s="102"/>
      <c r="N2848" s="72"/>
      <c r="O2848" s="121"/>
      <c r="P2848" s="36"/>
      <c r="Q2848" s="36"/>
      <c r="R2848" s="36"/>
      <c r="S2848" s="36"/>
      <c r="T2848" s="36"/>
      <c r="U2848" s="36"/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</row>
    <row r="2849" ht="22.5" customHeight="1">
      <c r="A2849" s="113"/>
      <c r="B2849" s="186"/>
      <c r="C2849" s="187"/>
      <c r="D2849" s="187"/>
      <c r="E2849" s="188"/>
      <c r="F2849" s="189"/>
      <c r="G2849" s="190"/>
      <c r="H2849" s="190"/>
      <c r="I2849" s="191"/>
      <c r="J2849" s="90"/>
      <c r="K2849" s="102"/>
      <c r="L2849" s="102"/>
      <c r="M2849" s="102"/>
      <c r="N2849" s="72"/>
      <c r="O2849" s="121"/>
      <c r="P2849" s="36"/>
      <c r="Q2849" s="36"/>
      <c r="R2849" s="36"/>
      <c r="S2849" s="36"/>
      <c r="T2849" s="36"/>
      <c r="U2849" s="36"/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</row>
    <row r="2850" ht="22.5" customHeight="1">
      <c r="A2850" s="113"/>
      <c r="B2850" s="186"/>
      <c r="C2850" s="187"/>
      <c r="D2850" s="187"/>
      <c r="E2850" s="188"/>
      <c r="F2850" s="189"/>
      <c r="G2850" s="190"/>
      <c r="H2850" s="190"/>
      <c r="I2850" s="191"/>
      <c r="J2850" s="90"/>
      <c r="K2850" s="102"/>
      <c r="L2850" s="102"/>
      <c r="M2850" s="102"/>
      <c r="N2850" s="72"/>
      <c r="O2850" s="121"/>
      <c r="P2850" s="36"/>
      <c r="Q2850" s="36"/>
      <c r="R2850" s="36"/>
      <c r="S2850" s="36"/>
      <c r="T2850" s="36"/>
      <c r="U2850" s="36"/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</row>
    <row r="2851" ht="22.5" customHeight="1">
      <c r="A2851" s="113"/>
      <c r="B2851" s="186"/>
      <c r="C2851" s="187"/>
      <c r="D2851" s="187"/>
      <c r="E2851" s="188"/>
      <c r="F2851" s="189"/>
      <c r="G2851" s="190"/>
      <c r="H2851" s="190"/>
      <c r="I2851" s="191"/>
      <c r="J2851" s="90"/>
      <c r="K2851" s="102"/>
      <c r="L2851" s="102"/>
      <c r="M2851" s="102"/>
      <c r="N2851" s="72"/>
      <c r="O2851" s="121"/>
      <c r="P2851" s="36"/>
      <c r="Q2851" s="36"/>
      <c r="R2851" s="36"/>
      <c r="S2851" s="36"/>
      <c r="T2851" s="36"/>
      <c r="U2851" s="36"/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</row>
    <row r="2852" ht="22.5" customHeight="1">
      <c r="A2852" s="113"/>
      <c r="B2852" s="186"/>
      <c r="C2852" s="187"/>
      <c r="D2852" s="187"/>
      <c r="E2852" s="188"/>
      <c r="F2852" s="189"/>
      <c r="G2852" s="190"/>
      <c r="H2852" s="190"/>
      <c r="I2852" s="191"/>
      <c r="J2852" s="90"/>
      <c r="K2852" s="102"/>
      <c r="L2852" s="102"/>
      <c r="M2852" s="102"/>
      <c r="N2852" s="72"/>
      <c r="O2852" s="121"/>
      <c r="P2852" s="36"/>
      <c r="Q2852" s="36"/>
      <c r="R2852" s="36"/>
      <c r="S2852" s="36"/>
      <c r="T2852" s="36"/>
      <c r="U2852" s="36"/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</row>
    <row r="2853" ht="22.5" customHeight="1">
      <c r="A2853" s="113"/>
      <c r="B2853" s="186"/>
      <c r="C2853" s="187"/>
      <c r="D2853" s="187"/>
      <c r="E2853" s="188"/>
      <c r="F2853" s="189"/>
      <c r="G2853" s="190"/>
      <c r="H2853" s="190"/>
      <c r="I2853" s="191"/>
      <c r="J2853" s="90"/>
      <c r="K2853" s="102"/>
      <c r="L2853" s="102"/>
      <c r="M2853" s="102"/>
      <c r="N2853" s="72"/>
      <c r="O2853" s="121"/>
      <c r="P2853" s="36"/>
      <c r="Q2853" s="36"/>
      <c r="R2853" s="36"/>
      <c r="S2853" s="36"/>
      <c r="T2853" s="36"/>
      <c r="U2853" s="36"/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</row>
    <row r="2854" ht="22.5" customHeight="1">
      <c r="A2854" s="113"/>
      <c r="B2854" s="186"/>
      <c r="C2854" s="187"/>
      <c r="D2854" s="187"/>
      <c r="E2854" s="188"/>
      <c r="F2854" s="189"/>
      <c r="G2854" s="190"/>
      <c r="H2854" s="190"/>
      <c r="I2854" s="191"/>
      <c r="J2854" s="90"/>
      <c r="K2854" s="102"/>
      <c r="L2854" s="102"/>
      <c r="M2854" s="102"/>
      <c r="N2854" s="72"/>
      <c r="O2854" s="121"/>
      <c r="P2854" s="36"/>
      <c r="Q2854" s="36"/>
      <c r="R2854" s="36"/>
      <c r="S2854" s="36"/>
      <c r="T2854" s="36"/>
      <c r="U2854" s="36"/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</row>
    <row r="2855" ht="22.5" customHeight="1">
      <c r="A2855" s="113"/>
      <c r="B2855" s="186"/>
      <c r="C2855" s="187"/>
      <c r="D2855" s="187"/>
      <c r="E2855" s="188"/>
      <c r="F2855" s="189"/>
      <c r="G2855" s="190"/>
      <c r="H2855" s="190"/>
      <c r="I2855" s="191"/>
      <c r="J2855" s="90"/>
      <c r="K2855" s="102"/>
      <c r="L2855" s="102"/>
      <c r="M2855" s="102"/>
      <c r="N2855" s="72"/>
      <c r="O2855" s="121"/>
      <c r="P2855" s="36"/>
      <c r="Q2855" s="36"/>
      <c r="R2855" s="36"/>
      <c r="S2855" s="36"/>
      <c r="T2855" s="36"/>
      <c r="U2855" s="36"/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</row>
    <row r="2856" ht="22.5" customHeight="1">
      <c r="A2856" s="113"/>
      <c r="B2856" s="186"/>
      <c r="C2856" s="187"/>
      <c r="D2856" s="187"/>
      <c r="E2856" s="188"/>
      <c r="F2856" s="189"/>
      <c r="G2856" s="190"/>
      <c r="H2856" s="190"/>
      <c r="I2856" s="191"/>
      <c r="J2856" s="90"/>
      <c r="K2856" s="102"/>
      <c r="L2856" s="102"/>
      <c r="M2856" s="102"/>
      <c r="N2856" s="72"/>
      <c r="O2856" s="121"/>
      <c r="P2856" s="36"/>
      <c r="Q2856" s="36"/>
      <c r="R2856" s="36"/>
      <c r="S2856" s="36"/>
      <c r="T2856" s="36"/>
      <c r="U2856" s="36"/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</row>
    <row r="2857" ht="22.5" customHeight="1">
      <c r="A2857" s="113"/>
      <c r="B2857" s="186"/>
      <c r="C2857" s="187"/>
      <c r="D2857" s="187"/>
      <c r="E2857" s="188"/>
      <c r="F2857" s="189"/>
      <c r="G2857" s="190"/>
      <c r="H2857" s="190"/>
      <c r="I2857" s="191"/>
      <c r="J2857" s="90"/>
      <c r="K2857" s="102"/>
      <c r="L2857" s="102"/>
      <c r="M2857" s="102"/>
      <c r="N2857" s="72"/>
      <c r="O2857" s="121"/>
      <c r="P2857" s="36"/>
      <c r="Q2857" s="36"/>
      <c r="R2857" s="36"/>
      <c r="S2857" s="36"/>
      <c r="T2857" s="36"/>
      <c r="U2857" s="36"/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</row>
    <row r="2858" ht="22.5" customHeight="1">
      <c r="A2858" s="113"/>
      <c r="B2858" s="186"/>
      <c r="C2858" s="187"/>
      <c r="D2858" s="187"/>
      <c r="E2858" s="188"/>
      <c r="F2858" s="189"/>
      <c r="G2858" s="190"/>
      <c r="H2858" s="190"/>
      <c r="I2858" s="191"/>
      <c r="J2858" s="90"/>
      <c r="K2858" s="102"/>
      <c r="L2858" s="102"/>
      <c r="M2858" s="102"/>
      <c r="N2858" s="72"/>
      <c r="O2858" s="121"/>
      <c r="P2858" s="36"/>
      <c r="Q2858" s="36"/>
      <c r="R2858" s="36"/>
      <c r="S2858" s="36"/>
      <c r="T2858" s="36"/>
      <c r="U2858" s="36"/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</row>
    <row r="2859" ht="22.5" customHeight="1">
      <c r="A2859" s="113"/>
      <c r="B2859" s="186"/>
      <c r="C2859" s="187"/>
      <c r="D2859" s="187"/>
      <c r="E2859" s="188"/>
      <c r="F2859" s="189"/>
      <c r="G2859" s="190"/>
      <c r="H2859" s="190"/>
      <c r="I2859" s="191"/>
      <c r="J2859" s="90"/>
      <c r="K2859" s="102"/>
      <c r="L2859" s="102"/>
      <c r="M2859" s="102"/>
      <c r="N2859" s="72"/>
      <c r="O2859" s="121"/>
      <c r="P2859" s="36"/>
      <c r="Q2859" s="36"/>
      <c r="R2859" s="36"/>
      <c r="S2859" s="36"/>
      <c r="T2859" s="36"/>
      <c r="U2859" s="36"/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</row>
    <row r="2860" ht="22.5" customHeight="1">
      <c r="A2860" s="113"/>
      <c r="B2860" s="186"/>
      <c r="C2860" s="187"/>
      <c r="D2860" s="187"/>
      <c r="E2860" s="188"/>
      <c r="F2860" s="189"/>
      <c r="G2860" s="190"/>
      <c r="H2860" s="190"/>
      <c r="I2860" s="191"/>
      <c r="J2860" s="90"/>
      <c r="K2860" s="102"/>
      <c r="L2860" s="102"/>
      <c r="M2860" s="102"/>
      <c r="N2860" s="72"/>
      <c r="O2860" s="121"/>
      <c r="P2860" s="36"/>
      <c r="Q2860" s="36"/>
      <c r="R2860" s="36"/>
      <c r="S2860" s="36"/>
      <c r="T2860" s="36"/>
      <c r="U2860" s="36"/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</row>
    <row r="2861" ht="22.5" customHeight="1">
      <c r="A2861" s="113"/>
      <c r="B2861" s="186"/>
      <c r="C2861" s="187"/>
      <c r="D2861" s="187"/>
      <c r="E2861" s="188"/>
      <c r="F2861" s="189"/>
      <c r="G2861" s="190"/>
      <c r="H2861" s="190"/>
      <c r="I2861" s="191"/>
      <c r="J2861" s="90"/>
      <c r="K2861" s="102"/>
      <c r="L2861" s="102"/>
      <c r="M2861" s="102"/>
      <c r="N2861" s="72"/>
      <c r="O2861" s="121"/>
      <c r="P2861" s="36"/>
      <c r="Q2861" s="36"/>
      <c r="R2861" s="36"/>
      <c r="S2861" s="36"/>
      <c r="T2861" s="36"/>
      <c r="U2861" s="36"/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</row>
    <row r="2862" ht="22.5" customHeight="1">
      <c r="A2862" s="113"/>
      <c r="B2862" s="186"/>
      <c r="C2862" s="187"/>
      <c r="D2862" s="187"/>
      <c r="E2862" s="188"/>
      <c r="F2862" s="189"/>
      <c r="G2862" s="190"/>
      <c r="H2862" s="190"/>
      <c r="I2862" s="191"/>
      <c r="J2862" s="90"/>
      <c r="K2862" s="102"/>
      <c r="L2862" s="102"/>
      <c r="M2862" s="102"/>
      <c r="N2862" s="72"/>
      <c r="O2862" s="121"/>
      <c r="P2862" s="36"/>
      <c r="Q2862" s="36"/>
      <c r="R2862" s="36"/>
      <c r="S2862" s="36"/>
      <c r="T2862" s="36"/>
      <c r="U2862" s="36"/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</row>
    <row r="2863" ht="22.5" customHeight="1">
      <c r="A2863" s="113"/>
      <c r="B2863" s="186"/>
      <c r="C2863" s="187"/>
      <c r="D2863" s="187"/>
      <c r="E2863" s="188"/>
      <c r="F2863" s="189"/>
      <c r="G2863" s="190"/>
      <c r="H2863" s="190"/>
      <c r="I2863" s="191"/>
      <c r="J2863" s="90"/>
      <c r="K2863" s="102"/>
      <c r="L2863" s="102"/>
      <c r="M2863" s="102"/>
      <c r="N2863" s="72"/>
      <c r="O2863" s="121"/>
      <c r="P2863" s="36"/>
      <c r="Q2863" s="36"/>
      <c r="R2863" s="36"/>
      <c r="S2863" s="36"/>
      <c r="T2863" s="36"/>
      <c r="U2863" s="36"/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</row>
    <row r="2864" ht="22.5" customHeight="1">
      <c r="A2864" s="113"/>
      <c r="B2864" s="186"/>
      <c r="C2864" s="187"/>
      <c r="D2864" s="187"/>
      <c r="E2864" s="188"/>
      <c r="F2864" s="189"/>
      <c r="G2864" s="190"/>
      <c r="H2864" s="190"/>
      <c r="I2864" s="191"/>
      <c r="J2864" s="90"/>
      <c r="K2864" s="102"/>
      <c r="L2864" s="102"/>
      <c r="M2864" s="102"/>
      <c r="N2864" s="72"/>
      <c r="O2864" s="121"/>
      <c r="P2864" s="36"/>
      <c r="Q2864" s="36"/>
      <c r="R2864" s="36"/>
      <c r="S2864" s="36"/>
      <c r="T2864" s="36"/>
      <c r="U2864" s="36"/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</row>
    <row r="2865" ht="22.5" customHeight="1">
      <c r="A2865" s="113"/>
      <c r="B2865" s="186"/>
      <c r="C2865" s="187"/>
      <c r="D2865" s="187"/>
      <c r="E2865" s="188"/>
      <c r="F2865" s="189"/>
      <c r="G2865" s="190"/>
      <c r="H2865" s="190"/>
      <c r="I2865" s="191"/>
      <c r="J2865" s="90"/>
      <c r="K2865" s="102"/>
      <c r="L2865" s="102"/>
      <c r="M2865" s="102"/>
      <c r="N2865" s="72"/>
      <c r="O2865" s="121"/>
      <c r="P2865" s="36"/>
      <c r="Q2865" s="36"/>
      <c r="R2865" s="36"/>
      <c r="S2865" s="36"/>
      <c r="T2865" s="36"/>
      <c r="U2865" s="36"/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</row>
    <row r="2866" ht="22.5" customHeight="1">
      <c r="A2866" s="113"/>
      <c r="B2866" s="186"/>
      <c r="C2866" s="187"/>
      <c r="D2866" s="187"/>
      <c r="E2866" s="188"/>
      <c r="F2866" s="189"/>
      <c r="G2866" s="190"/>
      <c r="H2866" s="190"/>
      <c r="I2866" s="191"/>
      <c r="J2866" s="90"/>
      <c r="K2866" s="102"/>
      <c r="L2866" s="102"/>
      <c r="M2866" s="102"/>
      <c r="N2866" s="72"/>
      <c r="O2866" s="121"/>
      <c r="P2866" s="36"/>
      <c r="Q2866" s="36"/>
      <c r="R2866" s="36"/>
      <c r="S2866" s="36"/>
      <c r="T2866" s="36"/>
      <c r="U2866" s="36"/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</row>
    <row r="2867" ht="22.5" customHeight="1">
      <c r="A2867" s="113"/>
      <c r="B2867" s="186"/>
      <c r="C2867" s="187"/>
      <c r="D2867" s="187"/>
      <c r="E2867" s="188"/>
      <c r="F2867" s="189"/>
      <c r="G2867" s="190"/>
      <c r="H2867" s="190"/>
      <c r="I2867" s="191"/>
      <c r="J2867" s="90"/>
      <c r="K2867" s="102"/>
      <c r="L2867" s="102"/>
      <c r="M2867" s="102"/>
      <c r="N2867" s="72"/>
      <c r="O2867" s="121"/>
      <c r="P2867" s="36"/>
      <c r="Q2867" s="36"/>
      <c r="R2867" s="36"/>
      <c r="S2867" s="36"/>
      <c r="T2867" s="36"/>
      <c r="U2867" s="36"/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</row>
    <row r="2868" ht="22.5" customHeight="1">
      <c r="A2868" s="113"/>
      <c r="B2868" s="186"/>
      <c r="C2868" s="187"/>
      <c r="D2868" s="187"/>
      <c r="E2868" s="188"/>
      <c r="F2868" s="189"/>
      <c r="G2868" s="190"/>
      <c r="H2868" s="190"/>
      <c r="I2868" s="191"/>
      <c r="J2868" s="90"/>
      <c r="K2868" s="102"/>
      <c r="L2868" s="102"/>
      <c r="M2868" s="102"/>
      <c r="N2868" s="72"/>
      <c r="O2868" s="121"/>
      <c r="P2868" s="36"/>
      <c r="Q2868" s="36"/>
      <c r="R2868" s="36"/>
      <c r="S2868" s="36"/>
      <c r="T2868" s="36"/>
      <c r="U2868" s="36"/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</row>
    <row r="2869" ht="22.5" customHeight="1">
      <c r="A2869" s="113"/>
      <c r="B2869" s="186"/>
      <c r="C2869" s="187"/>
      <c r="D2869" s="187"/>
      <c r="E2869" s="188"/>
      <c r="F2869" s="189"/>
      <c r="G2869" s="190"/>
      <c r="H2869" s="190"/>
      <c r="I2869" s="191"/>
      <c r="J2869" s="90"/>
      <c r="K2869" s="102"/>
      <c r="L2869" s="102"/>
      <c r="M2869" s="102"/>
      <c r="N2869" s="72"/>
      <c r="O2869" s="121"/>
      <c r="P2869" s="36"/>
      <c r="Q2869" s="36"/>
      <c r="R2869" s="36"/>
      <c r="S2869" s="36"/>
      <c r="T2869" s="36"/>
      <c r="U2869" s="36"/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</row>
    <row r="2870" ht="22.5" customHeight="1">
      <c r="A2870" s="113"/>
      <c r="B2870" s="186"/>
      <c r="C2870" s="187"/>
      <c r="D2870" s="187"/>
      <c r="E2870" s="188"/>
      <c r="F2870" s="189"/>
      <c r="G2870" s="190"/>
      <c r="H2870" s="190"/>
      <c r="I2870" s="191"/>
      <c r="J2870" s="90"/>
      <c r="K2870" s="102"/>
      <c r="L2870" s="102"/>
      <c r="M2870" s="102"/>
      <c r="N2870" s="72"/>
      <c r="O2870" s="121"/>
      <c r="P2870" s="36"/>
      <c r="Q2870" s="36"/>
      <c r="R2870" s="36"/>
      <c r="S2870" s="36"/>
      <c r="T2870" s="36"/>
      <c r="U2870" s="36"/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</row>
    <row r="2871" ht="22.5" customHeight="1">
      <c r="A2871" s="113"/>
      <c r="B2871" s="186"/>
      <c r="C2871" s="187"/>
      <c r="D2871" s="187"/>
      <c r="E2871" s="188"/>
      <c r="F2871" s="189"/>
      <c r="G2871" s="190"/>
      <c r="H2871" s="190"/>
      <c r="I2871" s="191"/>
      <c r="J2871" s="90"/>
      <c r="K2871" s="102"/>
      <c r="L2871" s="102"/>
      <c r="M2871" s="102"/>
      <c r="N2871" s="72"/>
      <c r="O2871" s="121"/>
      <c r="P2871" s="36"/>
      <c r="Q2871" s="36"/>
      <c r="R2871" s="36"/>
      <c r="S2871" s="36"/>
      <c r="T2871" s="36"/>
      <c r="U2871" s="36"/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</row>
    <row r="2872" ht="22.5" customHeight="1">
      <c r="A2872" s="113"/>
      <c r="B2872" s="186"/>
      <c r="C2872" s="187"/>
      <c r="D2872" s="187"/>
      <c r="E2872" s="188"/>
      <c r="F2872" s="189"/>
      <c r="G2872" s="190"/>
      <c r="H2872" s="190"/>
      <c r="I2872" s="191"/>
      <c r="J2872" s="90"/>
      <c r="K2872" s="102"/>
      <c r="L2872" s="102"/>
      <c r="M2872" s="102"/>
      <c r="N2872" s="72"/>
      <c r="O2872" s="121"/>
      <c r="P2872" s="36"/>
      <c r="Q2872" s="36"/>
      <c r="R2872" s="36"/>
      <c r="S2872" s="36"/>
      <c r="T2872" s="36"/>
      <c r="U2872" s="36"/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</row>
    <row r="2873" ht="22.5" customHeight="1">
      <c r="A2873" s="113"/>
      <c r="B2873" s="186"/>
      <c r="C2873" s="187"/>
      <c r="D2873" s="187"/>
      <c r="E2873" s="188"/>
      <c r="F2873" s="189"/>
      <c r="G2873" s="190"/>
      <c r="H2873" s="190"/>
      <c r="I2873" s="191"/>
      <c r="J2873" s="90"/>
      <c r="K2873" s="102"/>
      <c r="L2873" s="102"/>
      <c r="M2873" s="102"/>
      <c r="N2873" s="72"/>
      <c r="O2873" s="121"/>
      <c r="P2873" s="36"/>
      <c r="Q2873" s="36"/>
      <c r="R2873" s="36"/>
      <c r="S2873" s="36"/>
      <c r="T2873" s="36"/>
      <c r="U2873" s="36"/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</row>
    <row r="2874" ht="22.5" customHeight="1">
      <c r="A2874" s="113"/>
      <c r="B2874" s="186"/>
      <c r="C2874" s="187"/>
      <c r="D2874" s="187"/>
      <c r="E2874" s="188"/>
      <c r="F2874" s="189"/>
      <c r="G2874" s="190"/>
      <c r="H2874" s="190"/>
      <c r="I2874" s="191"/>
      <c r="J2874" s="90"/>
      <c r="K2874" s="102"/>
      <c r="L2874" s="102"/>
      <c r="M2874" s="102"/>
      <c r="N2874" s="72"/>
      <c r="O2874" s="121"/>
      <c r="P2874" s="36"/>
      <c r="Q2874" s="36"/>
      <c r="R2874" s="36"/>
      <c r="S2874" s="36"/>
      <c r="T2874" s="36"/>
      <c r="U2874" s="36"/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</row>
    <row r="2875" ht="22.5" customHeight="1">
      <c r="A2875" s="113"/>
      <c r="B2875" s="186"/>
      <c r="C2875" s="187"/>
      <c r="D2875" s="187"/>
      <c r="E2875" s="188"/>
      <c r="F2875" s="189"/>
      <c r="G2875" s="190"/>
      <c r="H2875" s="190"/>
      <c r="I2875" s="191"/>
      <c r="J2875" s="90"/>
      <c r="K2875" s="102"/>
      <c r="L2875" s="102"/>
      <c r="M2875" s="102"/>
      <c r="N2875" s="72"/>
      <c r="O2875" s="121"/>
      <c r="P2875" s="36"/>
      <c r="Q2875" s="36"/>
      <c r="R2875" s="36"/>
      <c r="S2875" s="36"/>
      <c r="T2875" s="36"/>
      <c r="U2875" s="36"/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</row>
    <row r="2876" ht="22.5" customHeight="1">
      <c r="A2876" s="113"/>
      <c r="B2876" s="186"/>
      <c r="C2876" s="187"/>
      <c r="D2876" s="187"/>
      <c r="E2876" s="188"/>
      <c r="F2876" s="189"/>
      <c r="G2876" s="190"/>
      <c r="H2876" s="190"/>
      <c r="I2876" s="191"/>
      <c r="J2876" s="90"/>
      <c r="K2876" s="102"/>
      <c r="L2876" s="102"/>
      <c r="M2876" s="102"/>
      <c r="N2876" s="72"/>
      <c r="O2876" s="121"/>
      <c r="P2876" s="36"/>
      <c r="Q2876" s="36"/>
      <c r="R2876" s="36"/>
      <c r="S2876" s="36"/>
      <c r="T2876" s="36"/>
      <c r="U2876" s="36"/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</row>
    <row r="2877" ht="22.5" customHeight="1">
      <c r="A2877" s="113"/>
      <c r="B2877" s="186"/>
      <c r="C2877" s="187"/>
      <c r="D2877" s="187"/>
      <c r="E2877" s="188"/>
      <c r="F2877" s="189"/>
      <c r="G2877" s="190"/>
      <c r="H2877" s="190"/>
      <c r="I2877" s="191"/>
      <c r="J2877" s="90"/>
      <c r="K2877" s="102"/>
      <c r="L2877" s="102"/>
      <c r="M2877" s="102"/>
      <c r="N2877" s="72"/>
      <c r="O2877" s="121"/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</row>
    <row r="2878" ht="22.5" customHeight="1">
      <c r="A2878" s="113"/>
      <c r="B2878" s="186"/>
      <c r="C2878" s="187"/>
      <c r="D2878" s="187"/>
      <c r="E2878" s="188"/>
      <c r="F2878" s="189"/>
      <c r="G2878" s="190"/>
      <c r="H2878" s="190"/>
      <c r="I2878" s="191"/>
      <c r="J2878" s="90"/>
      <c r="K2878" s="102"/>
      <c r="L2878" s="102"/>
      <c r="M2878" s="102"/>
      <c r="N2878" s="72"/>
      <c r="O2878" s="121"/>
      <c r="P2878" s="36"/>
      <c r="Q2878" s="36"/>
      <c r="R2878" s="36"/>
      <c r="S2878" s="36"/>
      <c r="T2878" s="36"/>
      <c r="U2878" s="36"/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</row>
    <row r="2879" ht="22.5" customHeight="1">
      <c r="A2879" s="113"/>
      <c r="B2879" s="186"/>
      <c r="C2879" s="187"/>
      <c r="D2879" s="187"/>
      <c r="E2879" s="188"/>
      <c r="F2879" s="189"/>
      <c r="G2879" s="190"/>
      <c r="H2879" s="190"/>
      <c r="I2879" s="191"/>
      <c r="J2879" s="90"/>
      <c r="K2879" s="102"/>
      <c r="L2879" s="102"/>
      <c r="M2879" s="102"/>
      <c r="N2879" s="72"/>
      <c r="O2879" s="121"/>
      <c r="P2879" s="36"/>
      <c r="Q2879" s="36"/>
      <c r="R2879" s="36"/>
      <c r="S2879" s="36"/>
      <c r="T2879" s="36"/>
      <c r="U2879" s="36"/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</row>
    <row r="2880" ht="22.5" customHeight="1">
      <c r="A2880" s="113"/>
      <c r="B2880" s="186"/>
      <c r="C2880" s="187"/>
      <c r="D2880" s="187"/>
      <c r="E2880" s="188"/>
      <c r="F2880" s="189"/>
      <c r="G2880" s="190"/>
      <c r="H2880" s="190"/>
      <c r="I2880" s="191"/>
      <c r="J2880" s="90"/>
      <c r="K2880" s="102"/>
      <c r="L2880" s="102"/>
      <c r="M2880" s="102"/>
      <c r="N2880" s="72"/>
      <c r="O2880" s="121"/>
      <c r="P2880" s="36"/>
      <c r="Q2880" s="36"/>
      <c r="R2880" s="36"/>
      <c r="S2880" s="36"/>
      <c r="T2880" s="36"/>
      <c r="U2880" s="36"/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</row>
  </sheetData>
  <mergeCells count="2">
    <mergeCell ref="A1:A2"/>
    <mergeCell ref="A4:A5"/>
  </mergeCells>
  <conditionalFormatting sqref="K242:M242 O242">
    <cfRule type="notContainsBlanks" dxfId="5" priority="1">
      <formula>LEN(TRIM(K242))&gt;0</formula>
    </cfRule>
  </conditionalFormatting>
  <conditionalFormatting sqref="N1491:N2541">
    <cfRule type="colorScale" priority="2">
      <colorScale>
        <cfvo type="formula" val="0"/>
        <cfvo type="max"/>
        <color rgb="FFFFFFFF"/>
        <color rgb="FFE67C73"/>
      </colorScale>
    </cfRule>
  </conditionalFormatting>
  <dataValidations>
    <dataValidation type="list" allowBlank="1" sqref="B9:B2880">
      <formula1>"ОПЛАЧЕНО,ПЛАН ОПЛАТ,ПЛАН ПОСТУПЛЕНИЙ"</formula1>
    </dataValidation>
    <dataValidation type="list" allowBlank="1" sqref="E9:E2880">
      <formula1>"АльфаБанк,ОПТ Банк,Наличные,Совкомбанк"</formula1>
    </dataValidation>
    <dataValidation type="custom" allowBlank="1" showDropDown="1" sqref="A9:A2880">
      <formula1>OR(NOT(ISERROR(DATEVALUE(A9))), AND(ISNUMBER(A9), LEFT(CELL("format", A9))="D"))</formula1>
    </dataValidation>
    <dataValidation type="list" allowBlank="1" sqref="I9:I2880">
      <formula1>"РЕАЛИЗАЦИЯ,СК АГЕНТСКАЯ,СК ПАРТНЕРСКАЯ,АПТЕКА,ПАБЛИШЕР,БАННЕРЫ,ОРД,ПОДРЯДЧИКИ,АВАНС,ФОТ,ПРЕМИЯ,БОНУСЫ,НАЛОГИ,ДИВИДЕНТЫ,НАЛОГИ | Прибыль,НАЛОГИ | НДФЛ,НАЛОГИ | Пени,НАЛОГИ | Страх.Взносы,НАЛОГИ | НДС,НАЛОГИ | ПРОЧИЕ,НАЛОГИ | Реклама,ТРАНЗИТ,БАНК,КРЕДИТЫ,РА"&amp;"ЗРАБОТКА,IT,ОФИС,ПРЕДСТАВИТЕЛЬСКИЕ,МЕРОПРИЯТИЯ,ГОЛЬФ,PR,ДОЛГ,ПОДПИСКИ,ПРОЧЕЕ"</formula1>
    </dataValidation>
    <dataValidation allowBlank="1" showDropDown="1" sqref="F9:F2880 J9:J2880"/>
  </dataValidations>
  <hyperlinks>
    <hyperlink r:id="rId2" ref="J394"/>
    <hyperlink r:id="rId3" ref="O683"/>
    <hyperlink r:id="rId4" ref="O815"/>
    <hyperlink r:id="rId5" ref="O873"/>
    <hyperlink r:id="rId6" ref="O874"/>
    <hyperlink r:id="rId7" ref="O875"/>
    <hyperlink r:id="rId8" ref="O876"/>
    <hyperlink r:id="rId9" ref="O877"/>
    <hyperlink r:id="rId10" ref="O878"/>
    <hyperlink r:id="rId11" ref="O879"/>
    <hyperlink r:id="rId12" ref="J898"/>
    <hyperlink r:id="rId13" ref="O917"/>
    <hyperlink r:id="rId14" ref="O933"/>
    <hyperlink r:id="rId15" ref="O951"/>
    <hyperlink r:id="rId16" ref="O953"/>
    <hyperlink r:id="rId17" ref="O954"/>
    <hyperlink r:id="rId18" ref="O1019"/>
    <hyperlink r:id="rId19" ref="O1020"/>
    <hyperlink r:id="rId20" ref="O1021"/>
    <hyperlink r:id="rId21" ref="O1022"/>
    <hyperlink r:id="rId22" ref="O1023"/>
    <hyperlink r:id="rId23" ref="O1024"/>
    <hyperlink r:id="rId24" ref="O1025"/>
    <hyperlink r:id="rId25" ref="O1026"/>
    <hyperlink r:id="rId26" ref="O1047"/>
    <hyperlink r:id="rId27" ref="O1053"/>
    <hyperlink r:id="rId28" ref="O1061"/>
    <hyperlink r:id="rId29" ref="O1087"/>
    <hyperlink r:id="rId30" ref="O1088"/>
    <hyperlink r:id="rId31" ref="O1089"/>
    <hyperlink r:id="rId32" ref="O1090"/>
    <hyperlink r:id="rId33" ref="O1091"/>
    <hyperlink r:id="rId34" ref="O1092"/>
    <hyperlink r:id="rId35" ref="O1093"/>
    <hyperlink r:id="rId36" ref="O1110"/>
    <hyperlink r:id="rId37" ref="O1130"/>
    <hyperlink r:id="rId38" ref="O1131"/>
    <hyperlink r:id="rId39" ref="O1132"/>
    <hyperlink r:id="rId40" ref="O1134"/>
    <hyperlink r:id="rId41" ref="O1135"/>
    <hyperlink r:id="rId42" ref="O1136"/>
    <hyperlink r:id="rId43" ref="O1137"/>
    <hyperlink r:id="rId44" ref="O1138"/>
    <hyperlink r:id="rId45" ref="J1139"/>
    <hyperlink r:id="rId46" ref="O1140"/>
    <hyperlink r:id="rId47" ref="O1142"/>
    <hyperlink r:id="rId48" ref="O1153"/>
    <hyperlink r:id="rId49" ref="O1154"/>
    <hyperlink r:id="rId50" ref="O1161"/>
    <hyperlink r:id="rId51" ref="O1186"/>
    <hyperlink r:id="rId52" ref="O1187"/>
    <hyperlink r:id="rId53" ref="O1188"/>
    <hyperlink r:id="rId54" ref="O1189"/>
    <hyperlink r:id="rId55" ref="O1190"/>
    <hyperlink r:id="rId56" ref="O1191"/>
    <hyperlink r:id="rId57" ref="O1192"/>
    <hyperlink r:id="rId58" ref="O1201"/>
    <hyperlink r:id="rId59" ref="O1202"/>
    <hyperlink r:id="rId60" ref="O1203"/>
    <hyperlink r:id="rId61" ref="O1222"/>
    <hyperlink r:id="rId62" ref="O1223"/>
    <hyperlink r:id="rId63" ref="O1230"/>
    <hyperlink r:id="rId64" ref="O1233"/>
    <hyperlink r:id="rId65" ref="O1234"/>
    <hyperlink r:id="rId66" ref="O1235"/>
    <hyperlink r:id="rId67" ref="O1236"/>
    <hyperlink r:id="rId68" ref="O1237"/>
    <hyperlink r:id="rId69" ref="O1238"/>
    <hyperlink r:id="rId70" ref="O1239"/>
    <hyperlink r:id="rId71" ref="O1240"/>
    <hyperlink r:id="rId72" ref="O1241"/>
    <hyperlink r:id="rId73" ref="O1242"/>
    <hyperlink r:id="rId74" ref="O1243"/>
    <hyperlink r:id="rId75" ref="O1244"/>
    <hyperlink r:id="rId76" ref="O1250"/>
    <hyperlink r:id="rId77" ref="O1251"/>
    <hyperlink r:id="rId78" ref="O1255"/>
    <hyperlink r:id="rId79" ref="O1295"/>
    <hyperlink r:id="rId80" ref="O1296"/>
    <hyperlink r:id="rId81" ref="O1302"/>
    <hyperlink r:id="rId82" ref="O1303"/>
    <hyperlink r:id="rId83" ref="O1304"/>
    <hyperlink r:id="rId84" ref="O1305"/>
    <hyperlink r:id="rId85" ref="O1306"/>
    <hyperlink r:id="rId86" ref="O1307"/>
    <hyperlink r:id="rId87" ref="O1308"/>
    <hyperlink r:id="rId88" ref="O1309"/>
    <hyperlink r:id="rId89" ref="O1310"/>
    <hyperlink r:id="rId90" ref="O1311"/>
    <hyperlink r:id="rId91" ref="O1312"/>
    <hyperlink r:id="rId92" ref="O1313"/>
    <hyperlink r:id="rId93" ref="O1314"/>
    <hyperlink r:id="rId94" ref="O1315"/>
    <hyperlink r:id="rId95" ref="O1319"/>
    <hyperlink r:id="rId96" ref="O1322"/>
    <hyperlink r:id="rId97" ref="O1323"/>
    <hyperlink r:id="rId98" ref="O1327"/>
    <hyperlink r:id="rId99" ref="O1328"/>
    <hyperlink r:id="rId100" ref="O1329"/>
    <hyperlink r:id="rId101" ref="O1330"/>
    <hyperlink r:id="rId102" ref="O1331"/>
    <hyperlink r:id="rId103" ref="O1332"/>
    <hyperlink r:id="rId104" ref="O1333"/>
    <hyperlink r:id="rId105" ref="O1334"/>
    <hyperlink r:id="rId106" ref="O1335"/>
    <hyperlink r:id="rId107" ref="O1336"/>
    <hyperlink r:id="rId108" ref="O1350"/>
    <hyperlink r:id="rId109" ref="O1371"/>
    <hyperlink r:id="rId110" ref="O1383"/>
    <hyperlink r:id="rId111" ref="O1384"/>
    <hyperlink r:id="rId112" ref="O1385"/>
    <hyperlink r:id="rId113" ref="O1386"/>
    <hyperlink r:id="rId114" ref="O1387"/>
    <hyperlink r:id="rId115" ref="O1422"/>
    <hyperlink r:id="rId116" ref="O1423"/>
    <hyperlink r:id="rId117" ref="O1424"/>
    <hyperlink r:id="rId118" ref="O1425"/>
    <hyperlink r:id="rId119" ref="O1426"/>
    <hyperlink r:id="rId120" ref="O1427"/>
    <hyperlink r:id="rId121" ref="O1428"/>
    <hyperlink r:id="rId122" ref="O1429"/>
    <hyperlink r:id="rId123" ref="O1430"/>
    <hyperlink r:id="rId124" ref="O1431"/>
    <hyperlink r:id="rId125" ref="O1432"/>
    <hyperlink r:id="rId126" ref="O1433"/>
    <hyperlink r:id="rId127" ref="O1434"/>
    <hyperlink r:id="rId128" ref="O1435"/>
    <hyperlink r:id="rId129" ref="O1436"/>
    <hyperlink r:id="rId130" ref="O1437"/>
    <hyperlink r:id="rId131" ref="O1442"/>
    <hyperlink r:id="rId132" ref="O1443"/>
    <hyperlink r:id="rId133" ref="O1444"/>
    <hyperlink r:id="rId134" ref="O1445"/>
    <hyperlink r:id="rId135" ref="O1446"/>
    <hyperlink r:id="rId136" ref="O1447"/>
    <hyperlink r:id="rId137" ref="O1448"/>
    <hyperlink r:id="rId138" ref="O1455"/>
    <hyperlink r:id="rId139" ref="O1456"/>
    <hyperlink r:id="rId140" ref="O1472"/>
    <hyperlink r:id="rId141" ref="O1473"/>
    <hyperlink r:id="rId142" ref="O1474"/>
    <hyperlink r:id="rId143" ref="O1475"/>
    <hyperlink r:id="rId144" ref="O1483"/>
    <hyperlink r:id="rId145" ref="O1484"/>
    <hyperlink r:id="rId146" ref="O1495"/>
    <hyperlink r:id="rId147" ref="O1509"/>
    <hyperlink r:id="rId148" ref="O1551"/>
    <hyperlink r:id="rId149" ref="O1552"/>
    <hyperlink r:id="rId150" ref="O1553"/>
    <hyperlink r:id="rId151" ref="O1554"/>
    <hyperlink r:id="rId152" ref="O1555"/>
    <hyperlink r:id="rId153" ref="O1556"/>
    <hyperlink r:id="rId154" ref="O1557"/>
    <hyperlink r:id="rId155" ref="O1558"/>
    <hyperlink r:id="rId156" ref="O1559"/>
    <hyperlink r:id="rId157" ref="O1560"/>
    <hyperlink r:id="rId158" ref="O1561"/>
    <hyperlink r:id="rId159" ref="O1562"/>
    <hyperlink r:id="rId160" ref="O1563"/>
    <hyperlink r:id="rId161" ref="O1564"/>
    <hyperlink r:id="rId162" ref="O1565"/>
    <hyperlink r:id="rId163" ref="O1566"/>
    <hyperlink r:id="rId164" ref="O1567"/>
    <hyperlink r:id="rId165" ref="O1568"/>
    <hyperlink r:id="rId166" ref="O1569"/>
    <hyperlink r:id="rId167" ref="O1570"/>
    <hyperlink r:id="rId168" ref="O1571"/>
    <hyperlink r:id="rId169" ref="O1572"/>
    <hyperlink r:id="rId170" ref="O1573"/>
    <hyperlink r:id="rId171" ref="O1574"/>
    <hyperlink r:id="rId172" ref="O1575"/>
    <hyperlink r:id="rId173" ref="O1579"/>
    <hyperlink r:id="rId174" ref="O1580"/>
    <hyperlink r:id="rId175" ref="O1581"/>
    <hyperlink r:id="rId176" ref="O1582"/>
    <hyperlink r:id="rId177" ref="O1583"/>
    <hyperlink r:id="rId178" ref="O1584"/>
    <hyperlink r:id="rId179" ref="O1621"/>
    <hyperlink r:id="rId180" ref="O1622"/>
    <hyperlink r:id="rId181" ref="O1624"/>
    <hyperlink r:id="rId182" ref="O1639"/>
    <hyperlink r:id="rId183" ref="O1668"/>
    <hyperlink r:id="rId184" ref="O1669"/>
    <hyperlink r:id="rId185" ref="O1671"/>
    <hyperlink r:id="rId186" ref="O1672"/>
    <hyperlink r:id="rId187" ref="O1673"/>
    <hyperlink r:id="rId188" ref="O1674"/>
    <hyperlink r:id="rId189" ref="O1675"/>
    <hyperlink r:id="rId190" ref="O1676"/>
    <hyperlink r:id="rId191" ref="O1677"/>
    <hyperlink r:id="rId192" ref="O1678"/>
    <hyperlink r:id="rId193" ref="O1679"/>
    <hyperlink r:id="rId194" ref="O1680"/>
    <hyperlink r:id="rId195" ref="O1681"/>
    <hyperlink r:id="rId196" ref="O1682"/>
    <hyperlink r:id="rId197" ref="O1683"/>
    <hyperlink r:id="rId198" ref="O1684"/>
    <hyperlink r:id="rId199" ref="O1685"/>
    <hyperlink r:id="rId200" ref="O1686"/>
    <hyperlink r:id="rId201" ref="O1687"/>
    <hyperlink r:id="rId202" ref="O1688"/>
    <hyperlink r:id="rId203" ref="O1689"/>
    <hyperlink r:id="rId204" ref="O1691"/>
    <hyperlink r:id="rId205" ref="O1699"/>
    <hyperlink r:id="rId206" ref="O1700"/>
    <hyperlink r:id="rId207" ref="O1701"/>
    <hyperlink r:id="rId208" ref="O1702"/>
    <hyperlink r:id="rId209" ref="O1703"/>
    <hyperlink r:id="rId210" ref="O1704"/>
    <hyperlink r:id="rId211" ref="O1705"/>
    <hyperlink r:id="rId212" ref="O1706"/>
    <hyperlink r:id="rId213" ref="O1707"/>
    <hyperlink r:id="rId214" ref="O1708"/>
    <hyperlink r:id="rId215" ref="O1709"/>
    <hyperlink r:id="rId216" ref="O1710"/>
    <hyperlink r:id="rId217" ref="O1711"/>
    <hyperlink r:id="rId218" ref="O1719"/>
    <hyperlink r:id="rId219" ref="O1739"/>
    <hyperlink r:id="rId220" ref="O1748"/>
    <hyperlink r:id="rId221" ref="O1769"/>
    <hyperlink r:id="rId222" ref="O1771"/>
    <hyperlink r:id="rId223" ref="O1798"/>
    <hyperlink r:id="rId224" ref="O1807"/>
    <hyperlink r:id="rId225" ref="O1808"/>
    <hyperlink r:id="rId226" ref="O1809"/>
    <hyperlink r:id="rId227" ref="O1810"/>
    <hyperlink r:id="rId228" ref="O1811"/>
    <hyperlink r:id="rId229" ref="O1812"/>
    <hyperlink r:id="rId230" ref="O1813"/>
    <hyperlink r:id="rId231" ref="O1814"/>
    <hyperlink r:id="rId232" ref="O1815"/>
    <hyperlink r:id="rId233" ref="O1816"/>
    <hyperlink r:id="rId234" ref="O1817"/>
    <hyperlink r:id="rId235" ref="O1818"/>
    <hyperlink r:id="rId236" ref="O1819"/>
    <hyperlink r:id="rId237" ref="O1820"/>
    <hyperlink r:id="rId238" ref="O1821"/>
    <hyperlink r:id="rId239" ref="O1822"/>
    <hyperlink r:id="rId240" ref="O1823"/>
    <hyperlink r:id="rId241" ref="O1838"/>
    <hyperlink r:id="rId242" ref="O1843"/>
    <hyperlink r:id="rId243" ref="O1844"/>
    <hyperlink r:id="rId244" ref="O1845"/>
    <hyperlink r:id="rId245" ref="O1846"/>
    <hyperlink r:id="rId246" ref="O1847"/>
    <hyperlink r:id="rId247" ref="O1848"/>
    <hyperlink r:id="rId248" ref="O1849"/>
    <hyperlink r:id="rId249" ref="O1850"/>
    <hyperlink r:id="rId250" ref="O1854"/>
    <hyperlink r:id="rId251" ref="O1863"/>
    <hyperlink r:id="rId252" ref="O1864"/>
    <hyperlink r:id="rId253" ref="O1865"/>
    <hyperlink r:id="rId254" ref="O1866"/>
    <hyperlink r:id="rId255" ref="O1867"/>
    <hyperlink r:id="rId256" ref="O1868"/>
    <hyperlink r:id="rId257" ref="O1869"/>
    <hyperlink r:id="rId258" ref="O1870"/>
    <hyperlink r:id="rId259" ref="O1872"/>
    <hyperlink r:id="rId260" ref="O1873"/>
    <hyperlink r:id="rId261" ref="O1886"/>
    <hyperlink r:id="rId262" ref="O1887"/>
    <hyperlink r:id="rId263" ref="O1888"/>
    <hyperlink r:id="rId264" ref="O1889"/>
    <hyperlink r:id="rId265" ref="O1890"/>
    <hyperlink r:id="rId266" ref="O1891"/>
    <hyperlink r:id="rId267" ref="O1892"/>
    <hyperlink r:id="rId268" ref="O1903"/>
    <hyperlink r:id="rId269" ref="O1941"/>
    <hyperlink r:id="rId270" ref="O1942"/>
    <hyperlink r:id="rId271" ref="O1943"/>
    <hyperlink r:id="rId272" ref="O1944"/>
    <hyperlink r:id="rId273" ref="O1945"/>
    <hyperlink r:id="rId274" ref="O1946"/>
    <hyperlink r:id="rId275" ref="O1947"/>
    <hyperlink r:id="rId276" ref="O1948"/>
    <hyperlink r:id="rId277" ref="O1949"/>
    <hyperlink r:id="rId278" ref="O1950"/>
    <hyperlink r:id="rId279" ref="O1951"/>
    <hyperlink r:id="rId280" ref="O1952"/>
    <hyperlink r:id="rId281" ref="O1953"/>
    <hyperlink r:id="rId282" ref="O1954"/>
    <hyperlink r:id="rId283" ref="O1955"/>
    <hyperlink r:id="rId284" ref="O1956"/>
    <hyperlink r:id="rId285" ref="O1957"/>
    <hyperlink r:id="rId286" ref="O1958"/>
    <hyperlink r:id="rId287" ref="O1959"/>
    <hyperlink r:id="rId288" ref="O1960"/>
    <hyperlink r:id="rId289" ref="O1961"/>
    <hyperlink r:id="rId290" ref="O1962"/>
    <hyperlink r:id="rId291" ref="O1963"/>
    <hyperlink r:id="rId292" ref="O1964"/>
    <hyperlink r:id="rId293" ref="O1965"/>
    <hyperlink r:id="rId294" ref="O1966"/>
    <hyperlink r:id="rId295" ref="O1967"/>
    <hyperlink r:id="rId296" ref="O1968"/>
    <hyperlink r:id="rId297" ref="O1969"/>
    <hyperlink r:id="rId298" ref="O1970"/>
    <hyperlink r:id="rId299" ref="O1971"/>
    <hyperlink r:id="rId300" ref="O1975"/>
    <hyperlink r:id="rId301" ref="O1976"/>
    <hyperlink r:id="rId302" ref="O1977"/>
    <hyperlink r:id="rId303" ref="O1984"/>
    <hyperlink r:id="rId304" ref="O1985"/>
    <hyperlink r:id="rId305" ref="O2019"/>
    <hyperlink r:id="rId306" ref="O2025"/>
    <hyperlink r:id="rId307" ref="O2047"/>
    <hyperlink r:id="rId308" ref="O2048"/>
    <hyperlink r:id="rId309" ref="O2049"/>
    <hyperlink r:id="rId310" ref="O2050"/>
    <hyperlink r:id="rId311" ref="O2051"/>
    <hyperlink r:id="rId312" ref="O2052"/>
    <hyperlink r:id="rId313" ref="O2053"/>
    <hyperlink r:id="rId314" ref="O2054"/>
    <hyperlink r:id="rId315" ref="O2055"/>
    <hyperlink r:id="rId316" ref="O2056"/>
    <hyperlink r:id="rId317" ref="O2057"/>
    <hyperlink r:id="rId318" ref="O2058"/>
    <hyperlink r:id="rId319" ref="O2059"/>
    <hyperlink r:id="rId320" ref="O2060"/>
    <hyperlink r:id="rId321" ref="O2086"/>
    <hyperlink r:id="rId322" ref="O2087"/>
    <hyperlink r:id="rId323" ref="O2088"/>
    <hyperlink r:id="rId324" ref="O2089"/>
    <hyperlink r:id="rId325" ref="O2090"/>
    <hyperlink r:id="rId326" ref="O2091"/>
    <hyperlink r:id="rId327" ref="O2093"/>
    <hyperlink r:id="rId328" ref="O2095"/>
    <hyperlink r:id="rId329" ref="O2096"/>
    <hyperlink r:id="rId330" ref="O2097"/>
    <hyperlink r:id="rId331" ref="O2098"/>
    <hyperlink r:id="rId332" ref="O2099"/>
    <hyperlink r:id="rId333" ref="O2100"/>
    <hyperlink r:id="rId334" ref="O2101"/>
    <hyperlink r:id="rId335" ref="O2102"/>
    <hyperlink r:id="rId336" ref="O2103"/>
    <hyperlink r:id="rId337" ref="O2104"/>
    <hyperlink r:id="rId338" ref="O2105"/>
    <hyperlink r:id="rId339" ref="O2106"/>
    <hyperlink r:id="rId340" ref="O2107"/>
    <hyperlink r:id="rId341" ref="O2108"/>
    <hyperlink r:id="rId342" ref="O2112"/>
    <hyperlink r:id="rId343" ref="O2134"/>
    <hyperlink r:id="rId344" ref="O2135"/>
    <hyperlink r:id="rId345" ref="O2136"/>
    <hyperlink r:id="rId346" ref="O2137"/>
    <hyperlink r:id="rId347" ref="O2152"/>
    <hyperlink r:id="rId348" ref="O2188"/>
    <hyperlink r:id="rId349" ref="O2189"/>
    <hyperlink r:id="rId350" ref="O2190"/>
    <hyperlink r:id="rId351" ref="O2191"/>
    <hyperlink r:id="rId352" ref="O2192"/>
    <hyperlink r:id="rId353" ref="O2193"/>
    <hyperlink r:id="rId354" ref="O2194"/>
    <hyperlink r:id="rId355" ref="O2195"/>
    <hyperlink r:id="rId356" ref="O2196"/>
    <hyperlink r:id="rId357" ref="O2197"/>
    <hyperlink r:id="rId358" ref="O2198"/>
    <hyperlink r:id="rId359" ref="O2199"/>
    <hyperlink r:id="rId360" ref="O2200"/>
    <hyperlink r:id="rId361" ref="O2201"/>
    <hyperlink r:id="rId362" ref="O2202"/>
    <hyperlink r:id="rId363" ref="O2203"/>
    <hyperlink r:id="rId364" ref="O2204"/>
    <hyperlink r:id="rId365" ref="O2205"/>
    <hyperlink r:id="rId366" ref="O2206"/>
    <hyperlink r:id="rId367" ref="O2207"/>
    <hyperlink r:id="rId368" ref="O2208"/>
    <hyperlink r:id="rId369" ref="O2209"/>
    <hyperlink r:id="rId370" ref="O2210"/>
    <hyperlink r:id="rId371" ref="O2211"/>
    <hyperlink r:id="rId372" ref="O2212"/>
    <hyperlink r:id="rId373" ref="O2213"/>
    <hyperlink r:id="rId374" ref="O2214"/>
    <hyperlink r:id="rId375" ref="O2215"/>
    <hyperlink r:id="rId376" ref="O2216"/>
    <hyperlink r:id="rId377" ref="O2219"/>
    <hyperlink r:id="rId378" ref="O2220"/>
    <hyperlink r:id="rId379" ref="O2221"/>
    <hyperlink r:id="rId380" ref="O2222"/>
    <hyperlink r:id="rId381" ref="O2223"/>
    <hyperlink r:id="rId382" ref="O2224"/>
    <hyperlink r:id="rId383" ref="O2225"/>
    <hyperlink r:id="rId384" ref="O2232"/>
    <hyperlink r:id="rId385" ref="O2234"/>
    <hyperlink r:id="rId386" ref="O2243"/>
    <hyperlink r:id="rId387" ref="O2262"/>
    <hyperlink r:id="rId388" ref="O2289"/>
    <hyperlink r:id="rId389" ref="O2314"/>
    <hyperlink r:id="rId390" ref="O2315"/>
    <hyperlink r:id="rId391" ref="O2316"/>
    <hyperlink r:id="rId392" ref="O2317"/>
    <hyperlink r:id="rId393" ref="O2318"/>
    <hyperlink r:id="rId394" ref="O2319"/>
    <hyperlink r:id="rId395" ref="O2320"/>
    <hyperlink r:id="rId396" ref="O2321"/>
    <hyperlink r:id="rId397" ref="O2322"/>
    <hyperlink r:id="rId398" ref="O2323"/>
    <hyperlink r:id="rId399" ref="O2324"/>
    <hyperlink r:id="rId400" ref="O2325"/>
    <hyperlink r:id="rId401" ref="O2326"/>
    <hyperlink r:id="rId402" ref="O2327"/>
    <hyperlink r:id="rId403" ref="O2328"/>
    <hyperlink r:id="rId404" ref="O2329"/>
    <hyperlink r:id="rId405" ref="O2330"/>
    <hyperlink r:id="rId406" ref="O2331"/>
    <hyperlink r:id="rId407" ref="O2332"/>
    <hyperlink r:id="rId408" ref="O2333"/>
    <hyperlink r:id="rId409" ref="O2334"/>
    <hyperlink r:id="rId410" ref="O2335"/>
    <hyperlink r:id="rId411" ref="O2336"/>
    <hyperlink r:id="rId412" ref="O2340"/>
    <hyperlink r:id="rId413" ref="O2341"/>
    <hyperlink r:id="rId414" ref="O2342"/>
    <hyperlink r:id="rId415" ref="O2343"/>
    <hyperlink r:id="rId416" ref="O2344"/>
    <hyperlink r:id="rId417" ref="O2345"/>
    <hyperlink r:id="rId418" ref="O2346"/>
    <hyperlink r:id="rId419" ref="O2347"/>
    <hyperlink r:id="rId420" ref="O2348"/>
    <hyperlink r:id="rId421" ref="O2349"/>
    <hyperlink r:id="rId422" ref="O2417"/>
    <hyperlink r:id="rId423" ref="O2418"/>
    <hyperlink r:id="rId424" ref="O2419"/>
    <hyperlink r:id="rId425" ref="O2420"/>
    <hyperlink r:id="rId426" ref="O2421"/>
    <hyperlink r:id="rId427" ref="O2422"/>
    <hyperlink r:id="rId428" ref="O2423"/>
    <hyperlink r:id="rId429" ref="O2424"/>
    <hyperlink r:id="rId430" ref="O2425"/>
    <hyperlink r:id="rId431" ref="O2426"/>
    <hyperlink r:id="rId432" ref="O2427"/>
    <hyperlink r:id="rId433" ref="O2428"/>
    <hyperlink r:id="rId434" ref="O2429"/>
    <hyperlink r:id="rId435" ref="O2430"/>
    <hyperlink r:id="rId436" ref="O2431"/>
    <hyperlink r:id="rId437" ref="O2432"/>
    <hyperlink r:id="rId438" ref="O2433"/>
    <hyperlink r:id="rId439" ref="O2434"/>
    <hyperlink r:id="rId440" ref="O2435"/>
    <hyperlink r:id="rId441" ref="O2436"/>
    <hyperlink r:id="rId442" ref="O2437"/>
    <hyperlink r:id="rId443" ref="O2438"/>
    <hyperlink r:id="rId444" ref="O2439"/>
    <hyperlink r:id="rId445" ref="O2440"/>
    <hyperlink r:id="rId446" ref="O2441"/>
    <hyperlink r:id="rId447" ref="O2442"/>
    <hyperlink r:id="rId448" ref="O2443"/>
    <hyperlink r:id="rId449" ref="O2444"/>
    <hyperlink r:id="rId450" ref="O2447"/>
    <hyperlink r:id="rId451" ref="O2448"/>
    <hyperlink r:id="rId452" ref="O2449"/>
    <hyperlink r:id="rId453" ref="O2450"/>
    <hyperlink r:id="rId454" ref="O2451"/>
    <hyperlink r:id="rId455" ref="O2452"/>
    <hyperlink r:id="rId456" ref="O2453"/>
    <hyperlink r:id="rId457" ref="O2454"/>
    <hyperlink r:id="rId458" ref="O2456"/>
    <hyperlink r:id="rId459" ref="O2493"/>
    <hyperlink r:id="rId460" ref="O2494"/>
    <hyperlink r:id="rId461" ref="O2495"/>
    <hyperlink r:id="rId462" ref="O2527"/>
    <hyperlink r:id="rId463" ref="O2528"/>
    <hyperlink r:id="rId464" ref="O2529"/>
    <hyperlink r:id="rId465" ref="O2530"/>
    <hyperlink r:id="rId466" ref="O2531"/>
    <hyperlink r:id="rId467" ref="O2532"/>
    <hyperlink r:id="rId468" ref="O2533"/>
    <hyperlink r:id="rId469" ref="O2534"/>
    <hyperlink r:id="rId470" ref="O2535"/>
    <hyperlink r:id="rId471" ref="O2536"/>
    <hyperlink r:id="rId472" ref="O2537"/>
    <hyperlink r:id="rId473" ref="O2538"/>
    <hyperlink r:id="rId474" ref="O2539"/>
    <hyperlink r:id="rId475" ref="O2540"/>
    <hyperlink r:id="rId476" ref="O2541"/>
    <hyperlink r:id="rId477" ref="O2542"/>
    <hyperlink r:id="rId478" ref="O2543"/>
    <hyperlink r:id="rId479" ref="O2544"/>
    <hyperlink r:id="rId480" ref="O2545"/>
    <hyperlink r:id="rId481" ref="O2546"/>
    <hyperlink r:id="rId482" ref="O2547"/>
    <hyperlink r:id="rId483" ref="O2548"/>
    <hyperlink r:id="rId484" ref="O2549"/>
    <hyperlink r:id="rId485" ref="O2550"/>
    <hyperlink r:id="rId486" ref="O2551"/>
    <hyperlink r:id="rId487" ref="O2552"/>
    <hyperlink r:id="rId488" ref="O2555"/>
    <hyperlink r:id="rId489" ref="O2556"/>
    <hyperlink r:id="rId490" ref="O2557"/>
    <hyperlink r:id="rId491" ref="O2558"/>
    <hyperlink r:id="rId492" ref="O2560"/>
    <hyperlink r:id="rId493" ref="O2561"/>
    <hyperlink r:id="rId494" ref="O2563"/>
    <hyperlink r:id="rId495" ref="O2564"/>
    <hyperlink r:id="rId496" ref="O2565"/>
    <hyperlink r:id="rId497" ref="O2566"/>
    <hyperlink r:id="rId498" ref="O2567"/>
    <hyperlink r:id="rId499" ref="O2568"/>
    <hyperlink r:id="rId500" ref="O2569"/>
    <hyperlink r:id="rId501" ref="O2570"/>
    <hyperlink r:id="rId502" ref="O2571"/>
    <hyperlink r:id="rId503" ref="O2572"/>
    <hyperlink r:id="rId504" ref="O2573"/>
    <hyperlink r:id="rId505" ref="O2574"/>
    <hyperlink r:id="rId506" ref="O2575"/>
    <hyperlink r:id="rId507" ref="O2576"/>
    <hyperlink r:id="rId508" ref="O2577"/>
    <hyperlink r:id="rId509" ref="O2579"/>
    <hyperlink r:id="rId510" ref="O2580"/>
    <hyperlink r:id="rId511" ref="O2582"/>
    <hyperlink r:id="rId512" ref="O2587"/>
    <hyperlink r:id="rId513" ref="O2588"/>
    <hyperlink r:id="rId514" ref="O2589"/>
    <hyperlink r:id="rId515" ref="O2590"/>
    <hyperlink r:id="rId516" ref="O2591"/>
    <hyperlink r:id="rId517" ref="O2592"/>
    <hyperlink r:id="rId518" ref="O2608"/>
    <hyperlink r:id="rId519" ref="O2609"/>
    <hyperlink r:id="rId520" ref="O2639"/>
    <hyperlink r:id="rId521" ref="O2678"/>
    <hyperlink r:id="rId522" ref="O2679"/>
    <hyperlink r:id="rId523" ref="O2680"/>
    <hyperlink r:id="rId524" ref="O2681"/>
    <hyperlink r:id="rId525" ref="O2682"/>
    <hyperlink r:id="rId526" ref="O2683"/>
    <hyperlink r:id="rId527" ref="O2684"/>
    <hyperlink r:id="rId528" ref="O2687"/>
    <hyperlink r:id="rId529" ref="O2688"/>
    <hyperlink r:id="rId530" ref="O2689"/>
    <hyperlink r:id="rId531" ref="O2690"/>
    <hyperlink r:id="rId532" ref="O2696"/>
    <hyperlink r:id="rId533" ref="O2697"/>
    <hyperlink r:id="rId534" ref="O2700"/>
    <hyperlink r:id="rId535" ref="O2701"/>
    <hyperlink r:id="rId536" ref="O2702"/>
    <hyperlink r:id="rId537" ref="O2703"/>
    <hyperlink r:id="rId538" ref="O2704"/>
    <hyperlink r:id="rId539" ref="O2705"/>
    <hyperlink r:id="rId540" ref="O2706"/>
    <hyperlink r:id="rId541" ref="O2707"/>
    <hyperlink r:id="rId542" ref="O2708"/>
    <hyperlink r:id="rId543" ref="O2709"/>
    <hyperlink r:id="rId544" ref="O2710"/>
    <hyperlink r:id="rId545" ref="O2711"/>
    <hyperlink r:id="rId546" ref="O2712"/>
    <hyperlink r:id="rId547" ref="O2713"/>
    <hyperlink r:id="rId548" ref="O2714"/>
    <hyperlink r:id="rId549" ref="O2715"/>
    <hyperlink r:id="rId550" ref="O2716"/>
    <hyperlink r:id="rId551" ref="O2717"/>
    <hyperlink r:id="rId552" ref="O2718"/>
    <hyperlink r:id="rId553" ref="O2719"/>
    <hyperlink r:id="rId554" ref="O2720"/>
    <hyperlink r:id="rId555" ref="O2722"/>
    <hyperlink r:id="rId556" ref="O2723"/>
    <hyperlink r:id="rId557" ref="O2724"/>
    <hyperlink r:id="rId558" ref="O2725"/>
    <hyperlink r:id="rId559" ref="O2726"/>
    <hyperlink r:id="rId560" ref="O2727"/>
    <hyperlink r:id="rId561" ref="O2730"/>
    <hyperlink r:id="rId562" ref="O2731"/>
    <hyperlink r:id="rId563" ref="O2732"/>
    <hyperlink r:id="rId564" ref="O2733"/>
    <hyperlink r:id="rId565" ref="O2734"/>
    <hyperlink r:id="rId566" ref="O2766"/>
    <hyperlink r:id="rId567" ref="O2767"/>
    <hyperlink r:id="rId568" ref="O2768"/>
    <hyperlink r:id="rId569" ref="O2769"/>
    <hyperlink r:id="rId570" ref="O2770"/>
    <hyperlink r:id="rId571" ref="O2771"/>
    <hyperlink r:id="rId572" ref="O2772"/>
    <hyperlink r:id="rId573" ref="O2773"/>
    <hyperlink r:id="rId574" ref="O2774"/>
    <hyperlink r:id="rId575" ref="O2775"/>
    <hyperlink r:id="rId576" ref="O2776"/>
    <hyperlink r:id="rId577" ref="O2777"/>
    <hyperlink r:id="rId578" ref="O2778"/>
    <hyperlink r:id="rId579" ref="O2779"/>
    <hyperlink r:id="rId580" ref="O2780"/>
    <hyperlink r:id="rId581" ref="O2781"/>
    <hyperlink r:id="rId582" ref="O2782"/>
    <hyperlink r:id="rId583" ref="O2783"/>
    <hyperlink r:id="rId584" ref="O2784"/>
  </hyperlinks>
  <drawing r:id="rId585"/>
  <legacyDrawing r:id="rId586"/>
  <tableParts count="1">
    <tablePart r:id="rId58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7.57"/>
    <col customWidth="1" min="2" max="2" width="24.43"/>
    <col customWidth="1" min="3" max="3" width="27.57"/>
    <col customWidth="1" min="4" max="35" width="14.71"/>
  </cols>
  <sheetData>
    <row r="1">
      <c r="A1" s="192"/>
      <c r="B1" s="192" t="s">
        <v>37</v>
      </c>
      <c r="C1" s="193">
        <f t="shared" ref="C1:C3" si="1">SUM(J1+R1+Z1+AH1)</f>
        <v>76426215.99</v>
      </c>
      <c r="D1" s="194">
        <f>SUM(D7:D41)</f>
        <v>4788498.16</v>
      </c>
      <c r="E1" s="195"/>
      <c r="F1" s="194">
        <f>SUM(F7:F41)</f>
        <v>21363944.7</v>
      </c>
      <c r="G1" s="195"/>
      <c r="H1" s="194">
        <f>SUM(H7:H41)</f>
        <v>29861475.78</v>
      </c>
      <c r="I1" s="195"/>
      <c r="J1" s="194">
        <f>SUM(J7:J41)</f>
        <v>56013918.64</v>
      </c>
      <c r="K1" s="195"/>
      <c r="L1" s="194">
        <f>SUM(L7:L41)</f>
        <v>17354785.35</v>
      </c>
      <c r="M1" s="195"/>
      <c r="N1" s="194">
        <f>SUM(N7:N41)</f>
        <v>57500</v>
      </c>
      <c r="O1" s="195"/>
      <c r="P1" s="194">
        <f>SUM(P7:P41)</f>
        <v>3000000</v>
      </c>
      <c r="Q1" s="195"/>
      <c r="R1" s="194">
        <f>SUM(R7:R41)</f>
        <v>20412285.35</v>
      </c>
      <c r="S1" s="195"/>
      <c r="T1" s="194">
        <f>SUM(T7:T41)</f>
        <v>0</v>
      </c>
      <c r="U1" s="195"/>
      <c r="V1" s="194">
        <f>SUM(V7:V41)</f>
        <v>0</v>
      </c>
      <c r="W1" s="195"/>
      <c r="X1" s="194">
        <f>SUM(X7:X41)</f>
        <v>0</v>
      </c>
      <c r="Y1" s="195"/>
      <c r="Z1" s="194">
        <f>SUM(Z7:Z41)</f>
        <v>0</v>
      </c>
      <c r="AA1" s="195"/>
      <c r="AB1" s="194">
        <f>SUM(AB7:AB41)</f>
        <v>12</v>
      </c>
      <c r="AC1" s="195"/>
      <c r="AD1" s="194">
        <f>SUM(AD7:AD41)</f>
        <v>0</v>
      </c>
      <c r="AE1" s="195"/>
      <c r="AF1" s="194">
        <f>SUM(AF7:AF41)</f>
        <v>0</v>
      </c>
      <c r="AG1" s="195"/>
      <c r="AH1" s="194">
        <f>SUM(AH7:AH41)</f>
        <v>12</v>
      </c>
      <c r="AI1" s="195"/>
    </row>
    <row r="2">
      <c r="A2" s="192"/>
      <c r="B2" s="192" t="s">
        <v>1981</v>
      </c>
      <c r="C2" s="193">
        <f t="shared" si="1"/>
        <v>79668912.92</v>
      </c>
      <c r="D2" s="196">
        <f>SUM(E7:E41)-E15-E22</f>
        <v>8075496.91</v>
      </c>
      <c r="E2" s="16"/>
      <c r="F2" s="196">
        <f>SUM(G7:G41)-G15-G22</f>
        <v>12308660.79</v>
      </c>
      <c r="G2" s="16"/>
      <c r="H2" s="196">
        <f>SUM(I7:I41)-I15-I22</f>
        <v>21283996.64</v>
      </c>
      <c r="I2" s="16"/>
      <c r="J2" s="196">
        <f>SUM(K7:K41)-K15-K22</f>
        <v>54994398.29</v>
      </c>
      <c r="K2" s="16"/>
      <c r="L2" s="196">
        <f>SUM(M7:M41)-M15-M22</f>
        <v>14948734.18</v>
      </c>
      <c r="M2" s="16"/>
      <c r="N2" s="196">
        <f>SUM(O7:O41)-O15-O22</f>
        <v>8734780.93</v>
      </c>
      <c r="O2" s="16"/>
      <c r="P2" s="196">
        <f>SUM(Q7:Q41)-Q15-Q22</f>
        <v>885067.52</v>
      </c>
      <c r="Q2" s="16"/>
      <c r="R2" s="196">
        <f>SUM(S7:S41)-S15-S22</f>
        <v>24674514.63</v>
      </c>
      <c r="S2" s="16"/>
      <c r="T2" s="196">
        <f>SUM(U7:U41)-U15-U22</f>
        <v>0</v>
      </c>
      <c r="U2" s="16"/>
      <c r="V2" s="196">
        <f>SUM(W7:W41)-W15-W22</f>
        <v>0</v>
      </c>
      <c r="W2" s="16"/>
      <c r="X2" s="196">
        <f>SUM(Y7:Y41)-Y15-Y22</f>
        <v>0</v>
      </c>
      <c r="Y2" s="16"/>
      <c r="Z2" s="196">
        <f>SUM(AA7:AA41)-AA15-AA22</f>
        <v>0</v>
      </c>
      <c r="AA2" s="16"/>
      <c r="AB2" s="196">
        <f>SUM(AC7:AC41)-AC15-AC22</f>
        <v>0</v>
      </c>
      <c r="AC2" s="16"/>
      <c r="AD2" s="196">
        <f>SUM(AE7:AE41)-AE15-AE22</f>
        <v>0</v>
      </c>
      <c r="AE2" s="16"/>
      <c r="AF2" s="196">
        <f>SUM(AG7:AG41)-AG15-AG22</f>
        <v>0</v>
      </c>
      <c r="AG2" s="16"/>
      <c r="AH2" s="196">
        <f>SUM(AI7:AI41)-AI15-AI22</f>
        <v>0</v>
      </c>
      <c r="AI2" s="16"/>
    </row>
    <row r="3">
      <c r="A3" s="192"/>
      <c r="B3" s="192" t="s">
        <v>1982</v>
      </c>
      <c r="C3" s="193">
        <f t="shared" si="1"/>
        <v>-3242696.93</v>
      </c>
      <c r="D3" s="197">
        <f>D1-D2</f>
        <v>-3286998.75</v>
      </c>
      <c r="E3" s="16"/>
      <c r="F3" s="197">
        <f>F1-F2</f>
        <v>9055283.91</v>
      </c>
      <c r="G3" s="16"/>
      <c r="H3" s="197">
        <f>H1-H2</f>
        <v>8577479.14</v>
      </c>
      <c r="I3" s="16"/>
      <c r="J3" s="197">
        <f>J1-J2</f>
        <v>1019520.35</v>
      </c>
      <c r="K3" s="16"/>
      <c r="L3" s="197">
        <f>L1-L2</f>
        <v>2406051.17</v>
      </c>
      <c r="M3" s="16"/>
      <c r="N3" s="197">
        <f>N1-N2</f>
        <v>-8677280.93</v>
      </c>
      <c r="O3" s="16"/>
      <c r="P3" s="197">
        <f>P1-P2</f>
        <v>2114932.48</v>
      </c>
      <c r="Q3" s="16"/>
      <c r="R3" s="197">
        <f>R1-R2</f>
        <v>-4262229.28</v>
      </c>
      <c r="S3" s="16"/>
      <c r="T3" s="197">
        <f>T1-T2</f>
        <v>0</v>
      </c>
      <c r="U3" s="16"/>
      <c r="V3" s="197">
        <f>V1-V2</f>
        <v>0</v>
      </c>
      <c r="W3" s="16"/>
      <c r="X3" s="197">
        <f>X1-X2</f>
        <v>0</v>
      </c>
      <c r="Y3" s="16"/>
      <c r="Z3" s="197">
        <f>Z1-Z2</f>
        <v>0</v>
      </c>
      <c r="AA3" s="16"/>
      <c r="AB3" s="197">
        <f>AB1-AB2</f>
        <v>12</v>
      </c>
      <c r="AC3" s="16"/>
      <c r="AD3" s="197">
        <f>AD1-AD2</f>
        <v>0</v>
      </c>
      <c r="AE3" s="16"/>
      <c r="AF3" s="197">
        <f>AF1-AF2</f>
        <v>0</v>
      </c>
      <c r="AG3" s="16"/>
      <c r="AH3" s="197">
        <f>AH1-AH2</f>
        <v>12</v>
      </c>
      <c r="AI3" s="16"/>
    </row>
    <row r="4">
      <c r="A4" s="198"/>
      <c r="B4" s="198"/>
      <c r="C4" s="199"/>
      <c r="D4" s="200"/>
      <c r="E4" s="201"/>
      <c r="F4" s="200"/>
      <c r="G4" s="202"/>
      <c r="H4" s="200"/>
      <c r="I4" s="202"/>
      <c r="J4" s="200"/>
      <c r="K4" s="202"/>
      <c r="L4" s="200"/>
      <c r="M4" s="201"/>
      <c r="N4" s="200"/>
      <c r="O4" s="202"/>
      <c r="P4" s="200"/>
      <c r="Q4" s="202"/>
      <c r="R4" s="200"/>
      <c r="S4" s="202"/>
      <c r="T4" s="200"/>
      <c r="U4" s="201"/>
      <c r="V4" s="200"/>
      <c r="W4" s="202"/>
      <c r="X4" s="200"/>
      <c r="Y4" s="202"/>
      <c r="Z4" s="200"/>
      <c r="AA4" s="202"/>
      <c r="AB4" s="200"/>
      <c r="AC4" s="201"/>
      <c r="AD4" s="200"/>
      <c r="AE4" s="202"/>
      <c r="AF4" s="200"/>
      <c r="AG4" s="202"/>
      <c r="AH4" s="200"/>
      <c r="AI4" s="202"/>
    </row>
    <row r="5">
      <c r="A5" s="198"/>
      <c r="B5" s="203"/>
      <c r="C5" s="204" t="s">
        <v>1983</v>
      </c>
      <c r="D5" s="205"/>
      <c r="E5" s="206" t="s">
        <v>603</v>
      </c>
      <c r="F5" s="205"/>
      <c r="G5" s="206" t="s">
        <v>1531</v>
      </c>
      <c r="H5" s="205"/>
      <c r="I5" s="206" t="s">
        <v>1609</v>
      </c>
      <c r="J5" s="205"/>
      <c r="K5" s="206" t="s">
        <v>1723</v>
      </c>
      <c r="L5" s="205"/>
      <c r="M5" s="206" t="s">
        <v>1680</v>
      </c>
      <c r="N5" s="205"/>
      <c r="O5" s="206" t="s">
        <v>1734</v>
      </c>
      <c r="P5" s="205"/>
      <c r="Q5" s="206" t="s">
        <v>1797</v>
      </c>
      <c r="R5" s="205"/>
      <c r="S5" s="206" t="s">
        <v>1795</v>
      </c>
      <c r="T5" s="205"/>
      <c r="U5" s="206" t="s">
        <v>1984</v>
      </c>
      <c r="V5" s="205"/>
      <c r="W5" s="206" t="s">
        <v>1985</v>
      </c>
      <c r="X5" s="205"/>
      <c r="Y5" s="206" t="s">
        <v>1986</v>
      </c>
      <c r="Z5" s="205"/>
      <c r="AA5" s="206" t="s">
        <v>1987</v>
      </c>
      <c r="AB5" s="205"/>
      <c r="AC5" s="206" t="s">
        <v>1988</v>
      </c>
      <c r="AD5" s="205"/>
      <c r="AE5" s="206" t="s">
        <v>1989</v>
      </c>
      <c r="AF5" s="205"/>
      <c r="AG5" s="206" t="s">
        <v>1990</v>
      </c>
      <c r="AH5" s="205"/>
      <c r="AI5" s="206" t="s">
        <v>1991</v>
      </c>
    </row>
    <row r="6">
      <c r="A6" s="207"/>
      <c r="B6" s="208"/>
      <c r="C6" s="204"/>
      <c r="D6" s="206" t="s">
        <v>14</v>
      </c>
      <c r="E6" s="206" t="s">
        <v>443</v>
      </c>
      <c r="F6" s="206" t="s">
        <v>14</v>
      </c>
      <c r="G6" s="206" t="s">
        <v>443</v>
      </c>
      <c r="H6" s="206" t="s">
        <v>14</v>
      </c>
      <c r="I6" s="206" t="s">
        <v>443</v>
      </c>
      <c r="J6" s="206" t="s">
        <v>14</v>
      </c>
      <c r="K6" s="206" t="s">
        <v>443</v>
      </c>
      <c r="L6" s="206" t="s">
        <v>14</v>
      </c>
      <c r="M6" s="206" t="s">
        <v>443</v>
      </c>
      <c r="N6" s="206" t="s">
        <v>14</v>
      </c>
      <c r="O6" s="206" t="s">
        <v>443</v>
      </c>
      <c r="P6" s="206" t="s">
        <v>14</v>
      </c>
      <c r="Q6" s="206" t="s">
        <v>443</v>
      </c>
      <c r="R6" s="206" t="s">
        <v>14</v>
      </c>
      <c r="S6" s="206" t="s">
        <v>443</v>
      </c>
      <c r="T6" s="206" t="s">
        <v>14</v>
      </c>
      <c r="U6" s="206" t="s">
        <v>443</v>
      </c>
      <c r="V6" s="206" t="s">
        <v>14</v>
      </c>
      <c r="W6" s="206" t="s">
        <v>443</v>
      </c>
      <c r="X6" s="206" t="s">
        <v>14</v>
      </c>
      <c r="Y6" s="206" t="s">
        <v>443</v>
      </c>
      <c r="Z6" s="206" t="s">
        <v>14</v>
      </c>
      <c r="AA6" s="206" t="s">
        <v>443</v>
      </c>
      <c r="AB6" s="206" t="s">
        <v>14</v>
      </c>
      <c r="AC6" s="206" t="s">
        <v>443</v>
      </c>
      <c r="AD6" s="206" t="s">
        <v>14</v>
      </c>
      <c r="AE6" s="206" t="s">
        <v>443</v>
      </c>
      <c r="AF6" s="206" t="s">
        <v>14</v>
      </c>
      <c r="AG6" s="206" t="s">
        <v>443</v>
      </c>
      <c r="AH6" s="206" t="s">
        <v>14</v>
      </c>
      <c r="AI6" s="206" t="s">
        <v>443</v>
      </c>
    </row>
    <row r="7">
      <c r="A7" s="207"/>
      <c r="B7" s="208" t="s">
        <v>37</v>
      </c>
      <c r="C7" s="209">
        <f>J7+R7+Z7+AH7</f>
        <v>71982437.96</v>
      </c>
      <c r="D7" s="210">
        <f>SUMIFS('CF BEST'!$C$9:$C1013, 'CF BEST'!$I$9:$I1013, B7,'CF BEST'!$F$9:$F1013, $E$5)</f>
        <v>4788498.16</v>
      </c>
      <c r="E7" s="210">
        <f>SUMIFS('CF BEST'!$D$9:$D1013, 'CF BEST'!$I$9:$I1013, B7,'CF BEST'!$F$9:$F1013, $E$5)</f>
        <v>0</v>
      </c>
      <c r="F7" s="211">
        <f>SUMIFS('CF BEST'!$C$9:$C1013, 'CF BEST'!$I$9:$I1013, B7,'CF BEST'!$F$9:$F1013, $G$5)</f>
        <v>21363944.7</v>
      </c>
      <c r="G7" s="211">
        <f>SUMIFS('CF BEST'!$D$9:$D1013, 'CF BEST'!$I$9:$I1013, B7,'CF BEST'!$F$9:$F1013, $G$5)</f>
        <v>0</v>
      </c>
      <c r="H7" s="212">
        <f>SUMIFS('CF BEST'!$C$9:$C1013, 'CF BEST'!$I$9:$I1013, B7,'CF BEST'!$F$9:$F1013, $I$5)</f>
        <v>28475209.75</v>
      </c>
      <c r="I7" s="212">
        <f>SUMIFS('CF BEST'!$D$9:$D1013, 'CF BEST'!$I$9:$I1013, B7,'CF BEST'!$F$9:$F1013, $I$5)</f>
        <v>0</v>
      </c>
      <c r="J7" s="213">
        <f>SUMIFS('CF BEST'!$C$9:$C1013, 'CF BEST'!$I$9:$I1013, B7,'CF BEST'!$F$9:$F1013, $K$5)+D7+F7+H7</f>
        <v>54627652.61</v>
      </c>
      <c r="K7" s="213">
        <f>SUMIFS('CF BEST'!$D$9:$D1013, 'CF BEST'!$I$9:$I1013, B7,'CF BEST'!$F$9:$F1013, $K$5)+E7+G7+I7</f>
        <v>0</v>
      </c>
      <c r="L7" s="210">
        <f>SUMIFS('CF BEST'!$C$9:$C1013, 'CF BEST'!$I$9:$I1013, B7,'CF BEST'!$F$9:$F1013, $M$5)</f>
        <v>17354785.35</v>
      </c>
      <c r="M7" s="210">
        <f>SUMIFS('CF BEST'!$D$9:$D1013, 'CF BEST'!$I$9:$I1013, B7,'CF BEST'!$F$9:$F1013, $M$5)</f>
        <v>0</v>
      </c>
      <c r="N7" s="211">
        <f>SUMIFS('CF BEST'!$C$9:$C1013, 'CF BEST'!$I$9:$I1013, B7,'CF BEST'!$F$9:$F1013, $O$5)</f>
        <v>0</v>
      </c>
      <c r="O7" s="211">
        <f>SUMIFS('CF BEST'!$D$9:$D1013, 'CF BEST'!$I$9:$I1013, B7,'CF BEST'!$F$9:$F1013, $O$5)</f>
        <v>0</v>
      </c>
      <c r="P7" s="212">
        <f>SUMIFS('CF BEST'!$C$9:$C1013, 'CF BEST'!$I$9:$I1013, B7,'CF BEST'!$F$9:$F1013, $Q$5)</f>
        <v>0</v>
      </c>
      <c r="Q7" s="212">
        <f>SUMIFS('CF BEST'!$D$9:$D1013, 'CF BEST'!$I$9:$I1013, B7,'CF BEST'!$F$9:$F1013, $Q$5)</f>
        <v>0</v>
      </c>
      <c r="R7" s="213">
        <f>SUMIFS('CF BEST'!$C$9:$C1013, 'CF BEST'!$I$9:$I1013, B7,'CF BEST'!$F$9:$F1013, $S$5)+L7+N7+P7</f>
        <v>17354785.35</v>
      </c>
      <c r="S7" s="213">
        <f>SUMIFS('CF BEST'!$D$9:$D1013, 'CF BEST'!$I$9:$I1013, B7,'CF BEST'!$F$9:$F1013, $S$5)+M7+O7+Q7</f>
        <v>0</v>
      </c>
      <c r="T7" s="210">
        <f>SUMIFS('CF BEST'!$C$9:$C1013, 'CF BEST'!$I$9:$I1013, B7,'CF BEST'!$F$9:$F1013, $U$5)</f>
        <v>0</v>
      </c>
      <c r="U7" s="210">
        <f>SUMIFS('CF BEST'!$D$9:$D1013, 'CF BEST'!$I$9:$I1013, B7,'CF BEST'!$F$9:$F1013, $U$5)</f>
        <v>0</v>
      </c>
      <c r="V7" s="211">
        <f>SUMIFS('CF BEST'!$C$9:$C1013, 'CF BEST'!$I$9:$I1013, B7,'CF BEST'!$F$9:$F1013, $W$5)</f>
        <v>0</v>
      </c>
      <c r="W7" s="211">
        <f>SUMIFS('CF BEST'!$D$9:$D1013, 'CF BEST'!$I$9:$I1013, B7,'CF BEST'!$F$9:$F1013, $W$5)</f>
        <v>0</v>
      </c>
      <c r="X7" s="212">
        <f>SUMIFS('CF BEST'!$C$9:$C1013, 'CF BEST'!$I$9:$I1013, B7,'CF BEST'!$F$9:$F1013, $Y$5)</f>
        <v>0</v>
      </c>
      <c r="Y7" s="212">
        <f>SUMIFS('CF BEST'!$D$9:$D1013, 'CF BEST'!$I$9:$I1013, B7,'CF BEST'!$F$9:$F1013, $Y$5)</f>
        <v>0</v>
      </c>
      <c r="Z7" s="213">
        <f>SUMIFS('CF BEST'!$C$9:$C1013, 'CF BEST'!$I$9:$I1013, B7,'CF BEST'!$F$9:$F1013, $AA$5)+T7+V7+X7</f>
        <v>0</v>
      </c>
      <c r="AA7" s="213">
        <f>SUMIFS('CF BEST'!$D$9:$D1013, 'CF BEST'!$I$9:$I1013, B7,'CF BEST'!$F$9:$F1013, $AA$5)+U7+W7+Y7</f>
        <v>0</v>
      </c>
      <c r="AB7" s="210">
        <f>SUMIFS('CF BEST'!$C$9:$C1013, 'CF BEST'!$I$9:$I1013, B7,'CF BEST'!$F$9:$F1013, $AC$5)</f>
        <v>0</v>
      </c>
      <c r="AC7" s="210">
        <f>SUMIFS('CF BEST'!$D$9:$D1013, 'CF BEST'!$I$9:$I1013, B7,'CF BEST'!$F$9:$F1013, $AC$5)</f>
        <v>0</v>
      </c>
      <c r="AD7" s="211">
        <f>SUMIFS('CF BEST'!$C$9:$C1013, 'CF BEST'!$I$9:$I1013, B7,'CF BEST'!$F$9:$F1013, $AE$5)</f>
        <v>0</v>
      </c>
      <c r="AE7" s="211">
        <f>SUMIFS('CF BEST'!$D$9:$D1013, 'CF BEST'!$I$9:$I1013, B7,'CF BEST'!$F$9:$F1013, $AE$5)</f>
        <v>0</v>
      </c>
      <c r="AF7" s="212">
        <f>SUMIFS('CF BEST'!$C$9:$C1013, 'CF BEST'!$I$9:$I1013, B7,'CF BEST'!$F$9:$F1013, $AG$5)</f>
        <v>0</v>
      </c>
      <c r="AG7" s="212">
        <f>SUMIFS('CF BEST'!$D$9:$D1013, 'CF BEST'!$I$9:$I1013, B7,'CF BEST'!$F$9:$F1013, $AG$5)</f>
        <v>0</v>
      </c>
      <c r="AH7" s="213">
        <f>SUMIFS('CF BEST'!$C$9:$C1013, 'CF BEST'!$I$9:$I1013, B7,'CF BEST'!$F$9:$F1013, $AI$5)+AB7+AD7+AF7</f>
        <v>0</v>
      </c>
      <c r="AI7" s="213">
        <f>SUMIFS('CF BEST'!$D$9:$D1013, 'CF BEST'!$I$9:$I1013, B7,'CF BEST'!$F$9:$F1013, $AI$5)+AC7+AE7+AG7</f>
        <v>0</v>
      </c>
    </row>
    <row r="8">
      <c r="A8" s="214">
        <f t="shared" ref="A8:A41" si="2">C8/$C$7</f>
        <v>0.1779991432</v>
      </c>
      <c r="B8" s="208" t="s">
        <v>322</v>
      </c>
      <c r="C8" s="209">
        <f t="shared" ref="C8:C14" si="3">K8+S8+AA8+AI8</f>
        <v>12812812.28</v>
      </c>
      <c r="D8" s="210">
        <f>SUMIFS('CF BEST'!$C$9:$C1013, 'CF BEST'!$I$9:$I1013, B8,'CF BEST'!$F$9:$F1013, $E$5)</f>
        <v>0</v>
      </c>
      <c r="E8" s="210">
        <f>SUMIFS('CF BEST'!$D$9:$D1013, 'CF BEST'!$I$9:$I1013, B8,'CF BEST'!$F$9:$F1013, $E$5)</f>
        <v>0</v>
      </c>
      <c r="F8" s="211">
        <f>SUMIFS('CF BEST'!$C$9:$C1013, 'CF BEST'!$I$9:$I1013, B8,'CF BEST'!$F$9:$F1013, $G$5)</f>
        <v>0</v>
      </c>
      <c r="G8" s="211">
        <f>SUMIFS('CF BEST'!$D$9:$D1013, 'CF BEST'!$I$9:$I1013, B8,'CF BEST'!$F$9:$F1013, $G$5)</f>
        <v>0</v>
      </c>
      <c r="H8" s="212">
        <f>SUMIFS('CF BEST'!$C$9:$C1013, 'CF BEST'!$I$9:$I1013, B8,'CF BEST'!$F$9:$F1013, $I$5)</f>
        <v>0</v>
      </c>
      <c r="I8" s="212">
        <f>SUMIFS('CF BEST'!$D$9:$D1013, 'CF BEST'!$I$9:$I1013, B8,'CF BEST'!$F$9:$F1013, $I$5)</f>
        <v>0</v>
      </c>
      <c r="J8" s="213">
        <f>SUMIFS('CF BEST'!$C$9:$C1013, 'CF BEST'!$I$9:$I1013, B8,'CF BEST'!$F$9:$F1013, $K$5)+D8+F8+H8</f>
        <v>0</v>
      </c>
      <c r="K8" s="213">
        <f>SUMIFS('CF BEST'!$D$9:$D1013, 'CF BEST'!$I$9:$I1013, B8,'CF BEST'!$F$9:$F1013, $K$5)+E8+G8+I8</f>
        <v>8208812.28</v>
      </c>
      <c r="L8" s="210">
        <f>SUMIFS('CF BEST'!$C$9:$C1013, 'CF BEST'!$I$9:$I1013, B8,'CF BEST'!$F$9:$F1013, $M$5)</f>
        <v>0</v>
      </c>
      <c r="M8" s="210">
        <f>SUMIFS('CF BEST'!$D$9:$D1013, 'CF BEST'!$I$9:$I1013, B8,'CF BEST'!$F$9:$F1013, $M$5)</f>
        <v>4604000</v>
      </c>
      <c r="N8" s="211">
        <f>SUMIFS('CF BEST'!$C$9:$C1013, 'CF BEST'!$I$9:$I1013, B8,'CF BEST'!$F$9:$F1013, $O$5)</f>
        <v>0</v>
      </c>
      <c r="O8" s="211">
        <f>SUMIFS('CF BEST'!$D$9:$D1013, 'CF BEST'!$I$9:$I1013, B8,'CF BEST'!$F$9:$F1013, $O$5)</f>
        <v>0</v>
      </c>
      <c r="P8" s="212">
        <f>SUMIFS('CF BEST'!$C$9:$C1013, 'CF BEST'!$I$9:$I1013, B8,'CF BEST'!$F$9:$F1013, $Q$5)</f>
        <v>0</v>
      </c>
      <c r="Q8" s="212">
        <f>SUMIFS('CF BEST'!$D$9:$D1013, 'CF BEST'!$I$9:$I1013, B8,'CF BEST'!$F$9:$F1013, $Q$5)</f>
        <v>0</v>
      </c>
      <c r="R8" s="213">
        <f>SUMIFS('CF BEST'!$C$9:$C1013, 'CF BEST'!$I$9:$I1013, B8,'CF BEST'!$F$9:$F1013, $S$5)+L8+N8+P8</f>
        <v>0</v>
      </c>
      <c r="S8" s="213">
        <f>SUMIFS('CF BEST'!$D$9:$D1013, 'CF BEST'!$I$9:$I1013, B8,'CF BEST'!$F$9:$F1013, $S$5)+M8+O8+Q8</f>
        <v>4604000</v>
      </c>
      <c r="T8" s="210">
        <f>SUMIFS('CF BEST'!$C$9:$C1013, 'CF BEST'!$I$9:$I1013, B8,'CF BEST'!$F$9:$F1013, $U$5)</f>
        <v>0</v>
      </c>
      <c r="U8" s="210">
        <f>SUMIFS('CF BEST'!$D$9:$D1013, 'CF BEST'!$I$9:$I1013, B8,'CF BEST'!$F$9:$F1013, $U$5)</f>
        <v>0</v>
      </c>
      <c r="V8" s="211">
        <f>SUMIFS('CF BEST'!$C$9:$C1013, 'CF BEST'!$I$9:$I1013, B8,'CF BEST'!$F$9:$F1013, $W$5)</f>
        <v>0</v>
      </c>
      <c r="W8" s="211">
        <f>SUMIFS('CF BEST'!$D$9:$D1013, 'CF BEST'!$I$9:$I1013, B8,'CF BEST'!$F$9:$F1013, $W$5)</f>
        <v>0</v>
      </c>
      <c r="X8" s="212">
        <f>SUMIFS('CF BEST'!$C$9:$C1013, 'CF BEST'!$I$9:$I1013, B8,'CF BEST'!$F$9:$F1013, $Y$5)</f>
        <v>0</v>
      </c>
      <c r="Y8" s="212">
        <f>SUMIFS('CF BEST'!$D$9:$D1013, 'CF BEST'!$I$9:$I1013, B8,'CF BEST'!$F$9:$F1013, $Y$5)</f>
        <v>0</v>
      </c>
      <c r="Z8" s="213">
        <f>SUMIFS('CF BEST'!$C$9:$C1013, 'CF BEST'!$I$9:$I1013, B8,'CF BEST'!$F$9:$F1013, $AA$5)+T8+V8+X8</f>
        <v>0</v>
      </c>
      <c r="AA8" s="213">
        <f>SUMIFS('CF BEST'!$D$9:$D1013, 'CF BEST'!$I$9:$I1013, B8,'CF BEST'!$F$9:$F1013, $AA$5)+U8+W8+Y8</f>
        <v>0</v>
      </c>
      <c r="AB8" s="210">
        <f>SUMIFS('CF BEST'!$C$9:$C1013, 'CF BEST'!$I$9:$I1013, B8,'CF BEST'!$F$9:$F1013, $AC$5)</f>
        <v>0</v>
      </c>
      <c r="AC8" s="210">
        <f>SUMIFS('CF BEST'!$D$9:$D1013, 'CF BEST'!$I$9:$I1013, B8,'CF BEST'!$F$9:$F1013, $AC$5)</f>
        <v>0</v>
      </c>
      <c r="AD8" s="211">
        <f>SUMIFS('CF BEST'!$C$9:$C1013, 'CF BEST'!$I$9:$I1013, B8,'CF BEST'!$F$9:$F1013, $AE$5)</f>
        <v>0</v>
      </c>
      <c r="AE8" s="211">
        <f>SUMIFS('CF BEST'!$D$9:$D1013, 'CF BEST'!$I$9:$I1013, B8,'CF BEST'!$F$9:$F1013, $AE$5)</f>
        <v>0</v>
      </c>
      <c r="AF8" s="212">
        <f>SUMIFS('CF BEST'!$C$9:$C1013, 'CF BEST'!$I$9:$I1013, B8,'CF BEST'!$F$9:$F1013, $AG$5)</f>
        <v>0</v>
      </c>
      <c r="AG8" s="212">
        <f>SUMIFS('CF BEST'!$D$9:$D1013, 'CF BEST'!$I$9:$I1013, B8,'CF BEST'!$F$9:$F1013, $AG$5)</f>
        <v>0</v>
      </c>
      <c r="AH8" s="213">
        <f>SUMIFS('CF BEST'!$C$9:$C1013, 'CF BEST'!$I$9:$I1013, B8,'CF BEST'!$F$9:$F1013, $AI$5)+AB8+AD8+AF8</f>
        <v>0</v>
      </c>
      <c r="AI8" s="213">
        <f>SUMIFS('CF BEST'!$D$9:$D1013, 'CF BEST'!$I$9:$I1013, B8,'CF BEST'!$F$9:$F1013, $AI$5)+AC8+AE8+AG8</f>
        <v>0</v>
      </c>
    </row>
    <row r="9">
      <c r="A9" s="214">
        <f t="shared" si="2"/>
        <v>0.0038203763</v>
      </c>
      <c r="B9" s="215" t="s">
        <v>93</v>
      </c>
      <c r="C9" s="209">
        <f t="shared" si="3"/>
        <v>275000</v>
      </c>
      <c r="D9" s="210">
        <f>SUMIFS('CF BEST'!$C$9:$C1013, 'CF BEST'!$I$9:$I1013, B9,'CF BEST'!$F$9:$F1013, $E$5)</f>
        <v>0</v>
      </c>
      <c r="E9" s="210">
        <f>SUMIFS('CF BEST'!$D$9:$D1013, 'CF BEST'!$I$9:$I1013, B9,'CF BEST'!$F$9:$F1013, $E$5)</f>
        <v>0</v>
      </c>
      <c r="F9" s="211">
        <f>SUMIFS('CF BEST'!$C$9:$C1013, 'CF BEST'!$I$9:$I1013, B9,'CF BEST'!$F$9:$F1013, $G$5)</f>
        <v>0</v>
      </c>
      <c r="G9" s="211">
        <f>SUMIFS('CF BEST'!$D$9:$D1013, 'CF BEST'!$I$9:$I1013, B9,'CF BEST'!$F$9:$F1013, $G$5)</f>
        <v>0</v>
      </c>
      <c r="H9" s="212">
        <f>SUMIFS('CF BEST'!$C$9:$C1013, 'CF BEST'!$I$9:$I1013, B9,'CF BEST'!$F$9:$F1013, $I$5)</f>
        <v>0</v>
      </c>
      <c r="I9" s="212">
        <f>SUMIFS('CF BEST'!$D$9:$D1013, 'CF BEST'!$I$9:$I1013, B9,'CF BEST'!$F$9:$F1013, $I$5)</f>
        <v>0</v>
      </c>
      <c r="J9" s="213">
        <f>SUMIFS('CF BEST'!$C$9:$C1013, 'CF BEST'!$I$9:$I1013, B9,'CF BEST'!$F$9:$F1013, $K$5)+D9+F9+H9</f>
        <v>0</v>
      </c>
      <c r="K9" s="213">
        <f>SUMIFS('CF BEST'!$D$9:$D1013, 'CF BEST'!$I$9:$I1013, B9,'CF BEST'!$F$9:$F1013, $K$5)+E9+G9+I9</f>
        <v>275000</v>
      </c>
      <c r="L9" s="210">
        <f>SUMIFS('CF BEST'!$C$9:$C1013, 'CF BEST'!$I$9:$I1013, B9,'CF BEST'!$F$9:$F1013, $M$5)</f>
        <v>0</v>
      </c>
      <c r="M9" s="210">
        <f>SUMIFS('CF BEST'!$D$9:$D1013, 'CF BEST'!$I$9:$I1013, B9,'CF BEST'!$F$9:$F1013, $M$5)</f>
        <v>0</v>
      </c>
      <c r="N9" s="211">
        <f>SUMIFS('CF BEST'!$C$9:$C1013, 'CF BEST'!$I$9:$I1013, B9,'CF BEST'!$F$9:$F1013, $O$5)</f>
        <v>0</v>
      </c>
      <c r="O9" s="211">
        <f>SUMIFS('CF BEST'!$D$9:$D1013, 'CF BEST'!$I$9:$I1013, B9,'CF BEST'!$F$9:$F1013, $O$5)</f>
        <v>0</v>
      </c>
      <c r="P9" s="212">
        <f>SUMIFS('CF BEST'!$C$9:$C1013, 'CF BEST'!$I$9:$I1013, B9,'CF BEST'!$F$9:$F1013, $Q$5)</f>
        <v>0</v>
      </c>
      <c r="Q9" s="212">
        <f>SUMIFS('CF BEST'!$D$9:$D1013, 'CF BEST'!$I$9:$I1013, B9,'CF BEST'!$F$9:$F1013, $Q$5)</f>
        <v>0</v>
      </c>
      <c r="R9" s="213">
        <f>SUMIFS('CF BEST'!$C$9:$C1013, 'CF BEST'!$I$9:$I1013, B9,'CF BEST'!$F$9:$F1013, $S$5)+L9+N9+P9</f>
        <v>0</v>
      </c>
      <c r="S9" s="213">
        <f>SUMIFS('CF BEST'!$D$9:$D1013, 'CF BEST'!$I$9:$I1013, B9,'CF BEST'!$F$9:$F1013, $S$5)+M9+O9+Q9</f>
        <v>0</v>
      </c>
      <c r="T9" s="210">
        <f>SUMIFS('CF BEST'!$C$9:$C1013, 'CF BEST'!$I$9:$I1013, B9,'CF BEST'!$F$9:$F1013, $U$5)</f>
        <v>0</v>
      </c>
      <c r="U9" s="210">
        <f>SUMIFS('CF BEST'!$D$9:$D1013, 'CF BEST'!$I$9:$I1013, B9,'CF BEST'!$F$9:$F1013, $U$5)</f>
        <v>0</v>
      </c>
      <c r="V9" s="211">
        <f>SUMIFS('CF BEST'!$C$9:$C1013, 'CF BEST'!$I$9:$I1013, B9,'CF BEST'!$F$9:$F1013, $W$5)</f>
        <v>0</v>
      </c>
      <c r="W9" s="211">
        <f>SUMIFS('CF BEST'!$D$9:$D1013, 'CF BEST'!$I$9:$I1013, B9,'CF BEST'!$F$9:$F1013, $W$5)</f>
        <v>0</v>
      </c>
      <c r="X9" s="212">
        <f>SUMIFS('CF BEST'!$C$9:$C1013, 'CF BEST'!$I$9:$I1013, B9,'CF BEST'!$F$9:$F1013, $Y$5)</f>
        <v>0</v>
      </c>
      <c r="Y9" s="212">
        <f>SUMIFS('CF BEST'!$D$9:$D1013, 'CF BEST'!$I$9:$I1013, B9,'CF BEST'!$F$9:$F1013, $Y$5)</f>
        <v>0</v>
      </c>
      <c r="Z9" s="213">
        <f>SUMIFS('CF BEST'!$C$9:$C1013, 'CF BEST'!$I$9:$I1013, B9,'CF BEST'!$F$9:$F1013, $AA$5)+T9+V9+X9</f>
        <v>0</v>
      </c>
      <c r="AA9" s="213">
        <f>SUMIFS('CF BEST'!$D$9:$D1013, 'CF BEST'!$I$9:$I1013, B9,'CF BEST'!$F$9:$F1013, $AA$5)+U9+W9+Y9</f>
        <v>0</v>
      </c>
      <c r="AB9" s="210">
        <f>SUMIFS('CF BEST'!$C$9:$C1013, 'CF BEST'!$I$9:$I1013, B9,'CF BEST'!$F$9:$F1013, $AC$5)</f>
        <v>0</v>
      </c>
      <c r="AC9" s="210">
        <f>SUMIFS('CF BEST'!$D$9:$D1013, 'CF BEST'!$I$9:$I1013, B9,'CF BEST'!$F$9:$F1013, $AC$5)</f>
        <v>0</v>
      </c>
      <c r="AD9" s="211">
        <f>SUMIFS('CF BEST'!$C$9:$C1013, 'CF BEST'!$I$9:$I1013, B9,'CF BEST'!$F$9:$F1013, $AE$5)</f>
        <v>0</v>
      </c>
      <c r="AE9" s="211">
        <f>SUMIFS('CF BEST'!$D$9:$D1013, 'CF BEST'!$I$9:$I1013, B9,'CF BEST'!$F$9:$F1013, $AE$5)</f>
        <v>0</v>
      </c>
      <c r="AF9" s="212">
        <f>SUMIFS('CF BEST'!$C$9:$C1013, 'CF BEST'!$I$9:$I1013, B9,'CF BEST'!$F$9:$F1013, $AG$5)</f>
        <v>0</v>
      </c>
      <c r="AG9" s="212">
        <f>SUMIFS('CF BEST'!$D$9:$D1013, 'CF BEST'!$I$9:$I1013, B9,'CF BEST'!$F$9:$F1013, $AG$5)</f>
        <v>0</v>
      </c>
      <c r="AH9" s="213">
        <f>SUMIFS('CF BEST'!$C$9:$C1013, 'CF BEST'!$I$9:$I1013, B9,'CF BEST'!$F$9:$F1013, $AI$5)+AB9+AD9+AF9</f>
        <v>0</v>
      </c>
      <c r="AI9" s="213">
        <f>SUMIFS('CF BEST'!$D$9:$D1013, 'CF BEST'!$I$9:$I1013, B9,'CF BEST'!$F$9:$F1013, $AI$5)+AC9+AE9+AG9</f>
        <v>0</v>
      </c>
    </row>
    <row r="10">
      <c r="A10" s="214">
        <f t="shared" si="2"/>
        <v>0.2096611444</v>
      </c>
      <c r="B10" s="208" t="s">
        <v>101</v>
      </c>
      <c r="C10" s="209">
        <f t="shared" si="3"/>
        <v>15091920.32</v>
      </c>
      <c r="D10" s="210">
        <f>SUMIFS('CF BEST'!$C$9:$C1013, 'CF BEST'!$I$9:$I1013, B10,'CF BEST'!$F$9:$F1013, $E$5)</f>
        <v>0</v>
      </c>
      <c r="E10" s="210">
        <f>SUMIFS('CF BEST'!$D$9:$D1013, 'CF BEST'!$I$9:$I1013, B10,'CF BEST'!$F$9:$F1013, $E$5)</f>
        <v>1530063.2</v>
      </c>
      <c r="F10" s="211">
        <f>SUMIFS('CF BEST'!$C$9:$C1013, 'CF BEST'!$I$9:$I1013, B10,'CF BEST'!$F$9:$F1013, $G$5)</f>
        <v>0</v>
      </c>
      <c r="G10" s="211">
        <f>SUMIFS('CF BEST'!$D$9:$D1013, 'CF BEST'!$I$9:$I1013, B10,'CF BEST'!$F$9:$F1013, $G$5)</f>
        <v>3151697.25</v>
      </c>
      <c r="H10" s="212">
        <f>SUMIFS('CF BEST'!$C$9:$C1013, 'CF BEST'!$I$9:$I1013, B10,'CF BEST'!$F$9:$F1013, $I$5)</f>
        <v>0</v>
      </c>
      <c r="I10" s="212">
        <f>SUMIFS('CF BEST'!$D$9:$D1013, 'CF BEST'!$I$9:$I1013, B10,'CF BEST'!$F$9:$F1013, $I$5)</f>
        <v>6225997.07</v>
      </c>
      <c r="J10" s="213">
        <f>SUMIFS('CF BEST'!$C$9:$C1013, 'CF BEST'!$I$9:$I1013, B10,'CF BEST'!$F$9:$F1013, $K$5)+D10+F10+H10</f>
        <v>0</v>
      </c>
      <c r="K10" s="213">
        <f>SUMIFS('CF BEST'!$D$9:$D1013, 'CF BEST'!$I$9:$I1013, B10,'CF BEST'!$F$9:$F1013, $K$5)+E10+G10+I10</f>
        <v>10907757.52</v>
      </c>
      <c r="L10" s="210">
        <f>SUMIFS('CF BEST'!$C$9:$C1013, 'CF BEST'!$I$9:$I1013, B10,'CF BEST'!$F$9:$F1013, $M$5)</f>
        <v>0</v>
      </c>
      <c r="M10" s="210">
        <f>SUMIFS('CF BEST'!$D$9:$D1013, 'CF BEST'!$I$9:$I1013, B10,'CF BEST'!$F$9:$F1013, $M$5)</f>
        <v>2755386.24</v>
      </c>
      <c r="N10" s="211">
        <f>SUMIFS('CF BEST'!$C$9:$C1013, 'CF BEST'!$I$9:$I1013, B10,'CF BEST'!$F$9:$F1013, $O$5)</f>
        <v>0</v>
      </c>
      <c r="O10" s="211">
        <f>SUMIFS('CF BEST'!$D$9:$D1013, 'CF BEST'!$I$9:$I1013, B10,'CF BEST'!$F$9:$F1013, $O$5)</f>
        <v>1278776.56</v>
      </c>
      <c r="P10" s="212">
        <f>SUMIFS('CF BEST'!$C$9:$C1013, 'CF BEST'!$I$9:$I1013, B10,'CF BEST'!$F$9:$F1013, $Q$5)</f>
        <v>0</v>
      </c>
      <c r="Q10" s="212">
        <f>SUMIFS('CF BEST'!$D$9:$D1013, 'CF BEST'!$I$9:$I1013, B10,'CF BEST'!$F$9:$F1013, $Q$5)</f>
        <v>150000</v>
      </c>
      <c r="R10" s="213">
        <f>SUMIFS('CF BEST'!$C$9:$C1013, 'CF BEST'!$I$9:$I1013, B10,'CF BEST'!$F$9:$F1013, $S$5)+L10+N10+P10</f>
        <v>0</v>
      </c>
      <c r="S10" s="213">
        <f>SUMIFS('CF BEST'!$D$9:$D1013, 'CF BEST'!$I$9:$I1013, B10,'CF BEST'!$F$9:$F1013, $S$5)+M10+O10+Q10</f>
        <v>4184162.8</v>
      </c>
      <c r="T10" s="210">
        <f>SUMIFS('CF BEST'!$C$9:$C1013, 'CF BEST'!$I$9:$I1013, B10,'CF BEST'!$F$9:$F1013, $U$5)</f>
        <v>0</v>
      </c>
      <c r="U10" s="210">
        <f>SUMIFS('CF BEST'!$D$9:$D1013, 'CF BEST'!$I$9:$I1013, B10,'CF BEST'!$F$9:$F1013, $U$5)</f>
        <v>0</v>
      </c>
      <c r="V10" s="211">
        <f>SUMIFS('CF BEST'!$C$9:$C1013, 'CF BEST'!$I$9:$I1013, B10,'CF BEST'!$F$9:$F1013, $W$5)</f>
        <v>0</v>
      </c>
      <c r="W10" s="211">
        <f>SUMIFS('CF BEST'!$D$9:$D1013, 'CF BEST'!$I$9:$I1013, B10,'CF BEST'!$F$9:$F1013, $W$5)</f>
        <v>0</v>
      </c>
      <c r="X10" s="212">
        <f>SUMIFS('CF BEST'!$C$9:$C1013, 'CF BEST'!$I$9:$I1013, B10,'CF BEST'!$F$9:$F1013, $Y$5)</f>
        <v>0</v>
      </c>
      <c r="Y10" s="212">
        <f>SUMIFS('CF BEST'!$D$9:$D1013, 'CF BEST'!$I$9:$I1013, B10,'CF BEST'!$F$9:$F1013, $Y$5)</f>
        <v>0</v>
      </c>
      <c r="Z10" s="213">
        <f>SUMIFS('CF BEST'!$C$9:$C1013, 'CF BEST'!$I$9:$I1013, B10,'CF BEST'!$F$9:$F1013, $AA$5)+T10+V10+X10</f>
        <v>0</v>
      </c>
      <c r="AA10" s="213">
        <f>SUMIFS('CF BEST'!$D$9:$D1013, 'CF BEST'!$I$9:$I1013, B10,'CF BEST'!$F$9:$F1013, $AA$5)+U10+W10+Y10</f>
        <v>0</v>
      </c>
      <c r="AB10" s="210">
        <f>SUMIFS('CF BEST'!$C$9:$C1013, 'CF BEST'!$I$9:$I1013, B10,'CF BEST'!$F$9:$F1013, $AC$5)</f>
        <v>0</v>
      </c>
      <c r="AC10" s="210">
        <f>SUMIFS('CF BEST'!$D$9:$D1013, 'CF BEST'!$I$9:$I1013, B10,'CF BEST'!$F$9:$F1013, $AC$5)</f>
        <v>0</v>
      </c>
      <c r="AD10" s="211">
        <f>SUMIFS('CF BEST'!$C$9:$C1013, 'CF BEST'!$I$9:$I1013, B10,'CF BEST'!$F$9:$F1013, $AE$5)</f>
        <v>0</v>
      </c>
      <c r="AE10" s="211">
        <f>SUMIFS('CF BEST'!$D$9:$D1013, 'CF BEST'!$I$9:$I1013, B10,'CF BEST'!$F$9:$F1013, $AE$5)</f>
        <v>0</v>
      </c>
      <c r="AF10" s="212">
        <f>SUMIFS('CF BEST'!$C$9:$C1013, 'CF BEST'!$I$9:$I1013, B10,'CF BEST'!$F$9:$F1013, $AG$5)</f>
        <v>0</v>
      </c>
      <c r="AG10" s="212">
        <f>SUMIFS('CF BEST'!$D$9:$D1013, 'CF BEST'!$I$9:$I1013, B10,'CF BEST'!$F$9:$F1013, $AG$5)</f>
        <v>0</v>
      </c>
      <c r="AH10" s="213">
        <f>SUMIFS('CF BEST'!$C$9:$C1013, 'CF BEST'!$I$9:$I1013, B10,'CF BEST'!$F$9:$F1013, $AI$5)+AB10+AD10+AF10</f>
        <v>0</v>
      </c>
      <c r="AI10" s="213">
        <f>SUMIFS('CF BEST'!$D$9:$D1013, 'CF BEST'!$I$9:$I1013, B10,'CF BEST'!$F$9:$F1013, $AI$5)+AC10+AE10+AG10</f>
        <v>0</v>
      </c>
    </row>
    <row r="11">
      <c r="A11" s="214">
        <f t="shared" si="2"/>
        <v>0.07256476396</v>
      </c>
      <c r="B11" s="208" t="s">
        <v>1044</v>
      </c>
      <c r="C11" s="209">
        <f t="shared" si="3"/>
        <v>5223388.62</v>
      </c>
      <c r="D11" s="210">
        <f>SUMIFS('CF BEST'!$C$9:$C1013, 'CF BEST'!$I$9:$I1013, B11,'CF BEST'!$F$9:$F1013, $E$5)</f>
        <v>0</v>
      </c>
      <c r="E11" s="210">
        <f>SUMIFS('CF BEST'!$D$9:$D1013, 'CF BEST'!$I$9:$I1013, B11,'CF BEST'!$F$9:$F1013, $E$5)</f>
        <v>390512.39</v>
      </c>
      <c r="F11" s="211">
        <f>SUMIFS('CF BEST'!$C$9:$C1013, 'CF BEST'!$I$9:$I1013, B11,'CF BEST'!$F$9:$F1013, $G$5)</f>
        <v>0</v>
      </c>
      <c r="G11" s="211">
        <f>SUMIFS('CF BEST'!$D$9:$D1013, 'CF BEST'!$I$9:$I1013, B11,'CF BEST'!$F$9:$F1013, $G$5)</f>
        <v>2241357.21</v>
      </c>
      <c r="H11" s="212">
        <f>SUMIFS('CF BEST'!$C$9:$C1013, 'CF BEST'!$I$9:$I1013, B11,'CF BEST'!$F$9:$F1013, $I$5)</f>
        <v>0</v>
      </c>
      <c r="I11" s="212">
        <f>SUMIFS('CF BEST'!$D$9:$D1013, 'CF BEST'!$I$9:$I1013, B11,'CF BEST'!$F$9:$F1013, $I$5)</f>
        <v>2150443.95</v>
      </c>
      <c r="J11" s="213">
        <f>SUMIFS('CF BEST'!$C$9:$C1013, 'CF BEST'!$I$9:$I1013, B11,'CF BEST'!$F$9:$F1013, $K$5)+D11+F11+H11</f>
        <v>0</v>
      </c>
      <c r="K11" s="213">
        <f>SUMIFS('CF BEST'!$D$9:$D1013, 'CF BEST'!$I$9:$I1013, B11,'CF BEST'!$F$9:$F1013, $K$5)+E11+G11+I11</f>
        <v>4782313.55</v>
      </c>
      <c r="L11" s="210">
        <f>SUMIFS('CF BEST'!$C$9:$C1013, 'CF BEST'!$I$9:$I1013, B11,'CF BEST'!$F$9:$F1013, $M$5)</f>
        <v>0</v>
      </c>
      <c r="M11" s="210">
        <f>SUMIFS('CF BEST'!$D$9:$D1013, 'CF BEST'!$I$9:$I1013, B11,'CF BEST'!$F$9:$F1013, $M$5)</f>
        <v>441075.07</v>
      </c>
      <c r="N11" s="211">
        <f>SUMIFS('CF BEST'!$C$9:$C1013, 'CF BEST'!$I$9:$I1013, B11,'CF BEST'!$F$9:$F1013, $O$5)</f>
        <v>0</v>
      </c>
      <c r="O11" s="211">
        <f>SUMIFS('CF BEST'!$D$9:$D1013, 'CF BEST'!$I$9:$I1013, B11,'CF BEST'!$F$9:$F1013, $O$5)</f>
        <v>0</v>
      </c>
      <c r="P11" s="212">
        <f>SUMIFS('CF BEST'!$C$9:$C1013, 'CF BEST'!$I$9:$I1013, B11,'CF BEST'!$F$9:$F1013, $Q$5)</f>
        <v>0</v>
      </c>
      <c r="Q11" s="212">
        <f>SUMIFS('CF BEST'!$D$9:$D1013, 'CF BEST'!$I$9:$I1013, B11,'CF BEST'!$F$9:$F1013, $Q$5)</f>
        <v>0</v>
      </c>
      <c r="R11" s="213">
        <f>SUMIFS('CF BEST'!$C$9:$C1013, 'CF BEST'!$I$9:$I1013, B11,'CF BEST'!$F$9:$F1013, $S$5)+L11+N11+P11</f>
        <v>0</v>
      </c>
      <c r="S11" s="213">
        <f>SUMIFS('CF BEST'!$D$9:$D1013, 'CF BEST'!$I$9:$I1013, B11,'CF BEST'!$F$9:$F1013, $S$5)+M11+O11+Q11</f>
        <v>441075.07</v>
      </c>
      <c r="T11" s="210">
        <f>SUMIFS('CF BEST'!$C$9:$C1013, 'CF BEST'!$I$9:$I1013, B11,'CF BEST'!$F$9:$F1013, $U$5)</f>
        <v>0</v>
      </c>
      <c r="U11" s="210">
        <f>SUMIFS('CF BEST'!$D$9:$D1013, 'CF BEST'!$I$9:$I1013, B11,'CF BEST'!$F$9:$F1013, $U$5)</f>
        <v>0</v>
      </c>
      <c r="V11" s="211">
        <f>SUMIFS('CF BEST'!$C$9:$C1013, 'CF BEST'!$I$9:$I1013, B11,'CF BEST'!$F$9:$F1013, $W$5)</f>
        <v>0</v>
      </c>
      <c r="W11" s="211">
        <f>SUMIFS('CF BEST'!$D$9:$D1013, 'CF BEST'!$I$9:$I1013, B11,'CF BEST'!$F$9:$F1013, $W$5)</f>
        <v>0</v>
      </c>
      <c r="X11" s="212">
        <f>SUMIFS('CF BEST'!$C$9:$C1013, 'CF BEST'!$I$9:$I1013, B11,'CF BEST'!$F$9:$F1013, $Y$5)</f>
        <v>0</v>
      </c>
      <c r="Y11" s="212">
        <f>SUMIFS('CF BEST'!$D$9:$D1013, 'CF BEST'!$I$9:$I1013, B11,'CF BEST'!$F$9:$F1013, $Y$5)</f>
        <v>0</v>
      </c>
      <c r="Z11" s="213">
        <f>SUMIFS('CF BEST'!$C$9:$C1013, 'CF BEST'!$I$9:$I1013, B11,'CF BEST'!$F$9:$F1013, $AA$5)+T11+V11+X11</f>
        <v>0</v>
      </c>
      <c r="AA11" s="213">
        <f>SUMIFS('CF BEST'!$D$9:$D1013, 'CF BEST'!$I$9:$I1013, B11,'CF BEST'!$F$9:$F1013, $AA$5)+U11+W11+Y11</f>
        <v>0</v>
      </c>
      <c r="AB11" s="210">
        <f>SUMIFS('CF BEST'!$C$9:$C1013, 'CF BEST'!$I$9:$I1013, B11,'CF BEST'!$F$9:$F1013, $AC$5)</f>
        <v>0</v>
      </c>
      <c r="AC11" s="210">
        <f>SUMIFS('CF BEST'!$D$9:$D1013, 'CF BEST'!$I$9:$I1013, B11,'CF BEST'!$F$9:$F1013, $AC$5)</f>
        <v>0</v>
      </c>
      <c r="AD11" s="211">
        <f>SUMIFS('CF BEST'!$C$9:$C1013, 'CF BEST'!$I$9:$I1013, B11,'CF BEST'!$F$9:$F1013, $AE$5)</f>
        <v>0</v>
      </c>
      <c r="AE11" s="211">
        <f>SUMIFS('CF BEST'!$D$9:$D1013, 'CF BEST'!$I$9:$I1013, B11,'CF BEST'!$F$9:$F1013, $AE$5)</f>
        <v>0</v>
      </c>
      <c r="AF11" s="212">
        <f>SUMIFS('CF BEST'!$C$9:$C1013, 'CF BEST'!$I$9:$I1013, B11,'CF BEST'!$F$9:$F1013, $AG$5)</f>
        <v>0</v>
      </c>
      <c r="AG11" s="212">
        <f>SUMIFS('CF BEST'!$D$9:$D1013, 'CF BEST'!$I$9:$I1013, B11,'CF BEST'!$F$9:$F1013, $AG$5)</f>
        <v>0</v>
      </c>
      <c r="AH11" s="213">
        <f>SUMIFS('CF BEST'!$C$9:$C1013, 'CF BEST'!$I$9:$I1013, B11,'CF BEST'!$F$9:$F1013, $AI$5)+AB11+AD11+AF11</f>
        <v>0</v>
      </c>
      <c r="AI11" s="213">
        <f>SUMIFS('CF BEST'!$D$9:$D1013, 'CF BEST'!$I$9:$I1013, B11,'CF BEST'!$F$9:$F1013, $AI$5)+AC11+AE11+AG11</f>
        <v>0</v>
      </c>
    </row>
    <row r="12">
      <c r="A12" s="214">
        <f t="shared" si="2"/>
        <v>0.007230930415</v>
      </c>
      <c r="B12" s="208" t="s">
        <v>286</v>
      </c>
      <c r="C12" s="209">
        <f t="shared" si="3"/>
        <v>520500</v>
      </c>
      <c r="D12" s="210">
        <f>SUMIFS('CF BEST'!$C$9:$C1013, 'CF BEST'!$I$9:$I1013, B12,'CF BEST'!$F$9:$F1013, $E$5)</f>
        <v>0</v>
      </c>
      <c r="E12" s="210">
        <f>SUMIFS('CF BEST'!$D$9:$D1013, 'CF BEST'!$I$9:$I1013, B12,'CF BEST'!$F$9:$F1013, $E$5)</f>
        <v>140000</v>
      </c>
      <c r="F12" s="211">
        <f>SUMIFS('CF BEST'!$C$9:$C1013, 'CF BEST'!$I$9:$I1013, B12,'CF BEST'!$F$9:$F1013, $G$5)</f>
        <v>0</v>
      </c>
      <c r="G12" s="211">
        <f>SUMIFS('CF BEST'!$D$9:$D1013, 'CF BEST'!$I$9:$I1013, B12,'CF BEST'!$F$9:$F1013, $G$5)</f>
        <v>117000</v>
      </c>
      <c r="H12" s="212">
        <f>SUMIFS('CF BEST'!$C$9:$C1013, 'CF BEST'!$I$9:$I1013, B12,'CF BEST'!$F$9:$F1013, $I$5)</f>
        <v>0</v>
      </c>
      <c r="I12" s="212">
        <f>SUMIFS('CF BEST'!$D$9:$D1013, 'CF BEST'!$I$9:$I1013, B12,'CF BEST'!$F$9:$F1013, $I$5)</f>
        <v>143000</v>
      </c>
      <c r="J12" s="213">
        <f>SUMIFS('CF BEST'!$C$9:$C1013, 'CF BEST'!$I$9:$I1013, B12,'CF BEST'!$F$9:$F1013, $K$5)+D12+F12+H12</f>
        <v>0</v>
      </c>
      <c r="K12" s="213">
        <f>SUMIFS('CF BEST'!$D$9:$D1013, 'CF BEST'!$I$9:$I1013, B12,'CF BEST'!$F$9:$F1013, $K$5)+E12+G12+I12</f>
        <v>400000</v>
      </c>
      <c r="L12" s="210">
        <f>SUMIFS('CF BEST'!$C$9:$C1013, 'CF BEST'!$I$9:$I1013, B12,'CF BEST'!$F$9:$F1013, $M$5)</f>
        <v>0</v>
      </c>
      <c r="M12" s="210">
        <f>SUMIFS('CF BEST'!$D$9:$D1013, 'CF BEST'!$I$9:$I1013, B12,'CF BEST'!$F$9:$F1013, $M$5)</f>
        <v>120500</v>
      </c>
      <c r="N12" s="211">
        <f>SUMIFS('CF BEST'!$C$9:$C1013, 'CF BEST'!$I$9:$I1013, B12,'CF BEST'!$F$9:$F1013, $O$5)</f>
        <v>0</v>
      </c>
      <c r="O12" s="211">
        <f>SUMIFS('CF BEST'!$D$9:$D1013, 'CF BEST'!$I$9:$I1013, B12,'CF BEST'!$F$9:$F1013, $O$5)</f>
        <v>0</v>
      </c>
      <c r="P12" s="212">
        <f>SUMIFS('CF BEST'!$C$9:$C1013, 'CF BEST'!$I$9:$I1013, B12,'CF BEST'!$F$9:$F1013, $Q$5)</f>
        <v>0</v>
      </c>
      <c r="Q12" s="212">
        <f>SUMIFS('CF BEST'!$D$9:$D1013, 'CF BEST'!$I$9:$I1013, B12,'CF BEST'!$F$9:$F1013, $Q$5)</f>
        <v>0</v>
      </c>
      <c r="R12" s="213">
        <f>SUMIFS('CF BEST'!$C$9:$C1013, 'CF BEST'!$I$9:$I1013, B12,'CF BEST'!$F$9:$F1013, $S$5)+L12+N12+P12</f>
        <v>0</v>
      </c>
      <c r="S12" s="213">
        <f>SUMIFS('CF BEST'!$D$9:$D1013, 'CF BEST'!$I$9:$I1013, B12,'CF BEST'!$F$9:$F1013, $S$5)+M12+O12+Q12</f>
        <v>120500</v>
      </c>
      <c r="T12" s="210">
        <f>SUMIFS('CF BEST'!$C$9:$C1013, 'CF BEST'!$I$9:$I1013, B12,'CF BEST'!$F$9:$F1013, $U$5)</f>
        <v>0</v>
      </c>
      <c r="U12" s="210">
        <f>SUMIFS('CF BEST'!$D$9:$D1013, 'CF BEST'!$I$9:$I1013, B12,'CF BEST'!$F$9:$F1013, $U$5)</f>
        <v>0</v>
      </c>
      <c r="V12" s="211">
        <f>SUMIFS('CF BEST'!$C$9:$C1013, 'CF BEST'!$I$9:$I1013, B12,'CF BEST'!$F$9:$F1013, $W$5)</f>
        <v>0</v>
      </c>
      <c r="W12" s="211">
        <f>SUMIFS('CF BEST'!$D$9:$D1013, 'CF BEST'!$I$9:$I1013, B12,'CF BEST'!$F$9:$F1013, $W$5)</f>
        <v>0</v>
      </c>
      <c r="X12" s="212">
        <f>SUMIFS('CF BEST'!$C$9:$C1013, 'CF BEST'!$I$9:$I1013, B12,'CF BEST'!$F$9:$F1013, $Y$5)</f>
        <v>0</v>
      </c>
      <c r="Y12" s="212">
        <f>SUMIFS('CF BEST'!$D$9:$D1013, 'CF BEST'!$I$9:$I1013, B12,'CF BEST'!$F$9:$F1013, $Y$5)</f>
        <v>0</v>
      </c>
      <c r="Z12" s="213">
        <f>SUMIFS('CF BEST'!$C$9:$C1013, 'CF BEST'!$I$9:$I1013, B12,'CF BEST'!$F$9:$F1013, $AA$5)+T12+V12+X12</f>
        <v>0</v>
      </c>
      <c r="AA12" s="213">
        <f>SUMIFS('CF BEST'!$D$9:$D1013, 'CF BEST'!$I$9:$I1013, B12,'CF BEST'!$F$9:$F1013, $AA$5)+U12+W12+Y12</f>
        <v>0</v>
      </c>
      <c r="AB12" s="210">
        <f>SUMIFS('CF BEST'!$C$9:$C1013, 'CF BEST'!$I$9:$I1013, B12,'CF BEST'!$F$9:$F1013, $AC$5)</f>
        <v>0</v>
      </c>
      <c r="AC12" s="210">
        <f>SUMIFS('CF BEST'!$D$9:$D1013, 'CF BEST'!$I$9:$I1013, B12,'CF BEST'!$F$9:$F1013, $AC$5)</f>
        <v>0</v>
      </c>
      <c r="AD12" s="211">
        <f>SUMIFS('CF BEST'!$C$9:$C1013, 'CF BEST'!$I$9:$I1013, B12,'CF BEST'!$F$9:$F1013, $AE$5)</f>
        <v>0</v>
      </c>
      <c r="AE12" s="211">
        <f>SUMIFS('CF BEST'!$D$9:$D1013, 'CF BEST'!$I$9:$I1013, B12,'CF BEST'!$F$9:$F1013, $AE$5)</f>
        <v>0</v>
      </c>
      <c r="AF12" s="212">
        <f>SUMIFS('CF BEST'!$C$9:$C1013, 'CF BEST'!$I$9:$I1013, B12,'CF BEST'!$F$9:$F1013, $AG$5)</f>
        <v>0</v>
      </c>
      <c r="AG12" s="212">
        <f>SUMIFS('CF BEST'!$D$9:$D1013, 'CF BEST'!$I$9:$I1013, B12,'CF BEST'!$F$9:$F1013, $AG$5)</f>
        <v>0</v>
      </c>
      <c r="AH12" s="213">
        <f>SUMIFS('CF BEST'!$C$9:$C1013, 'CF BEST'!$I$9:$I1013, B12,'CF BEST'!$F$9:$F1013, $AI$5)+AB12+AD12+AF12</f>
        <v>0</v>
      </c>
      <c r="AI12" s="213">
        <f>SUMIFS('CF BEST'!$D$9:$D1013, 'CF BEST'!$I$9:$I1013, B12,'CF BEST'!$F$9:$F1013, $AI$5)+AC12+AE12+AG12</f>
        <v>0</v>
      </c>
    </row>
    <row r="13">
      <c r="A13" s="214">
        <f t="shared" si="2"/>
        <v>0.01749636433</v>
      </c>
      <c r="B13" s="208" t="s">
        <v>44</v>
      </c>
      <c r="C13" s="209">
        <f t="shared" si="3"/>
        <v>1259430.96</v>
      </c>
      <c r="D13" s="210">
        <f>SUMIFS('CF BEST'!$C$9:$C1013, 'CF BEST'!$I$9:$I1013, B13,'CF BEST'!$F$9:$F1013, $E$5)</f>
        <v>0</v>
      </c>
      <c r="E13" s="210">
        <f>SUMIFS('CF BEST'!$D$9:$D1013, 'CF BEST'!$I$9:$I1013, B13,'CF BEST'!$F$9:$F1013, $E$5)</f>
        <v>510511.04</v>
      </c>
      <c r="F13" s="211">
        <f>SUMIFS('CF BEST'!$C$9:$C1013, 'CF BEST'!$I$9:$I1013, B13,'CF BEST'!$F$9:$F1013, $G$5)</f>
        <v>0</v>
      </c>
      <c r="G13" s="211">
        <f>SUMIFS('CF BEST'!$D$9:$D1013, 'CF BEST'!$I$9:$I1013, B13,'CF BEST'!$F$9:$F1013, $G$5)</f>
        <v>56466.18</v>
      </c>
      <c r="H13" s="212">
        <f>SUMIFS('CF BEST'!$C$9:$C1013, 'CF BEST'!$I$9:$I1013, B13,'CF BEST'!$F$9:$F1013, $I$5)</f>
        <v>0</v>
      </c>
      <c r="I13" s="212">
        <f>SUMIFS('CF BEST'!$D$9:$D1013, 'CF BEST'!$I$9:$I1013, B13,'CF BEST'!$F$9:$F1013, $I$5)</f>
        <v>220838.1</v>
      </c>
      <c r="J13" s="213">
        <f>SUMIFS('CF BEST'!$C$9:$C1013, 'CF BEST'!$I$9:$I1013, B13,'CF BEST'!$F$9:$F1013, $K$5)+D13+F13+H13</f>
        <v>0</v>
      </c>
      <c r="K13" s="213">
        <f>SUMIFS('CF BEST'!$D$9:$D1013, 'CF BEST'!$I$9:$I1013, B13,'CF BEST'!$F$9:$F1013, $K$5)+E13+G13+I13</f>
        <v>787815.32</v>
      </c>
      <c r="L13" s="210">
        <f>SUMIFS('CF BEST'!$C$9:$C1013, 'CF BEST'!$I$9:$I1013, B13,'CF BEST'!$F$9:$F1013, $M$5)</f>
        <v>0</v>
      </c>
      <c r="M13" s="210">
        <f>SUMIFS('CF BEST'!$D$9:$D1013, 'CF BEST'!$I$9:$I1013, B13,'CF BEST'!$F$9:$F1013, $M$5)</f>
        <v>314484.06</v>
      </c>
      <c r="N13" s="211">
        <f>SUMIFS('CF BEST'!$C$9:$C1013, 'CF BEST'!$I$9:$I1013, B13,'CF BEST'!$F$9:$F1013, $O$5)</f>
        <v>0</v>
      </c>
      <c r="O13" s="211">
        <f>SUMIFS('CF BEST'!$D$9:$D1013, 'CF BEST'!$I$9:$I1013, B13,'CF BEST'!$F$9:$F1013, $O$5)</f>
        <v>157131.58</v>
      </c>
      <c r="P13" s="212">
        <f>SUMIFS('CF BEST'!$C$9:$C1013, 'CF BEST'!$I$9:$I1013, B13,'CF BEST'!$F$9:$F1013, $Q$5)</f>
        <v>0</v>
      </c>
      <c r="Q13" s="212">
        <f>SUMIFS('CF BEST'!$D$9:$D1013, 'CF BEST'!$I$9:$I1013, B13,'CF BEST'!$F$9:$F1013, $Q$5)</f>
        <v>0</v>
      </c>
      <c r="R13" s="213">
        <f>SUMIFS('CF BEST'!$C$9:$C1013, 'CF BEST'!$I$9:$I1013, B13,'CF BEST'!$F$9:$F1013, $S$5)+L13+N13+P13</f>
        <v>0</v>
      </c>
      <c r="S13" s="213">
        <f>SUMIFS('CF BEST'!$D$9:$D1013, 'CF BEST'!$I$9:$I1013, B13,'CF BEST'!$F$9:$F1013, $S$5)+M13+O13+Q13</f>
        <v>471615.64</v>
      </c>
      <c r="T13" s="210">
        <f>SUMIFS('CF BEST'!$C$9:$C1013, 'CF BEST'!$I$9:$I1013, B13,'CF BEST'!$F$9:$F1013, $U$5)</f>
        <v>0</v>
      </c>
      <c r="U13" s="210">
        <f>SUMIFS('CF BEST'!$D$9:$D1013, 'CF BEST'!$I$9:$I1013, B13,'CF BEST'!$F$9:$F1013, $U$5)</f>
        <v>0</v>
      </c>
      <c r="V13" s="211">
        <f>SUMIFS('CF BEST'!$C$9:$C1013, 'CF BEST'!$I$9:$I1013, B13,'CF BEST'!$F$9:$F1013, $W$5)</f>
        <v>0</v>
      </c>
      <c r="W13" s="211">
        <f>SUMIFS('CF BEST'!$D$9:$D1013, 'CF BEST'!$I$9:$I1013, B13,'CF BEST'!$F$9:$F1013, $W$5)</f>
        <v>0</v>
      </c>
      <c r="X13" s="212">
        <f>SUMIFS('CF BEST'!$C$9:$C1013, 'CF BEST'!$I$9:$I1013, B13,'CF BEST'!$F$9:$F1013, $Y$5)</f>
        <v>0</v>
      </c>
      <c r="Y13" s="212">
        <f>SUMIFS('CF BEST'!$D$9:$D1013, 'CF BEST'!$I$9:$I1013, B13,'CF BEST'!$F$9:$F1013, $Y$5)</f>
        <v>0</v>
      </c>
      <c r="Z13" s="213">
        <f>SUMIFS('CF BEST'!$C$9:$C1013, 'CF BEST'!$I$9:$I1013, B13,'CF BEST'!$F$9:$F1013, $AA$5)+T13+V13+X13</f>
        <v>0</v>
      </c>
      <c r="AA13" s="213">
        <f>SUMIFS('CF BEST'!$D$9:$D1013, 'CF BEST'!$I$9:$I1013, B13,'CF BEST'!$F$9:$F1013, $AA$5)+U13+W13+Y13</f>
        <v>0</v>
      </c>
      <c r="AB13" s="210">
        <f>SUMIFS('CF BEST'!$C$9:$C1013, 'CF BEST'!$I$9:$I1013, B13,'CF BEST'!$F$9:$F1013, $AC$5)</f>
        <v>0</v>
      </c>
      <c r="AC13" s="210">
        <f>SUMIFS('CF BEST'!$D$9:$D1013, 'CF BEST'!$I$9:$I1013, B13,'CF BEST'!$F$9:$F1013, $AC$5)</f>
        <v>0</v>
      </c>
      <c r="AD13" s="211">
        <f>SUMIFS('CF BEST'!$C$9:$C1013, 'CF BEST'!$I$9:$I1013, B13,'CF BEST'!$F$9:$F1013, $AE$5)</f>
        <v>0</v>
      </c>
      <c r="AE13" s="211">
        <f>SUMIFS('CF BEST'!$D$9:$D1013, 'CF BEST'!$I$9:$I1013, B13,'CF BEST'!$F$9:$F1013, $AE$5)</f>
        <v>0</v>
      </c>
      <c r="AF13" s="212">
        <f>SUMIFS('CF BEST'!$C$9:$C1013, 'CF BEST'!$I$9:$I1013, B13,'CF BEST'!$F$9:$F1013, $AG$5)</f>
        <v>0</v>
      </c>
      <c r="AG13" s="212">
        <f>SUMIFS('CF BEST'!$D$9:$D1013, 'CF BEST'!$I$9:$I1013, B13,'CF BEST'!$F$9:$F1013, $AG$5)</f>
        <v>0</v>
      </c>
      <c r="AH13" s="213">
        <f>SUMIFS('CF BEST'!$C$9:$C1013, 'CF BEST'!$I$9:$I1013, B13,'CF BEST'!$F$9:$F1013, $AI$5)+AB13+AD13+AF13</f>
        <v>0</v>
      </c>
      <c r="AI13" s="213">
        <f>SUMIFS('CF BEST'!$D$9:$D1013, 'CF BEST'!$I$9:$I1013, B13,'CF BEST'!$F$9:$F1013, $AI$5)+AC13+AE13+AG13</f>
        <v>0</v>
      </c>
    </row>
    <row r="14">
      <c r="A14" s="214">
        <f t="shared" si="2"/>
        <v>0.03568172533</v>
      </c>
      <c r="B14" s="208" t="s">
        <v>61</v>
      </c>
      <c r="C14" s="209">
        <f t="shared" si="3"/>
        <v>2568457.58</v>
      </c>
      <c r="D14" s="210">
        <f>SUMIFS('CF BEST'!$C$9:$C1013, 'CF BEST'!$I$9:$I1013, B14,'CF BEST'!$F$9:$F1013, $E$5)</f>
        <v>0</v>
      </c>
      <c r="E14" s="210">
        <f>SUMIFS('CF BEST'!$D$9:$D1013, 'CF BEST'!$I$9:$I1013, B14,'CF BEST'!$F$9:$F1013, $E$5)</f>
        <v>359279.44</v>
      </c>
      <c r="F14" s="211">
        <f>SUMIFS('CF BEST'!$C$9:$C1013, 'CF BEST'!$I$9:$I1013, B14,'CF BEST'!$F$9:$F1013, $G$5)</f>
        <v>0</v>
      </c>
      <c r="G14" s="211">
        <f>SUMIFS('CF BEST'!$D$9:$D1013, 'CF BEST'!$I$9:$I1013, B14,'CF BEST'!$F$9:$F1013, $G$5)</f>
        <v>664488.66</v>
      </c>
      <c r="H14" s="212">
        <f>SUMIFS('CF BEST'!$C$9:$C1013, 'CF BEST'!$I$9:$I1013, B14,'CF BEST'!$F$9:$F1013, $I$5)</f>
        <v>0</v>
      </c>
      <c r="I14" s="212">
        <f>SUMIFS('CF BEST'!$D$9:$D1013, 'CF BEST'!$I$9:$I1013, B14,'CF BEST'!$F$9:$F1013, $I$5)</f>
        <v>184185.32</v>
      </c>
      <c r="J14" s="213">
        <f>SUMIFS('CF BEST'!$C$9:$C1013, 'CF BEST'!$I$9:$I1013, B14,'CF BEST'!$F$9:$F1013, $K$5)+D14+F14+H14</f>
        <v>0</v>
      </c>
      <c r="K14" s="213">
        <f>SUMIFS('CF BEST'!$D$9:$D1013, 'CF BEST'!$I$9:$I1013, B14,'CF BEST'!$F$9:$F1013, $K$5)+E14+G14+I14</f>
        <v>1207953.42</v>
      </c>
      <c r="L14" s="210">
        <f>SUMIFS('CF BEST'!$C$9:$C1013, 'CF BEST'!$I$9:$I1013, B14,'CF BEST'!$F$9:$F1013, $M$5)</f>
        <v>0</v>
      </c>
      <c r="M14" s="210">
        <f>SUMIFS('CF BEST'!$D$9:$D1013, 'CF BEST'!$I$9:$I1013, B14,'CF BEST'!$F$9:$F1013, $M$5)</f>
        <v>1052953.81</v>
      </c>
      <c r="N14" s="211">
        <f>SUMIFS('CF BEST'!$C$9:$C1013, 'CF BEST'!$I$9:$I1013, B14,'CF BEST'!$F$9:$F1013, $O$5)</f>
        <v>0</v>
      </c>
      <c r="O14" s="211">
        <f>SUMIFS('CF BEST'!$D$9:$D1013, 'CF BEST'!$I$9:$I1013, B14,'CF BEST'!$F$9:$F1013, $O$5)</f>
        <v>307550.35</v>
      </c>
      <c r="P14" s="212">
        <f>SUMIFS('CF BEST'!$C$9:$C1013, 'CF BEST'!$I$9:$I1013, B14,'CF BEST'!$F$9:$F1013, $Q$5)</f>
        <v>0</v>
      </c>
      <c r="Q14" s="212">
        <f>SUMIFS('CF BEST'!$D$9:$D1013, 'CF BEST'!$I$9:$I1013, B14,'CF BEST'!$F$9:$F1013, $Q$5)</f>
        <v>0</v>
      </c>
      <c r="R14" s="213">
        <f>SUMIFS('CF BEST'!$C$9:$C1013, 'CF BEST'!$I$9:$I1013, B14,'CF BEST'!$F$9:$F1013, $S$5)+L14+N14+P14</f>
        <v>0</v>
      </c>
      <c r="S14" s="213">
        <f>SUMIFS('CF BEST'!$D$9:$D1013, 'CF BEST'!$I$9:$I1013, B14,'CF BEST'!$F$9:$F1013, $S$5)+M14+O14+Q14</f>
        <v>1360504.16</v>
      </c>
      <c r="T14" s="210">
        <f>SUMIFS('CF BEST'!$C$9:$C1013, 'CF BEST'!$I$9:$I1013, B14,'CF BEST'!$F$9:$F1013, $U$5)</f>
        <v>0</v>
      </c>
      <c r="U14" s="210">
        <f>SUMIFS('CF BEST'!$D$9:$D1013, 'CF BEST'!$I$9:$I1013, B14,'CF BEST'!$F$9:$F1013, $U$5)</f>
        <v>0</v>
      </c>
      <c r="V14" s="211">
        <f>SUMIFS('CF BEST'!$C$9:$C1013, 'CF BEST'!$I$9:$I1013, B14,'CF BEST'!$F$9:$F1013, $W$5)</f>
        <v>0</v>
      </c>
      <c r="W14" s="211">
        <f>SUMIFS('CF BEST'!$D$9:$D1013, 'CF BEST'!$I$9:$I1013, B14,'CF BEST'!$F$9:$F1013, $W$5)</f>
        <v>0</v>
      </c>
      <c r="X14" s="212">
        <f>SUMIFS('CF BEST'!$C$9:$C1013, 'CF BEST'!$I$9:$I1013, B14,'CF BEST'!$F$9:$F1013, $Y$5)</f>
        <v>0</v>
      </c>
      <c r="Y14" s="212">
        <f>SUMIFS('CF BEST'!$D$9:$D1013, 'CF BEST'!$I$9:$I1013, B14,'CF BEST'!$F$9:$F1013, $Y$5)</f>
        <v>0</v>
      </c>
      <c r="Z14" s="213">
        <f>SUMIFS('CF BEST'!$C$9:$C1013, 'CF BEST'!$I$9:$I1013, B14,'CF BEST'!$F$9:$F1013, $AA$5)+T14+V14+X14</f>
        <v>0</v>
      </c>
      <c r="AA14" s="213">
        <f>SUMIFS('CF BEST'!$D$9:$D1013, 'CF BEST'!$I$9:$I1013, B14,'CF BEST'!$F$9:$F1013, $AA$5)+U14+W14+Y14</f>
        <v>0</v>
      </c>
      <c r="AB14" s="210">
        <f>SUMIFS('CF BEST'!$C$9:$C1013, 'CF BEST'!$I$9:$I1013, B14,'CF BEST'!$F$9:$F1013, $AC$5)</f>
        <v>0</v>
      </c>
      <c r="AC14" s="210">
        <f>SUMIFS('CF BEST'!$D$9:$D1013, 'CF BEST'!$I$9:$I1013, B14,'CF BEST'!$F$9:$F1013, $AC$5)</f>
        <v>0</v>
      </c>
      <c r="AD14" s="211">
        <f>SUMIFS('CF BEST'!$C$9:$C1013, 'CF BEST'!$I$9:$I1013, B14,'CF BEST'!$F$9:$F1013, $AE$5)</f>
        <v>0</v>
      </c>
      <c r="AE14" s="211">
        <f>SUMIFS('CF BEST'!$D$9:$D1013, 'CF BEST'!$I$9:$I1013, B14,'CF BEST'!$F$9:$F1013, $AE$5)</f>
        <v>0</v>
      </c>
      <c r="AF14" s="212">
        <f>SUMIFS('CF BEST'!$C$9:$C1013, 'CF BEST'!$I$9:$I1013, B14,'CF BEST'!$F$9:$F1013, $AG$5)</f>
        <v>0</v>
      </c>
      <c r="AG14" s="212">
        <f>SUMIFS('CF BEST'!$D$9:$D1013, 'CF BEST'!$I$9:$I1013, B14,'CF BEST'!$F$9:$F1013, $AG$5)</f>
        <v>0</v>
      </c>
      <c r="AH14" s="213">
        <f>SUMIFS('CF BEST'!$C$9:$C1013, 'CF BEST'!$I$9:$I1013, B14,'CF BEST'!$F$9:$F1013, $AI$5)+AB14+AD14+AF14</f>
        <v>0</v>
      </c>
      <c r="AI14" s="213">
        <f>SUMIFS('CF BEST'!$D$9:$D1013, 'CF BEST'!$I$9:$I1013, B14,'CF BEST'!$F$9:$F1013, $AI$5)+AC14+AE14+AG14</f>
        <v>0</v>
      </c>
    </row>
    <row r="15">
      <c r="A15" s="214">
        <f t="shared" si="2"/>
        <v>0.3195238458</v>
      </c>
      <c r="B15" s="216" t="s">
        <v>1992</v>
      </c>
      <c r="C15" s="217">
        <f t="shared" ref="C15:AI15" si="4">SUM(C16:C21)</f>
        <v>23000105.41</v>
      </c>
      <c r="D15" s="217">
        <f t="shared" si="4"/>
        <v>0</v>
      </c>
      <c r="E15" s="217">
        <f t="shared" si="4"/>
        <v>3154281.83</v>
      </c>
      <c r="F15" s="217">
        <f t="shared" si="4"/>
        <v>0</v>
      </c>
      <c r="G15" s="217">
        <f t="shared" si="4"/>
        <v>3888226.72</v>
      </c>
      <c r="H15" s="217">
        <f t="shared" si="4"/>
        <v>0</v>
      </c>
      <c r="I15" s="217">
        <f t="shared" si="4"/>
        <v>6541904.76</v>
      </c>
      <c r="J15" s="217">
        <f t="shared" si="4"/>
        <v>0</v>
      </c>
      <c r="K15" s="217">
        <f t="shared" si="4"/>
        <v>14069261.61</v>
      </c>
      <c r="L15" s="217">
        <f t="shared" si="4"/>
        <v>0</v>
      </c>
      <c r="M15" s="217">
        <f t="shared" si="4"/>
        <v>3829885.4</v>
      </c>
      <c r="N15" s="217">
        <f t="shared" si="4"/>
        <v>0</v>
      </c>
      <c r="O15" s="217">
        <f t="shared" si="4"/>
        <v>4803734.26</v>
      </c>
      <c r="P15" s="217">
        <f t="shared" si="4"/>
        <v>0</v>
      </c>
      <c r="Q15" s="217">
        <f t="shared" si="4"/>
        <v>297224.14</v>
      </c>
      <c r="R15" s="217">
        <f t="shared" si="4"/>
        <v>0</v>
      </c>
      <c r="S15" s="217">
        <f t="shared" si="4"/>
        <v>8930843.8</v>
      </c>
      <c r="T15" s="217">
        <f t="shared" si="4"/>
        <v>0</v>
      </c>
      <c r="U15" s="217">
        <f t="shared" si="4"/>
        <v>0</v>
      </c>
      <c r="V15" s="217">
        <f t="shared" si="4"/>
        <v>0</v>
      </c>
      <c r="W15" s="217">
        <f t="shared" si="4"/>
        <v>0</v>
      </c>
      <c r="X15" s="217">
        <f t="shared" si="4"/>
        <v>0</v>
      </c>
      <c r="Y15" s="217">
        <f t="shared" si="4"/>
        <v>0</v>
      </c>
      <c r="Z15" s="217">
        <f t="shared" si="4"/>
        <v>0</v>
      </c>
      <c r="AA15" s="217">
        <f t="shared" si="4"/>
        <v>0</v>
      </c>
      <c r="AB15" s="217">
        <f t="shared" si="4"/>
        <v>0</v>
      </c>
      <c r="AC15" s="217">
        <f t="shared" si="4"/>
        <v>0</v>
      </c>
      <c r="AD15" s="217">
        <f t="shared" si="4"/>
        <v>0</v>
      </c>
      <c r="AE15" s="217">
        <f t="shared" si="4"/>
        <v>0</v>
      </c>
      <c r="AF15" s="217">
        <f t="shared" si="4"/>
        <v>0</v>
      </c>
      <c r="AG15" s="217">
        <f t="shared" si="4"/>
        <v>0</v>
      </c>
      <c r="AH15" s="217">
        <f t="shared" si="4"/>
        <v>0</v>
      </c>
      <c r="AI15" s="217">
        <f t="shared" si="4"/>
        <v>0</v>
      </c>
    </row>
    <row r="16">
      <c r="A16" s="214">
        <f t="shared" si="2"/>
        <v>0.07014019479</v>
      </c>
      <c r="B16" s="208" t="s">
        <v>280</v>
      </c>
      <c r="C16" s="209">
        <f t="shared" ref="C16:C28" si="5">K16+S16+AA16+AI16</f>
        <v>5048862.22</v>
      </c>
      <c r="D16" s="210">
        <f>SUMIFS('CF BEST'!$C$9:$C1013, 'CF BEST'!$I$9:$I1013, B16,'CF BEST'!$F$9:$F1013, $E$5)</f>
        <v>0</v>
      </c>
      <c r="E16" s="210">
        <f>SUMIFS('CF BEST'!$D$9:$D1013, 'CF BEST'!$I$9:$I1013, B16,'CF BEST'!$F$9:$F1013, $E$5)</f>
        <v>0</v>
      </c>
      <c r="F16" s="211">
        <f>SUMIFS('CF BEST'!$C$9:$C1013, 'CF BEST'!$I$9:$I1013, B16,'CF BEST'!$F$9:$F1013, $G$5)</f>
        <v>0</v>
      </c>
      <c r="G16" s="211">
        <f>SUMIFS('CF BEST'!$D$9:$D1013, 'CF BEST'!$I$9:$I1013, B16,'CF BEST'!$F$9:$F1013, $G$5)</f>
        <v>1124709.67</v>
      </c>
      <c r="H16" s="212">
        <f>SUMIFS('CF BEST'!$C$9:$C1013, 'CF BEST'!$I$9:$I1013, B16,'CF BEST'!$F$9:$F1013, $I$5)</f>
        <v>0</v>
      </c>
      <c r="I16" s="212">
        <f>SUMIFS('CF BEST'!$D$9:$D1013, 'CF BEST'!$I$9:$I1013, B16,'CF BEST'!$F$9:$F1013, $I$5)</f>
        <v>1219879.65</v>
      </c>
      <c r="J16" s="213">
        <f>SUMIFS('CF BEST'!$C$9:$C1013, 'CF BEST'!$I$9:$I1013, B16,'CF BEST'!$F$9:$F1013, $K$5)+D16+F16+H16</f>
        <v>0</v>
      </c>
      <c r="K16" s="213">
        <f>SUMIFS('CF BEST'!$D$9:$D1013, 'CF BEST'!$I$9:$I1013, B16,'CF BEST'!$F$9:$F1013, $K$5)+E16+G16+I16</f>
        <v>2344589.32</v>
      </c>
      <c r="L16" s="210">
        <f>SUMIFS('CF BEST'!$C$9:$C1013, 'CF BEST'!$I$9:$I1013, B16,'CF BEST'!$F$9:$F1013, $M$5)</f>
        <v>0</v>
      </c>
      <c r="M16" s="210">
        <f>SUMIFS('CF BEST'!$D$9:$D1013, 'CF BEST'!$I$9:$I1013, B16,'CF BEST'!$F$9:$F1013, $M$5)</f>
        <v>1213989.98</v>
      </c>
      <c r="N16" s="211">
        <f>SUMIFS('CF BEST'!$C$9:$C1013, 'CF BEST'!$I$9:$I1013, B16,'CF BEST'!$F$9:$F1013, $O$5)</f>
        <v>0</v>
      </c>
      <c r="O16" s="211">
        <f>SUMIFS('CF BEST'!$D$9:$D1013, 'CF BEST'!$I$9:$I1013, B16,'CF BEST'!$F$9:$F1013, $O$5)</f>
        <v>1256867</v>
      </c>
      <c r="P16" s="212">
        <f>SUMIFS('CF BEST'!$C$9:$C1013, 'CF BEST'!$I$9:$I1013, B16,'CF BEST'!$F$9:$F1013, $Q$5)</f>
        <v>0</v>
      </c>
      <c r="Q16" s="212">
        <f>SUMIFS('CF BEST'!$D$9:$D1013, 'CF BEST'!$I$9:$I1013, B16,'CF BEST'!$F$9:$F1013, $Q$5)</f>
        <v>233415.92</v>
      </c>
      <c r="R16" s="213">
        <f>SUMIFS('CF BEST'!$C$9:$C1013, 'CF BEST'!$I$9:$I1013, B16,'CF BEST'!$F$9:$F1013, $S$5)+L16+N16+P16</f>
        <v>0</v>
      </c>
      <c r="S16" s="213">
        <f>SUMIFS('CF BEST'!$D$9:$D1013, 'CF BEST'!$I$9:$I1013, B16,'CF BEST'!$F$9:$F1013, $S$5)+M16+O16+Q16</f>
        <v>2704272.9</v>
      </c>
      <c r="T16" s="210">
        <f>SUMIFS('CF BEST'!$C$9:$C1013, 'CF BEST'!$I$9:$I1013, B16,'CF BEST'!$F$9:$F1013, $U$5)</f>
        <v>0</v>
      </c>
      <c r="U16" s="210">
        <f>SUMIFS('CF BEST'!$D$9:$D1013, 'CF BEST'!$I$9:$I1013, B16,'CF BEST'!$F$9:$F1013, $U$5)</f>
        <v>0</v>
      </c>
      <c r="V16" s="211">
        <f>SUMIFS('CF BEST'!$C$9:$C1013, 'CF BEST'!$I$9:$I1013, B16,'CF BEST'!$F$9:$F1013, $W$5)</f>
        <v>0</v>
      </c>
      <c r="W16" s="211">
        <f>SUMIFS('CF BEST'!$D$9:$D1013, 'CF BEST'!$I$9:$I1013, B16,'CF BEST'!$F$9:$F1013, $W$5)</f>
        <v>0</v>
      </c>
      <c r="X16" s="212">
        <f>SUMIFS('CF BEST'!$C$9:$C1013, 'CF BEST'!$I$9:$I1013, B16,'CF BEST'!$F$9:$F1013, $Y$5)</f>
        <v>0</v>
      </c>
      <c r="Y16" s="212">
        <f>SUMIFS('CF BEST'!$D$9:$D1013, 'CF BEST'!$I$9:$I1013, B16,'CF BEST'!$F$9:$F1013, $Y$5)</f>
        <v>0</v>
      </c>
      <c r="Z16" s="213">
        <f>SUMIFS('CF BEST'!$C$9:$C1013, 'CF BEST'!$I$9:$I1013, B16,'CF BEST'!$F$9:$F1013, $AA$5)+T16+V16+X16</f>
        <v>0</v>
      </c>
      <c r="AA16" s="213">
        <f>SUMIFS('CF BEST'!$D$9:$D1013, 'CF BEST'!$I$9:$I1013, B16,'CF BEST'!$F$9:$F1013, $AA$5)+U16+W16+Y16</f>
        <v>0</v>
      </c>
      <c r="AB16" s="210">
        <f>SUMIFS('CF BEST'!$C$9:$C1013, 'CF BEST'!$I$9:$I1013, B16,'CF BEST'!$F$9:$F1013, $AC$5)</f>
        <v>0</v>
      </c>
      <c r="AC16" s="210">
        <f>SUMIFS('CF BEST'!$D$9:$D1013, 'CF BEST'!$I$9:$I1013, B16,'CF BEST'!$F$9:$F1013, $AC$5)</f>
        <v>0</v>
      </c>
      <c r="AD16" s="211">
        <f>SUMIFS('CF BEST'!$C$9:$C1013, 'CF BEST'!$I$9:$I1013, B16,'CF BEST'!$F$9:$F1013, $AE$5)</f>
        <v>0</v>
      </c>
      <c r="AE16" s="211">
        <f>SUMIFS('CF BEST'!$D$9:$D1013, 'CF BEST'!$I$9:$I1013, B16,'CF BEST'!$F$9:$F1013, $AE$5)</f>
        <v>0</v>
      </c>
      <c r="AF16" s="212">
        <f>SUMIFS('CF BEST'!$C$9:$C1013, 'CF BEST'!$I$9:$I1013, B16,'CF BEST'!$F$9:$F1013, $AG$5)</f>
        <v>0</v>
      </c>
      <c r="AG16" s="212">
        <f>SUMIFS('CF BEST'!$D$9:$D1013, 'CF BEST'!$I$9:$I1013, B16,'CF BEST'!$F$9:$F1013, $AG$5)</f>
        <v>0</v>
      </c>
      <c r="AH16" s="213">
        <f>SUMIFS('CF BEST'!$C$9:$C1013, 'CF BEST'!$I$9:$I1013, B16,'CF BEST'!$F$9:$F1013, $AI$5)+AB16+AD16+AF16</f>
        <v>0</v>
      </c>
      <c r="AI16" s="213">
        <f>SUMIFS('CF BEST'!$D$9:$D1013, 'CF BEST'!$I$9:$I1013, B16,'CF BEST'!$F$9:$F1013, $AI$5)+AC16+AE16+AG16</f>
        <v>0</v>
      </c>
    </row>
    <row r="17">
      <c r="A17" s="214">
        <f t="shared" si="2"/>
        <v>0.1393958609</v>
      </c>
      <c r="B17" s="208" t="s">
        <v>68</v>
      </c>
      <c r="C17" s="209">
        <f t="shared" si="5"/>
        <v>10034053.91</v>
      </c>
      <c r="D17" s="210">
        <f>SUMIFS('CF BEST'!$C$9:$C1013, 'CF BEST'!$I$9:$I1013, B17,'CF BEST'!$F$9:$F1013, $E$5)</f>
        <v>0</v>
      </c>
      <c r="E17" s="210">
        <f>SUMIFS('CF BEST'!$D$9:$D1013, 'CF BEST'!$I$9:$I1013, B17,'CF BEST'!$F$9:$F1013, $E$5)</f>
        <v>2046076.83</v>
      </c>
      <c r="F17" s="211">
        <f>SUMIFS('CF BEST'!$C$9:$C1013, 'CF BEST'!$I$9:$I1013, B17,'CF BEST'!$F$9:$F1013, $G$5)</f>
        <v>0</v>
      </c>
      <c r="G17" s="211">
        <f>SUMIFS('CF BEST'!$D$9:$D1013, 'CF BEST'!$I$9:$I1013, B17,'CF BEST'!$F$9:$F1013, $G$5)</f>
        <v>1973345.38</v>
      </c>
      <c r="H17" s="212">
        <f>SUMIFS('CF BEST'!$C$9:$C1013, 'CF BEST'!$I$9:$I1013, B17,'CF BEST'!$F$9:$F1013, $I$5)</f>
        <v>0</v>
      </c>
      <c r="I17" s="212">
        <f>SUMIFS('CF BEST'!$D$9:$D1013, 'CF BEST'!$I$9:$I1013, B17,'CF BEST'!$F$9:$F1013, $I$5)</f>
        <v>2009208.41</v>
      </c>
      <c r="J17" s="213">
        <f>SUMIFS('CF BEST'!$C$9:$C1013, 'CF BEST'!$I$9:$I1013, B17,'CF BEST'!$F$9:$F1013, $K$5)+D17+F17+H17</f>
        <v>0</v>
      </c>
      <c r="K17" s="213">
        <f>SUMIFS('CF BEST'!$D$9:$D1013, 'CF BEST'!$I$9:$I1013, B17,'CF BEST'!$F$9:$F1013, $K$5)+E17+G17+I17</f>
        <v>6028630.62</v>
      </c>
      <c r="L17" s="210">
        <f>SUMIFS('CF BEST'!$C$9:$C1013, 'CF BEST'!$I$9:$I1013, B17,'CF BEST'!$F$9:$F1013, $M$5)</f>
        <v>0</v>
      </c>
      <c r="M17" s="210">
        <f>SUMIFS('CF BEST'!$D$9:$D1013, 'CF BEST'!$I$9:$I1013, B17,'CF BEST'!$F$9:$F1013, $M$5)</f>
        <v>1897282.69</v>
      </c>
      <c r="N17" s="211">
        <f>SUMIFS('CF BEST'!$C$9:$C1013, 'CF BEST'!$I$9:$I1013, B17,'CF BEST'!$F$9:$F1013, $O$5)</f>
        <v>0</v>
      </c>
      <c r="O17" s="211">
        <f>SUMIFS('CF BEST'!$D$9:$D1013, 'CF BEST'!$I$9:$I1013, B17,'CF BEST'!$F$9:$F1013, $O$5)</f>
        <v>2074332.38</v>
      </c>
      <c r="P17" s="212">
        <f>SUMIFS('CF BEST'!$C$9:$C1013, 'CF BEST'!$I$9:$I1013, B17,'CF BEST'!$F$9:$F1013, $Q$5)</f>
        <v>0</v>
      </c>
      <c r="Q17" s="212">
        <f>SUMIFS('CF BEST'!$D$9:$D1013, 'CF BEST'!$I$9:$I1013, B17,'CF BEST'!$F$9:$F1013, $Q$5)</f>
        <v>33808.22</v>
      </c>
      <c r="R17" s="213">
        <f>SUMIFS('CF BEST'!$C$9:$C1013, 'CF BEST'!$I$9:$I1013, B17,'CF BEST'!$F$9:$F1013, $S$5)+L17+N17+P17</f>
        <v>0</v>
      </c>
      <c r="S17" s="213">
        <f>SUMIFS('CF BEST'!$D$9:$D1013, 'CF BEST'!$I$9:$I1013, B17,'CF BEST'!$F$9:$F1013, $S$5)+M17+O17+Q17</f>
        <v>4005423.29</v>
      </c>
      <c r="T17" s="210">
        <f>SUMIFS('CF BEST'!$C$9:$C1013, 'CF BEST'!$I$9:$I1013, B17,'CF BEST'!$F$9:$F1013, $U$5)</f>
        <v>0</v>
      </c>
      <c r="U17" s="210">
        <f>SUMIFS('CF BEST'!$D$9:$D1013, 'CF BEST'!$I$9:$I1013, B17,'CF BEST'!$F$9:$F1013, $U$5)</f>
        <v>0</v>
      </c>
      <c r="V17" s="211">
        <f>SUMIFS('CF BEST'!$C$9:$C1013, 'CF BEST'!$I$9:$I1013, B17,'CF BEST'!$F$9:$F1013, $W$5)</f>
        <v>0</v>
      </c>
      <c r="W17" s="211">
        <f>SUMIFS('CF BEST'!$D$9:$D1013, 'CF BEST'!$I$9:$I1013, B17,'CF BEST'!$F$9:$F1013, $W$5)</f>
        <v>0</v>
      </c>
      <c r="X17" s="212">
        <f>SUMIFS('CF BEST'!$C$9:$C1013, 'CF BEST'!$I$9:$I1013, B17,'CF BEST'!$F$9:$F1013, $Y$5)</f>
        <v>0</v>
      </c>
      <c r="Y17" s="212">
        <f>SUMIFS('CF BEST'!$D$9:$D1013, 'CF BEST'!$I$9:$I1013, B17,'CF BEST'!$F$9:$F1013, $Y$5)</f>
        <v>0</v>
      </c>
      <c r="Z17" s="213">
        <f>SUMIFS('CF BEST'!$C$9:$C1013, 'CF BEST'!$I$9:$I1013, B17,'CF BEST'!$F$9:$F1013, $AA$5)+T17+V17+X17</f>
        <v>0</v>
      </c>
      <c r="AA17" s="213">
        <f>SUMIFS('CF BEST'!$D$9:$D1013, 'CF BEST'!$I$9:$I1013, B17,'CF BEST'!$F$9:$F1013, $AA$5)+U17+W17+Y17</f>
        <v>0</v>
      </c>
      <c r="AB17" s="210">
        <f>SUMIFS('CF BEST'!$C$9:$C1013, 'CF BEST'!$I$9:$I1013, B17,'CF BEST'!$F$9:$F1013, $AC$5)</f>
        <v>0</v>
      </c>
      <c r="AC17" s="210">
        <f>SUMIFS('CF BEST'!$D$9:$D1013, 'CF BEST'!$I$9:$I1013, B17,'CF BEST'!$F$9:$F1013, $AC$5)</f>
        <v>0</v>
      </c>
      <c r="AD17" s="211">
        <f>SUMIFS('CF BEST'!$C$9:$C1013, 'CF BEST'!$I$9:$I1013, B17,'CF BEST'!$F$9:$F1013, $AE$5)</f>
        <v>0</v>
      </c>
      <c r="AE17" s="211">
        <f>SUMIFS('CF BEST'!$D$9:$D1013, 'CF BEST'!$I$9:$I1013, B17,'CF BEST'!$F$9:$F1013, $AE$5)</f>
        <v>0</v>
      </c>
      <c r="AF17" s="212">
        <f>SUMIFS('CF BEST'!$C$9:$C1013, 'CF BEST'!$I$9:$I1013, B17,'CF BEST'!$F$9:$F1013, $AG$5)</f>
        <v>0</v>
      </c>
      <c r="AG17" s="212">
        <f>SUMIFS('CF BEST'!$D$9:$D1013, 'CF BEST'!$I$9:$I1013, B17,'CF BEST'!$F$9:$F1013, $AG$5)</f>
        <v>0</v>
      </c>
      <c r="AH17" s="213">
        <f>SUMIFS('CF BEST'!$C$9:$C1013, 'CF BEST'!$I$9:$I1013, B17,'CF BEST'!$F$9:$F1013, $AI$5)+AB17+AD17+AF17</f>
        <v>0</v>
      </c>
      <c r="AI17" s="213">
        <f>SUMIFS('CF BEST'!$D$9:$D1013, 'CF BEST'!$I$9:$I1013, B17,'CF BEST'!$F$9:$F1013, $AI$5)+AC17+AE17+AG17</f>
        <v>0</v>
      </c>
    </row>
    <row r="18">
      <c r="A18" s="214">
        <f t="shared" si="2"/>
        <v>0.02799293907</v>
      </c>
      <c r="B18" s="208" t="s">
        <v>53</v>
      </c>
      <c r="C18" s="209">
        <f t="shared" si="5"/>
        <v>2015000</v>
      </c>
      <c r="D18" s="210">
        <f>SUMIFS('CF BEST'!$C$9:$C1013, 'CF BEST'!$I$9:$I1013, B18,'CF BEST'!$F$9:$F1013, $E$5)</f>
        <v>0</v>
      </c>
      <c r="E18" s="210">
        <f>SUMIFS('CF BEST'!$D$9:$D1013, 'CF BEST'!$I$9:$I1013, B18,'CF BEST'!$F$9:$F1013, $E$5)</f>
        <v>480000</v>
      </c>
      <c r="F18" s="211">
        <f>SUMIFS('CF BEST'!$C$9:$C1013, 'CF BEST'!$I$9:$I1013, B18,'CF BEST'!$F$9:$F1013, $G$5)</f>
        <v>0</v>
      </c>
      <c r="G18" s="211">
        <f>SUMIFS('CF BEST'!$D$9:$D1013, 'CF BEST'!$I$9:$I1013, B18,'CF BEST'!$F$9:$F1013, $G$5)</f>
        <v>400000</v>
      </c>
      <c r="H18" s="212">
        <f>SUMIFS('CF BEST'!$C$9:$C1013, 'CF BEST'!$I$9:$I1013, B18,'CF BEST'!$F$9:$F1013, $I$5)</f>
        <v>0</v>
      </c>
      <c r="I18" s="212">
        <f>SUMIFS('CF BEST'!$D$9:$D1013, 'CF BEST'!$I$9:$I1013, B18,'CF BEST'!$F$9:$F1013, $I$5)</f>
        <v>395000</v>
      </c>
      <c r="J18" s="213">
        <f>SUMIFS('CF BEST'!$C$9:$C1013, 'CF BEST'!$I$9:$I1013, B18,'CF BEST'!$F$9:$F1013, $K$5)+D18+F18+H18</f>
        <v>0</v>
      </c>
      <c r="K18" s="213">
        <f>SUMIFS('CF BEST'!$D$9:$D1013, 'CF BEST'!$I$9:$I1013, B18,'CF BEST'!$F$9:$F1013, $K$5)+E18+G18+I18</f>
        <v>1275000</v>
      </c>
      <c r="L18" s="210">
        <f>SUMIFS('CF BEST'!$C$9:$C1013, 'CF BEST'!$I$9:$I1013, B18,'CF BEST'!$F$9:$F1013, $M$5)</f>
        <v>0</v>
      </c>
      <c r="M18" s="210">
        <f>SUMIFS('CF BEST'!$D$9:$D1013, 'CF BEST'!$I$9:$I1013, B18,'CF BEST'!$F$9:$F1013, $M$5)</f>
        <v>380000</v>
      </c>
      <c r="N18" s="211">
        <f>SUMIFS('CF BEST'!$C$9:$C1013, 'CF BEST'!$I$9:$I1013, B18,'CF BEST'!$F$9:$F1013, $O$5)</f>
        <v>0</v>
      </c>
      <c r="O18" s="211">
        <f>SUMIFS('CF BEST'!$D$9:$D1013, 'CF BEST'!$I$9:$I1013, B18,'CF BEST'!$F$9:$F1013, $O$5)</f>
        <v>330000</v>
      </c>
      <c r="P18" s="212">
        <f>SUMIFS('CF BEST'!$C$9:$C1013, 'CF BEST'!$I$9:$I1013, B18,'CF BEST'!$F$9:$F1013, $Q$5)</f>
        <v>0</v>
      </c>
      <c r="Q18" s="212">
        <f>SUMIFS('CF BEST'!$D$9:$D1013, 'CF BEST'!$I$9:$I1013, B18,'CF BEST'!$F$9:$F1013, $Q$5)</f>
        <v>30000</v>
      </c>
      <c r="R18" s="213">
        <f>SUMIFS('CF BEST'!$C$9:$C1013, 'CF BEST'!$I$9:$I1013, B18,'CF BEST'!$F$9:$F1013, $S$5)+L18+N18+P18</f>
        <v>0</v>
      </c>
      <c r="S18" s="213">
        <f>SUMIFS('CF BEST'!$D$9:$D1013, 'CF BEST'!$I$9:$I1013, B18,'CF BEST'!$F$9:$F1013, $S$5)+M18+O18+Q18</f>
        <v>740000</v>
      </c>
      <c r="T18" s="210">
        <f>SUMIFS('CF BEST'!$C$9:$C1013, 'CF BEST'!$I$9:$I1013, B18,'CF BEST'!$F$9:$F1013, $U$5)</f>
        <v>0</v>
      </c>
      <c r="U18" s="210">
        <f>SUMIFS('CF BEST'!$D$9:$D1013, 'CF BEST'!$I$9:$I1013, B18,'CF BEST'!$F$9:$F1013, $U$5)</f>
        <v>0</v>
      </c>
      <c r="V18" s="211">
        <f>SUMIFS('CF BEST'!$C$9:$C1013, 'CF BEST'!$I$9:$I1013, B18,'CF BEST'!$F$9:$F1013, $W$5)</f>
        <v>0</v>
      </c>
      <c r="W18" s="211">
        <f>SUMIFS('CF BEST'!$D$9:$D1013, 'CF BEST'!$I$9:$I1013, B18,'CF BEST'!$F$9:$F1013, $W$5)</f>
        <v>0</v>
      </c>
      <c r="X18" s="212">
        <f>SUMIFS('CF BEST'!$C$9:$C1013, 'CF BEST'!$I$9:$I1013, B18,'CF BEST'!$F$9:$F1013, $Y$5)</f>
        <v>0</v>
      </c>
      <c r="Y18" s="212">
        <f>SUMIFS('CF BEST'!$D$9:$D1013, 'CF BEST'!$I$9:$I1013, B18,'CF BEST'!$F$9:$F1013, $Y$5)</f>
        <v>0</v>
      </c>
      <c r="Z18" s="213">
        <f>SUMIFS('CF BEST'!$C$9:$C1013, 'CF BEST'!$I$9:$I1013, B18,'CF BEST'!$F$9:$F1013, $AA$5)+T18+V18+X18</f>
        <v>0</v>
      </c>
      <c r="AA18" s="213">
        <f>SUMIFS('CF BEST'!$D$9:$D1013, 'CF BEST'!$I$9:$I1013, B18,'CF BEST'!$F$9:$F1013, $AA$5)+U18+W18+Y18</f>
        <v>0</v>
      </c>
      <c r="AB18" s="210">
        <f>SUMIFS('CF BEST'!$C$9:$C1013, 'CF BEST'!$I$9:$I1013, B18,'CF BEST'!$F$9:$F1013, $AC$5)</f>
        <v>0</v>
      </c>
      <c r="AC18" s="210">
        <f>SUMIFS('CF BEST'!$D$9:$D1013, 'CF BEST'!$I$9:$I1013, B18,'CF BEST'!$F$9:$F1013, $AC$5)</f>
        <v>0</v>
      </c>
      <c r="AD18" s="211">
        <f>SUMIFS('CF BEST'!$C$9:$C1013, 'CF BEST'!$I$9:$I1013, B18,'CF BEST'!$F$9:$F1013, $AE$5)</f>
        <v>0</v>
      </c>
      <c r="AE18" s="211">
        <f>SUMIFS('CF BEST'!$D$9:$D1013, 'CF BEST'!$I$9:$I1013, B18,'CF BEST'!$F$9:$F1013, $AE$5)</f>
        <v>0</v>
      </c>
      <c r="AF18" s="212">
        <f>SUMIFS('CF BEST'!$C$9:$C1013, 'CF BEST'!$I$9:$I1013, B18,'CF BEST'!$F$9:$F1013, $AG$5)</f>
        <v>0</v>
      </c>
      <c r="AG18" s="212">
        <f>SUMIFS('CF BEST'!$D$9:$D1013, 'CF BEST'!$I$9:$I1013, B18,'CF BEST'!$F$9:$F1013, $AG$5)</f>
        <v>0</v>
      </c>
      <c r="AH18" s="213">
        <f>SUMIFS('CF BEST'!$C$9:$C1013, 'CF BEST'!$I$9:$I1013, B18,'CF BEST'!$F$9:$F1013, $AI$5)+AB18+AD18+AF18</f>
        <v>0</v>
      </c>
      <c r="AI18" s="213">
        <f>SUMIFS('CF BEST'!$D$9:$D1013, 'CF BEST'!$I$9:$I1013, B18,'CF BEST'!$F$9:$F1013, $AI$5)+AC18+AE18+AG18</f>
        <v>0</v>
      </c>
    </row>
    <row r="19">
      <c r="A19" s="214">
        <f t="shared" si="2"/>
        <v>0.01000033231</v>
      </c>
      <c r="B19" s="208" t="s">
        <v>65</v>
      </c>
      <c r="C19" s="209">
        <f t="shared" si="5"/>
        <v>719848.3</v>
      </c>
      <c r="D19" s="210">
        <f>SUMIFS('CF BEST'!$C$9:$C1013, 'CF BEST'!$I$9:$I1013, B19,'CF BEST'!$F$9:$F1013, $E$5)</f>
        <v>0</v>
      </c>
      <c r="E19" s="210">
        <f>SUMIFS('CF BEST'!$D$9:$D1013, 'CF BEST'!$I$9:$I1013, B19,'CF BEST'!$F$9:$F1013, $E$5)</f>
        <v>0</v>
      </c>
      <c r="F19" s="211">
        <f>SUMIFS('CF BEST'!$C$9:$C1013, 'CF BEST'!$I$9:$I1013, B19,'CF BEST'!$F$9:$F1013, $G$5)</f>
        <v>0</v>
      </c>
      <c r="G19" s="211">
        <f>SUMIFS('CF BEST'!$D$9:$D1013, 'CF BEST'!$I$9:$I1013, B19,'CF BEST'!$F$9:$F1013, $G$5)</f>
        <v>0</v>
      </c>
      <c r="H19" s="212">
        <f>SUMIFS('CF BEST'!$C$9:$C1013, 'CF BEST'!$I$9:$I1013, B19,'CF BEST'!$F$9:$F1013, $I$5)</f>
        <v>0</v>
      </c>
      <c r="I19" s="212">
        <f>SUMIFS('CF BEST'!$D$9:$D1013, 'CF BEST'!$I$9:$I1013, B19,'CF BEST'!$F$9:$F1013, $I$5)</f>
        <v>85000</v>
      </c>
      <c r="J19" s="213">
        <f>SUMIFS('CF BEST'!$C$9:$C1013, 'CF BEST'!$I$9:$I1013, B19,'CF BEST'!$F$9:$F1013, $K$5)+D19+F19+H19</f>
        <v>0</v>
      </c>
      <c r="K19" s="213">
        <f>SUMIFS('CF BEST'!$D$9:$D1013, 'CF BEST'!$I$9:$I1013, B19,'CF BEST'!$F$9:$F1013, $K$5)+E19+G19+I19</f>
        <v>569848.3</v>
      </c>
      <c r="L19" s="210">
        <f>SUMIFS('CF BEST'!$C$9:$C1013, 'CF BEST'!$I$9:$I1013, B19,'CF BEST'!$F$9:$F1013, $M$5)</f>
        <v>0</v>
      </c>
      <c r="M19" s="210">
        <f>SUMIFS('CF BEST'!$D$9:$D1013, 'CF BEST'!$I$9:$I1013, B19,'CF BEST'!$F$9:$F1013, $M$5)</f>
        <v>150000</v>
      </c>
      <c r="N19" s="211">
        <f>SUMIFS('CF BEST'!$C$9:$C1013, 'CF BEST'!$I$9:$I1013, B19,'CF BEST'!$F$9:$F1013, $O$5)</f>
        <v>0</v>
      </c>
      <c r="O19" s="211">
        <f>SUMIFS('CF BEST'!$D$9:$D1013, 'CF BEST'!$I$9:$I1013, B19,'CF BEST'!$F$9:$F1013, $O$5)</f>
        <v>0</v>
      </c>
      <c r="P19" s="212">
        <f>SUMIFS('CF BEST'!$C$9:$C1013, 'CF BEST'!$I$9:$I1013, B19,'CF BEST'!$F$9:$F1013, $Q$5)</f>
        <v>0</v>
      </c>
      <c r="Q19" s="212">
        <f>SUMIFS('CF BEST'!$D$9:$D1013, 'CF BEST'!$I$9:$I1013, B19,'CF BEST'!$F$9:$F1013, $Q$5)</f>
        <v>0</v>
      </c>
      <c r="R19" s="213">
        <f>SUMIFS('CF BEST'!$C$9:$C1013, 'CF BEST'!$I$9:$I1013, B19,'CF BEST'!$F$9:$F1013, $S$5)+L19+N19+P19</f>
        <v>0</v>
      </c>
      <c r="S19" s="213">
        <f>SUMIFS('CF BEST'!$D$9:$D1013, 'CF BEST'!$I$9:$I1013, B19,'CF BEST'!$F$9:$F1013, $S$5)+M19+O19+Q19</f>
        <v>150000</v>
      </c>
      <c r="T19" s="210">
        <f>SUMIFS('CF BEST'!$C$9:$C1013, 'CF BEST'!$I$9:$I1013, B19,'CF BEST'!$F$9:$F1013, $U$5)</f>
        <v>0</v>
      </c>
      <c r="U19" s="210">
        <f>SUMIFS('CF BEST'!$D$9:$D1013, 'CF BEST'!$I$9:$I1013, B19,'CF BEST'!$F$9:$F1013, $U$5)</f>
        <v>0</v>
      </c>
      <c r="V19" s="211">
        <f>SUMIFS('CF BEST'!$C$9:$C1013, 'CF BEST'!$I$9:$I1013, B19,'CF BEST'!$F$9:$F1013, $W$5)</f>
        <v>0</v>
      </c>
      <c r="W19" s="211">
        <f>SUMIFS('CF BEST'!$D$9:$D1013, 'CF BEST'!$I$9:$I1013, B19,'CF BEST'!$F$9:$F1013, $W$5)</f>
        <v>0</v>
      </c>
      <c r="X19" s="212">
        <f>SUMIFS('CF BEST'!$C$9:$C1013, 'CF BEST'!$I$9:$I1013, B19,'CF BEST'!$F$9:$F1013, $Y$5)</f>
        <v>0</v>
      </c>
      <c r="Y19" s="212">
        <f>SUMIFS('CF BEST'!$D$9:$D1013, 'CF BEST'!$I$9:$I1013, B19,'CF BEST'!$F$9:$F1013, $Y$5)</f>
        <v>0</v>
      </c>
      <c r="Z19" s="213">
        <f>SUMIFS('CF BEST'!$C$9:$C1013, 'CF BEST'!$I$9:$I1013, B19,'CF BEST'!$F$9:$F1013, $AA$5)+T19+V19+X19</f>
        <v>0</v>
      </c>
      <c r="AA19" s="213">
        <f>SUMIFS('CF BEST'!$D$9:$D1013, 'CF BEST'!$I$9:$I1013, B19,'CF BEST'!$F$9:$F1013, $AA$5)+U19+W19+Y19</f>
        <v>0</v>
      </c>
      <c r="AB19" s="210">
        <f>SUMIFS('CF BEST'!$C$9:$C1013, 'CF BEST'!$I$9:$I1013, B19,'CF BEST'!$F$9:$F1013, $AC$5)</f>
        <v>0</v>
      </c>
      <c r="AC19" s="210">
        <f>SUMIFS('CF BEST'!$D$9:$D1013, 'CF BEST'!$I$9:$I1013, B19,'CF BEST'!$F$9:$F1013, $AC$5)</f>
        <v>0</v>
      </c>
      <c r="AD19" s="211">
        <f>SUMIFS('CF BEST'!$C$9:$C1013, 'CF BEST'!$I$9:$I1013, B19,'CF BEST'!$F$9:$F1013, $AE$5)</f>
        <v>0</v>
      </c>
      <c r="AE19" s="211">
        <f>SUMIFS('CF BEST'!$D$9:$D1013, 'CF BEST'!$I$9:$I1013, B19,'CF BEST'!$F$9:$F1013, $AE$5)</f>
        <v>0</v>
      </c>
      <c r="AF19" s="212">
        <f>SUMIFS('CF BEST'!$C$9:$C1013, 'CF BEST'!$I$9:$I1013, B19,'CF BEST'!$F$9:$F1013, $AG$5)</f>
        <v>0</v>
      </c>
      <c r="AG19" s="212">
        <f>SUMIFS('CF BEST'!$D$9:$D1013, 'CF BEST'!$I$9:$I1013, B19,'CF BEST'!$F$9:$F1013, $AG$5)</f>
        <v>0</v>
      </c>
      <c r="AH19" s="213">
        <f>SUMIFS('CF BEST'!$C$9:$C1013, 'CF BEST'!$I$9:$I1013, B19,'CF BEST'!$F$9:$F1013, $AI$5)+AB19+AD19+AF19</f>
        <v>0</v>
      </c>
      <c r="AI19" s="213">
        <f>SUMIFS('CF BEST'!$D$9:$D1013, 'CF BEST'!$I$9:$I1013, B19,'CF BEST'!$F$9:$F1013, $AI$5)+AC19+AE19+AG19</f>
        <v>0</v>
      </c>
    </row>
    <row r="20">
      <c r="A20" s="214">
        <f t="shared" si="2"/>
        <v>0.02435594083</v>
      </c>
      <c r="B20" s="208" t="s">
        <v>599</v>
      </c>
      <c r="C20" s="209">
        <f t="shared" si="5"/>
        <v>1753200</v>
      </c>
      <c r="D20" s="210">
        <f>SUMIFS('CF BEST'!$C$9:$C1013, 'CF BEST'!$I$9:$I1013, B20,'CF BEST'!$F$9:$F1013, $E$5)</f>
        <v>0</v>
      </c>
      <c r="E20" s="210">
        <f>SUMIFS('CF BEST'!$D$9:$D1013, 'CF BEST'!$I$9:$I1013, B20,'CF BEST'!$F$9:$F1013, $E$5)</f>
        <v>0</v>
      </c>
      <c r="F20" s="211">
        <f>SUMIFS('CF BEST'!$C$9:$C1013, 'CF BEST'!$I$9:$I1013, B20,'CF BEST'!$F$9:$F1013, $G$5)</f>
        <v>0</v>
      </c>
      <c r="G20" s="211">
        <f>SUMIFS('CF BEST'!$D$9:$D1013, 'CF BEST'!$I$9:$I1013, B20,'CF BEST'!$F$9:$F1013, $G$5)</f>
        <v>367827</v>
      </c>
      <c r="H20" s="212">
        <f>SUMIFS('CF BEST'!$C$9:$C1013, 'CF BEST'!$I$9:$I1013, B20,'CF BEST'!$F$9:$F1013, $I$5)</f>
        <v>0</v>
      </c>
      <c r="I20" s="212">
        <f>SUMIFS('CF BEST'!$D$9:$D1013, 'CF BEST'!$I$9:$I1013, B20,'CF BEST'!$F$9:$F1013, $I$5)</f>
        <v>729894</v>
      </c>
      <c r="J20" s="213">
        <f>SUMIFS('CF BEST'!$C$9:$C1013, 'CF BEST'!$I$9:$I1013, B20,'CF BEST'!$F$9:$F1013, $K$5)+D20+F20+H20</f>
        <v>0</v>
      </c>
      <c r="K20" s="213">
        <f>SUMIFS('CF BEST'!$D$9:$D1013, 'CF BEST'!$I$9:$I1013, B20,'CF BEST'!$F$9:$F1013, $K$5)+E20+G20+I20</f>
        <v>1097721</v>
      </c>
      <c r="L20" s="210">
        <f>SUMIFS('CF BEST'!$C$9:$C1013, 'CF BEST'!$I$9:$I1013, B20,'CF BEST'!$F$9:$F1013, $M$5)</f>
        <v>0</v>
      </c>
      <c r="M20" s="210">
        <f>SUMIFS('CF BEST'!$D$9:$D1013, 'CF BEST'!$I$9:$I1013, B20,'CF BEST'!$F$9:$F1013, $M$5)</f>
        <v>181342</v>
      </c>
      <c r="N20" s="211">
        <f>SUMIFS('CF BEST'!$C$9:$C1013, 'CF BEST'!$I$9:$I1013, B20,'CF BEST'!$F$9:$F1013, $O$5)</f>
        <v>0</v>
      </c>
      <c r="O20" s="211">
        <f>SUMIFS('CF BEST'!$D$9:$D1013, 'CF BEST'!$I$9:$I1013, B20,'CF BEST'!$F$9:$F1013, $O$5)</f>
        <v>474137</v>
      </c>
      <c r="P20" s="212">
        <f>SUMIFS('CF BEST'!$C$9:$C1013, 'CF BEST'!$I$9:$I1013, B20,'CF BEST'!$F$9:$F1013, $Q$5)</f>
        <v>0</v>
      </c>
      <c r="Q20" s="212">
        <f>SUMIFS('CF BEST'!$D$9:$D1013, 'CF BEST'!$I$9:$I1013, B20,'CF BEST'!$F$9:$F1013, $Q$5)</f>
        <v>0</v>
      </c>
      <c r="R20" s="213">
        <f>SUMIFS('CF BEST'!$C$9:$C1013, 'CF BEST'!$I$9:$I1013, B20,'CF BEST'!$F$9:$F1013, $S$5)+L20+N20+P20</f>
        <v>0</v>
      </c>
      <c r="S20" s="213">
        <f>SUMIFS('CF BEST'!$D$9:$D1013, 'CF BEST'!$I$9:$I1013, B20,'CF BEST'!$F$9:$F1013, $S$5)+M20+O20+Q20</f>
        <v>655479</v>
      </c>
      <c r="T20" s="210">
        <f>SUMIFS('CF BEST'!$C$9:$C1013, 'CF BEST'!$I$9:$I1013, B20,'CF BEST'!$F$9:$F1013, $U$5)</f>
        <v>0</v>
      </c>
      <c r="U20" s="210">
        <f>SUMIFS('CF BEST'!$D$9:$D1013, 'CF BEST'!$I$9:$I1013, B20,'CF BEST'!$F$9:$F1013, $U$5)</f>
        <v>0</v>
      </c>
      <c r="V20" s="211">
        <f>SUMIFS('CF BEST'!$C$9:$C1013, 'CF BEST'!$I$9:$I1013, B20,'CF BEST'!$F$9:$F1013, $W$5)</f>
        <v>0</v>
      </c>
      <c r="W20" s="211">
        <f>SUMIFS('CF BEST'!$D$9:$D1013, 'CF BEST'!$I$9:$I1013, B20,'CF BEST'!$F$9:$F1013, $W$5)</f>
        <v>0</v>
      </c>
      <c r="X20" s="212">
        <f>SUMIFS('CF BEST'!$C$9:$C1013, 'CF BEST'!$I$9:$I1013, B20,'CF BEST'!$F$9:$F1013, $Y$5)</f>
        <v>0</v>
      </c>
      <c r="Y20" s="212">
        <f>SUMIFS('CF BEST'!$D$9:$D1013, 'CF BEST'!$I$9:$I1013, B20,'CF BEST'!$F$9:$F1013, $Y$5)</f>
        <v>0</v>
      </c>
      <c r="Z20" s="213">
        <f>SUMIFS('CF BEST'!$C$9:$C1013, 'CF BEST'!$I$9:$I1013, B20,'CF BEST'!$F$9:$F1013, $AA$5)+T20+V20+X20</f>
        <v>0</v>
      </c>
      <c r="AA20" s="213">
        <f>SUMIFS('CF BEST'!$D$9:$D1013, 'CF BEST'!$I$9:$I1013, B20,'CF BEST'!$F$9:$F1013, $AA$5)+U20+W20+Y20</f>
        <v>0</v>
      </c>
      <c r="AB20" s="210">
        <f>SUMIFS('CF BEST'!$C$9:$C1013, 'CF BEST'!$I$9:$I1013, B20,'CF BEST'!$F$9:$F1013, $AC$5)</f>
        <v>0</v>
      </c>
      <c r="AC20" s="210">
        <f>SUMIFS('CF BEST'!$D$9:$D1013, 'CF BEST'!$I$9:$I1013, B20,'CF BEST'!$F$9:$F1013, $AC$5)</f>
        <v>0</v>
      </c>
      <c r="AD20" s="211">
        <f>SUMIFS('CF BEST'!$C$9:$C1013, 'CF BEST'!$I$9:$I1013, B20,'CF BEST'!$F$9:$F1013, $AE$5)</f>
        <v>0</v>
      </c>
      <c r="AE20" s="211">
        <f>SUMIFS('CF BEST'!$D$9:$D1013, 'CF BEST'!$I$9:$I1013, B20,'CF BEST'!$F$9:$F1013, $AE$5)</f>
        <v>0</v>
      </c>
      <c r="AF20" s="212">
        <f>SUMIFS('CF BEST'!$C$9:$C1013, 'CF BEST'!$I$9:$I1013, B20,'CF BEST'!$F$9:$F1013, $AG$5)</f>
        <v>0</v>
      </c>
      <c r="AG20" s="212">
        <f>SUMIFS('CF BEST'!$D$9:$D1013, 'CF BEST'!$I$9:$I1013, B20,'CF BEST'!$F$9:$F1013, $AG$5)</f>
        <v>0</v>
      </c>
      <c r="AH20" s="213">
        <f>SUMIFS('CF BEST'!$C$9:$C1013, 'CF BEST'!$I$9:$I1013, B20,'CF BEST'!$F$9:$F1013, $AI$5)+AB20+AD20+AF20</f>
        <v>0</v>
      </c>
      <c r="AI20" s="213">
        <f>SUMIFS('CF BEST'!$D$9:$D1013, 'CF BEST'!$I$9:$I1013, B20,'CF BEST'!$F$9:$F1013, $AI$5)+AC20+AE20+AG20</f>
        <v>0</v>
      </c>
    </row>
    <row r="21">
      <c r="A21" s="214">
        <f t="shared" si="2"/>
        <v>0.04763857793</v>
      </c>
      <c r="B21" s="208" t="s">
        <v>622</v>
      </c>
      <c r="C21" s="209">
        <f t="shared" si="5"/>
        <v>3429140.98</v>
      </c>
      <c r="D21" s="210">
        <f>SUMIFS('CF BEST'!$C$9:$C1013, 'CF BEST'!$I$9:$I1013, B21,'CF BEST'!$F$9:$F1013, $E$5)</f>
        <v>0</v>
      </c>
      <c r="E21" s="210">
        <f>SUMIFS('CF BEST'!$D$9:$D1013, 'CF BEST'!$I$9:$I1013, B21,'CF BEST'!$F$9:$F1013, $E$5)</f>
        <v>628205</v>
      </c>
      <c r="F21" s="211">
        <f>SUMIFS('CF BEST'!$C$9:$C1013, 'CF BEST'!$I$9:$I1013, B21,'CF BEST'!$F$9:$F1013, $G$5)</f>
        <v>0</v>
      </c>
      <c r="G21" s="211">
        <f>SUMIFS('CF BEST'!$D$9:$D1013, 'CF BEST'!$I$9:$I1013, B21,'CF BEST'!$F$9:$F1013, $G$5)</f>
        <v>22344.67</v>
      </c>
      <c r="H21" s="212">
        <f>SUMIFS('CF BEST'!$C$9:$C1013, 'CF BEST'!$I$9:$I1013, B21,'CF BEST'!$F$9:$F1013, $I$5)</f>
        <v>0</v>
      </c>
      <c r="I21" s="212">
        <f>SUMIFS('CF BEST'!$D$9:$D1013, 'CF BEST'!$I$9:$I1013, B21,'CF BEST'!$F$9:$F1013, $I$5)</f>
        <v>2102922.7</v>
      </c>
      <c r="J21" s="213">
        <f>SUMIFS('CF BEST'!$C$9:$C1013, 'CF BEST'!$I$9:$I1013, B21,'CF BEST'!$F$9:$F1013, $K$5)+D21+F21+H21</f>
        <v>0</v>
      </c>
      <c r="K21" s="213">
        <f>SUMIFS('CF BEST'!$D$9:$D1013, 'CF BEST'!$I$9:$I1013, B21,'CF BEST'!$F$9:$F1013, $K$5)+E21+G21+I21</f>
        <v>2753472.37</v>
      </c>
      <c r="L21" s="210">
        <f>SUMIFS('CF BEST'!$C$9:$C1013, 'CF BEST'!$I$9:$I1013, B21,'CF BEST'!$F$9:$F1013, $M$5)</f>
        <v>0</v>
      </c>
      <c r="M21" s="210">
        <f>SUMIFS('CF BEST'!$D$9:$D1013, 'CF BEST'!$I$9:$I1013, B21,'CF BEST'!$F$9:$F1013, $M$5)</f>
        <v>7270.73</v>
      </c>
      <c r="N21" s="211">
        <f>SUMIFS('CF BEST'!$C$9:$C1013, 'CF BEST'!$I$9:$I1013, B21,'CF BEST'!$F$9:$F1013, $O$5)</f>
        <v>0</v>
      </c>
      <c r="O21" s="211">
        <f>SUMIFS('CF BEST'!$D$9:$D1013, 'CF BEST'!$I$9:$I1013, B21,'CF BEST'!$F$9:$F1013, $O$5)</f>
        <v>668397.88</v>
      </c>
      <c r="P21" s="212">
        <f>SUMIFS('CF BEST'!$C$9:$C1013, 'CF BEST'!$I$9:$I1013, B21,'CF BEST'!$F$9:$F1013, $Q$5)</f>
        <v>0</v>
      </c>
      <c r="Q21" s="212">
        <f>SUMIFS('CF BEST'!$D$9:$D1013, 'CF BEST'!$I$9:$I1013, B21,'CF BEST'!$F$9:$F1013, $Q$5)</f>
        <v>0</v>
      </c>
      <c r="R21" s="213">
        <f>SUMIFS('CF BEST'!$C$9:$C1013, 'CF BEST'!$I$9:$I1013, B21,'CF BEST'!$F$9:$F1013, $S$5)+L21+N21+P21</f>
        <v>0</v>
      </c>
      <c r="S21" s="213">
        <f>SUMIFS('CF BEST'!$D$9:$D1013, 'CF BEST'!$I$9:$I1013, B21,'CF BEST'!$F$9:$F1013, $S$5)+M21+O21+Q21</f>
        <v>675668.61</v>
      </c>
      <c r="T21" s="210">
        <f>SUMIFS('CF BEST'!$C$9:$C1013, 'CF BEST'!$I$9:$I1013, B21,'CF BEST'!$F$9:$F1013, $U$5)</f>
        <v>0</v>
      </c>
      <c r="U21" s="210">
        <f>SUMIFS('CF BEST'!$D$9:$D1013, 'CF BEST'!$I$9:$I1013, B21,'CF BEST'!$F$9:$F1013, $U$5)</f>
        <v>0</v>
      </c>
      <c r="V21" s="211">
        <f>SUMIFS('CF BEST'!$C$9:$C1013, 'CF BEST'!$I$9:$I1013, B21,'CF BEST'!$F$9:$F1013, $W$5)</f>
        <v>0</v>
      </c>
      <c r="W21" s="211">
        <f>SUMIFS('CF BEST'!$D$9:$D1013, 'CF BEST'!$I$9:$I1013, B21,'CF BEST'!$F$9:$F1013, $W$5)</f>
        <v>0</v>
      </c>
      <c r="X21" s="212">
        <f>SUMIFS('CF BEST'!$C$9:$C1013, 'CF BEST'!$I$9:$I1013, B21,'CF BEST'!$F$9:$F1013, $Y$5)</f>
        <v>0</v>
      </c>
      <c r="Y21" s="212">
        <f>SUMIFS('CF BEST'!$D$9:$D1013, 'CF BEST'!$I$9:$I1013, B21,'CF BEST'!$F$9:$F1013, $Y$5)</f>
        <v>0</v>
      </c>
      <c r="Z21" s="213">
        <f>SUMIFS('CF BEST'!$C$9:$C1013, 'CF BEST'!$I$9:$I1013, B21,'CF BEST'!$F$9:$F1013, $AA$5)+T21+V21+X21</f>
        <v>0</v>
      </c>
      <c r="AA21" s="213">
        <f>SUMIFS('CF BEST'!$D$9:$D1013, 'CF BEST'!$I$9:$I1013, B21,'CF BEST'!$F$9:$F1013, $AA$5)+U21+W21+Y21</f>
        <v>0</v>
      </c>
      <c r="AB21" s="210">
        <f>SUMIFS('CF BEST'!$C$9:$C1013, 'CF BEST'!$I$9:$I1013, B21,'CF BEST'!$F$9:$F1013, $AC$5)</f>
        <v>0</v>
      </c>
      <c r="AC21" s="210">
        <f>SUMIFS('CF BEST'!$D$9:$D1013, 'CF BEST'!$I$9:$I1013, B21,'CF BEST'!$F$9:$F1013, $AC$5)</f>
        <v>0</v>
      </c>
      <c r="AD21" s="211">
        <f>SUMIFS('CF BEST'!$C$9:$C1013, 'CF BEST'!$I$9:$I1013, B21,'CF BEST'!$F$9:$F1013, $AE$5)</f>
        <v>0</v>
      </c>
      <c r="AE21" s="211">
        <f>SUMIFS('CF BEST'!$D$9:$D1013, 'CF BEST'!$I$9:$I1013, B21,'CF BEST'!$F$9:$F1013, $AE$5)</f>
        <v>0</v>
      </c>
      <c r="AF21" s="212">
        <f>SUMIFS('CF BEST'!$C$9:$C1013, 'CF BEST'!$I$9:$I1013, B21,'CF BEST'!$F$9:$F1013, $AG$5)</f>
        <v>0</v>
      </c>
      <c r="AG21" s="212">
        <f>SUMIFS('CF BEST'!$D$9:$D1013, 'CF BEST'!$I$9:$I1013, B21,'CF BEST'!$F$9:$F1013, $AG$5)</f>
        <v>0</v>
      </c>
      <c r="AH21" s="213">
        <f>SUMIFS('CF BEST'!$C$9:$C1013, 'CF BEST'!$I$9:$I1013, B21,'CF BEST'!$F$9:$F1013, $AI$5)+AB21+AD21+AF21</f>
        <v>0</v>
      </c>
      <c r="AI21" s="213">
        <f>SUMIFS('CF BEST'!$D$9:$D1013, 'CF BEST'!$I$9:$I1013, B21,'CF BEST'!$F$9:$F1013, $AI$5)+AC21+AE21+AG21</f>
        <v>0</v>
      </c>
    </row>
    <row r="22">
      <c r="A22" s="214">
        <f t="shared" si="2"/>
        <v>0.06201967683</v>
      </c>
      <c r="B22" s="216" t="s">
        <v>71</v>
      </c>
      <c r="C22" s="217">
        <f t="shared" si="5"/>
        <v>4464327.54</v>
      </c>
      <c r="D22" s="217">
        <f>SUMIFS('CF BEST'!$C$9:$C1013, 'CF BEST'!$I$9:$I1013, B22,'CF BEST'!$F$9:$F1013, $E$5)</f>
        <v>0</v>
      </c>
      <c r="E22" s="217">
        <f t="shared" ref="E22:AI22" si="6">SUM(E23:E27)</f>
        <v>0</v>
      </c>
      <c r="F22" s="217">
        <f t="shared" si="6"/>
        <v>0</v>
      </c>
      <c r="G22" s="217">
        <f t="shared" si="6"/>
        <v>181.17</v>
      </c>
      <c r="H22" s="217">
        <f t="shared" si="6"/>
        <v>0</v>
      </c>
      <c r="I22" s="217">
        <f t="shared" si="6"/>
        <v>7346</v>
      </c>
      <c r="J22" s="217">
        <f t="shared" si="6"/>
        <v>0</v>
      </c>
      <c r="K22" s="217">
        <f t="shared" si="6"/>
        <v>4358395.54</v>
      </c>
      <c r="L22" s="217">
        <f t="shared" si="6"/>
        <v>0</v>
      </c>
      <c r="M22" s="217">
        <f t="shared" si="6"/>
        <v>0</v>
      </c>
      <c r="N22" s="217">
        <f t="shared" si="6"/>
        <v>0</v>
      </c>
      <c r="O22" s="217">
        <f t="shared" si="6"/>
        <v>0</v>
      </c>
      <c r="P22" s="217">
        <f t="shared" si="6"/>
        <v>0</v>
      </c>
      <c r="Q22" s="217">
        <f t="shared" si="6"/>
        <v>0</v>
      </c>
      <c r="R22" s="217">
        <f t="shared" si="6"/>
        <v>0</v>
      </c>
      <c r="S22" s="217">
        <f t="shared" si="6"/>
        <v>105932</v>
      </c>
      <c r="T22" s="217">
        <f t="shared" si="6"/>
        <v>0</v>
      </c>
      <c r="U22" s="217">
        <f t="shared" si="6"/>
        <v>0</v>
      </c>
      <c r="V22" s="217">
        <f t="shared" si="6"/>
        <v>0</v>
      </c>
      <c r="W22" s="217">
        <f t="shared" si="6"/>
        <v>0</v>
      </c>
      <c r="X22" s="217">
        <f t="shared" si="6"/>
        <v>0</v>
      </c>
      <c r="Y22" s="217">
        <f t="shared" si="6"/>
        <v>0</v>
      </c>
      <c r="Z22" s="217">
        <f t="shared" si="6"/>
        <v>0</v>
      </c>
      <c r="AA22" s="217">
        <f t="shared" si="6"/>
        <v>0</v>
      </c>
      <c r="AB22" s="217">
        <f t="shared" si="6"/>
        <v>0</v>
      </c>
      <c r="AC22" s="217">
        <f t="shared" si="6"/>
        <v>0</v>
      </c>
      <c r="AD22" s="217">
        <f t="shared" si="6"/>
        <v>0</v>
      </c>
      <c r="AE22" s="217">
        <f t="shared" si="6"/>
        <v>0</v>
      </c>
      <c r="AF22" s="217">
        <f t="shared" si="6"/>
        <v>0</v>
      </c>
      <c r="AG22" s="217">
        <f t="shared" si="6"/>
        <v>0</v>
      </c>
      <c r="AH22" s="217">
        <f t="shared" si="6"/>
        <v>0</v>
      </c>
      <c r="AI22" s="217">
        <f t="shared" si="6"/>
        <v>0</v>
      </c>
    </row>
    <row r="23">
      <c r="A23" s="214">
        <f t="shared" si="2"/>
        <v>0.005697459153</v>
      </c>
      <c r="B23" s="208" t="s">
        <v>598</v>
      </c>
      <c r="C23" s="209">
        <f t="shared" si="5"/>
        <v>410117</v>
      </c>
      <c r="D23" s="210">
        <f>SUMIFS('CF BEST'!$C$9:$C1013, 'CF BEST'!$I$9:$I1013, B23,'CF BEST'!$F$9:$F1013, $E$5)</f>
        <v>0</v>
      </c>
      <c r="E23" s="210">
        <f>SUMIFS('CF BEST'!$D$9:$D1013, 'CF BEST'!$I$9:$I1013, B23,'CF BEST'!$F$9:$F1013, $E$5)</f>
        <v>0</v>
      </c>
      <c r="F23" s="211">
        <f>SUMIFS('CF BEST'!$C$9:$C1013, 'CF BEST'!$I$9:$I1013, B23,'CF BEST'!$F$9:$F1013, $G$5)</f>
        <v>0</v>
      </c>
      <c r="G23" s="211">
        <f>SUMIFS('CF BEST'!$D$9:$D1013, 'CF BEST'!$I$9:$I1013, B23,'CF BEST'!$F$9:$F1013, $G$5)</f>
        <v>0</v>
      </c>
      <c r="H23" s="212">
        <f>SUMIFS('CF BEST'!$C$9:$C1013, 'CF BEST'!$I$9:$I1013, B23,'CF BEST'!$F$9:$F1013, $I$5)</f>
        <v>0</v>
      </c>
      <c r="I23" s="212">
        <f>SUMIFS('CF BEST'!$D$9:$D1013, 'CF BEST'!$I$9:$I1013, B23,'CF BEST'!$F$9:$F1013, $I$5)</f>
        <v>0</v>
      </c>
      <c r="J23" s="213">
        <f>SUMIFS('CF BEST'!$C$9:$C1013, 'CF BEST'!$I$9:$I1013, B23,'CF BEST'!$F$9:$F1013, $K$5)+D23+F23+H23</f>
        <v>0</v>
      </c>
      <c r="K23" s="213">
        <f>SUMIFS('CF BEST'!$D$9:$D1013, 'CF BEST'!$I$9:$I1013, B23,'CF BEST'!$F$9:$F1013, $K$5)+E23+G23+I23</f>
        <v>304185</v>
      </c>
      <c r="L23" s="210">
        <f>SUMIFS('CF BEST'!$C$9:$C1013, 'CF BEST'!$I$9:$I1013, B23,'CF BEST'!$F$9:$F1013, $M$5)</f>
        <v>0</v>
      </c>
      <c r="M23" s="210">
        <f>SUMIFS('CF BEST'!$D$9:$D1013, 'CF BEST'!$I$9:$I1013, B23,'CF BEST'!$F$9:$F1013, $M$5)</f>
        <v>0</v>
      </c>
      <c r="N23" s="211">
        <f>SUMIFS('CF BEST'!$C$9:$C1013, 'CF BEST'!$I$9:$I1013, B23,'CF BEST'!$F$9:$F1013, $O$5)</f>
        <v>0</v>
      </c>
      <c r="O23" s="211">
        <f>SUMIFS('CF BEST'!$D$9:$D1013, 'CF BEST'!$I$9:$I1013, B23,'CF BEST'!$F$9:$F1013, $O$5)</f>
        <v>0</v>
      </c>
      <c r="P23" s="212">
        <f>SUMIFS('CF BEST'!$C$9:$C1013, 'CF BEST'!$I$9:$I1013, B23,'CF BEST'!$F$9:$F1013, $Q$5)</f>
        <v>0</v>
      </c>
      <c r="Q23" s="212">
        <f>SUMIFS('CF BEST'!$D$9:$D1013, 'CF BEST'!$I$9:$I1013, B23,'CF BEST'!$F$9:$F1013, $Q$5)</f>
        <v>0</v>
      </c>
      <c r="R23" s="213">
        <f>SUMIFS('CF BEST'!$C$9:$C1013, 'CF BEST'!$I$9:$I1013, B23,'CF BEST'!$F$9:$F1013, $S$5)+L23+N23+P23</f>
        <v>0</v>
      </c>
      <c r="S23" s="213">
        <f>SUMIFS('CF BEST'!$D$9:$D1013, 'CF BEST'!$I$9:$I1013, B23,'CF BEST'!$F$9:$F1013, $S$5)+M23+O23+Q23</f>
        <v>105932</v>
      </c>
      <c r="T23" s="210">
        <f>SUMIFS('CF BEST'!$C$9:$C1013, 'CF BEST'!$I$9:$I1013, B23,'CF BEST'!$F$9:$F1013, $U$5)</f>
        <v>0</v>
      </c>
      <c r="U23" s="210">
        <f>SUMIFS('CF BEST'!$D$9:$D1013, 'CF BEST'!$I$9:$I1013, B23,'CF BEST'!$F$9:$F1013, $U$5)</f>
        <v>0</v>
      </c>
      <c r="V23" s="211">
        <f>SUMIFS('CF BEST'!$C$9:$C1013, 'CF BEST'!$I$9:$I1013, B23,'CF BEST'!$F$9:$F1013, $W$5)</f>
        <v>0</v>
      </c>
      <c r="W23" s="211">
        <f>SUMIFS('CF BEST'!$D$9:$D1013, 'CF BEST'!$I$9:$I1013, B23,'CF BEST'!$F$9:$F1013, $W$5)</f>
        <v>0</v>
      </c>
      <c r="X23" s="212">
        <f>SUMIFS('CF BEST'!$C$9:$C1013, 'CF BEST'!$I$9:$I1013, B23,'CF BEST'!$F$9:$F1013, $Y$5)</f>
        <v>0</v>
      </c>
      <c r="Y23" s="212">
        <f>SUMIFS('CF BEST'!$D$9:$D1013, 'CF BEST'!$I$9:$I1013, B23,'CF BEST'!$F$9:$F1013, $Y$5)</f>
        <v>0</v>
      </c>
      <c r="Z23" s="213">
        <f>SUMIFS('CF BEST'!$C$9:$C1013, 'CF BEST'!$I$9:$I1013, B23,'CF BEST'!$F$9:$F1013, $AA$5)+T23+V23+X23</f>
        <v>0</v>
      </c>
      <c r="AA23" s="213">
        <f>SUMIFS('CF BEST'!$D$9:$D1013, 'CF BEST'!$I$9:$I1013, B23,'CF BEST'!$F$9:$F1013, $AA$5)+U23+W23+Y23</f>
        <v>0</v>
      </c>
      <c r="AB23" s="210">
        <f>SUMIFS('CF BEST'!$C$9:$C1013, 'CF BEST'!$I$9:$I1013, B23,'CF BEST'!$F$9:$F1013, $AC$5)</f>
        <v>0</v>
      </c>
      <c r="AC23" s="210">
        <f>SUMIFS('CF BEST'!$D$9:$D1013, 'CF BEST'!$I$9:$I1013, B23,'CF BEST'!$F$9:$F1013, $AC$5)</f>
        <v>0</v>
      </c>
      <c r="AD23" s="211">
        <f>SUMIFS('CF BEST'!$C$9:$C1013, 'CF BEST'!$I$9:$I1013, B23,'CF BEST'!$F$9:$F1013, $AE$5)</f>
        <v>0</v>
      </c>
      <c r="AE23" s="211">
        <f>SUMIFS('CF BEST'!$D$9:$D1013, 'CF BEST'!$I$9:$I1013, B23,'CF BEST'!$F$9:$F1013, $AE$5)</f>
        <v>0</v>
      </c>
      <c r="AF23" s="212">
        <f>SUMIFS('CF BEST'!$C$9:$C1013, 'CF BEST'!$I$9:$I1013, B23,'CF BEST'!$F$9:$F1013, $AG$5)</f>
        <v>0</v>
      </c>
      <c r="AG23" s="212">
        <f>SUMIFS('CF BEST'!$D$9:$D1013, 'CF BEST'!$I$9:$I1013, B23,'CF BEST'!$F$9:$F1013, $AG$5)</f>
        <v>0</v>
      </c>
      <c r="AH23" s="213">
        <f>SUMIFS('CF BEST'!$C$9:$C1013, 'CF BEST'!$I$9:$I1013, B23,'CF BEST'!$F$9:$F1013, $AI$5)+AB23+AD23+AF23</f>
        <v>0</v>
      </c>
      <c r="AI23" s="213">
        <f>SUMIFS('CF BEST'!$D$9:$D1013, 'CF BEST'!$I$9:$I1013, B23,'CF BEST'!$F$9:$F1013, $AI$5)+AC23+AE23+AG23</f>
        <v>0</v>
      </c>
    </row>
    <row r="24">
      <c r="A24" s="214">
        <f t="shared" si="2"/>
        <v>0.000002516863906</v>
      </c>
      <c r="B24" s="208" t="s">
        <v>600</v>
      </c>
      <c r="C24" s="209">
        <f t="shared" si="5"/>
        <v>181.17</v>
      </c>
      <c r="D24" s="210">
        <f>SUMIFS('CF BEST'!$C$9:$C1013, 'CF BEST'!$I$9:$I1013, B24,'CF BEST'!$F$9:$F1013, $E$5)</f>
        <v>0</v>
      </c>
      <c r="E24" s="210">
        <f>SUMIFS('CF BEST'!$D$9:$D1013, 'CF BEST'!$I$9:$I1013, B24,'CF BEST'!$F$9:$F1013, $E$5)</f>
        <v>0</v>
      </c>
      <c r="F24" s="211">
        <f>SUMIFS('CF BEST'!$C$9:$C1013, 'CF BEST'!$I$9:$I1013, B24,'CF BEST'!$F$9:$F1013, $G$5)</f>
        <v>0</v>
      </c>
      <c r="G24" s="211">
        <f>SUMIFS('CF BEST'!$D$9:$D1013, 'CF BEST'!$I$9:$I1013, B24,'CF BEST'!$F$9:$F1013, $G$5)</f>
        <v>181.17</v>
      </c>
      <c r="H24" s="212">
        <f>SUMIFS('CF BEST'!$C$9:$C1013, 'CF BEST'!$I$9:$I1013, B24,'CF BEST'!$F$9:$F1013, $I$5)</f>
        <v>0</v>
      </c>
      <c r="I24" s="212">
        <f>SUMIFS('CF BEST'!$D$9:$D1013, 'CF BEST'!$I$9:$I1013, B24,'CF BEST'!$F$9:$F1013, $I$5)</f>
        <v>0</v>
      </c>
      <c r="J24" s="213">
        <f>SUMIFS('CF BEST'!$C$9:$C1013, 'CF BEST'!$I$9:$I1013, B24,'CF BEST'!$F$9:$F1013, $K$5)+D24+F24+H24</f>
        <v>0</v>
      </c>
      <c r="K24" s="213">
        <f>SUMIFS('CF BEST'!$D$9:$D1013, 'CF BEST'!$I$9:$I1013, B24,'CF BEST'!$F$9:$F1013, $K$5)+E24+G24+I24</f>
        <v>181.17</v>
      </c>
      <c r="L24" s="210">
        <f>SUMIFS('CF BEST'!$C$9:$C1013, 'CF BEST'!$I$9:$I1013, B24,'CF BEST'!$F$9:$F1013, $M$5)</f>
        <v>0</v>
      </c>
      <c r="M24" s="210">
        <f>SUMIFS('CF BEST'!$D$9:$D1013, 'CF BEST'!$I$9:$I1013, B24,'CF BEST'!$F$9:$F1013, $M$5)</f>
        <v>0</v>
      </c>
      <c r="N24" s="211">
        <f>SUMIFS('CF BEST'!$C$9:$C1013, 'CF BEST'!$I$9:$I1013, B24,'CF BEST'!$F$9:$F1013, $O$5)</f>
        <v>0</v>
      </c>
      <c r="O24" s="211">
        <f>SUMIFS('CF BEST'!$D$9:$D1013, 'CF BEST'!$I$9:$I1013, B24,'CF BEST'!$F$9:$F1013, $O$5)</f>
        <v>0</v>
      </c>
      <c r="P24" s="212">
        <f>SUMIFS('CF BEST'!$C$9:$C1013, 'CF BEST'!$I$9:$I1013, B24,'CF BEST'!$F$9:$F1013, $Q$5)</f>
        <v>0</v>
      </c>
      <c r="Q24" s="212">
        <f>SUMIFS('CF BEST'!$D$9:$D1013, 'CF BEST'!$I$9:$I1013, B24,'CF BEST'!$F$9:$F1013, $Q$5)</f>
        <v>0</v>
      </c>
      <c r="R24" s="213">
        <f>SUMIFS('CF BEST'!$C$9:$C1013, 'CF BEST'!$I$9:$I1013, B24,'CF BEST'!$F$9:$F1013, $S$5)+L24+N24+P24</f>
        <v>0</v>
      </c>
      <c r="S24" s="213">
        <f>SUMIFS('CF BEST'!$D$9:$D1013, 'CF BEST'!$I$9:$I1013, B24,'CF BEST'!$F$9:$F1013, $S$5)+M24+O24+Q24</f>
        <v>0</v>
      </c>
      <c r="T24" s="210">
        <f>SUMIFS('CF BEST'!$C$9:$C1013, 'CF BEST'!$I$9:$I1013, B24,'CF BEST'!$F$9:$F1013, $U$5)</f>
        <v>0</v>
      </c>
      <c r="U24" s="210">
        <f>SUMIFS('CF BEST'!$D$9:$D1013, 'CF BEST'!$I$9:$I1013, B24,'CF BEST'!$F$9:$F1013, $U$5)</f>
        <v>0</v>
      </c>
      <c r="V24" s="211">
        <f>SUMIFS('CF BEST'!$C$9:$C1013, 'CF BEST'!$I$9:$I1013, B24,'CF BEST'!$F$9:$F1013, $W$5)</f>
        <v>0</v>
      </c>
      <c r="W24" s="211">
        <f>SUMIFS('CF BEST'!$D$9:$D1013, 'CF BEST'!$I$9:$I1013, B24,'CF BEST'!$F$9:$F1013, $W$5)</f>
        <v>0</v>
      </c>
      <c r="X24" s="212">
        <f>SUMIFS('CF BEST'!$C$9:$C1013, 'CF BEST'!$I$9:$I1013, B24,'CF BEST'!$F$9:$F1013, $Y$5)</f>
        <v>0</v>
      </c>
      <c r="Y24" s="212">
        <f>SUMIFS('CF BEST'!$D$9:$D1013, 'CF BEST'!$I$9:$I1013, B24,'CF BEST'!$F$9:$F1013, $Y$5)</f>
        <v>0</v>
      </c>
      <c r="Z24" s="213">
        <f>SUMIFS('CF BEST'!$C$9:$C1013, 'CF BEST'!$I$9:$I1013, B24,'CF BEST'!$F$9:$F1013, $AA$5)+T24+V24+X24</f>
        <v>0</v>
      </c>
      <c r="AA24" s="213">
        <f>SUMIFS('CF BEST'!$D$9:$D1013, 'CF BEST'!$I$9:$I1013, B24,'CF BEST'!$F$9:$F1013, $AA$5)+U24+W24+Y24</f>
        <v>0</v>
      </c>
      <c r="AB24" s="210">
        <f>SUMIFS('CF BEST'!$C$9:$C1013, 'CF BEST'!$I$9:$I1013, B24,'CF BEST'!$F$9:$F1013, $AC$5)</f>
        <v>0</v>
      </c>
      <c r="AC24" s="210">
        <f>SUMIFS('CF BEST'!$D$9:$D1013, 'CF BEST'!$I$9:$I1013, B24,'CF BEST'!$F$9:$F1013, $AC$5)</f>
        <v>0</v>
      </c>
      <c r="AD24" s="211">
        <f>SUMIFS('CF BEST'!$C$9:$C1013, 'CF BEST'!$I$9:$I1013, B24,'CF BEST'!$F$9:$F1013, $AE$5)</f>
        <v>0</v>
      </c>
      <c r="AE24" s="211">
        <f>SUMIFS('CF BEST'!$D$9:$D1013, 'CF BEST'!$I$9:$I1013, B24,'CF BEST'!$F$9:$F1013, $AE$5)</f>
        <v>0</v>
      </c>
      <c r="AF24" s="212">
        <f>SUMIFS('CF BEST'!$C$9:$C1013, 'CF BEST'!$I$9:$I1013, B24,'CF BEST'!$F$9:$F1013, $AG$5)</f>
        <v>0</v>
      </c>
      <c r="AG24" s="212">
        <f>SUMIFS('CF BEST'!$D$9:$D1013, 'CF BEST'!$I$9:$I1013, B24,'CF BEST'!$F$9:$F1013, $AG$5)</f>
        <v>0</v>
      </c>
      <c r="AH24" s="213">
        <f>SUMIFS('CF BEST'!$C$9:$C1013, 'CF BEST'!$I$9:$I1013, B24,'CF BEST'!$F$9:$F1013, $AI$5)+AB24+AD24+AF24</f>
        <v>0</v>
      </c>
      <c r="AI24" s="213">
        <f>SUMIFS('CF BEST'!$D$9:$D1013, 'CF BEST'!$I$9:$I1013, B24,'CF BEST'!$F$9:$F1013, $AI$5)+AC24+AE24+AG24</f>
        <v>0</v>
      </c>
    </row>
    <row r="25">
      <c r="A25" s="214">
        <f t="shared" si="2"/>
        <v>0.04597928458</v>
      </c>
      <c r="B25" s="208" t="s">
        <v>623</v>
      </c>
      <c r="C25" s="209">
        <f t="shared" si="5"/>
        <v>3309701</v>
      </c>
      <c r="D25" s="210">
        <f>SUMIFS('CF BEST'!$C$9:$C1013, 'CF BEST'!$I$9:$I1013, B25,'CF BEST'!$F$9:$F1013, $E$5)</f>
        <v>0</v>
      </c>
      <c r="E25" s="210">
        <f>SUMIFS('CF BEST'!$D$9:$D1013, 'CF BEST'!$I$9:$I1013, B25,'CF BEST'!$F$9:$F1013, $E$5)</f>
        <v>0</v>
      </c>
      <c r="F25" s="211">
        <f>SUMIFS('CF BEST'!$C$9:$C1013, 'CF BEST'!$I$9:$I1013, B25,'CF BEST'!$F$9:$F1013, $G$5)</f>
        <v>0</v>
      </c>
      <c r="G25" s="211">
        <f>SUMIFS('CF BEST'!$D$9:$D1013, 'CF BEST'!$I$9:$I1013, B25,'CF BEST'!$F$9:$F1013, $G$5)</f>
        <v>0</v>
      </c>
      <c r="H25" s="212">
        <f>SUMIFS('CF BEST'!$C$9:$C1013, 'CF BEST'!$I$9:$I1013, B25,'CF BEST'!$F$9:$F1013, $I$5)</f>
        <v>0</v>
      </c>
      <c r="I25" s="212">
        <f>SUMIFS('CF BEST'!$D$9:$D1013, 'CF BEST'!$I$9:$I1013, B25,'CF BEST'!$F$9:$F1013, $I$5)</f>
        <v>0</v>
      </c>
      <c r="J25" s="213">
        <f>SUMIFS('CF BEST'!$C$9:$C1013, 'CF BEST'!$I$9:$I1013, B25,'CF BEST'!$F$9:$F1013, $K$5)+D25+F25+H25</f>
        <v>0</v>
      </c>
      <c r="K25" s="213">
        <f>SUMIFS('CF BEST'!$D$9:$D1013, 'CF BEST'!$I$9:$I1013, B25,'CF BEST'!$F$9:$F1013, $K$5)+E25+G25+I25</f>
        <v>3309701</v>
      </c>
      <c r="L25" s="210">
        <f>SUMIFS('CF BEST'!$C$9:$C1013, 'CF BEST'!$I$9:$I1013, B25,'CF BEST'!$F$9:$F1013, $M$5)</f>
        <v>0</v>
      </c>
      <c r="M25" s="210">
        <f>SUMIFS('CF BEST'!$D$9:$D1013, 'CF BEST'!$I$9:$I1013, B25,'CF BEST'!$F$9:$F1013, $M$5)</f>
        <v>0</v>
      </c>
      <c r="N25" s="211">
        <f>SUMIFS('CF BEST'!$C$9:$C1013, 'CF BEST'!$I$9:$I1013, B25,'CF BEST'!$F$9:$F1013, $O$5)</f>
        <v>0</v>
      </c>
      <c r="O25" s="211">
        <f>SUMIFS('CF BEST'!$D$9:$D1013, 'CF BEST'!$I$9:$I1013, B25,'CF BEST'!$F$9:$F1013, $O$5)</f>
        <v>0</v>
      </c>
      <c r="P25" s="212">
        <f>SUMIFS('CF BEST'!$C$9:$C1013, 'CF BEST'!$I$9:$I1013, B25,'CF BEST'!$F$9:$F1013, $Q$5)</f>
        <v>0</v>
      </c>
      <c r="Q25" s="212">
        <f>SUMIFS('CF BEST'!$D$9:$D1013, 'CF BEST'!$I$9:$I1013, B25,'CF BEST'!$F$9:$F1013, $Q$5)</f>
        <v>0</v>
      </c>
      <c r="R25" s="213">
        <f>SUMIFS('CF BEST'!$C$9:$C1013, 'CF BEST'!$I$9:$I1013, B25,'CF BEST'!$F$9:$F1013, $S$5)+L25+N25+P25</f>
        <v>0</v>
      </c>
      <c r="S25" s="213">
        <f>SUMIFS('CF BEST'!$D$9:$D1013, 'CF BEST'!$I$9:$I1013, B25,'CF BEST'!$F$9:$F1013, $S$5)+M25+O25+Q25</f>
        <v>0</v>
      </c>
      <c r="T25" s="210">
        <f>SUMIFS('CF BEST'!$C$9:$C1013, 'CF BEST'!$I$9:$I1013, B25,'CF BEST'!$F$9:$F1013, $U$5)</f>
        <v>0</v>
      </c>
      <c r="U25" s="210">
        <f>SUMIFS('CF BEST'!$D$9:$D1013, 'CF BEST'!$I$9:$I1013, B25,'CF BEST'!$F$9:$F1013, $U$5)</f>
        <v>0</v>
      </c>
      <c r="V25" s="211">
        <f>SUMIFS('CF BEST'!$C$9:$C1013, 'CF BEST'!$I$9:$I1013, B25,'CF BEST'!$F$9:$F1013, $W$5)</f>
        <v>0</v>
      </c>
      <c r="W25" s="211">
        <f>SUMIFS('CF BEST'!$D$9:$D1013, 'CF BEST'!$I$9:$I1013, B25,'CF BEST'!$F$9:$F1013, $W$5)</f>
        <v>0</v>
      </c>
      <c r="X25" s="212">
        <f>SUMIFS('CF BEST'!$C$9:$C1013, 'CF BEST'!$I$9:$I1013, B25,'CF BEST'!$F$9:$F1013, $Y$5)</f>
        <v>0</v>
      </c>
      <c r="Y25" s="212">
        <f>SUMIFS('CF BEST'!$D$9:$D1013, 'CF BEST'!$I$9:$I1013, B25,'CF BEST'!$F$9:$F1013, $Y$5)</f>
        <v>0</v>
      </c>
      <c r="Z25" s="213">
        <f>SUMIFS('CF BEST'!$C$9:$C1013, 'CF BEST'!$I$9:$I1013, B25,'CF BEST'!$F$9:$F1013, $AA$5)+T25+V25+X25</f>
        <v>0</v>
      </c>
      <c r="AA25" s="213">
        <f>SUMIFS('CF BEST'!$D$9:$D1013, 'CF BEST'!$I$9:$I1013, B25,'CF BEST'!$F$9:$F1013, $AA$5)+U25+W25+Y25</f>
        <v>0</v>
      </c>
      <c r="AB25" s="210">
        <f>SUMIFS('CF BEST'!$C$9:$C1013, 'CF BEST'!$I$9:$I1013, B25,'CF BEST'!$F$9:$F1013, $AC$5)</f>
        <v>0</v>
      </c>
      <c r="AC25" s="210">
        <f>SUMIFS('CF BEST'!$D$9:$D1013, 'CF BEST'!$I$9:$I1013, B25,'CF BEST'!$F$9:$F1013, $AC$5)</f>
        <v>0</v>
      </c>
      <c r="AD25" s="211">
        <f>SUMIFS('CF BEST'!$C$9:$C1013, 'CF BEST'!$I$9:$I1013, B25,'CF BEST'!$F$9:$F1013, $AE$5)</f>
        <v>0</v>
      </c>
      <c r="AE25" s="211">
        <f>SUMIFS('CF BEST'!$D$9:$D1013, 'CF BEST'!$I$9:$I1013, B25,'CF BEST'!$F$9:$F1013, $AE$5)</f>
        <v>0</v>
      </c>
      <c r="AF25" s="212">
        <f>SUMIFS('CF BEST'!$C$9:$C1013, 'CF BEST'!$I$9:$I1013, B25,'CF BEST'!$F$9:$F1013, $AG$5)</f>
        <v>0</v>
      </c>
      <c r="AG25" s="212">
        <f>SUMIFS('CF BEST'!$D$9:$D1013, 'CF BEST'!$I$9:$I1013, B25,'CF BEST'!$F$9:$F1013, $AG$5)</f>
        <v>0</v>
      </c>
      <c r="AH25" s="213">
        <f>SUMIFS('CF BEST'!$C$9:$C1013, 'CF BEST'!$I$9:$I1013, B25,'CF BEST'!$F$9:$F1013, $AI$5)+AB25+AD25+AF25</f>
        <v>0</v>
      </c>
      <c r="AI25" s="213">
        <f>SUMIFS('CF BEST'!$D$9:$D1013, 'CF BEST'!$I$9:$I1013, B25,'CF BEST'!$F$9:$F1013, $AI$5)+AC25+AE25+AG25</f>
        <v>0</v>
      </c>
    </row>
    <row r="26">
      <c r="A26" s="214">
        <f t="shared" si="2"/>
        <v>0.0001020526702</v>
      </c>
      <c r="B26" s="208" t="s">
        <v>659</v>
      </c>
      <c r="C26" s="209">
        <f t="shared" si="5"/>
        <v>7346</v>
      </c>
      <c r="D26" s="210">
        <f>SUMIFS('CF BEST'!$C$9:$C1013, 'CF BEST'!$I$9:$I1013, B26,'CF BEST'!$F$9:$F1013, $E$5)</f>
        <v>0</v>
      </c>
      <c r="E26" s="210">
        <f>SUMIFS('CF BEST'!$D$9:$D1013, 'CF BEST'!$I$9:$I1013, B26,'CF BEST'!$F$9:$F1013, $E$5)</f>
        <v>0</v>
      </c>
      <c r="F26" s="211">
        <f>SUMIFS('CF BEST'!$C$9:$C1013, 'CF BEST'!$I$9:$I1013, B26,'CF BEST'!$F$9:$F1013, $G$5)</f>
        <v>0</v>
      </c>
      <c r="G26" s="211">
        <f>SUMIFS('CF BEST'!$D$9:$D1013, 'CF BEST'!$I$9:$I1013, B26,'CF BEST'!$F$9:$F1013, $G$5)</f>
        <v>0</v>
      </c>
      <c r="H26" s="212">
        <f>SUMIFS('CF BEST'!$C$9:$C1013, 'CF BEST'!$I$9:$I1013, B26,'CF BEST'!$F$9:$F1013, $I$5)</f>
        <v>0</v>
      </c>
      <c r="I26" s="212">
        <f>SUMIFS('CF BEST'!$D$9:$D1013, 'CF BEST'!$I$9:$I1013, B26,'CF BEST'!$F$9:$F1013, $I$5)</f>
        <v>7346</v>
      </c>
      <c r="J26" s="213">
        <f>SUMIFS('CF BEST'!$C$9:$C1013, 'CF BEST'!$I$9:$I1013, B26,'CF BEST'!$F$9:$F1013, $K$5)+D26+F26+H26</f>
        <v>0</v>
      </c>
      <c r="K26" s="213">
        <f>SUMIFS('CF BEST'!$D$9:$D1013, 'CF BEST'!$I$9:$I1013, B26,'CF BEST'!$F$9:$F1013, $K$5)+E26+G26+I26</f>
        <v>7346</v>
      </c>
      <c r="L26" s="210">
        <f>SUMIFS('CF BEST'!$C$9:$C1013, 'CF BEST'!$I$9:$I1013, B26,'CF BEST'!$F$9:$F1013, $M$5)</f>
        <v>0</v>
      </c>
      <c r="M26" s="210">
        <f>SUMIFS('CF BEST'!$D$9:$D1013, 'CF BEST'!$I$9:$I1013, B26,'CF BEST'!$F$9:$F1013, $M$5)</f>
        <v>0</v>
      </c>
      <c r="N26" s="211">
        <f>SUMIFS('CF BEST'!$C$9:$C1013, 'CF BEST'!$I$9:$I1013, B26,'CF BEST'!$F$9:$F1013, $O$5)</f>
        <v>0</v>
      </c>
      <c r="O26" s="211">
        <f>SUMIFS('CF BEST'!$D$9:$D1013, 'CF BEST'!$I$9:$I1013, B26,'CF BEST'!$F$9:$F1013, $O$5)</f>
        <v>0</v>
      </c>
      <c r="P26" s="212">
        <f>SUMIFS('CF BEST'!$C$9:$C1013, 'CF BEST'!$I$9:$I1013, B26,'CF BEST'!$F$9:$F1013, $Q$5)</f>
        <v>0</v>
      </c>
      <c r="Q26" s="212">
        <f>SUMIFS('CF BEST'!$D$9:$D1013, 'CF BEST'!$I$9:$I1013, B26,'CF BEST'!$F$9:$F1013, $Q$5)</f>
        <v>0</v>
      </c>
      <c r="R26" s="213">
        <f>SUMIFS('CF BEST'!$C$9:$C1013, 'CF BEST'!$I$9:$I1013, B26,'CF BEST'!$F$9:$F1013, $S$5)+L26+N26+P26</f>
        <v>0</v>
      </c>
      <c r="S26" s="213">
        <f>SUMIFS('CF BEST'!$D$9:$D1013, 'CF BEST'!$I$9:$I1013, B26,'CF BEST'!$F$9:$F1013, $S$5)+M26+O26+Q26</f>
        <v>0</v>
      </c>
      <c r="T26" s="210">
        <f>SUMIFS('CF BEST'!$C$9:$C1013, 'CF BEST'!$I$9:$I1013, B26,'CF BEST'!$F$9:$F1013, $U$5)</f>
        <v>0</v>
      </c>
      <c r="U26" s="210">
        <f>SUMIFS('CF BEST'!$D$9:$D1013, 'CF BEST'!$I$9:$I1013, B26,'CF BEST'!$F$9:$F1013, $U$5)</f>
        <v>0</v>
      </c>
      <c r="V26" s="211">
        <f>SUMIFS('CF BEST'!$C$9:$C1013, 'CF BEST'!$I$9:$I1013, B26,'CF BEST'!$F$9:$F1013, $W$5)</f>
        <v>0</v>
      </c>
      <c r="W26" s="211">
        <f>SUMIFS('CF BEST'!$D$9:$D1013, 'CF BEST'!$I$9:$I1013, B26,'CF BEST'!$F$9:$F1013, $W$5)</f>
        <v>0</v>
      </c>
      <c r="X26" s="212">
        <f>SUMIFS('CF BEST'!$C$9:$C1013, 'CF BEST'!$I$9:$I1013, B26,'CF BEST'!$F$9:$F1013, $Y$5)</f>
        <v>0</v>
      </c>
      <c r="Y26" s="212">
        <f>SUMIFS('CF BEST'!$D$9:$D1013, 'CF BEST'!$I$9:$I1013, B26,'CF BEST'!$F$9:$F1013, $Y$5)</f>
        <v>0</v>
      </c>
      <c r="Z26" s="213">
        <f>SUMIFS('CF BEST'!$C$9:$C1013, 'CF BEST'!$I$9:$I1013, B26,'CF BEST'!$F$9:$F1013, $AA$5)+T26+V26+X26</f>
        <v>0</v>
      </c>
      <c r="AA26" s="213">
        <f>SUMIFS('CF BEST'!$D$9:$D1013, 'CF BEST'!$I$9:$I1013, B26,'CF BEST'!$F$9:$F1013, $AA$5)+U26+W26+Y26</f>
        <v>0</v>
      </c>
      <c r="AB26" s="210">
        <f>SUMIFS('CF BEST'!$C$9:$C1013, 'CF BEST'!$I$9:$I1013, B26,'CF BEST'!$F$9:$F1013, $AC$5)</f>
        <v>0</v>
      </c>
      <c r="AC26" s="210">
        <f>SUMIFS('CF BEST'!$D$9:$D1013, 'CF BEST'!$I$9:$I1013, B26,'CF BEST'!$F$9:$F1013, $AC$5)</f>
        <v>0</v>
      </c>
      <c r="AD26" s="211">
        <f>SUMIFS('CF BEST'!$C$9:$C1013, 'CF BEST'!$I$9:$I1013, B26,'CF BEST'!$F$9:$F1013, $AE$5)</f>
        <v>0</v>
      </c>
      <c r="AE26" s="211">
        <f>SUMIFS('CF BEST'!$D$9:$D1013, 'CF BEST'!$I$9:$I1013, B26,'CF BEST'!$F$9:$F1013, $AE$5)</f>
        <v>0</v>
      </c>
      <c r="AF26" s="212">
        <f>SUMIFS('CF BEST'!$C$9:$C1013, 'CF BEST'!$I$9:$I1013, B26,'CF BEST'!$F$9:$F1013, $AG$5)</f>
        <v>0</v>
      </c>
      <c r="AG26" s="212">
        <f>SUMIFS('CF BEST'!$D$9:$D1013, 'CF BEST'!$I$9:$I1013, B26,'CF BEST'!$F$9:$F1013, $AG$5)</f>
        <v>0</v>
      </c>
      <c r="AH26" s="213">
        <f>SUMIFS('CF BEST'!$C$9:$C1013, 'CF BEST'!$I$9:$I1013, B26,'CF BEST'!$F$9:$F1013, $AI$5)+AB26+AD26+AF26</f>
        <v>0</v>
      </c>
      <c r="AI26" s="213">
        <f>SUMIFS('CF BEST'!$D$9:$D1013, 'CF BEST'!$I$9:$I1013, B26,'CF BEST'!$F$9:$F1013, $AI$5)+AC26+AE26+AG26</f>
        <v>0</v>
      </c>
    </row>
    <row r="27">
      <c r="A27" s="214">
        <f t="shared" si="2"/>
        <v>0.01023836356</v>
      </c>
      <c r="B27" s="208" t="s">
        <v>1097</v>
      </c>
      <c r="C27" s="209">
        <f t="shared" si="5"/>
        <v>736982.37</v>
      </c>
      <c r="D27" s="210">
        <f>SUMIFS('CF BEST'!$C$9:$C1013, 'CF BEST'!$I$9:$I1013, B27,'CF BEST'!$F$9:$F1013, $E$5)</f>
        <v>0</v>
      </c>
      <c r="E27" s="210">
        <f>SUMIFS('CF BEST'!$D$9:$D1013, 'CF BEST'!$I$9:$I1013, B27,'CF BEST'!$F$9:$F1013, $E$5)</f>
        <v>0</v>
      </c>
      <c r="F27" s="211">
        <f>SUMIFS('CF BEST'!$C$9:$C1013, 'CF BEST'!$I$9:$I1013, B27,'CF BEST'!$F$9:$F1013, $G$5)</f>
        <v>0</v>
      </c>
      <c r="G27" s="211">
        <f>SUMIFS('CF BEST'!$D$9:$D1013, 'CF BEST'!$I$9:$I1013, B27,'CF BEST'!$F$9:$F1013, $G$5)</f>
        <v>0</v>
      </c>
      <c r="H27" s="212">
        <f>SUMIFS('CF BEST'!$C$9:$C1013, 'CF BEST'!$I$9:$I1013, B27,'CF BEST'!$F$9:$F1013, $I$5)</f>
        <v>0</v>
      </c>
      <c r="I27" s="212">
        <f>SUMIFS('CF BEST'!$D$9:$D1013, 'CF BEST'!$I$9:$I1013, B27,'CF BEST'!$F$9:$F1013, $I$5)</f>
        <v>0</v>
      </c>
      <c r="J27" s="213">
        <f>SUMIFS('CF BEST'!$C$9:$C1013, 'CF BEST'!$I$9:$I1013, B27,'CF BEST'!$F$9:$F1013, $K$5)+D27+F27+H27</f>
        <v>0</v>
      </c>
      <c r="K27" s="213">
        <f>SUMIFS('CF BEST'!$D$9:$D1013, 'CF BEST'!$I$9:$I1013, B27,'CF BEST'!$F$9:$F1013, $K$5)+E27+G27+I27</f>
        <v>736982.37</v>
      </c>
      <c r="L27" s="210">
        <f>SUMIFS('CF BEST'!$C$9:$C1013, 'CF BEST'!$I$9:$I1013, B27,'CF BEST'!$F$9:$F1013, $M$5)</f>
        <v>0</v>
      </c>
      <c r="M27" s="210">
        <f>SUMIFS('CF BEST'!$D$9:$D1013, 'CF BEST'!$I$9:$I1013, B27,'CF BEST'!$F$9:$F1013, $M$5)</f>
        <v>0</v>
      </c>
      <c r="N27" s="211">
        <f>SUMIFS('CF BEST'!$C$9:$C1013, 'CF BEST'!$I$9:$I1013, B27,'CF BEST'!$F$9:$F1013, $O$5)</f>
        <v>0</v>
      </c>
      <c r="O27" s="211">
        <f>SUMIFS('CF BEST'!$D$9:$D1013, 'CF BEST'!$I$9:$I1013, B27,'CF BEST'!$F$9:$F1013, $O$5)</f>
        <v>0</v>
      </c>
      <c r="P27" s="212">
        <f>SUMIFS('CF BEST'!$C$9:$C1013, 'CF BEST'!$I$9:$I1013, B27,'CF BEST'!$F$9:$F1013, $Q$5)</f>
        <v>0</v>
      </c>
      <c r="Q27" s="212">
        <f>SUMIFS('CF BEST'!$D$9:$D1013, 'CF BEST'!$I$9:$I1013, B27,'CF BEST'!$F$9:$F1013, $Q$5)</f>
        <v>0</v>
      </c>
      <c r="R27" s="213">
        <f>SUMIFS('CF BEST'!$C$9:$C1013, 'CF BEST'!$I$9:$I1013, B27,'CF BEST'!$F$9:$F1013, $S$5)+L27+N27+P27</f>
        <v>0</v>
      </c>
      <c r="S27" s="213">
        <f>SUMIFS('CF BEST'!$D$9:$D1013, 'CF BEST'!$I$9:$I1013, B27,'CF BEST'!$F$9:$F1013, $S$5)+M27+O27+Q27</f>
        <v>0</v>
      </c>
      <c r="T27" s="210">
        <f>SUMIFS('CF BEST'!$C$9:$C1013, 'CF BEST'!$I$9:$I1013, B27,'CF BEST'!$F$9:$F1013, $U$5)</f>
        <v>0</v>
      </c>
      <c r="U27" s="210">
        <f>SUMIFS('CF BEST'!$D$9:$D1013, 'CF BEST'!$I$9:$I1013, B27,'CF BEST'!$F$9:$F1013, $U$5)</f>
        <v>0</v>
      </c>
      <c r="V27" s="211">
        <f>SUMIFS('CF BEST'!$C$9:$C1013, 'CF BEST'!$I$9:$I1013, B27,'CF BEST'!$F$9:$F1013, $W$5)</f>
        <v>0</v>
      </c>
      <c r="W27" s="211">
        <f>SUMIFS('CF BEST'!$D$9:$D1013, 'CF BEST'!$I$9:$I1013, B27,'CF BEST'!$F$9:$F1013, $W$5)</f>
        <v>0</v>
      </c>
      <c r="X27" s="212">
        <f>SUMIFS('CF BEST'!$C$9:$C1013, 'CF BEST'!$I$9:$I1013, B27,'CF BEST'!$F$9:$F1013, $Y$5)</f>
        <v>0</v>
      </c>
      <c r="Y27" s="212">
        <f>SUMIFS('CF BEST'!$D$9:$D1013, 'CF BEST'!$I$9:$I1013, B27,'CF BEST'!$F$9:$F1013, $Y$5)</f>
        <v>0</v>
      </c>
      <c r="Z27" s="213">
        <f>SUMIFS('CF BEST'!$C$9:$C1013, 'CF BEST'!$I$9:$I1013, B27,'CF BEST'!$F$9:$F1013, $AA$5)+T27+V27+X27</f>
        <v>0</v>
      </c>
      <c r="AA27" s="213">
        <f>SUMIFS('CF BEST'!$D$9:$D1013, 'CF BEST'!$I$9:$I1013, B27,'CF BEST'!$F$9:$F1013, $AA$5)+U27+W27+Y27</f>
        <v>0</v>
      </c>
      <c r="AB27" s="210">
        <f>SUMIFS('CF BEST'!$C$9:$C1013, 'CF BEST'!$I$9:$I1013, B27,'CF BEST'!$F$9:$F1013, $AC$5)</f>
        <v>0</v>
      </c>
      <c r="AC27" s="210">
        <f>SUMIFS('CF BEST'!$D$9:$D1013, 'CF BEST'!$I$9:$I1013, B27,'CF BEST'!$F$9:$F1013, $AC$5)</f>
        <v>0</v>
      </c>
      <c r="AD27" s="211">
        <f>SUMIFS('CF BEST'!$C$9:$C1013, 'CF BEST'!$I$9:$I1013, B27,'CF BEST'!$F$9:$F1013, $AE$5)</f>
        <v>0</v>
      </c>
      <c r="AE27" s="211">
        <f>SUMIFS('CF BEST'!$D$9:$D1013, 'CF BEST'!$I$9:$I1013, B27,'CF BEST'!$F$9:$F1013, $AE$5)</f>
        <v>0</v>
      </c>
      <c r="AF27" s="212">
        <f>SUMIFS('CF BEST'!$C$9:$C1013, 'CF BEST'!$I$9:$I1013, B27,'CF BEST'!$F$9:$F1013, $AG$5)</f>
        <v>0</v>
      </c>
      <c r="AG27" s="212">
        <f>SUMIFS('CF BEST'!$D$9:$D1013, 'CF BEST'!$I$9:$I1013, B27,'CF BEST'!$F$9:$F1013, $AG$5)</f>
        <v>0</v>
      </c>
      <c r="AH27" s="213">
        <f>SUMIFS('CF BEST'!$C$9:$C1013, 'CF BEST'!$I$9:$I1013, B27,'CF BEST'!$F$9:$F1013, $AI$5)+AB27+AD27+AF27</f>
        <v>0</v>
      </c>
      <c r="AI27" s="213">
        <f>SUMIFS('CF BEST'!$D$9:$D1013, 'CF BEST'!$I$9:$I1013, B27,'CF BEST'!$F$9:$F1013, $AI$5)+AC27+AE27+AG27</f>
        <v>0</v>
      </c>
    </row>
    <row r="28">
      <c r="A28" s="214">
        <f t="shared" si="2"/>
        <v>0</v>
      </c>
      <c r="B28" s="208" t="s">
        <v>636</v>
      </c>
      <c r="C28" s="209">
        <f t="shared" si="5"/>
        <v>0</v>
      </c>
      <c r="D28" s="210">
        <f>SUMIFS('CF BEST'!$C$9:$C1013, 'CF BEST'!$I$9:$I1013, B28,'CF BEST'!$F$9:$F1013, $E$5)</f>
        <v>0</v>
      </c>
      <c r="E28" s="210">
        <f>SUMIFS('CF BEST'!$D$9:$D1013, 'CF BEST'!$I$9:$I1013, B28,'CF BEST'!$F$9:$F1013, $E$5)</f>
        <v>0</v>
      </c>
      <c r="F28" s="211">
        <f>SUMIFS('CF BEST'!$C$9:$C1013, 'CF BEST'!$I$9:$I1013, B28,'CF BEST'!$F$9:$F1013, $G$5)</f>
        <v>0</v>
      </c>
      <c r="G28" s="211">
        <f>SUMIFS('CF BEST'!$D$9:$D1013, 'CF BEST'!$I$9:$I1013, B28,'CF BEST'!$F$9:$F1013, $G$5)</f>
        <v>0</v>
      </c>
      <c r="H28" s="212">
        <f>SUMIFS('CF BEST'!$C$9:$C1013, 'CF BEST'!$I$9:$I1013, B28,'CF BEST'!$F$9:$F1013, $I$5)</f>
        <v>0</v>
      </c>
      <c r="I28" s="212">
        <f>SUMIFS('CF BEST'!$D$9:$D1013, 'CF BEST'!$I$9:$I1013, B28,'CF BEST'!$F$9:$F1013, $I$5)</f>
        <v>0</v>
      </c>
      <c r="J28" s="213">
        <f>SUMIFS('CF BEST'!$C$9:$C1013, 'CF BEST'!$I$9:$I1013, B28,'CF BEST'!$F$9:$F1013, $K$5)+D28+F28+H28</f>
        <v>0</v>
      </c>
      <c r="K28" s="213">
        <f>SUMIFS('CF BEST'!$D$9:$D1013, 'CF BEST'!$I$9:$I1013, B28,'CF BEST'!$F$9:$F1013, $K$5)+E28+G28+I28</f>
        <v>0</v>
      </c>
      <c r="L28" s="210">
        <f>SUMIFS('CF BEST'!$C$9:$C1013, 'CF BEST'!$I$9:$I1013, B28,'CF BEST'!$F$9:$F1013, $M$5)</f>
        <v>0</v>
      </c>
      <c r="M28" s="210">
        <f>SUMIFS('CF BEST'!$D$9:$D1013, 'CF BEST'!$I$9:$I1013, B28,'CF BEST'!$F$9:$F1013, $M$5)</f>
        <v>0</v>
      </c>
      <c r="N28" s="211">
        <f>SUMIFS('CF BEST'!$C$9:$C1013, 'CF BEST'!$I$9:$I1013, B28,'CF BEST'!$F$9:$F1013, $O$5)</f>
        <v>0</v>
      </c>
      <c r="O28" s="211">
        <f>SUMIFS('CF BEST'!$D$9:$D1013, 'CF BEST'!$I$9:$I1013, B28,'CF BEST'!$F$9:$F1013, $O$5)</f>
        <v>0</v>
      </c>
      <c r="P28" s="212">
        <f>SUMIFS('CF BEST'!$C$9:$C1013, 'CF BEST'!$I$9:$I1013, B28,'CF BEST'!$F$9:$F1013, $Q$5)</f>
        <v>0</v>
      </c>
      <c r="Q28" s="212">
        <f>SUMIFS('CF BEST'!$D$9:$D1013, 'CF BEST'!$I$9:$I1013, B28,'CF BEST'!$F$9:$F1013, $Q$5)</f>
        <v>0</v>
      </c>
      <c r="R28" s="213">
        <f>SUMIFS('CF BEST'!$C$9:$C1013, 'CF BEST'!$I$9:$I1013, B28,'CF BEST'!$F$9:$F1013, $S$5)+L28+N28+P28</f>
        <v>0</v>
      </c>
      <c r="S28" s="213">
        <f>SUMIFS('CF BEST'!$D$9:$D1013, 'CF BEST'!$I$9:$I1013, B28,'CF BEST'!$F$9:$F1013, $S$5)+M28+O28+Q28</f>
        <v>0</v>
      </c>
      <c r="T28" s="210">
        <f>SUMIFS('CF BEST'!$C$9:$C1013, 'CF BEST'!$I$9:$I1013, B28,'CF BEST'!$F$9:$F1013, $U$5)</f>
        <v>0</v>
      </c>
      <c r="U28" s="210">
        <f>SUMIFS('CF BEST'!$D$9:$D1013, 'CF BEST'!$I$9:$I1013, B28,'CF BEST'!$F$9:$F1013, $U$5)</f>
        <v>0</v>
      </c>
      <c r="V28" s="211">
        <f>SUMIFS('CF BEST'!$C$9:$C1013, 'CF BEST'!$I$9:$I1013, B28,'CF BEST'!$F$9:$F1013, $W$5)</f>
        <v>0</v>
      </c>
      <c r="W28" s="211">
        <f>SUMIFS('CF BEST'!$D$9:$D1013, 'CF BEST'!$I$9:$I1013, B28,'CF BEST'!$F$9:$F1013, $W$5)</f>
        <v>0</v>
      </c>
      <c r="X28" s="212">
        <f>SUMIFS('CF BEST'!$C$9:$C1013, 'CF BEST'!$I$9:$I1013, B28,'CF BEST'!$F$9:$F1013, $Y$5)</f>
        <v>0</v>
      </c>
      <c r="Y28" s="212">
        <f>SUMIFS('CF BEST'!$D$9:$D1013, 'CF BEST'!$I$9:$I1013, B28,'CF BEST'!$F$9:$F1013, $Y$5)</f>
        <v>0</v>
      </c>
      <c r="Z28" s="213">
        <f>SUMIFS('CF BEST'!$C$9:$C1013, 'CF BEST'!$I$9:$I1013, B28,'CF BEST'!$F$9:$F1013, $AA$5)+T28+V28+X28</f>
        <v>0</v>
      </c>
      <c r="AA28" s="213">
        <f>SUMIFS('CF BEST'!$D$9:$D1013, 'CF BEST'!$I$9:$I1013, B28,'CF BEST'!$F$9:$F1013, $AA$5)+U28+W28+Y28</f>
        <v>0</v>
      </c>
      <c r="AB28" s="210">
        <f>SUMIFS('CF BEST'!$C$9:$C1013, 'CF BEST'!$I$9:$I1013, B28,'CF BEST'!$F$9:$F1013, $AC$5)</f>
        <v>0</v>
      </c>
      <c r="AC28" s="210">
        <f>SUMIFS('CF BEST'!$D$9:$D1013, 'CF BEST'!$I$9:$I1013, B28,'CF BEST'!$F$9:$F1013, $AC$5)</f>
        <v>0</v>
      </c>
      <c r="AD28" s="211">
        <f>SUMIFS('CF BEST'!$C$9:$C1013, 'CF BEST'!$I$9:$I1013, B28,'CF BEST'!$F$9:$F1013, $AE$5)</f>
        <v>0</v>
      </c>
      <c r="AE28" s="211">
        <f>SUMIFS('CF BEST'!$D$9:$D1013, 'CF BEST'!$I$9:$I1013, B28,'CF BEST'!$F$9:$F1013, $AE$5)</f>
        <v>0</v>
      </c>
      <c r="AF28" s="212">
        <f>SUMIFS('CF BEST'!$C$9:$C1013, 'CF BEST'!$I$9:$I1013, B28,'CF BEST'!$F$9:$F1013, $AG$5)</f>
        <v>0</v>
      </c>
      <c r="AG28" s="212">
        <f>SUMIFS('CF BEST'!$D$9:$D1013, 'CF BEST'!$I$9:$I1013, B28,'CF BEST'!$F$9:$F1013, $AG$5)</f>
        <v>0</v>
      </c>
      <c r="AH28" s="213">
        <f>SUMIFS('CF BEST'!$C$9:$C1013, 'CF BEST'!$I$9:$I1013, B28,'CF BEST'!$F$9:$F1013, $AI$5)+AB28+AD28+AF28</f>
        <v>0</v>
      </c>
      <c r="AI28" s="213">
        <f>SUMIFS('CF BEST'!$D$9:$D1013, 'CF BEST'!$I$9:$I1013, B28,'CF BEST'!$F$9:$F1013, $AI$5)+AC28+AE28+AG28</f>
        <v>0</v>
      </c>
    </row>
    <row r="29">
      <c r="A29" s="214">
        <f t="shared" si="2"/>
        <v>0.02862660752</v>
      </c>
      <c r="B29" s="208" t="s">
        <v>47</v>
      </c>
      <c r="C29" s="209">
        <f>(K29+S29+AA29+AI29)-AH29-Z29-R29-J29</f>
        <v>2060613</v>
      </c>
      <c r="D29" s="218">
        <v>0.0</v>
      </c>
      <c r="E29" s="210">
        <f>SUMIFS('CF BEST'!$D$9:$D1013, 'CF BEST'!$I$9:$I1013, $B$29,'CF BEST'!$F$9:$F1013, E5)-SUMIFS('CF BEST'!$C$9:$C1013, 'CF BEST'!$I$9:$I1013, $B$29,'CF BEST'!$F$9:$F1013, E5)</f>
        <v>900000</v>
      </c>
      <c r="F29" s="219">
        <v>0.0</v>
      </c>
      <c r="G29" s="211">
        <f>SUMIFS('CF BEST'!$D$9:$D1013, 'CF BEST'!$I$9:$I1013, $B$29,'CF BEST'!$F$9:$F1013, G5)-SUMIFS('CF BEST'!$C$9:$C1013, 'CF BEST'!$I$9:$I1013, $B$29,'CF BEST'!$F$9:$F1013, G5)</f>
        <v>0</v>
      </c>
      <c r="H29" s="220">
        <v>0.0</v>
      </c>
      <c r="I29" s="212">
        <f>SUMIFS('CF BEST'!$D$9:$D1013, 'CF BEST'!$I$9:$I1013, $B$29,'CF BEST'!$F$9:$F1013, I5)-SUMIFS('CF BEST'!$C$9:$C1013, 'CF BEST'!$I$9:$I1013, $B$29,'CF BEST'!$F$9:$F1013, I5)</f>
        <v>492000</v>
      </c>
      <c r="J29" s="213">
        <f>SUMIFS('CF BEST'!$C$9:$C1013, 'CF BEST'!$I$9:$I1013, B29,'CF BEST'!$F$9:$F1013, $K$5)+D29+F29+H29</f>
        <v>0</v>
      </c>
      <c r="K29" s="213">
        <f>SUMIFS('CF BEST'!$D$9:$D1013, 'CF BEST'!$I$9:$I1013, B29,'CF BEST'!$F$9:$F1013, $K$5)+E29+G29+I29</f>
        <v>1392000</v>
      </c>
      <c r="L29" s="218">
        <v>0.0</v>
      </c>
      <c r="M29" s="210">
        <f>SUMIFS('CF BEST'!$D$9:$D1013, 'CF BEST'!$I$9:$I1013, $B$29,'CF BEST'!$F$9:$F1013, M5)-SUMIFS('CF BEST'!$C$9:$C1013, 'CF BEST'!$I$9:$I1013, $B$29,'CF BEST'!$F$9:$F1013, M5)</f>
        <v>0</v>
      </c>
      <c r="N29" s="219">
        <v>0.0</v>
      </c>
      <c r="O29" s="211">
        <f>SUMIFS('CF BEST'!$D$9:$D1013, 'CF BEST'!$I$9:$I1013, $B$29,'CF BEST'!$F$9:$F1013, O5)-SUMIFS('CF BEST'!$C$9:$C1013, 'CF BEST'!$I$9:$I1013, $B$29,'CF BEST'!$F$9:$F1013, O5)</f>
        <v>668625</v>
      </c>
      <c r="P29" s="220">
        <v>0.0</v>
      </c>
      <c r="Q29" s="212">
        <f>SUMIFS('CF BEST'!$D$9:$D1013, 'CF BEST'!$I$9:$I1013, $B$29,'CF BEST'!$F$9:$F1013, Q5)-SUMIFS('CF BEST'!$C$9:$C1013, 'CF BEST'!$I$9:$I1013, $B$29,'CF BEST'!$F$9:$F1013, Q5)</f>
        <v>0</v>
      </c>
      <c r="R29" s="213">
        <f>SUMIFS('CF BEST'!$C$9:$C1013, 'CF BEST'!$I$9:$I1013, B29,'CF BEST'!$F$9:$F1013, $S$5)+L29+N29+P29</f>
        <v>0</v>
      </c>
      <c r="S29" s="213">
        <f>SUMIFS('CF BEST'!$D$9:$D1013, 'CF BEST'!$I$9:$I1013, B29,'CF BEST'!$F$9:$F1013, $S$5)+M29+O29+Q29</f>
        <v>668625</v>
      </c>
      <c r="T29" s="218">
        <v>0.0</v>
      </c>
      <c r="U29" s="210">
        <f>SUMIFS('CF BEST'!$D$9:$D1013, 'CF BEST'!$I$9:$I1013, $B$29,'CF BEST'!$F$9:$F1013, U5)-SUMIFS('CF BEST'!$C$9:$C1013, 'CF BEST'!$I$9:$I1013, $B$29,'CF BEST'!$F$9:$F1013, U5)</f>
        <v>0</v>
      </c>
      <c r="V29" s="218">
        <v>0.0</v>
      </c>
      <c r="W29" s="210">
        <f>SUMIFS('CF BEST'!$D$9:$D1013, 'CF BEST'!$I$9:$I1013, $B$29,'CF BEST'!$F$9:$F1013, W5)-SUMIFS('CF BEST'!$C$9:$C1013, 'CF BEST'!$I$9:$I1013, $B$29,'CF BEST'!$F$9:$F1013, W5)</f>
        <v>0</v>
      </c>
      <c r="X29" s="218">
        <v>0.0</v>
      </c>
      <c r="Y29" s="210">
        <f>SUMIFS('CF BEST'!$D$9:$D1013, 'CF BEST'!$I$9:$I1013, $B$29,'CF BEST'!$F$9:$F1013, Y5)-SUMIFS('CF BEST'!$C$9:$C1013, 'CF BEST'!$I$9:$I1013, $B$29,'CF BEST'!$F$9:$F1013, Y5)</f>
        <v>0</v>
      </c>
      <c r="Z29" s="213">
        <f>SUMIFS('CF BEST'!$C$9:$C1013, 'CF BEST'!$I$9:$I1013, B29,'CF BEST'!$F$9:$F1013, $AA$5)+T29+V29+X29</f>
        <v>0</v>
      </c>
      <c r="AA29" s="213">
        <f>SUMIFS('CF BEST'!$D$9:$D1013, 'CF BEST'!$I$9:$I1013, B29,'CF BEST'!$F$9:$F1013, $AA$5)+U29+W29+Y29</f>
        <v>0</v>
      </c>
      <c r="AB29" s="218">
        <v>12.0</v>
      </c>
      <c r="AC29" s="210">
        <f>SUMIFS('CF BEST'!$D$9:$D1013, 'CF BEST'!$I$9:$I1013, $B$29,'CF BEST'!$F$9:$F1013, AC5)-SUMIFS('CF BEST'!$C$9:$C1013, 'CF BEST'!$I$9:$I1013, $B$29,'CF BEST'!$F$9:$F1013, AC5)</f>
        <v>0</v>
      </c>
      <c r="AD29" s="218">
        <v>0.0</v>
      </c>
      <c r="AE29" s="210">
        <f>SUMIFS('CF BEST'!$D$9:$D1013, 'CF BEST'!$I$9:$I1013, $B$29,'CF BEST'!$F$9:$F1013, AE5)-SUMIFS('CF BEST'!$C$9:$C1013, 'CF BEST'!$I$9:$I1013, $B$29,'CF BEST'!$F$9:$F1013, AE5)</f>
        <v>0</v>
      </c>
      <c r="AF29" s="218">
        <v>0.0</v>
      </c>
      <c r="AG29" s="210">
        <f>SUMIFS('CF BEST'!$D$9:$D1013, 'CF BEST'!$I$9:$I1013, $B$29,'CF BEST'!$F$9:$F1013, AG5)-SUMIFS('CF BEST'!$C$9:$C1013, 'CF BEST'!$I$9:$I1013, $B$29,'CF BEST'!$F$9:$F1013, AG5)</f>
        <v>0</v>
      </c>
      <c r="AH29" s="213">
        <f>SUMIFS('CF BEST'!$C$9:$C1013, 'CF BEST'!$I$9:$I1013, B29,'CF BEST'!$F$9:$F1013, $AI$5)+AB29+AD29+AF29</f>
        <v>12</v>
      </c>
      <c r="AI29" s="213">
        <f>SUMIFS('CF BEST'!$D$9:$D1013, 'CF BEST'!$I$9:$I1013, B29,'CF BEST'!$F$9:$F1013, $AI$5)+AC29+AE29+AG29</f>
        <v>0</v>
      </c>
    </row>
    <row r="30">
      <c r="A30" s="214">
        <f t="shared" si="2"/>
        <v>0.0004897083372</v>
      </c>
      <c r="B30" s="208" t="s">
        <v>294</v>
      </c>
      <c r="C30" s="209">
        <f t="shared" ref="C30:C41" si="7">K30+S30+AA30+AI30</f>
        <v>35250.4</v>
      </c>
      <c r="D30" s="210">
        <f>SUMIFS('CF BEST'!$C$9:$C1013, 'CF BEST'!$I$9:$I1013, B30,'CF BEST'!$F$9:$F1013, $E$5)</f>
        <v>0</v>
      </c>
      <c r="E30" s="210">
        <f>SUMIFS('CF BEST'!$D$9:$D1013, 'CF BEST'!$I$9:$I1013, B30,'CF BEST'!$F$9:$F1013, $E$5)</f>
        <v>3473.33</v>
      </c>
      <c r="F30" s="211">
        <f>SUMIFS('CF BEST'!$C$9:$C1013, 'CF BEST'!$I$9:$I1013, B30,'CF BEST'!$F$9:$F1013, $G$5)</f>
        <v>0</v>
      </c>
      <c r="G30" s="211">
        <f>SUMIFS('CF BEST'!$D$9:$D1013, 'CF BEST'!$I$9:$I1013, B30,'CF BEST'!$F$9:$F1013, $G$5)</f>
        <v>0</v>
      </c>
      <c r="H30" s="212">
        <f>SUMIFS('CF BEST'!$C$9:$C1013, 'CF BEST'!$I$9:$I1013, B30,'CF BEST'!$F$9:$F1013, $I$5)</f>
        <v>0</v>
      </c>
      <c r="I30" s="212">
        <f>SUMIFS('CF BEST'!$D$9:$D1013, 'CF BEST'!$I$9:$I1013, B30,'CF BEST'!$F$9:$F1013, $I$5)</f>
        <v>16162.07</v>
      </c>
      <c r="J30" s="213">
        <f>SUMIFS('CF BEST'!$C$9:$C1013, 'CF BEST'!$I$9:$I1013, B30,'CF BEST'!$F$9:$F1013, $K$5)+D30+F30+H30</f>
        <v>0</v>
      </c>
      <c r="K30" s="213">
        <f>SUMIFS('CF BEST'!$D$9:$D1013, 'CF BEST'!$I$9:$I1013, B30,'CF BEST'!$F$9:$F1013, $K$5)+E30+G30+I30</f>
        <v>26350.4</v>
      </c>
      <c r="L30" s="210">
        <f>SUMIFS('CF BEST'!$C$9:$C1013, 'CF BEST'!$I$9:$I1013, B30,'CF BEST'!$F$9:$F1013, $M$5)</f>
        <v>0</v>
      </c>
      <c r="M30" s="210">
        <f>SUMIFS('CF BEST'!$D$9:$D1013, 'CF BEST'!$I$9:$I1013, B30,'CF BEST'!$F$9:$F1013, $M$5)</f>
        <v>8900</v>
      </c>
      <c r="N30" s="211">
        <f>SUMIFS('CF BEST'!$C$9:$C1013, 'CF BEST'!$I$9:$I1013, B30,'CF BEST'!$F$9:$F1013, $O$5)</f>
        <v>0</v>
      </c>
      <c r="O30" s="211">
        <f>SUMIFS('CF BEST'!$D$9:$D1013, 'CF BEST'!$I$9:$I1013, B30,'CF BEST'!$F$9:$F1013, $O$5)</f>
        <v>0</v>
      </c>
      <c r="P30" s="212">
        <f>SUMIFS('CF BEST'!$C$9:$C1013, 'CF BEST'!$I$9:$I1013, B30,'CF BEST'!$F$9:$F1013, $Q$5)</f>
        <v>0</v>
      </c>
      <c r="Q30" s="212">
        <f>SUMIFS('CF BEST'!$D$9:$D1013, 'CF BEST'!$I$9:$I1013, B30,'CF BEST'!$F$9:$F1013, $Q$5)</f>
        <v>0</v>
      </c>
      <c r="R30" s="213">
        <f>SUMIFS('CF BEST'!$C$9:$C1013, 'CF BEST'!$I$9:$I1013, B30,'CF BEST'!$F$9:$F1013, $S$5)+L30+N30+P30</f>
        <v>0</v>
      </c>
      <c r="S30" s="213">
        <f>SUMIFS('CF BEST'!$D$9:$D1013, 'CF BEST'!$I$9:$I1013, B30,'CF BEST'!$F$9:$F1013, $S$5)+M30+O30+Q30</f>
        <v>8900</v>
      </c>
      <c r="T30" s="210">
        <f>SUMIFS('CF BEST'!$C$9:$C1013, 'CF BEST'!$I$9:$I1013, B30,'CF BEST'!$F$9:$F1013, $U$5)</f>
        <v>0</v>
      </c>
      <c r="U30" s="210">
        <f>SUMIFS('CF BEST'!$D$9:$D1013, 'CF BEST'!$I$9:$I1013, B30,'CF BEST'!$F$9:$F1013, $U$5)</f>
        <v>0</v>
      </c>
      <c r="V30" s="211">
        <f>SUMIFS('CF BEST'!$C$9:$C1013, 'CF BEST'!$I$9:$I1013, B30,'CF BEST'!$F$9:$F1013, $W$5)</f>
        <v>0</v>
      </c>
      <c r="W30" s="211">
        <f>SUMIFS('CF BEST'!$D$9:$D1013, 'CF BEST'!$I$9:$I1013, B30,'CF BEST'!$F$9:$F1013, $W$5)</f>
        <v>0</v>
      </c>
      <c r="X30" s="212">
        <f>SUMIFS('CF BEST'!$C$9:$C1013, 'CF BEST'!$I$9:$I1013, B30,'CF BEST'!$F$9:$F1013, $Y$5)</f>
        <v>0</v>
      </c>
      <c r="Y30" s="212">
        <f>SUMIFS('CF BEST'!$D$9:$D1013, 'CF BEST'!$I$9:$I1013, B30,'CF BEST'!$F$9:$F1013, $Y$5)</f>
        <v>0</v>
      </c>
      <c r="Z30" s="213">
        <f>SUMIFS('CF BEST'!$C$9:$C1013, 'CF BEST'!$I$9:$I1013, B30,'CF BEST'!$F$9:$F1013, $AA$5)+T30+V30+X30</f>
        <v>0</v>
      </c>
      <c r="AA30" s="213">
        <f>SUMIFS('CF BEST'!$D$9:$D1013, 'CF BEST'!$I$9:$I1013, B30,'CF BEST'!$F$9:$F1013, $AA$5)+U30+W30+Y30</f>
        <v>0</v>
      </c>
      <c r="AB30" s="210">
        <f>SUMIFS('CF BEST'!$C$9:$C1013, 'CF BEST'!$I$9:$I1013, B30,'CF BEST'!$F$9:$F1013, $AC$5)</f>
        <v>0</v>
      </c>
      <c r="AC30" s="210">
        <f>SUMIFS('CF BEST'!$D$9:$D1013, 'CF BEST'!$I$9:$I1013, B30,'CF BEST'!$F$9:$F1013, $AC$5)</f>
        <v>0</v>
      </c>
      <c r="AD30" s="211">
        <f>SUMIFS('CF BEST'!$C$9:$C1013, 'CF BEST'!$I$9:$I1013, B30,'CF BEST'!$F$9:$F1013, $AE$5)</f>
        <v>0</v>
      </c>
      <c r="AE30" s="211">
        <f>SUMIFS('CF BEST'!$D$9:$D1013, 'CF BEST'!$I$9:$I1013, B30,'CF BEST'!$F$9:$F1013, $AE$5)</f>
        <v>0</v>
      </c>
      <c r="AF30" s="212">
        <f>SUMIFS('CF BEST'!$C$9:$C1013, 'CF BEST'!$I$9:$I1013, B30,'CF BEST'!$F$9:$F1013, $AG$5)</f>
        <v>0</v>
      </c>
      <c r="AG30" s="212">
        <f>SUMIFS('CF BEST'!$D$9:$D1013, 'CF BEST'!$I$9:$I1013, B30,'CF BEST'!$F$9:$F1013, $AG$5)</f>
        <v>0</v>
      </c>
      <c r="AH30" s="213">
        <f>SUMIFS('CF BEST'!$C$9:$C1013, 'CF BEST'!$I$9:$I1013, B30,'CF BEST'!$F$9:$F1013, $AI$5)+AB30+AD30+AF30</f>
        <v>0</v>
      </c>
      <c r="AI30" s="213">
        <f>SUMIFS('CF BEST'!$D$9:$D1013, 'CF BEST'!$I$9:$I1013, B30,'CF BEST'!$F$9:$F1013, $AI$5)+AC30+AE30+AG30</f>
        <v>0</v>
      </c>
    </row>
    <row r="31">
      <c r="A31" s="214">
        <f t="shared" si="2"/>
        <v>0.05301175798</v>
      </c>
      <c r="B31" s="208" t="s">
        <v>1373</v>
      </c>
      <c r="C31" s="209">
        <f t="shared" si="7"/>
        <v>3815915.58</v>
      </c>
      <c r="D31" s="210">
        <f>SUMIFS('CF BEST'!$C$9:$C1013, 'CF BEST'!$I$9:$I1013, B31,'CF BEST'!$F$9:$F1013, $E$5)</f>
        <v>0</v>
      </c>
      <c r="E31" s="210">
        <f>SUMIFS('CF BEST'!$D$9:$D1013, 'CF BEST'!$I$9:$I1013, B31,'CF BEST'!$F$9:$F1013, $E$5)</f>
        <v>52861.37</v>
      </c>
      <c r="F31" s="211">
        <f>SUMIFS('CF BEST'!$C$9:$C1013, 'CF BEST'!$I$9:$I1013, B31,'CF BEST'!$F$9:$F1013, $G$5)</f>
        <v>0</v>
      </c>
      <c r="G31" s="211">
        <f>SUMIFS('CF BEST'!$D$9:$D1013, 'CF BEST'!$I$9:$I1013, B31,'CF BEST'!$F$9:$F1013, $G$5)</f>
        <v>81916.16</v>
      </c>
      <c r="H31" s="212">
        <f>SUMIFS('CF BEST'!$C$9:$C1013, 'CF BEST'!$I$9:$I1013, B31,'CF BEST'!$F$9:$F1013, $I$5)</f>
        <v>0</v>
      </c>
      <c r="I31" s="212">
        <f>SUMIFS('CF BEST'!$D$9:$D1013, 'CF BEST'!$I$9:$I1013, B31,'CF BEST'!$F$9:$F1013, $I$5)</f>
        <v>3649917.85</v>
      </c>
      <c r="J31" s="213">
        <f>SUMIFS('CF BEST'!$C$9:$C1013, 'CF BEST'!$I$9:$I1013, B31,'CF BEST'!$F$9:$F1013, $K$5)+D31+F31+H31</f>
        <v>0</v>
      </c>
      <c r="K31" s="213">
        <f>SUMIFS('CF BEST'!$D$9:$D1013, 'CF BEST'!$I$9:$I1013, B31,'CF BEST'!$F$9:$F1013, $K$5)+E31+G31+I31</f>
        <v>3784695.38</v>
      </c>
      <c r="L31" s="210">
        <f>SUMIFS('CF BEST'!$C$9:$C1013, 'CF BEST'!$I$9:$I1013, B31,'CF BEST'!$F$9:$F1013, $M$5)</f>
        <v>0</v>
      </c>
      <c r="M31" s="210">
        <f>SUMIFS('CF BEST'!$D$9:$D1013, 'CF BEST'!$I$9:$I1013, B31,'CF BEST'!$F$9:$F1013, $M$5)</f>
        <v>31220.2</v>
      </c>
      <c r="N31" s="211">
        <f>SUMIFS('CF BEST'!$C$9:$C1013, 'CF BEST'!$I$9:$I1013, B31,'CF BEST'!$F$9:$F1013, $O$5)</f>
        <v>0</v>
      </c>
      <c r="O31" s="211">
        <f>SUMIFS('CF BEST'!$D$9:$D1013, 'CF BEST'!$I$9:$I1013, B31,'CF BEST'!$F$9:$F1013, $O$5)</f>
        <v>0</v>
      </c>
      <c r="P31" s="212">
        <f>SUMIFS('CF BEST'!$C$9:$C1013, 'CF BEST'!$I$9:$I1013, B31,'CF BEST'!$F$9:$F1013, $Q$5)</f>
        <v>3000000</v>
      </c>
      <c r="Q31" s="212">
        <f>SUMIFS('CF BEST'!$D$9:$D1013, 'CF BEST'!$I$9:$I1013, B31,'CF BEST'!$F$9:$F1013, $Q$5)</f>
        <v>0</v>
      </c>
      <c r="R31" s="213">
        <f>SUMIFS('CF BEST'!$C$9:$C1013, 'CF BEST'!$I$9:$I1013, B31,'CF BEST'!$F$9:$F1013, $S$5)+L31+N31+P31</f>
        <v>3000000</v>
      </c>
      <c r="S31" s="213">
        <f>SUMIFS('CF BEST'!$D$9:$D1013, 'CF BEST'!$I$9:$I1013, B31,'CF BEST'!$F$9:$F1013, $S$5)+M31+O31+Q31</f>
        <v>31220.2</v>
      </c>
      <c r="T31" s="210">
        <f>SUMIFS('CF BEST'!$C$9:$C1013, 'CF BEST'!$I$9:$I1013, B31,'CF BEST'!$F$9:$F1013, $U$5)</f>
        <v>0</v>
      </c>
      <c r="U31" s="210">
        <f>SUMIFS('CF BEST'!$D$9:$D1013, 'CF BEST'!$I$9:$I1013, B31,'CF BEST'!$F$9:$F1013, $U$5)</f>
        <v>0</v>
      </c>
      <c r="V31" s="211">
        <f>SUMIFS('CF BEST'!$C$9:$C1013, 'CF BEST'!$I$9:$I1013, B31,'CF BEST'!$F$9:$F1013, $W$5)</f>
        <v>0</v>
      </c>
      <c r="W31" s="211">
        <f>SUMIFS('CF BEST'!$D$9:$D1013, 'CF BEST'!$I$9:$I1013, B31,'CF BEST'!$F$9:$F1013, $W$5)</f>
        <v>0</v>
      </c>
      <c r="X31" s="212">
        <f>SUMIFS('CF BEST'!$C$9:$C1013, 'CF BEST'!$I$9:$I1013, B31,'CF BEST'!$F$9:$F1013, $Y$5)</f>
        <v>0</v>
      </c>
      <c r="Y31" s="212">
        <f>SUMIFS('CF BEST'!$D$9:$D1013, 'CF BEST'!$I$9:$I1013, B31,'CF BEST'!$F$9:$F1013, $Y$5)</f>
        <v>0</v>
      </c>
      <c r="Z31" s="213">
        <f>SUMIFS('CF BEST'!$C$9:$C1013, 'CF BEST'!$I$9:$I1013, B31,'CF BEST'!$F$9:$F1013, $AA$5)+T31+V31+X31</f>
        <v>0</v>
      </c>
      <c r="AA31" s="213">
        <f>SUMIFS('CF BEST'!$D$9:$D1013, 'CF BEST'!$I$9:$I1013, B31,'CF BEST'!$F$9:$F1013, $AA$5)+U31+W31+Y31</f>
        <v>0</v>
      </c>
      <c r="AB31" s="210">
        <f>SUMIFS('CF BEST'!$C$9:$C1013, 'CF BEST'!$I$9:$I1013, B31,'CF BEST'!$F$9:$F1013, $AC$5)</f>
        <v>0</v>
      </c>
      <c r="AC31" s="210">
        <f>SUMIFS('CF BEST'!$D$9:$D1013, 'CF BEST'!$I$9:$I1013, B31,'CF BEST'!$F$9:$F1013, $AC$5)</f>
        <v>0</v>
      </c>
      <c r="AD31" s="211">
        <f>SUMIFS('CF BEST'!$C$9:$C1013, 'CF BEST'!$I$9:$I1013, B31,'CF BEST'!$F$9:$F1013, $AE$5)</f>
        <v>0</v>
      </c>
      <c r="AE31" s="211">
        <f>SUMIFS('CF BEST'!$D$9:$D1013, 'CF BEST'!$I$9:$I1013, B31,'CF BEST'!$F$9:$F1013, $AE$5)</f>
        <v>0</v>
      </c>
      <c r="AF31" s="212">
        <f>SUMIFS('CF BEST'!$C$9:$C1013, 'CF BEST'!$I$9:$I1013, B31,'CF BEST'!$F$9:$F1013, $AG$5)</f>
        <v>0</v>
      </c>
      <c r="AG31" s="212">
        <f>SUMIFS('CF BEST'!$D$9:$D1013, 'CF BEST'!$I$9:$I1013, B31,'CF BEST'!$F$9:$F1013, $AG$5)</f>
        <v>0</v>
      </c>
      <c r="AH31" s="213">
        <f>SUMIFS('CF BEST'!$C$9:$C1013, 'CF BEST'!$I$9:$I1013, B31,'CF BEST'!$F$9:$F1013, $AI$5)+AB31+AD31+AF31</f>
        <v>0</v>
      </c>
      <c r="AI31" s="213">
        <f>SUMIFS('CF BEST'!$D$9:$D1013, 'CF BEST'!$I$9:$I1013, B31,'CF BEST'!$F$9:$F1013, $AI$5)+AC31+AE31+AG31</f>
        <v>0</v>
      </c>
    </row>
    <row r="32">
      <c r="A32" s="214">
        <f t="shared" si="2"/>
        <v>0.038203763</v>
      </c>
      <c r="B32" s="208" t="s">
        <v>504</v>
      </c>
      <c r="C32" s="209">
        <f t="shared" si="7"/>
        <v>2750000</v>
      </c>
      <c r="D32" s="210">
        <f>SUMIFS('CF BEST'!$C$9:$C1013, 'CF BEST'!$I$9:$I1013, B32,'CF BEST'!$F$9:$F1013, $E$5)</f>
        <v>0</v>
      </c>
      <c r="E32" s="210">
        <f>SUMIFS('CF BEST'!$D$9:$D1013, 'CF BEST'!$I$9:$I1013, B32,'CF BEST'!$F$9:$F1013, $E$5)</f>
        <v>550000</v>
      </c>
      <c r="F32" s="211">
        <f>SUMIFS('CF BEST'!$C$9:$C1013, 'CF BEST'!$I$9:$I1013, B32,'CF BEST'!$F$9:$F1013, $G$5)</f>
        <v>0</v>
      </c>
      <c r="G32" s="211">
        <f>SUMIFS('CF BEST'!$D$9:$D1013, 'CF BEST'!$I$9:$I1013, B32,'CF BEST'!$F$9:$F1013, $G$5)</f>
        <v>550000</v>
      </c>
      <c r="H32" s="212">
        <f>SUMIFS('CF BEST'!$C$9:$C1013, 'CF BEST'!$I$9:$I1013, B32,'CF BEST'!$F$9:$F1013, $I$5)</f>
        <v>0</v>
      </c>
      <c r="I32" s="212">
        <f>SUMIFS('CF BEST'!$D$9:$D1013, 'CF BEST'!$I$9:$I1013, B32,'CF BEST'!$F$9:$F1013, $I$5)</f>
        <v>550000</v>
      </c>
      <c r="J32" s="213">
        <f>SUMIFS('CF BEST'!$C$9:$C1013, 'CF BEST'!$I$9:$I1013, B32,'CF BEST'!$F$9:$F1013, $K$5)+D32+F32+H32</f>
        <v>0</v>
      </c>
      <c r="K32" s="213">
        <f>SUMIFS('CF BEST'!$D$9:$D1013, 'CF BEST'!$I$9:$I1013, B32,'CF BEST'!$F$9:$F1013, $K$5)+E32+G32+I32</f>
        <v>1650000</v>
      </c>
      <c r="L32" s="210">
        <f>SUMIFS('CF BEST'!$C$9:$C1013, 'CF BEST'!$I$9:$I1013, B32,'CF BEST'!$F$9:$F1013, $M$5)</f>
        <v>0</v>
      </c>
      <c r="M32" s="210">
        <f>SUMIFS('CF BEST'!$D$9:$D1013, 'CF BEST'!$I$9:$I1013, B32,'CF BEST'!$F$9:$F1013, $M$5)</f>
        <v>550000</v>
      </c>
      <c r="N32" s="211">
        <f>SUMIFS('CF BEST'!$C$9:$C1013, 'CF BEST'!$I$9:$I1013, B32,'CF BEST'!$F$9:$F1013, $O$5)</f>
        <v>0</v>
      </c>
      <c r="O32" s="211">
        <f>SUMIFS('CF BEST'!$D$9:$D1013, 'CF BEST'!$I$9:$I1013, B32,'CF BEST'!$F$9:$F1013, $O$5)</f>
        <v>550000</v>
      </c>
      <c r="P32" s="212">
        <f>SUMIFS('CF BEST'!$C$9:$C1013, 'CF BEST'!$I$9:$I1013, B32,'CF BEST'!$F$9:$F1013, $Q$5)</f>
        <v>0</v>
      </c>
      <c r="Q32" s="212">
        <f>SUMIFS('CF BEST'!$D$9:$D1013, 'CF BEST'!$I$9:$I1013, B32,'CF BEST'!$F$9:$F1013, $Q$5)</f>
        <v>0</v>
      </c>
      <c r="R32" s="213">
        <f>SUMIFS('CF BEST'!$C$9:$C1013, 'CF BEST'!$I$9:$I1013, B32,'CF BEST'!$F$9:$F1013, $S$5)+L32+N32+P32</f>
        <v>0</v>
      </c>
      <c r="S32" s="213">
        <f>SUMIFS('CF BEST'!$D$9:$D1013, 'CF BEST'!$I$9:$I1013, B32,'CF BEST'!$F$9:$F1013, $S$5)+M32+O32+Q32</f>
        <v>1100000</v>
      </c>
      <c r="T32" s="210">
        <f>SUMIFS('CF BEST'!$C$9:$C1013, 'CF BEST'!$I$9:$I1013, B32,'CF BEST'!$F$9:$F1013, $U$5)</f>
        <v>0</v>
      </c>
      <c r="U32" s="210">
        <f>SUMIFS('CF BEST'!$D$9:$D1013, 'CF BEST'!$I$9:$I1013, B32,'CF BEST'!$F$9:$F1013, $U$5)</f>
        <v>0</v>
      </c>
      <c r="V32" s="211">
        <f>SUMIFS('CF BEST'!$C$9:$C1013, 'CF BEST'!$I$9:$I1013, B32,'CF BEST'!$F$9:$F1013, $W$5)</f>
        <v>0</v>
      </c>
      <c r="W32" s="211">
        <f>SUMIFS('CF BEST'!$D$9:$D1013, 'CF BEST'!$I$9:$I1013, B32,'CF BEST'!$F$9:$F1013, $W$5)</f>
        <v>0</v>
      </c>
      <c r="X32" s="212">
        <f>SUMIFS('CF BEST'!$C$9:$C1013, 'CF BEST'!$I$9:$I1013, B32,'CF BEST'!$F$9:$F1013, $Y$5)</f>
        <v>0</v>
      </c>
      <c r="Y32" s="212">
        <f>SUMIFS('CF BEST'!$D$9:$D1013, 'CF BEST'!$I$9:$I1013, B32,'CF BEST'!$F$9:$F1013, $Y$5)</f>
        <v>0</v>
      </c>
      <c r="Z32" s="213">
        <f>SUMIFS('CF BEST'!$C$9:$C1013, 'CF BEST'!$I$9:$I1013, B32,'CF BEST'!$F$9:$F1013, $AA$5)+T32+V32+X32</f>
        <v>0</v>
      </c>
      <c r="AA32" s="213">
        <f>SUMIFS('CF BEST'!$D$9:$D1013, 'CF BEST'!$I$9:$I1013, B32,'CF BEST'!$F$9:$F1013, $AA$5)+U32+W32+Y32</f>
        <v>0</v>
      </c>
      <c r="AB32" s="210">
        <f>SUMIFS('CF BEST'!$C$9:$C1013, 'CF BEST'!$I$9:$I1013, B32,'CF BEST'!$F$9:$F1013, $AC$5)</f>
        <v>0</v>
      </c>
      <c r="AC32" s="210">
        <f>SUMIFS('CF BEST'!$D$9:$D1013, 'CF BEST'!$I$9:$I1013, B32,'CF BEST'!$F$9:$F1013, $AC$5)</f>
        <v>0</v>
      </c>
      <c r="AD32" s="211">
        <f>SUMIFS('CF BEST'!$C$9:$C1013, 'CF BEST'!$I$9:$I1013, B32,'CF BEST'!$F$9:$F1013, $AE$5)</f>
        <v>0</v>
      </c>
      <c r="AE32" s="211">
        <f>SUMIFS('CF BEST'!$D$9:$D1013, 'CF BEST'!$I$9:$I1013, B32,'CF BEST'!$F$9:$F1013, $AE$5)</f>
        <v>0</v>
      </c>
      <c r="AF32" s="212">
        <f>SUMIFS('CF BEST'!$C$9:$C1013, 'CF BEST'!$I$9:$I1013, B32,'CF BEST'!$F$9:$F1013, $AG$5)</f>
        <v>0</v>
      </c>
      <c r="AG32" s="212">
        <f>SUMIFS('CF BEST'!$D$9:$D1013, 'CF BEST'!$I$9:$I1013, B32,'CF BEST'!$F$9:$F1013, $AG$5)</f>
        <v>0</v>
      </c>
      <c r="AH32" s="213">
        <f>SUMIFS('CF BEST'!$C$9:$C1013, 'CF BEST'!$I$9:$I1013, B32,'CF BEST'!$F$9:$F1013, $AI$5)+AB32+AD32+AF32</f>
        <v>0</v>
      </c>
      <c r="AI32" s="213">
        <f>SUMIFS('CF BEST'!$D$9:$D1013, 'CF BEST'!$I$9:$I1013, B32,'CF BEST'!$F$9:$F1013, $AI$5)+AC32+AE32+AG32</f>
        <v>0</v>
      </c>
    </row>
    <row r="33">
      <c r="A33" s="214">
        <f t="shared" si="2"/>
        <v>0.03158863751</v>
      </c>
      <c r="B33" s="215" t="s">
        <v>30</v>
      </c>
      <c r="C33" s="209">
        <f t="shared" si="7"/>
        <v>2273827.14</v>
      </c>
      <c r="D33" s="210">
        <f>SUMIFS('CF BEST'!$C$9:$C1013, 'CF BEST'!$I$9:$I1013, B33,'CF BEST'!$F$9:$F1013, $E$5)</f>
        <v>0</v>
      </c>
      <c r="E33" s="210">
        <f>SUMIFS('CF BEST'!$D$9:$D1013, 'CF BEST'!$I$9:$I1013, B33,'CF BEST'!$F$9:$F1013, $E$5)</f>
        <v>402165</v>
      </c>
      <c r="F33" s="211">
        <f>SUMIFS('CF BEST'!$C$9:$C1013, 'CF BEST'!$I$9:$I1013, B33,'CF BEST'!$F$9:$F1013, $G$5)</f>
        <v>0</v>
      </c>
      <c r="G33" s="211">
        <f>SUMIFS('CF BEST'!$D$9:$D1013, 'CF BEST'!$I$9:$I1013, B33,'CF BEST'!$F$9:$F1013, $G$5)</f>
        <v>450068.69</v>
      </c>
      <c r="H33" s="212">
        <f>SUMIFS('CF BEST'!$C$9:$C1013, 'CF BEST'!$I$9:$I1013, B33,'CF BEST'!$F$9:$F1013, $I$5)</f>
        <v>0</v>
      </c>
      <c r="I33" s="212">
        <f>SUMIFS('CF BEST'!$D$9:$D1013, 'CF BEST'!$I$9:$I1013, B33,'CF BEST'!$F$9:$F1013, $I$5)</f>
        <v>409400</v>
      </c>
      <c r="J33" s="213">
        <f>SUMIFS('CF BEST'!$C$9:$C1013, 'CF BEST'!$I$9:$I1013, B33,'CF BEST'!$F$9:$F1013, $K$5)+D33+F33+H33</f>
        <v>0</v>
      </c>
      <c r="K33" s="213">
        <f>SUMIFS('CF BEST'!$D$9:$D1013, 'CF BEST'!$I$9:$I1013, B33,'CF BEST'!$F$9:$F1013, $K$5)+E33+G33+I33</f>
        <v>1261633.69</v>
      </c>
      <c r="L33" s="210">
        <f>SUMIFS('CF BEST'!$C$9:$C1013, 'CF BEST'!$I$9:$I1013, B33,'CF BEST'!$F$9:$F1013, $M$5)</f>
        <v>0</v>
      </c>
      <c r="M33" s="210">
        <f>SUMIFS('CF BEST'!$D$9:$D1013, 'CF BEST'!$I$9:$I1013, B33,'CF BEST'!$F$9:$F1013, $M$5)</f>
        <v>446393.45</v>
      </c>
      <c r="N33" s="211">
        <f>SUMIFS('CF BEST'!$C$9:$C1013, 'CF BEST'!$I$9:$I1013, B33,'CF BEST'!$F$9:$F1013, $O$5)</f>
        <v>0</v>
      </c>
      <c r="O33" s="211">
        <f>SUMIFS('CF BEST'!$D$9:$D1013, 'CF BEST'!$I$9:$I1013, B33,'CF BEST'!$F$9:$F1013, $O$5)</f>
        <v>565800</v>
      </c>
      <c r="P33" s="212">
        <f>SUMIFS('CF BEST'!$C$9:$C1013, 'CF BEST'!$I$9:$I1013, B33,'CF BEST'!$F$9:$F1013, $Q$5)</f>
        <v>0</v>
      </c>
      <c r="Q33" s="212">
        <f>SUMIFS('CF BEST'!$D$9:$D1013, 'CF BEST'!$I$9:$I1013, B33,'CF BEST'!$F$9:$F1013, $Q$5)</f>
        <v>0</v>
      </c>
      <c r="R33" s="213">
        <f>SUMIFS('CF BEST'!$C$9:$C1013, 'CF BEST'!$I$9:$I1013, B33,'CF BEST'!$F$9:$F1013, $S$5)+L33+N33+P33</f>
        <v>0</v>
      </c>
      <c r="S33" s="213">
        <f>SUMIFS('CF BEST'!$D$9:$D1013, 'CF BEST'!$I$9:$I1013, B33,'CF BEST'!$F$9:$F1013, $S$5)+M33+O33+Q33</f>
        <v>1012193.45</v>
      </c>
      <c r="T33" s="210">
        <f>SUMIFS('CF BEST'!$C$9:$C1013, 'CF BEST'!$I$9:$I1013, B33,'CF BEST'!$F$9:$F1013, $U$5)</f>
        <v>0</v>
      </c>
      <c r="U33" s="210">
        <f>SUMIFS('CF BEST'!$D$9:$D1013, 'CF BEST'!$I$9:$I1013, B33,'CF BEST'!$F$9:$F1013, $U$5)</f>
        <v>0</v>
      </c>
      <c r="V33" s="211">
        <f>SUMIFS('CF BEST'!$C$9:$C1013, 'CF BEST'!$I$9:$I1013, B33,'CF BEST'!$F$9:$F1013, $W$5)</f>
        <v>0</v>
      </c>
      <c r="W33" s="211">
        <f>SUMIFS('CF BEST'!$D$9:$D1013, 'CF BEST'!$I$9:$I1013, B33,'CF BEST'!$F$9:$F1013, $W$5)</f>
        <v>0</v>
      </c>
      <c r="X33" s="212">
        <f>SUMIFS('CF BEST'!$C$9:$C1013, 'CF BEST'!$I$9:$I1013, B33,'CF BEST'!$F$9:$F1013, $Y$5)</f>
        <v>0</v>
      </c>
      <c r="Y33" s="212">
        <f>SUMIFS('CF BEST'!$D$9:$D1013, 'CF BEST'!$I$9:$I1013, B33,'CF BEST'!$F$9:$F1013, $Y$5)</f>
        <v>0</v>
      </c>
      <c r="Z33" s="213">
        <f>SUMIFS('CF BEST'!$C$9:$C1013, 'CF BEST'!$I$9:$I1013, B33,'CF BEST'!$F$9:$F1013, $AA$5)+T33+V33+X33</f>
        <v>0</v>
      </c>
      <c r="AA33" s="213">
        <f>SUMIFS('CF BEST'!$D$9:$D1013, 'CF BEST'!$I$9:$I1013, B33,'CF BEST'!$F$9:$F1013, $AA$5)+U33+W33+Y33</f>
        <v>0</v>
      </c>
      <c r="AB33" s="210">
        <f>SUMIFS('CF BEST'!$C$9:$C1013, 'CF BEST'!$I$9:$I1013, B33,'CF BEST'!$F$9:$F1013, $AC$5)</f>
        <v>0</v>
      </c>
      <c r="AC33" s="210">
        <f>SUMIFS('CF BEST'!$D$9:$D1013, 'CF BEST'!$I$9:$I1013, B33,'CF BEST'!$F$9:$F1013, $AC$5)</f>
        <v>0</v>
      </c>
      <c r="AD33" s="211">
        <f>SUMIFS('CF BEST'!$C$9:$C1013, 'CF BEST'!$I$9:$I1013, B33,'CF BEST'!$F$9:$F1013, $AE$5)</f>
        <v>0</v>
      </c>
      <c r="AE33" s="211">
        <f>SUMIFS('CF BEST'!$D$9:$D1013, 'CF BEST'!$I$9:$I1013, B33,'CF BEST'!$F$9:$F1013, $AE$5)</f>
        <v>0</v>
      </c>
      <c r="AF33" s="212">
        <f>SUMIFS('CF BEST'!$C$9:$C1013, 'CF BEST'!$I$9:$I1013, B33,'CF BEST'!$F$9:$F1013, $AG$5)</f>
        <v>0</v>
      </c>
      <c r="AG33" s="212">
        <f>SUMIFS('CF BEST'!$D$9:$D1013, 'CF BEST'!$I$9:$I1013, B33,'CF BEST'!$F$9:$F1013, $AG$5)</f>
        <v>0</v>
      </c>
      <c r="AH33" s="213">
        <f>SUMIFS('CF BEST'!$C$9:$C1013, 'CF BEST'!$I$9:$I1013, B33,'CF BEST'!$F$9:$F1013, $AI$5)+AB33+AD33+AF33</f>
        <v>0</v>
      </c>
      <c r="AI33" s="213">
        <f>SUMIFS('CF BEST'!$D$9:$D1013, 'CF BEST'!$I$9:$I1013, B33,'CF BEST'!$F$9:$F1013, $AI$5)+AC33+AE33+AG33</f>
        <v>0</v>
      </c>
    </row>
    <row r="34">
      <c r="A34" s="214">
        <f t="shared" si="2"/>
        <v>0.02328920717</v>
      </c>
      <c r="B34" s="208" t="s">
        <v>495</v>
      </c>
      <c r="C34" s="209">
        <f t="shared" si="7"/>
        <v>1676413.91</v>
      </c>
      <c r="D34" s="210">
        <f>SUMIFS('CF BEST'!$C$9:$C1013, 'CF BEST'!$I$9:$I1013, B34,'CF BEST'!$F$9:$F1013, $E$5)</f>
        <v>0</v>
      </c>
      <c r="E34" s="210">
        <f>SUMIFS('CF BEST'!$D$9:$D1013, 'CF BEST'!$I$9:$I1013, B34,'CF BEST'!$F$9:$F1013, $E$5)</f>
        <v>72349.31</v>
      </c>
      <c r="F34" s="211">
        <f>SUMIFS('CF BEST'!$C$9:$C1013, 'CF BEST'!$I$9:$I1013, B34,'CF BEST'!$F$9:$F1013, $G$5)</f>
        <v>0</v>
      </c>
      <c r="G34" s="211">
        <f>SUMIFS('CF BEST'!$D$9:$D1013, 'CF BEST'!$I$9:$I1013, B34,'CF BEST'!$F$9:$F1013, $G$5)</f>
        <v>358520.75</v>
      </c>
      <c r="H34" s="212">
        <f>SUMIFS('CF BEST'!$C$9:$C1013, 'CF BEST'!$I$9:$I1013, B34,'CF BEST'!$F$9:$F1013, $I$5)</f>
        <v>0</v>
      </c>
      <c r="I34" s="212">
        <f>SUMIFS('CF BEST'!$D$9:$D1013, 'CF BEST'!$I$9:$I1013, B34,'CF BEST'!$F$9:$F1013, $I$5)</f>
        <v>336736.52</v>
      </c>
      <c r="J34" s="213">
        <f>SUMIFS('CF BEST'!$C$9:$C1013, 'CF BEST'!$I$9:$I1013, B34,'CF BEST'!$F$9:$F1013, $K$5)+D34+F34+H34</f>
        <v>0</v>
      </c>
      <c r="K34" s="213">
        <f>SUMIFS('CF BEST'!$D$9:$D1013, 'CF BEST'!$I$9:$I1013, B34,'CF BEST'!$F$9:$F1013, $K$5)+E34+G34+I34</f>
        <v>767606.58</v>
      </c>
      <c r="L34" s="210">
        <f>SUMIFS('CF BEST'!$C$9:$C1013, 'CF BEST'!$I$9:$I1013, B34,'CF BEST'!$F$9:$F1013, $M$5)</f>
        <v>0</v>
      </c>
      <c r="M34" s="210">
        <f>SUMIFS('CF BEST'!$D$9:$D1013, 'CF BEST'!$I$9:$I1013, B34,'CF BEST'!$F$9:$F1013, $M$5)</f>
        <v>318790.97</v>
      </c>
      <c r="N34" s="211">
        <f>SUMIFS('CF BEST'!$C$9:$C1013, 'CF BEST'!$I$9:$I1013, B34,'CF BEST'!$F$9:$F1013, $O$5)</f>
        <v>0</v>
      </c>
      <c r="O34" s="211">
        <f>SUMIFS('CF BEST'!$D$9:$D1013, 'CF BEST'!$I$9:$I1013, B34,'CF BEST'!$F$9:$F1013, $O$5)</f>
        <v>302508.18</v>
      </c>
      <c r="P34" s="212">
        <f>SUMIFS('CF BEST'!$C$9:$C1013, 'CF BEST'!$I$9:$I1013, B34,'CF BEST'!$F$9:$F1013, $Q$5)</f>
        <v>0</v>
      </c>
      <c r="Q34" s="212">
        <f>SUMIFS('CF BEST'!$D$9:$D1013, 'CF BEST'!$I$9:$I1013, B34,'CF BEST'!$F$9:$F1013, $Q$5)</f>
        <v>287508.18</v>
      </c>
      <c r="R34" s="213">
        <f>SUMIFS('CF BEST'!$C$9:$C1013, 'CF BEST'!$I$9:$I1013, B34,'CF BEST'!$F$9:$F1013, $S$5)+L34+N34+P34</f>
        <v>0</v>
      </c>
      <c r="S34" s="213">
        <f>SUMIFS('CF BEST'!$D$9:$D1013, 'CF BEST'!$I$9:$I1013, B34,'CF BEST'!$F$9:$F1013, $S$5)+M34+O34+Q34</f>
        <v>908807.33</v>
      </c>
      <c r="T34" s="210">
        <f>SUMIFS('CF BEST'!$C$9:$C1013, 'CF BEST'!$I$9:$I1013, B34,'CF BEST'!$F$9:$F1013, $U$5)</f>
        <v>0</v>
      </c>
      <c r="U34" s="210">
        <f>SUMIFS('CF BEST'!$D$9:$D1013, 'CF BEST'!$I$9:$I1013, B34,'CF BEST'!$F$9:$F1013, $U$5)</f>
        <v>0</v>
      </c>
      <c r="V34" s="211">
        <f>SUMIFS('CF BEST'!$C$9:$C1013, 'CF BEST'!$I$9:$I1013, B34,'CF BEST'!$F$9:$F1013, $W$5)</f>
        <v>0</v>
      </c>
      <c r="W34" s="211">
        <f>SUMIFS('CF BEST'!$D$9:$D1013, 'CF BEST'!$I$9:$I1013, B34,'CF BEST'!$F$9:$F1013, $W$5)</f>
        <v>0</v>
      </c>
      <c r="X34" s="212">
        <f>SUMIFS('CF BEST'!$C$9:$C1013, 'CF BEST'!$I$9:$I1013, B34,'CF BEST'!$F$9:$F1013, $Y$5)</f>
        <v>0</v>
      </c>
      <c r="Y34" s="212">
        <f>SUMIFS('CF BEST'!$D$9:$D1013, 'CF BEST'!$I$9:$I1013, B34,'CF BEST'!$F$9:$F1013, $Y$5)</f>
        <v>0</v>
      </c>
      <c r="Z34" s="213">
        <f>SUMIFS('CF BEST'!$C$9:$C1013, 'CF BEST'!$I$9:$I1013, B34,'CF BEST'!$F$9:$F1013, $AA$5)+T34+V34+X34</f>
        <v>0</v>
      </c>
      <c r="AA34" s="213">
        <f>SUMIFS('CF BEST'!$D$9:$D1013, 'CF BEST'!$I$9:$I1013, B34,'CF BEST'!$F$9:$F1013, $AA$5)+U34+W34+Y34</f>
        <v>0</v>
      </c>
      <c r="AB34" s="210">
        <f>SUMIFS('CF BEST'!$C$9:$C1013, 'CF BEST'!$I$9:$I1013, B34,'CF BEST'!$F$9:$F1013, $AC$5)</f>
        <v>0</v>
      </c>
      <c r="AC34" s="210">
        <f>SUMIFS('CF BEST'!$D$9:$D1013, 'CF BEST'!$I$9:$I1013, B34,'CF BEST'!$F$9:$F1013, $AC$5)</f>
        <v>0</v>
      </c>
      <c r="AD34" s="211">
        <f>SUMIFS('CF BEST'!$C$9:$C1013, 'CF BEST'!$I$9:$I1013, B34,'CF BEST'!$F$9:$F1013, $AE$5)</f>
        <v>0</v>
      </c>
      <c r="AE34" s="211">
        <f>SUMIFS('CF BEST'!$D$9:$D1013, 'CF BEST'!$I$9:$I1013, B34,'CF BEST'!$F$9:$F1013, $AE$5)</f>
        <v>0</v>
      </c>
      <c r="AF34" s="212">
        <f>SUMIFS('CF BEST'!$C$9:$C1013, 'CF BEST'!$I$9:$I1013, B34,'CF BEST'!$F$9:$F1013, $AG$5)</f>
        <v>0</v>
      </c>
      <c r="AG34" s="212">
        <f>SUMIFS('CF BEST'!$D$9:$D1013, 'CF BEST'!$I$9:$I1013, B34,'CF BEST'!$F$9:$F1013, $AG$5)</f>
        <v>0</v>
      </c>
      <c r="AH34" s="213">
        <f>SUMIFS('CF BEST'!$C$9:$C1013, 'CF BEST'!$I$9:$I1013, B34,'CF BEST'!$F$9:$F1013, $AI$5)+AB34+AD34+AF34</f>
        <v>0</v>
      </c>
      <c r="AI34" s="213">
        <f>SUMIFS('CF BEST'!$D$9:$D1013, 'CF BEST'!$I$9:$I1013, B34,'CF BEST'!$F$9:$F1013, $AI$5)+AC34+AE34+AG34</f>
        <v>0</v>
      </c>
    </row>
    <row r="35">
      <c r="A35" s="214">
        <f t="shared" si="2"/>
        <v>0.009016921605</v>
      </c>
      <c r="B35" s="208" t="s">
        <v>490</v>
      </c>
      <c r="C35" s="209">
        <f t="shared" si="7"/>
        <v>649060</v>
      </c>
      <c r="D35" s="210">
        <f>SUMIFS('CF BEST'!$C$9:$C1013, 'CF BEST'!$I$9:$I1013, B35,'CF BEST'!$F$9:$F1013, $E$5)</f>
        <v>0</v>
      </c>
      <c r="E35" s="210">
        <f>SUMIFS('CF BEST'!$D$9:$D1013, 'CF BEST'!$I$9:$I1013, B35,'CF BEST'!$F$9:$F1013, $E$5)</f>
        <v>10000</v>
      </c>
      <c r="F35" s="211">
        <f>SUMIFS('CF BEST'!$C$9:$C1013, 'CF BEST'!$I$9:$I1013, B35,'CF BEST'!$F$9:$F1013, $G$5)</f>
        <v>0</v>
      </c>
      <c r="G35" s="211">
        <f>SUMIFS('CF BEST'!$D$9:$D1013, 'CF BEST'!$I$9:$I1013, B35,'CF BEST'!$F$9:$F1013, $G$5)</f>
        <v>135900</v>
      </c>
      <c r="H35" s="212">
        <f>SUMIFS('CF BEST'!$C$9:$C1013, 'CF BEST'!$I$9:$I1013, B35,'CF BEST'!$F$9:$F1013, $I$5)</f>
        <v>0</v>
      </c>
      <c r="I35" s="212">
        <f>SUMIFS('CF BEST'!$D$9:$D1013, 'CF BEST'!$I$9:$I1013, B35,'CF BEST'!$F$9:$F1013, $I$5)</f>
        <v>132165</v>
      </c>
      <c r="J35" s="213">
        <f>SUMIFS('CF BEST'!$C$9:$C1013, 'CF BEST'!$I$9:$I1013, B35,'CF BEST'!$F$9:$F1013, $K$5)+D35+F35+H35</f>
        <v>0</v>
      </c>
      <c r="K35" s="213">
        <f>SUMIFS('CF BEST'!$D$9:$D1013, 'CF BEST'!$I$9:$I1013, B35,'CF BEST'!$F$9:$F1013, $K$5)+E35+G35+I35</f>
        <v>278065</v>
      </c>
      <c r="L35" s="210">
        <f>SUMIFS('CF BEST'!$C$9:$C1013, 'CF BEST'!$I$9:$I1013, B35,'CF BEST'!$F$9:$F1013, $M$5)</f>
        <v>0</v>
      </c>
      <c r="M35" s="210">
        <f>SUMIFS('CF BEST'!$D$9:$D1013, 'CF BEST'!$I$9:$I1013, B35,'CF BEST'!$F$9:$F1013, $M$5)</f>
        <v>303440</v>
      </c>
      <c r="N35" s="211">
        <f>SUMIFS('CF BEST'!$C$9:$C1013, 'CF BEST'!$I$9:$I1013, B35,'CF BEST'!$F$9:$F1013, $O$5)</f>
        <v>0</v>
      </c>
      <c r="O35" s="211">
        <f>SUMIFS('CF BEST'!$D$9:$D1013, 'CF BEST'!$I$9:$I1013, B35,'CF BEST'!$F$9:$F1013, $O$5)</f>
        <v>67555</v>
      </c>
      <c r="P35" s="212">
        <f>SUMIFS('CF BEST'!$C$9:$C1013, 'CF BEST'!$I$9:$I1013, B35,'CF BEST'!$F$9:$F1013, $Q$5)</f>
        <v>0</v>
      </c>
      <c r="Q35" s="212">
        <f>SUMIFS('CF BEST'!$D$9:$D1013, 'CF BEST'!$I$9:$I1013, B35,'CF BEST'!$F$9:$F1013, $Q$5)</f>
        <v>0</v>
      </c>
      <c r="R35" s="213">
        <f>SUMIFS('CF BEST'!$C$9:$C1013, 'CF BEST'!$I$9:$I1013, B35,'CF BEST'!$F$9:$F1013, $S$5)+L35+N35+P35</f>
        <v>0</v>
      </c>
      <c r="S35" s="213">
        <f>SUMIFS('CF BEST'!$D$9:$D1013, 'CF BEST'!$I$9:$I1013, B35,'CF BEST'!$F$9:$F1013, $S$5)+M35+O35+Q35</f>
        <v>370995</v>
      </c>
      <c r="T35" s="210">
        <f>SUMIFS('CF BEST'!$C$9:$C1013, 'CF BEST'!$I$9:$I1013, B35,'CF BEST'!$F$9:$F1013, $U$5)</f>
        <v>0</v>
      </c>
      <c r="U35" s="210">
        <f>SUMIFS('CF BEST'!$D$9:$D1013, 'CF BEST'!$I$9:$I1013, B35,'CF BEST'!$F$9:$F1013, $U$5)</f>
        <v>0</v>
      </c>
      <c r="V35" s="211">
        <f>SUMIFS('CF BEST'!$C$9:$C1013, 'CF BEST'!$I$9:$I1013, B35,'CF BEST'!$F$9:$F1013, $W$5)</f>
        <v>0</v>
      </c>
      <c r="W35" s="211">
        <f>SUMIFS('CF BEST'!$D$9:$D1013, 'CF BEST'!$I$9:$I1013, B35,'CF BEST'!$F$9:$F1013, $W$5)</f>
        <v>0</v>
      </c>
      <c r="X35" s="212">
        <f>SUMIFS('CF BEST'!$C$9:$C1013, 'CF BEST'!$I$9:$I1013, B35,'CF BEST'!$F$9:$F1013, $Y$5)</f>
        <v>0</v>
      </c>
      <c r="Y35" s="212">
        <f>SUMIFS('CF BEST'!$D$9:$D1013, 'CF BEST'!$I$9:$I1013, B35,'CF BEST'!$F$9:$F1013, $Y$5)</f>
        <v>0</v>
      </c>
      <c r="Z35" s="213">
        <f>SUMIFS('CF BEST'!$C$9:$C1013, 'CF BEST'!$I$9:$I1013, B35,'CF BEST'!$F$9:$F1013, $AA$5)+T35+V35+X35</f>
        <v>0</v>
      </c>
      <c r="AA35" s="213">
        <f>SUMIFS('CF BEST'!$D$9:$D1013, 'CF BEST'!$I$9:$I1013, B35,'CF BEST'!$F$9:$F1013, $AA$5)+U35+W35+Y35</f>
        <v>0</v>
      </c>
      <c r="AB35" s="210">
        <f>SUMIFS('CF BEST'!$C$9:$C1013, 'CF BEST'!$I$9:$I1013, B35,'CF BEST'!$F$9:$F1013, $AC$5)</f>
        <v>0</v>
      </c>
      <c r="AC35" s="210">
        <f>SUMIFS('CF BEST'!$D$9:$D1013, 'CF BEST'!$I$9:$I1013, B35,'CF BEST'!$F$9:$F1013, $AC$5)</f>
        <v>0</v>
      </c>
      <c r="AD35" s="211">
        <f>SUMIFS('CF BEST'!$C$9:$C1013, 'CF BEST'!$I$9:$I1013, B35,'CF BEST'!$F$9:$F1013, $AE$5)</f>
        <v>0</v>
      </c>
      <c r="AE35" s="211">
        <f>SUMIFS('CF BEST'!$D$9:$D1013, 'CF BEST'!$I$9:$I1013, B35,'CF BEST'!$F$9:$F1013, $AE$5)</f>
        <v>0</v>
      </c>
      <c r="AF35" s="212">
        <f>SUMIFS('CF BEST'!$C$9:$C1013, 'CF BEST'!$I$9:$I1013, B35,'CF BEST'!$F$9:$F1013, $AG$5)</f>
        <v>0</v>
      </c>
      <c r="AG35" s="212">
        <f>SUMIFS('CF BEST'!$D$9:$D1013, 'CF BEST'!$I$9:$I1013, B35,'CF BEST'!$F$9:$F1013, $AG$5)</f>
        <v>0</v>
      </c>
      <c r="AH35" s="213">
        <f>SUMIFS('CF BEST'!$C$9:$C1013, 'CF BEST'!$I$9:$I1013, B35,'CF BEST'!$F$9:$F1013, $AI$5)+AB35+AD35+AF35</f>
        <v>0</v>
      </c>
      <c r="AI35" s="213">
        <f>SUMIFS('CF BEST'!$D$9:$D1013, 'CF BEST'!$I$9:$I1013, B35,'CF BEST'!$F$9:$F1013, $AI$5)+AC35+AE35+AG35</f>
        <v>0</v>
      </c>
    </row>
    <row r="36">
      <c r="A36" s="214">
        <f t="shared" si="2"/>
        <v>0.007210619905</v>
      </c>
      <c r="B36" s="208" t="s">
        <v>383</v>
      </c>
      <c r="C36" s="209">
        <f t="shared" si="7"/>
        <v>519038</v>
      </c>
      <c r="D36" s="210">
        <f>SUMIFS('CF BEST'!$C$9:$C1013, 'CF BEST'!$I$9:$I1013, B36,'CF BEST'!$F$9:$F1013, $E$5)</f>
        <v>0</v>
      </c>
      <c r="E36" s="210">
        <f>SUMIFS('CF BEST'!$D$9:$D1013, 'CF BEST'!$I$9:$I1013, B36,'CF BEST'!$F$9:$F1013, $E$5)</f>
        <v>0</v>
      </c>
      <c r="F36" s="211">
        <f>SUMIFS('CF BEST'!$C$9:$C1013, 'CF BEST'!$I$9:$I1013, B36,'CF BEST'!$F$9:$F1013, $G$5)</f>
        <v>0</v>
      </c>
      <c r="G36" s="211">
        <f>SUMIFS('CF BEST'!$D$9:$D1013, 'CF BEST'!$I$9:$I1013, B36,'CF BEST'!$F$9:$F1013, $G$5)</f>
        <v>335938</v>
      </c>
      <c r="H36" s="212">
        <f>SUMIFS('CF BEST'!$C$9:$C1013, 'CF BEST'!$I$9:$I1013, B36,'CF BEST'!$F$9:$F1013, $I$5)</f>
        <v>0</v>
      </c>
      <c r="I36" s="212">
        <f>SUMIFS('CF BEST'!$D$9:$D1013, 'CF BEST'!$I$9:$I1013, B36,'CF BEST'!$F$9:$F1013, $I$5)</f>
        <v>151000</v>
      </c>
      <c r="J36" s="213">
        <f>SUMIFS('CF BEST'!$C$9:$C1013, 'CF BEST'!$I$9:$I1013, B36,'CF BEST'!$F$9:$F1013, $K$5)+D36+F36+H36</f>
        <v>0</v>
      </c>
      <c r="K36" s="213">
        <f>SUMIFS('CF BEST'!$D$9:$D1013, 'CF BEST'!$I$9:$I1013, B36,'CF BEST'!$F$9:$F1013, $K$5)+E36+G36+I36</f>
        <v>486938</v>
      </c>
      <c r="L36" s="210">
        <f>SUMIFS('CF BEST'!$C$9:$C1013, 'CF BEST'!$I$9:$I1013, B36,'CF BEST'!$F$9:$F1013, $M$5)</f>
        <v>0</v>
      </c>
      <c r="M36" s="210">
        <f>SUMIFS('CF BEST'!$D$9:$D1013, 'CF BEST'!$I$9:$I1013, B36,'CF BEST'!$F$9:$F1013, $M$5)</f>
        <v>0</v>
      </c>
      <c r="N36" s="211">
        <f>SUMIFS('CF BEST'!$C$9:$C1013, 'CF BEST'!$I$9:$I1013, B36,'CF BEST'!$F$9:$F1013, $O$5)</f>
        <v>57500</v>
      </c>
      <c r="O36" s="211">
        <f>SUMIFS('CF BEST'!$D$9:$D1013, 'CF BEST'!$I$9:$I1013, B36,'CF BEST'!$F$9:$F1013, $O$5)</f>
        <v>32100</v>
      </c>
      <c r="P36" s="212">
        <f>SUMIFS('CF BEST'!$C$9:$C1013, 'CF BEST'!$I$9:$I1013, B36,'CF BEST'!$F$9:$F1013, $Q$5)</f>
        <v>0</v>
      </c>
      <c r="Q36" s="212">
        <f>SUMIFS('CF BEST'!$D$9:$D1013, 'CF BEST'!$I$9:$I1013, B36,'CF BEST'!$F$9:$F1013, $Q$5)</f>
        <v>0</v>
      </c>
      <c r="R36" s="213">
        <f>SUMIFS('CF BEST'!$C$9:$C1013, 'CF BEST'!$I$9:$I1013, B36,'CF BEST'!$F$9:$F1013, $S$5)+L36+N36+P36</f>
        <v>57500</v>
      </c>
      <c r="S36" s="213">
        <f>SUMIFS('CF BEST'!$D$9:$D1013, 'CF BEST'!$I$9:$I1013, B36,'CF BEST'!$F$9:$F1013, $S$5)+M36+O36+Q36</f>
        <v>32100</v>
      </c>
      <c r="T36" s="210">
        <f>SUMIFS('CF BEST'!$C$9:$C1013, 'CF BEST'!$I$9:$I1013, B36,'CF BEST'!$F$9:$F1013, $U$5)</f>
        <v>0</v>
      </c>
      <c r="U36" s="210">
        <f>SUMIFS('CF BEST'!$D$9:$D1013, 'CF BEST'!$I$9:$I1013, B36,'CF BEST'!$F$9:$F1013, $U$5)</f>
        <v>0</v>
      </c>
      <c r="V36" s="211">
        <f>SUMIFS('CF BEST'!$C$9:$C1013, 'CF BEST'!$I$9:$I1013, B36,'CF BEST'!$F$9:$F1013, $W$5)</f>
        <v>0</v>
      </c>
      <c r="W36" s="211">
        <f>SUMIFS('CF BEST'!$D$9:$D1013, 'CF BEST'!$I$9:$I1013, B36,'CF BEST'!$F$9:$F1013, $W$5)</f>
        <v>0</v>
      </c>
      <c r="X36" s="212">
        <f>SUMIFS('CF BEST'!$C$9:$C1013, 'CF BEST'!$I$9:$I1013, B36,'CF BEST'!$F$9:$F1013, $Y$5)</f>
        <v>0</v>
      </c>
      <c r="Y36" s="212">
        <f>SUMIFS('CF BEST'!$D$9:$D1013, 'CF BEST'!$I$9:$I1013, B36,'CF BEST'!$F$9:$F1013, $Y$5)</f>
        <v>0</v>
      </c>
      <c r="Z36" s="213">
        <f>SUMIFS('CF BEST'!$C$9:$C1013, 'CF BEST'!$I$9:$I1013, B36,'CF BEST'!$F$9:$F1013, $AA$5)+T36+V36+X36</f>
        <v>0</v>
      </c>
      <c r="AA36" s="213">
        <f>SUMIFS('CF BEST'!$D$9:$D1013, 'CF BEST'!$I$9:$I1013, B36,'CF BEST'!$F$9:$F1013, $AA$5)+U36+W36+Y36</f>
        <v>0</v>
      </c>
      <c r="AB36" s="210">
        <f>SUMIFS('CF BEST'!$C$9:$C1013, 'CF BEST'!$I$9:$I1013, B36,'CF BEST'!$F$9:$F1013, $AC$5)</f>
        <v>0</v>
      </c>
      <c r="AC36" s="210">
        <f>SUMIFS('CF BEST'!$D$9:$D1013, 'CF BEST'!$I$9:$I1013, B36,'CF BEST'!$F$9:$F1013, $AC$5)</f>
        <v>0</v>
      </c>
      <c r="AD36" s="211">
        <f>SUMIFS('CF BEST'!$C$9:$C1013, 'CF BEST'!$I$9:$I1013, B36,'CF BEST'!$F$9:$F1013, $AE$5)</f>
        <v>0</v>
      </c>
      <c r="AE36" s="211">
        <f>SUMIFS('CF BEST'!$D$9:$D1013, 'CF BEST'!$I$9:$I1013, B36,'CF BEST'!$F$9:$F1013, $AE$5)</f>
        <v>0</v>
      </c>
      <c r="AF36" s="212">
        <f>SUMIFS('CF BEST'!$C$9:$C1013, 'CF BEST'!$I$9:$I1013, B36,'CF BEST'!$F$9:$F1013, $AG$5)</f>
        <v>0</v>
      </c>
      <c r="AG36" s="212">
        <f>SUMIFS('CF BEST'!$D$9:$D1013, 'CF BEST'!$I$9:$I1013, B36,'CF BEST'!$F$9:$F1013, $AG$5)</f>
        <v>0</v>
      </c>
      <c r="AH36" s="213">
        <f>SUMIFS('CF BEST'!$C$9:$C1013, 'CF BEST'!$I$9:$I1013, B36,'CF BEST'!$F$9:$F1013, $AI$5)+AB36+AD36+AF36</f>
        <v>0</v>
      </c>
      <c r="AI36" s="213">
        <f>SUMIFS('CF BEST'!$D$9:$D1013, 'CF BEST'!$I$9:$I1013, B36,'CF BEST'!$F$9:$F1013, $AI$5)+AC36+AE36+AG36</f>
        <v>0</v>
      </c>
    </row>
    <row r="37">
      <c r="A37" s="214">
        <f t="shared" si="2"/>
        <v>0</v>
      </c>
      <c r="B37" s="208" t="s">
        <v>233</v>
      </c>
      <c r="C37" s="209">
        <f t="shared" si="7"/>
        <v>0</v>
      </c>
      <c r="D37" s="210">
        <f>SUMIFS('CF BEST'!$C$9:$C1013, 'CF BEST'!$I$9:$I1013, B37,'CF BEST'!$F$9:$F1013, $E$5)</f>
        <v>0</v>
      </c>
      <c r="E37" s="210">
        <f>SUMIFS('CF BEST'!$D$9:$D1013, 'CF BEST'!$I$9:$I1013, B37,'CF BEST'!$F$9:$F1013, $E$5)</f>
        <v>0</v>
      </c>
      <c r="F37" s="211">
        <f>SUMIFS('CF BEST'!$C$9:$C1013, 'CF BEST'!$I$9:$I1013, B37,'CF BEST'!$F$9:$F1013, $G$5)</f>
        <v>0</v>
      </c>
      <c r="G37" s="211">
        <f>SUMIFS('CF BEST'!$D$9:$D1013, 'CF BEST'!$I$9:$I1013, B37,'CF BEST'!$F$9:$F1013, $G$5)</f>
        <v>0</v>
      </c>
      <c r="H37" s="212">
        <f>SUMIFS('CF BEST'!$C$9:$C1013, 'CF BEST'!$I$9:$I1013, B37,'CF BEST'!$F$9:$F1013, $I$5)</f>
        <v>0</v>
      </c>
      <c r="I37" s="212">
        <f>SUMIFS('CF BEST'!$D$9:$D1013, 'CF BEST'!$I$9:$I1013, B37,'CF BEST'!$F$9:$F1013, $I$5)</f>
        <v>0</v>
      </c>
      <c r="J37" s="213">
        <f>SUMIFS('CF BEST'!$C$9:$C1013, 'CF BEST'!$I$9:$I1013, B37,'CF BEST'!$F$9:$F1013, $K$5)+D37+F37+H37</f>
        <v>0</v>
      </c>
      <c r="K37" s="213">
        <f>SUMIFS('CF BEST'!$D$9:$D1013, 'CF BEST'!$I$9:$I1013, B37,'CF BEST'!$F$9:$F1013, $K$5)+E37+G37+I37</f>
        <v>0</v>
      </c>
      <c r="L37" s="210">
        <f>SUMIFS('CF BEST'!$C$9:$C1013, 'CF BEST'!$I$9:$I1013, B37,'CF BEST'!$F$9:$F1013, $M$5)</f>
        <v>0</v>
      </c>
      <c r="M37" s="210">
        <f>SUMIFS('CF BEST'!$D$9:$D1013, 'CF BEST'!$I$9:$I1013, B37,'CF BEST'!$F$9:$F1013, $M$5)</f>
        <v>0</v>
      </c>
      <c r="N37" s="211">
        <f>SUMIFS('CF BEST'!$C$9:$C1013, 'CF BEST'!$I$9:$I1013, B37,'CF BEST'!$F$9:$F1013, $O$5)</f>
        <v>0</v>
      </c>
      <c r="O37" s="211">
        <f>SUMIFS('CF BEST'!$D$9:$D1013, 'CF BEST'!$I$9:$I1013, B37,'CF BEST'!$F$9:$F1013, $O$5)</f>
        <v>0</v>
      </c>
      <c r="P37" s="212">
        <f>SUMIFS('CF BEST'!$C$9:$C1013, 'CF BEST'!$I$9:$I1013, B37,'CF BEST'!$F$9:$F1013, $Q$5)</f>
        <v>0</v>
      </c>
      <c r="Q37" s="212">
        <f>SUMIFS('CF BEST'!$D$9:$D1013, 'CF BEST'!$I$9:$I1013, B37,'CF BEST'!$F$9:$F1013, $Q$5)</f>
        <v>0</v>
      </c>
      <c r="R37" s="213">
        <f>SUMIFS('CF BEST'!$C$9:$C1013, 'CF BEST'!$I$9:$I1013, B37,'CF BEST'!$F$9:$F1013, $S$5)+L37+N37+P37</f>
        <v>0</v>
      </c>
      <c r="S37" s="213">
        <f>SUMIFS('CF BEST'!$D$9:$D1013, 'CF BEST'!$I$9:$I1013, B37,'CF BEST'!$F$9:$F1013, $S$5)+M37+O37+Q37</f>
        <v>0</v>
      </c>
      <c r="T37" s="210">
        <f>SUMIFS('CF BEST'!$C$9:$C1013, 'CF BEST'!$I$9:$I1013, B37,'CF BEST'!$F$9:$F1013, $U$5)</f>
        <v>0</v>
      </c>
      <c r="U37" s="210">
        <f>SUMIFS('CF BEST'!$D$9:$D1013, 'CF BEST'!$I$9:$I1013, B37,'CF BEST'!$F$9:$F1013, $U$5)</f>
        <v>0</v>
      </c>
      <c r="V37" s="211">
        <f>SUMIFS('CF BEST'!$C$9:$C1013, 'CF BEST'!$I$9:$I1013, B37,'CF BEST'!$F$9:$F1013, $W$5)</f>
        <v>0</v>
      </c>
      <c r="W37" s="211">
        <f>SUMIFS('CF BEST'!$D$9:$D1013, 'CF BEST'!$I$9:$I1013, B37,'CF BEST'!$F$9:$F1013, $W$5)</f>
        <v>0</v>
      </c>
      <c r="X37" s="212">
        <f>SUMIFS('CF BEST'!$C$9:$C1013, 'CF BEST'!$I$9:$I1013, B37,'CF BEST'!$F$9:$F1013, $Y$5)</f>
        <v>0</v>
      </c>
      <c r="Y37" s="212">
        <f>SUMIFS('CF BEST'!$D$9:$D1013, 'CF BEST'!$I$9:$I1013, B37,'CF BEST'!$F$9:$F1013, $Y$5)</f>
        <v>0</v>
      </c>
      <c r="Z37" s="213">
        <f>SUMIFS('CF BEST'!$C$9:$C1013, 'CF BEST'!$I$9:$I1013, B37,'CF BEST'!$F$9:$F1013, $AA$5)+T37+V37+X37</f>
        <v>0</v>
      </c>
      <c r="AA37" s="213">
        <f>SUMIFS('CF BEST'!$D$9:$D1013, 'CF BEST'!$I$9:$I1013, B37,'CF BEST'!$F$9:$F1013, $AA$5)+U37+W37+Y37</f>
        <v>0</v>
      </c>
      <c r="AB37" s="210">
        <f>SUMIFS('CF BEST'!$C$9:$C1013, 'CF BEST'!$I$9:$I1013, B37,'CF BEST'!$F$9:$F1013, $AC$5)</f>
        <v>0</v>
      </c>
      <c r="AC37" s="210">
        <f>SUMIFS('CF BEST'!$D$9:$D1013, 'CF BEST'!$I$9:$I1013, B37,'CF BEST'!$F$9:$F1013, $AC$5)</f>
        <v>0</v>
      </c>
      <c r="AD37" s="211">
        <f>SUMIFS('CF BEST'!$C$9:$C1013, 'CF BEST'!$I$9:$I1013, B37,'CF BEST'!$F$9:$F1013, $AE$5)</f>
        <v>0</v>
      </c>
      <c r="AE37" s="211">
        <f>SUMIFS('CF BEST'!$D$9:$D1013, 'CF BEST'!$I$9:$I1013, B37,'CF BEST'!$F$9:$F1013, $AE$5)</f>
        <v>0</v>
      </c>
      <c r="AF37" s="212">
        <f>SUMIFS('CF BEST'!$C$9:$C1013, 'CF BEST'!$I$9:$I1013, B37,'CF BEST'!$F$9:$F1013, $AG$5)</f>
        <v>0</v>
      </c>
      <c r="AG37" s="212">
        <f>SUMIFS('CF BEST'!$D$9:$D1013, 'CF BEST'!$I$9:$I1013, B37,'CF BEST'!$F$9:$F1013, $AG$5)</f>
        <v>0</v>
      </c>
      <c r="AH37" s="213">
        <f>SUMIFS('CF BEST'!$C$9:$C1013, 'CF BEST'!$I$9:$I1013, B37,'CF BEST'!$F$9:$F1013, $AI$5)+AB37+AD37+AF37</f>
        <v>0</v>
      </c>
      <c r="AI37" s="213">
        <f>SUMIFS('CF BEST'!$D$9:$D1013, 'CF BEST'!$I$9:$I1013, B37,'CF BEST'!$F$9:$F1013, $AI$5)+AC37+AE37+AG37</f>
        <v>0</v>
      </c>
    </row>
    <row r="38">
      <c r="A38" s="214">
        <f t="shared" si="2"/>
        <v>0.003125762427</v>
      </c>
      <c r="B38" s="208" t="s">
        <v>616</v>
      </c>
      <c r="C38" s="209">
        <f t="shared" si="7"/>
        <v>225000</v>
      </c>
      <c r="D38" s="210">
        <f>SUMIFS('CF BEST'!$C$9:$C1013, 'CF BEST'!$I$9:$I1013, B38,'CF BEST'!$F$9:$F1013, $E$5)</f>
        <v>0</v>
      </c>
      <c r="E38" s="210">
        <f>SUMIFS('CF BEST'!$D$9:$D1013, 'CF BEST'!$I$9:$I1013, B38,'CF BEST'!$F$9:$F1013, $E$5)</f>
        <v>0</v>
      </c>
      <c r="F38" s="211">
        <f>SUMIFS('CF BEST'!$C$9:$C1013, 'CF BEST'!$I$9:$I1013, B38,'CF BEST'!$F$9:$F1013, $G$5)</f>
        <v>0</v>
      </c>
      <c r="G38" s="211">
        <f>SUMIFS('CF BEST'!$D$9:$D1013, 'CF BEST'!$I$9:$I1013, B38,'CF BEST'!$F$9:$F1013, $G$5)</f>
        <v>225000</v>
      </c>
      <c r="H38" s="212">
        <f>SUMIFS('CF BEST'!$C$9:$C1013, 'CF BEST'!$I$9:$I1013, B38,'CF BEST'!$F$9:$F1013, $I$5)</f>
        <v>0</v>
      </c>
      <c r="I38" s="212">
        <f>SUMIFS('CF BEST'!$D$9:$D1013, 'CF BEST'!$I$9:$I1013, B38,'CF BEST'!$F$9:$F1013, $I$5)</f>
        <v>0</v>
      </c>
      <c r="J38" s="213">
        <f>SUMIFS('CF BEST'!$C$9:$C1013, 'CF BEST'!$I$9:$I1013, B38,'CF BEST'!$F$9:$F1013, $K$5)+D38+F38+H38</f>
        <v>0</v>
      </c>
      <c r="K38" s="213">
        <f>SUMIFS('CF BEST'!$D$9:$D1013, 'CF BEST'!$I$9:$I1013, B38,'CF BEST'!$F$9:$F1013, $K$5)+E38+G38+I38</f>
        <v>225000</v>
      </c>
      <c r="L38" s="210">
        <f>SUMIFS('CF BEST'!$C$9:$C1013, 'CF BEST'!$I$9:$I1013, B38,'CF BEST'!$F$9:$F1013, $M$5)</f>
        <v>0</v>
      </c>
      <c r="M38" s="210">
        <f>SUMIFS('CF BEST'!$D$9:$D1013, 'CF BEST'!$I$9:$I1013, B38,'CF BEST'!$F$9:$F1013, $M$5)</f>
        <v>0</v>
      </c>
      <c r="N38" s="211">
        <f>SUMIFS('CF BEST'!$C$9:$C1013, 'CF BEST'!$I$9:$I1013, B38,'CF BEST'!$F$9:$F1013, $O$5)</f>
        <v>0</v>
      </c>
      <c r="O38" s="211">
        <f>SUMIFS('CF BEST'!$D$9:$D1013, 'CF BEST'!$I$9:$I1013, B38,'CF BEST'!$F$9:$F1013, $O$5)</f>
        <v>0</v>
      </c>
      <c r="P38" s="212">
        <f>SUMIFS('CF BEST'!$C$9:$C1013, 'CF BEST'!$I$9:$I1013, B38,'CF BEST'!$F$9:$F1013, $Q$5)</f>
        <v>0</v>
      </c>
      <c r="Q38" s="212">
        <f>SUMIFS('CF BEST'!$D$9:$D1013, 'CF BEST'!$I$9:$I1013, B38,'CF BEST'!$F$9:$F1013, $Q$5)</f>
        <v>0</v>
      </c>
      <c r="R38" s="213">
        <f>SUMIFS('CF BEST'!$C$9:$C1013, 'CF BEST'!$I$9:$I1013, B38,'CF BEST'!$F$9:$F1013, $S$5)+L38+N38+P38</f>
        <v>0</v>
      </c>
      <c r="S38" s="213">
        <f>SUMIFS('CF BEST'!$D$9:$D1013, 'CF BEST'!$I$9:$I1013, B38,'CF BEST'!$F$9:$F1013, $S$5)+M38+O38+Q38</f>
        <v>0</v>
      </c>
      <c r="T38" s="210">
        <f>SUMIFS('CF BEST'!$C$9:$C1013, 'CF BEST'!$I$9:$I1013, B38,'CF BEST'!$F$9:$F1013, $U$5)</f>
        <v>0</v>
      </c>
      <c r="U38" s="210">
        <f>SUMIFS('CF BEST'!$D$9:$D1013, 'CF BEST'!$I$9:$I1013, B38,'CF BEST'!$F$9:$F1013, $U$5)</f>
        <v>0</v>
      </c>
      <c r="V38" s="211">
        <f>SUMIFS('CF BEST'!$C$9:$C1013, 'CF BEST'!$I$9:$I1013, B38,'CF BEST'!$F$9:$F1013, $W$5)</f>
        <v>0</v>
      </c>
      <c r="W38" s="211">
        <f>SUMIFS('CF BEST'!$D$9:$D1013, 'CF BEST'!$I$9:$I1013, B38,'CF BEST'!$F$9:$F1013, $W$5)</f>
        <v>0</v>
      </c>
      <c r="X38" s="212">
        <f>SUMIFS('CF BEST'!$C$9:$C1013, 'CF BEST'!$I$9:$I1013, B38,'CF BEST'!$F$9:$F1013, $Y$5)</f>
        <v>0</v>
      </c>
      <c r="Y38" s="212">
        <f>SUMIFS('CF BEST'!$D$9:$D1013, 'CF BEST'!$I$9:$I1013, B38,'CF BEST'!$F$9:$F1013, $Y$5)</f>
        <v>0</v>
      </c>
      <c r="Z38" s="213">
        <f>SUMIFS('CF BEST'!$C$9:$C1013, 'CF BEST'!$I$9:$I1013, B38,'CF BEST'!$F$9:$F1013, $AA$5)+T38+V38+X38</f>
        <v>0</v>
      </c>
      <c r="AA38" s="213">
        <f>SUMIFS('CF BEST'!$D$9:$D1013, 'CF BEST'!$I$9:$I1013, B38,'CF BEST'!$F$9:$F1013, $AA$5)+U38+W38+Y38</f>
        <v>0</v>
      </c>
      <c r="AB38" s="210">
        <f>SUMIFS('CF BEST'!$C$9:$C1013, 'CF BEST'!$I$9:$I1013, B38,'CF BEST'!$F$9:$F1013, $AC$5)</f>
        <v>0</v>
      </c>
      <c r="AC38" s="210">
        <f>SUMIFS('CF BEST'!$D$9:$D1013, 'CF BEST'!$I$9:$I1013, B38,'CF BEST'!$F$9:$F1013, $AC$5)</f>
        <v>0</v>
      </c>
      <c r="AD38" s="211">
        <f>SUMIFS('CF BEST'!$C$9:$C1013, 'CF BEST'!$I$9:$I1013, B38,'CF BEST'!$F$9:$F1013, $AE$5)</f>
        <v>0</v>
      </c>
      <c r="AE38" s="211">
        <f>SUMIFS('CF BEST'!$D$9:$D1013, 'CF BEST'!$I$9:$I1013, B38,'CF BEST'!$F$9:$F1013, $AE$5)</f>
        <v>0</v>
      </c>
      <c r="AF38" s="212">
        <f>SUMIFS('CF BEST'!$C$9:$C1013, 'CF BEST'!$I$9:$I1013, B38,'CF BEST'!$F$9:$F1013, $AG$5)</f>
        <v>0</v>
      </c>
      <c r="AG38" s="212">
        <f>SUMIFS('CF BEST'!$D$9:$D1013, 'CF BEST'!$I$9:$I1013, B38,'CF BEST'!$F$9:$F1013, $AG$5)</f>
        <v>0</v>
      </c>
      <c r="AH38" s="213">
        <f>SUMIFS('CF BEST'!$C$9:$C1013, 'CF BEST'!$I$9:$I1013, B38,'CF BEST'!$F$9:$F1013, $AI$5)+AB38+AD38+AF38</f>
        <v>0</v>
      </c>
      <c r="AI38" s="213">
        <f>SUMIFS('CF BEST'!$D$9:$D1013, 'CF BEST'!$I$9:$I1013, B38,'CF BEST'!$F$9:$F1013, $AI$5)+AC38+AE38+AG38</f>
        <v>0</v>
      </c>
    </row>
    <row r="39">
      <c r="A39" s="214">
        <f t="shared" si="2"/>
        <v>0</v>
      </c>
      <c r="B39" s="208" t="s">
        <v>554</v>
      </c>
      <c r="C39" s="209">
        <f t="shared" si="7"/>
        <v>0</v>
      </c>
      <c r="D39" s="210">
        <f>SUMIFS('CF BEST'!$C$9:$C1013, 'CF BEST'!$I$9:$I1013, B39,'CF BEST'!$F$9:$F1013, $E$5)</f>
        <v>0</v>
      </c>
      <c r="E39" s="210">
        <f>SUMIFS('CF BEST'!$D$9:$D1013, 'CF BEST'!$I$9:$I1013, B39,'CF BEST'!$F$9:$F1013, $E$5)</f>
        <v>0</v>
      </c>
      <c r="F39" s="211">
        <f>SUMIFS('CF BEST'!$C$9:$C1013, 'CF BEST'!$I$9:$I1013, B39,'CF BEST'!$F$9:$F1013, $G$5)</f>
        <v>0</v>
      </c>
      <c r="G39" s="211">
        <f>SUMIFS('CF BEST'!$D$9:$D1013, 'CF BEST'!$I$9:$I1013, B39,'CF BEST'!$F$9:$F1013, $G$5)</f>
        <v>0</v>
      </c>
      <c r="H39" s="212">
        <f>SUMIFS('CF BEST'!$C$9:$C1013, 'CF BEST'!$I$9:$I1013, B39,'CF BEST'!$F$9:$F1013, $I$5)</f>
        <v>0</v>
      </c>
      <c r="I39" s="212">
        <f>SUMIFS('CF BEST'!$D$9:$D1013, 'CF BEST'!$I$9:$I1013, B39,'CF BEST'!$F$9:$F1013, $I$5)</f>
        <v>0</v>
      </c>
      <c r="J39" s="213">
        <f>SUMIFS('CF BEST'!$C$9:$C1013, 'CF BEST'!$I$9:$I1013, B39,'CF BEST'!$F$9:$F1013, $K$5)+D39+F39+H39</f>
        <v>0</v>
      </c>
      <c r="K39" s="213">
        <f>SUMIFS('CF BEST'!$D$9:$D1013, 'CF BEST'!$I$9:$I1013, B39,'CF BEST'!$F$9:$F1013, $K$5)+E39+G39+I39</f>
        <v>0</v>
      </c>
      <c r="L39" s="210">
        <f>SUMIFS('CF BEST'!$C$9:$C1013, 'CF BEST'!$I$9:$I1013, B39,'CF BEST'!$F$9:$F1013, $M$5)</f>
        <v>0</v>
      </c>
      <c r="M39" s="210">
        <f>SUMIFS('CF BEST'!$D$9:$D1013, 'CF BEST'!$I$9:$I1013, B39,'CF BEST'!$F$9:$F1013, $M$5)</f>
        <v>0</v>
      </c>
      <c r="N39" s="211">
        <f>SUMIFS('CF BEST'!$C$9:$C1013, 'CF BEST'!$I$9:$I1013, B39,'CF BEST'!$F$9:$F1013, $O$5)</f>
        <v>0</v>
      </c>
      <c r="O39" s="211">
        <f>SUMIFS('CF BEST'!$D$9:$D1013, 'CF BEST'!$I$9:$I1013, B39,'CF BEST'!$F$9:$F1013, $O$5)</f>
        <v>0</v>
      </c>
      <c r="P39" s="212">
        <f>SUMIFS('CF BEST'!$C$9:$C1013, 'CF BEST'!$I$9:$I1013, B39,'CF BEST'!$F$9:$F1013, $Q$5)</f>
        <v>0</v>
      </c>
      <c r="Q39" s="212">
        <f>SUMIFS('CF BEST'!$D$9:$D1013, 'CF BEST'!$I$9:$I1013, B39,'CF BEST'!$F$9:$F1013, $Q$5)</f>
        <v>0</v>
      </c>
      <c r="R39" s="213">
        <f>SUMIFS('CF BEST'!$C$9:$C1013, 'CF BEST'!$I$9:$I1013, B39,'CF BEST'!$F$9:$F1013, $S$5)+L39+N39+P39</f>
        <v>0</v>
      </c>
      <c r="S39" s="213">
        <f>SUMIFS('CF BEST'!$D$9:$D1013, 'CF BEST'!$I$9:$I1013, B39,'CF BEST'!$F$9:$F1013, $S$5)+M39+O39+Q39</f>
        <v>0</v>
      </c>
      <c r="T39" s="210">
        <f>SUMIFS('CF BEST'!$C$9:$C1013, 'CF BEST'!$I$9:$I1013, B39,'CF BEST'!$F$9:$F1013, $U$5)</f>
        <v>0</v>
      </c>
      <c r="U39" s="210">
        <f>SUMIFS('CF BEST'!$D$9:$D1013, 'CF BEST'!$I$9:$I1013, B39,'CF BEST'!$F$9:$F1013, $U$5)</f>
        <v>0</v>
      </c>
      <c r="V39" s="211">
        <f>SUMIFS('CF BEST'!$C$9:$C1013, 'CF BEST'!$I$9:$I1013, B39,'CF BEST'!$F$9:$F1013, $W$5)</f>
        <v>0</v>
      </c>
      <c r="W39" s="211">
        <f>SUMIFS('CF BEST'!$D$9:$D1013, 'CF BEST'!$I$9:$I1013, B39,'CF BEST'!$F$9:$F1013, $W$5)</f>
        <v>0</v>
      </c>
      <c r="X39" s="212">
        <f>SUMIFS('CF BEST'!$C$9:$C1013, 'CF BEST'!$I$9:$I1013, B39,'CF BEST'!$F$9:$F1013, $Y$5)</f>
        <v>0</v>
      </c>
      <c r="Y39" s="212">
        <f>SUMIFS('CF BEST'!$D$9:$D1013, 'CF BEST'!$I$9:$I1013, B39,'CF BEST'!$F$9:$F1013, $Y$5)</f>
        <v>0</v>
      </c>
      <c r="Z39" s="213">
        <f>SUMIFS('CF BEST'!$C$9:$C1013, 'CF BEST'!$I$9:$I1013, B39,'CF BEST'!$F$9:$F1013, $AA$5)+T39+V39+X39</f>
        <v>0</v>
      </c>
      <c r="AA39" s="213">
        <f>SUMIFS('CF BEST'!$D$9:$D1013, 'CF BEST'!$I$9:$I1013, B39,'CF BEST'!$F$9:$F1013, $AA$5)+U39+W39+Y39</f>
        <v>0</v>
      </c>
      <c r="AB39" s="210">
        <f>SUMIFS('CF BEST'!$C$9:$C1013, 'CF BEST'!$I$9:$I1013, B39,'CF BEST'!$F$9:$F1013, $AC$5)</f>
        <v>0</v>
      </c>
      <c r="AC39" s="210">
        <f>SUMIFS('CF BEST'!$D$9:$D1013, 'CF BEST'!$I$9:$I1013, B39,'CF BEST'!$F$9:$F1013, $AC$5)</f>
        <v>0</v>
      </c>
      <c r="AD39" s="211">
        <f>SUMIFS('CF BEST'!$C$9:$C1013, 'CF BEST'!$I$9:$I1013, B39,'CF BEST'!$F$9:$F1013, $AE$5)</f>
        <v>0</v>
      </c>
      <c r="AE39" s="211">
        <f>SUMIFS('CF BEST'!$D$9:$D1013, 'CF BEST'!$I$9:$I1013, B39,'CF BEST'!$F$9:$F1013, $AE$5)</f>
        <v>0</v>
      </c>
      <c r="AF39" s="212">
        <f>SUMIFS('CF BEST'!$C$9:$C1013, 'CF BEST'!$I$9:$I1013, B39,'CF BEST'!$F$9:$F1013, $AG$5)</f>
        <v>0</v>
      </c>
      <c r="AG39" s="212">
        <f>SUMIFS('CF BEST'!$D$9:$D1013, 'CF BEST'!$I$9:$I1013, B39,'CF BEST'!$F$9:$F1013, $AG$5)</f>
        <v>0</v>
      </c>
      <c r="AH39" s="213">
        <f>SUMIFS('CF BEST'!$C$9:$C1013, 'CF BEST'!$I$9:$I1013, B39,'CF BEST'!$F$9:$F1013, $AI$5)+AB39+AD39+AF39</f>
        <v>0</v>
      </c>
      <c r="AI39" s="213">
        <f>SUMIFS('CF BEST'!$D$9:$D1013, 'CF BEST'!$I$9:$I1013, B39,'CF BEST'!$F$9:$F1013, $AI$5)+AC39+AE39+AG39</f>
        <v>0</v>
      </c>
    </row>
    <row r="40">
      <c r="A40" s="214">
        <f t="shared" si="2"/>
        <v>0.005929782209</v>
      </c>
      <c r="B40" s="208" t="s">
        <v>259</v>
      </c>
      <c r="C40" s="209">
        <f t="shared" si="7"/>
        <v>426840.18</v>
      </c>
      <c r="D40" s="210">
        <f>SUMIFS('CF BEST'!$C$9:$C1013, 'CF BEST'!$I$9:$I1013, B40,'CF BEST'!$F$9:$F1013, $E$5)</f>
        <v>0</v>
      </c>
      <c r="E40" s="210">
        <f>SUMIFS('CF BEST'!$D$9:$D1013, 'CF BEST'!$I$9:$I1013, B40,'CF BEST'!$F$9:$F1013, $E$5)</f>
        <v>0</v>
      </c>
      <c r="F40" s="211">
        <f>SUMIFS('CF BEST'!$C$9:$C1013, 'CF BEST'!$I$9:$I1013, B40,'CF BEST'!$F$9:$F1013, $G$5)</f>
        <v>0</v>
      </c>
      <c r="G40" s="211">
        <f>SUMIFS('CF BEST'!$D$9:$D1013, 'CF BEST'!$I$9:$I1013, B40,'CF BEST'!$F$9:$F1013, $G$5)</f>
        <v>51900</v>
      </c>
      <c r="H40" s="212">
        <f>SUMIFS('CF BEST'!$C$9:$C1013, 'CF BEST'!$I$9:$I1013, B40,'CF BEST'!$F$9:$F1013, $I$5)</f>
        <v>0</v>
      </c>
      <c r="I40" s="212">
        <f>SUMIFS('CF BEST'!$D$9:$D1013, 'CF BEST'!$I$9:$I1013, B40,'CF BEST'!$F$9:$F1013, $I$5)</f>
        <v>51900</v>
      </c>
      <c r="J40" s="213">
        <f>SUMIFS('CF BEST'!$C$9:$C1013, 'CF BEST'!$I$9:$I1013, B40,'CF BEST'!$F$9:$F1013, $K$5)+D40+F40+H40</f>
        <v>0</v>
      </c>
      <c r="K40" s="213">
        <f>SUMIFS('CF BEST'!$D$9:$D1013, 'CF BEST'!$I$9:$I1013, B40,'CF BEST'!$F$9:$F1013, $K$5)+E40+G40+I40</f>
        <v>103800</v>
      </c>
      <c r="L40" s="210">
        <f>SUMIFS('CF BEST'!$C$9:$C1013, 'CF BEST'!$I$9:$I1013, B40,'CF BEST'!$F$9:$F1013, $M$5)</f>
        <v>0</v>
      </c>
      <c r="M40" s="210">
        <f>SUMIFS('CF BEST'!$D$9:$D1013, 'CF BEST'!$I$9:$I1013, B40,'CF BEST'!$F$9:$F1013, $M$5)</f>
        <v>171704.98</v>
      </c>
      <c r="N40" s="211">
        <f>SUMIFS('CF BEST'!$C$9:$C1013, 'CF BEST'!$I$9:$I1013, B40,'CF BEST'!$F$9:$F1013, $O$5)</f>
        <v>0</v>
      </c>
      <c r="O40" s="211">
        <f>SUMIFS('CF BEST'!$D$9:$D1013, 'CF BEST'!$I$9:$I1013, B40,'CF BEST'!$F$9:$F1013, $O$5)</f>
        <v>1000</v>
      </c>
      <c r="P40" s="212">
        <f>SUMIFS('CF BEST'!$C$9:$C1013, 'CF BEST'!$I$9:$I1013, B40,'CF BEST'!$F$9:$F1013, $Q$5)</f>
        <v>0</v>
      </c>
      <c r="Q40" s="212">
        <f>SUMIFS('CF BEST'!$D$9:$D1013, 'CF BEST'!$I$9:$I1013, B40,'CF BEST'!$F$9:$F1013, $Q$5)</f>
        <v>150335.2</v>
      </c>
      <c r="R40" s="213">
        <f>SUMIFS('CF BEST'!$C$9:$C1013, 'CF BEST'!$I$9:$I1013, B40,'CF BEST'!$F$9:$F1013, $S$5)+L40+N40+P40</f>
        <v>0</v>
      </c>
      <c r="S40" s="213">
        <f>SUMIFS('CF BEST'!$D$9:$D1013, 'CF BEST'!$I$9:$I1013, B40,'CF BEST'!$F$9:$F1013, $S$5)+M40+O40+Q40</f>
        <v>323040.18</v>
      </c>
      <c r="T40" s="210">
        <f>SUMIFS('CF BEST'!$C$9:$C1013, 'CF BEST'!$I$9:$I1013, B40,'CF BEST'!$F$9:$F1013, $U$5)</f>
        <v>0</v>
      </c>
      <c r="U40" s="210">
        <f>SUMIFS('CF BEST'!$D$9:$D1013, 'CF BEST'!$I$9:$I1013, B40,'CF BEST'!$F$9:$F1013, $U$5)</f>
        <v>0</v>
      </c>
      <c r="V40" s="211">
        <f>SUMIFS('CF BEST'!$C$9:$C1013, 'CF BEST'!$I$9:$I1013, B40,'CF BEST'!$F$9:$F1013, $W$5)</f>
        <v>0</v>
      </c>
      <c r="W40" s="211">
        <f>SUMIFS('CF BEST'!$D$9:$D1013, 'CF BEST'!$I$9:$I1013, B40,'CF BEST'!$F$9:$F1013, $W$5)</f>
        <v>0</v>
      </c>
      <c r="X40" s="212">
        <f>SUMIFS('CF BEST'!$C$9:$C1013, 'CF BEST'!$I$9:$I1013, B40,'CF BEST'!$F$9:$F1013, $Y$5)</f>
        <v>0</v>
      </c>
      <c r="Y40" s="212">
        <f>SUMIFS('CF BEST'!$D$9:$D1013, 'CF BEST'!$I$9:$I1013, B40,'CF BEST'!$F$9:$F1013, $Y$5)</f>
        <v>0</v>
      </c>
      <c r="Z40" s="213">
        <f>SUMIFS('CF BEST'!$C$9:$C1013, 'CF BEST'!$I$9:$I1013, B40,'CF BEST'!$F$9:$F1013, $AA$5)+T40+V40+X40</f>
        <v>0</v>
      </c>
      <c r="AA40" s="213">
        <f>SUMIFS('CF BEST'!$D$9:$D1013, 'CF BEST'!$I$9:$I1013, B40,'CF BEST'!$F$9:$F1013, $AA$5)+U40+W40+Y40</f>
        <v>0</v>
      </c>
      <c r="AB40" s="210">
        <f>SUMIFS('CF BEST'!$C$9:$C1013, 'CF BEST'!$I$9:$I1013, B40,'CF BEST'!$F$9:$F1013, $AC$5)</f>
        <v>0</v>
      </c>
      <c r="AC40" s="210">
        <f>SUMIFS('CF BEST'!$D$9:$D1013, 'CF BEST'!$I$9:$I1013, B40,'CF BEST'!$F$9:$F1013, $AC$5)</f>
        <v>0</v>
      </c>
      <c r="AD40" s="211">
        <f>SUMIFS('CF BEST'!$C$9:$C1013, 'CF BEST'!$I$9:$I1013, B40,'CF BEST'!$F$9:$F1013, $AE$5)</f>
        <v>0</v>
      </c>
      <c r="AE40" s="211">
        <f>SUMIFS('CF BEST'!$D$9:$D1013, 'CF BEST'!$I$9:$I1013, B40,'CF BEST'!$F$9:$F1013, $AE$5)</f>
        <v>0</v>
      </c>
      <c r="AF40" s="212">
        <f>SUMIFS('CF BEST'!$C$9:$C1013, 'CF BEST'!$I$9:$I1013, B40,'CF BEST'!$F$9:$F1013, $AG$5)</f>
        <v>0</v>
      </c>
      <c r="AG40" s="212">
        <f>SUMIFS('CF BEST'!$D$9:$D1013, 'CF BEST'!$I$9:$I1013, B40,'CF BEST'!$F$9:$F1013, $AG$5)</f>
        <v>0</v>
      </c>
      <c r="AH40" s="213">
        <f>SUMIFS('CF BEST'!$C$9:$C1013, 'CF BEST'!$I$9:$I1013, B40,'CF BEST'!$F$9:$F1013, $AI$5)+AB40+AD40+AF40</f>
        <v>0</v>
      </c>
      <c r="AI40" s="213">
        <f>SUMIFS('CF BEST'!$D$9:$D1013, 'CF BEST'!$I$9:$I1013, B40,'CF BEST'!$F$9:$F1013, $AI$5)+AC40+AE40+AG40</f>
        <v>0</v>
      </c>
    </row>
    <row r="41">
      <c r="A41" s="214">
        <f t="shared" si="2"/>
        <v>0.0002917378265</v>
      </c>
      <c r="B41" s="215" t="s">
        <v>35</v>
      </c>
      <c r="C41" s="209">
        <f t="shared" si="7"/>
        <v>21000</v>
      </c>
      <c r="D41" s="210">
        <f>SUMIFS('CF BEST'!$C$9:$C1013, 'CF BEST'!$I$9:$I1013, B41,'CF BEST'!$F$9:$F1013, $E$5)</f>
        <v>0</v>
      </c>
      <c r="E41" s="210">
        <f>SUMIFS('CF BEST'!$D$9:$D1013, 'CF BEST'!$I$9:$I1013, B41,'CF BEST'!$F$9:$F1013, $E$5)</f>
        <v>0</v>
      </c>
      <c r="F41" s="211">
        <f>SUMIFS('CF BEST'!$C$9:$C1013, 'CF BEST'!$I$9:$I1013, B41,'CF BEST'!$F$9:$F1013, $G$5)</f>
        <v>0</v>
      </c>
      <c r="G41" s="211">
        <f>SUMIFS('CF BEST'!$D$9:$D1013, 'CF BEST'!$I$9:$I1013, B41,'CF BEST'!$F$9:$F1013, $G$5)</f>
        <v>0</v>
      </c>
      <c r="H41" s="212">
        <f>SUMIFS('CF BEST'!$C$9:$C1013, 'CF BEST'!$I$9:$I1013, B41,'CF BEST'!$F$9:$F1013, $I$5)</f>
        <v>1386266.03</v>
      </c>
      <c r="I41" s="212">
        <f>SUMIFS('CF BEST'!$D$9:$D1013, 'CF BEST'!$I$9:$I1013, B41,'CF BEST'!$F$9:$F1013, $I$5)</f>
        <v>21000</v>
      </c>
      <c r="J41" s="213">
        <f>SUMIFS('CF BEST'!$C$9:$C1013, 'CF BEST'!$I$9:$I1013, B41,'CF BEST'!$F$9:$F1013, $K$5)+D41+F41+H41</f>
        <v>1386266.03</v>
      </c>
      <c r="K41" s="213">
        <f>SUMIFS('CF BEST'!$D$9:$D1013, 'CF BEST'!$I$9:$I1013, B41,'CF BEST'!$F$9:$F1013, $K$5)+E41+G41+I41</f>
        <v>21000</v>
      </c>
      <c r="L41" s="210">
        <f>SUMIFS('CF BEST'!$C$9:$C1013, 'CF BEST'!$I$9:$I1013, B41,'CF BEST'!$F$9:$F1013, $M$5)</f>
        <v>0</v>
      </c>
      <c r="M41" s="210">
        <f>SUMIFS('CF BEST'!$D$9:$D1013, 'CF BEST'!$I$9:$I1013, B41,'CF BEST'!$F$9:$F1013, $M$5)</f>
        <v>0</v>
      </c>
      <c r="N41" s="211">
        <f>SUMIFS('CF BEST'!$C$9:$C1013, 'CF BEST'!$I$9:$I1013, B41,'CF BEST'!$F$9:$F1013, $O$5)</f>
        <v>0</v>
      </c>
      <c r="O41" s="211">
        <f>SUMIFS('CF BEST'!$D$9:$D1013, 'CF BEST'!$I$9:$I1013, B41,'CF BEST'!$F$9:$F1013, $O$5)</f>
        <v>0</v>
      </c>
      <c r="P41" s="212">
        <f>SUMIFS('CF BEST'!$C$9:$C1013, 'CF BEST'!$I$9:$I1013, B41,'CF BEST'!$F$9:$F1013, $Q$5)</f>
        <v>0</v>
      </c>
      <c r="Q41" s="212">
        <f>SUMIFS('CF BEST'!$D$9:$D1013, 'CF BEST'!$I$9:$I1013, B41,'CF BEST'!$F$9:$F1013, $Q$5)</f>
        <v>0</v>
      </c>
      <c r="R41" s="213">
        <f>SUMIFS('CF BEST'!$C$9:$C1013, 'CF BEST'!$I$9:$I1013, B41,'CF BEST'!$F$9:$F1013, $S$5)+L41+N41+P41</f>
        <v>0</v>
      </c>
      <c r="S41" s="213">
        <f>SUMIFS('CF BEST'!$D$9:$D1013, 'CF BEST'!$I$9:$I1013, B41,'CF BEST'!$F$9:$F1013, $S$5)+M41+O41+Q41</f>
        <v>0</v>
      </c>
      <c r="T41" s="210">
        <f>SUMIFS('CF BEST'!$C$9:$C1013, 'CF BEST'!$I$9:$I1013, B41,'CF BEST'!$F$9:$F1013, $U$5)</f>
        <v>0</v>
      </c>
      <c r="U41" s="210">
        <f>SUMIFS('CF BEST'!$D$9:$D1013, 'CF BEST'!$I$9:$I1013, B41,'CF BEST'!$F$9:$F1013, $U$5)</f>
        <v>0</v>
      </c>
      <c r="V41" s="211">
        <f>SUMIFS('CF BEST'!$C$9:$C1013, 'CF BEST'!$I$9:$I1013, B41,'CF BEST'!$F$9:$F1013, $W$5)</f>
        <v>0</v>
      </c>
      <c r="W41" s="211">
        <f>SUMIFS('CF BEST'!$D$9:$D1013, 'CF BEST'!$I$9:$I1013, B41,'CF BEST'!$F$9:$F1013, $W$5)</f>
        <v>0</v>
      </c>
      <c r="X41" s="212">
        <f>SUMIFS('CF BEST'!$C$9:$C1013, 'CF BEST'!$I$9:$I1013, B41,'CF BEST'!$F$9:$F1013, $Y$5)</f>
        <v>0</v>
      </c>
      <c r="Y41" s="212">
        <f>SUMIFS('CF BEST'!$D$9:$D1013, 'CF BEST'!$I$9:$I1013, B41,'CF BEST'!$F$9:$F1013, $Y$5)</f>
        <v>0</v>
      </c>
      <c r="Z41" s="213">
        <f>SUMIFS('CF BEST'!$C$9:$C1013, 'CF BEST'!$I$9:$I1013, B41,'CF BEST'!$F$9:$F1013, $AA$5)+T41+V41+X41</f>
        <v>0</v>
      </c>
      <c r="AA41" s="213">
        <f>SUMIFS('CF BEST'!$D$9:$D1013, 'CF BEST'!$I$9:$I1013, B41,'CF BEST'!$F$9:$F1013, $AA$5)+U41+W41+Y41</f>
        <v>0</v>
      </c>
      <c r="AB41" s="210">
        <f>SUMIFS('CF BEST'!$C$9:$C1013, 'CF BEST'!$I$9:$I1013, B41,'CF BEST'!$F$9:$F1013, $AC$5)</f>
        <v>0</v>
      </c>
      <c r="AC41" s="210">
        <f>SUMIFS('CF BEST'!$D$9:$D1013, 'CF BEST'!$I$9:$I1013, B41,'CF BEST'!$F$9:$F1013, $AC$5)</f>
        <v>0</v>
      </c>
      <c r="AD41" s="211">
        <f>SUMIFS('CF BEST'!$C$9:$C1013, 'CF BEST'!$I$9:$I1013, B41,'CF BEST'!$F$9:$F1013, $AE$5)</f>
        <v>0</v>
      </c>
      <c r="AE41" s="211">
        <f>SUMIFS('CF BEST'!$D$9:$D1013, 'CF BEST'!$I$9:$I1013, B41,'CF BEST'!$F$9:$F1013, $AE$5)</f>
        <v>0</v>
      </c>
      <c r="AF41" s="212">
        <f>SUMIFS('CF BEST'!$C$9:$C1013, 'CF BEST'!$I$9:$I1013, B41,'CF BEST'!$F$9:$F1013, $AG$5)</f>
        <v>0</v>
      </c>
      <c r="AG41" s="212">
        <f>SUMIFS('CF BEST'!$D$9:$D1013, 'CF BEST'!$I$9:$I1013, B41,'CF BEST'!$F$9:$F1013, $AG$5)</f>
        <v>0</v>
      </c>
      <c r="AH41" s="213">
        <f>SUMIFS('CF BEST'!$C$9:$C1013, 'CF BEST'!$I$9:$I1013, B41,'CF BEST'!$F$9:$F1013, $AI$5)+AB41+AD41+AF41</f>
        <v>0</v>
      </c>
      <c r="AI41" s="213">
        <f>SUMIFS('CF BEST'!$D$9:$D1013, 'CF BEST'!$I$9:$I1013, B41,'CF BEST'!$F$9:$F1013, $AI$5)+AC41+AE41+AG41</f>
        <v>0</v>
      </c>
    </row>
    <row r="42">
      <c r="A42" s="198"/>
      <c r="B42" s="198"/>
      <c r="C42" s="221"/>
    </row>
    <row r="43">
      <c r="A43" s="222"/>
      <c r="B43" s="222" t="s">
        <v>413</v>
      </c>
      <c r="C43" s="223">
        <f>(C8+C9)/C1</f>
        <v>0.1712476813</v>
      </c>
      <c r="D43" s="224">
        <f>(E8+E9)/D1</f>
        <v>0</v>
      </c>
      <c r="F43" s="224">
        <f>(G8+G9)/F1</f>
        <v>0</v>
      </c>
      <c r="H43" s="224">
        <f>(I8+I9)/H1</f>
        <v>0</v>
      </c>
      <c r="J43" s="225">
        <f>(K8+K9)/J1</f>
        <v>0.1514590032</v>
      </c>
      <c r="L43" s="224">
        <f>(M8+M9)/L1</f>
        <v>0.265287061</v>
      </c>
      <c r="N43" s="224">
        <f>(O8+O9)/N1</f>
        <v>0</v>
      </c>
      <c r="P43" s="224">
        <f>(Q8+Q9)/P1</f>
        <v>0</v>
      </c>
      <c r="R43" s="225">
        <f>(S8+S9)/R1</f>
        <v>0.2255504428</v>
      </c>
      <c r="T43" s="224" t="str">
        <f>(U8+U9)/T1</f>
        <v>#DIV/0!</v>
      </c>
      <c r="V43" s="224" t="str">
        <f>(W8+W9)/V1</f>
        <v>#DIV/0!</v>
      </c>
      <c r="X43" s="224" t="str">
        <f>(Y8+Y9)/X1</f>
        <v>#DIV/0!</v>
      </c>
      <c r="Z43" s="225" t="str">
        <f>(AA8+AA9)/Z1</f>
        <v>#DIV/0!</v>
      </c>
      <c r="AB43" s="224">
        <f>(AC8+AC9)/AB1</f>
        <v>0</v>
      </c>
      <c r="AD43" s="224" t="str">
        <f>(AE8+AE9)/AD1</f>
        <v>#DIV/0!</v>
      </c>
      <c r="AF43" s="224" t="str">
        <f>(AG8+AG9)/AF1</f>
        <v>#DIV/0!</v>
      </c>
      <c r="AH43" s="225">
        <f>(AI8+AI9)/AH1</f>
        <v>0</v>
      </c>
    </row>
    <row r="44">
      <c r="A44" s="222"/>
      <c r="B44" s="222" t="s">
        <v>1993</v>
      </c>
      <c r="C44" s="223">
        <f>(C10+C11)/C1</f>
        <v>0.2658159727</v>
      </c>
      <c r="D44" s="224">
        <f>(E10+E11)/D1</f>
        <v>0.4010809915</v>
      </c>
      <c r="F44" s="224">
        <f>(G10+G11)/F1</f>
        <v>0.2524372037</v>
      </c>
      <c r="H44" s="224">
        <f>(I10+I11)/H1</f>
        <v>0.2805099481</v>
      </c>
      <c r="J44" s="225">
        <f>(K10+K11)/J1</f>
        <v>0.2801102199</v>
      </c>
      <c r="L44" s="224">
        <f>(M10+M11)/L1</f>
        <v>0.1841832812</v>
      </c>
      <c r="N44" s="224">
        <f>(O10+O11)/N1</f>
        <v>22.23959235</v>
      </c>
      <c r="P44" s="224">
        <f>(Q10+Q11)/P1</f>
        <v>0.05</v>
      </c>
      <c r="R44" s="225">
        <f>(S10+S11)/R1</f>
        <v>0.2265908883</v>
      </c>
      <c r="T44" s="224" t="str">
        <f>(U10+U11)/T1</f>
        <v>#DIV/0!</v>
      </c>
      <c r="V44" s="224" t="str">
        <f>(W10+W11)/V1</f>
        <v>#DIV/0!</v>
      </c>
      <c r="X44" s="224" t="str">
        <f>(Y10+Y11)/X1</f>
        <v>#DIV/0!</v>
      </c>
      <c r="Z44" s="225" t="str">
        <f>(AA10+AA11)/Z1</f>
        <v>#DIV/0!</v>
      </c>
      <c r="AB44" s="224">
        <f>(AC10+AC11)/AB1</f>
        <v>0</v>
      </c>
      <c r="AD44" s="224" t="str">
        <f>(AE10+AE11)/AD1</f>
        <v>#DIV/0!</v>
      </c>
      <c r="AF44" s="224" t="str">
        <f>(AG10+AG11)/AF1</f>
        <v>#DIV/0!</v>
      </c>
      <c r="AH44" s="225">
        <f>(AI10+AI11)/AH1</f>
        <v>0</v>
      </c>
    </row>
    <row r="45">
      <c r="A45" s="222"/>
      <c r="B45" s="222" t="s">
        <v>1994</v>
      </c>
      <c r="C45" s="223">
        <f>(C12+C13+C14)/C1</f>
        <v>0.05689655681</v>
      </c>
      <c r="D45" s="224">
        <f>(E12+E13+E14)/D1</f>
        <v>0.2108783268</v>
      </c>
      <c r="F45" s="224">
        <f>(G12+G13+G14)/F1</f>
        <v>0.03922285195</v>
      </c>
      <c r="H45" s="224">
        <f>(I12+I13+I14)/H1</f>
        <v>0.01835218808</v>
      </c>
      <c r="J45" s="225">
        <f>(K12+K13+K14)/J1</f>
        <v>0.04277095404</v>
      </c>
      <c r="L45" s="224">
        <f>(M12+M13+M14)/L1</f>
        <v>0.08573646058</v>
      </c>
      <c r="N45" s="224">
        <f>(O12+O13+O14)/N1</f>
        <v>8.08142487</v>
      </c>
      <c r="P45" s="224">
        <f>(Q12+Q13+Q14)/P1</f>
        <v>0</v>
      </c>
      <c r="R45" s="225">
        <f>(S12+S13+S14)/R1</f>
        <v>0.09565904878</v>
      </c>
      <c r="T45" s="224" t="str">
        <f>(U12+U13+U14)/T1</f>
        <v>#DIV/0!</v>
      </c>
      <c r="V45" s="224" t="str">
        <f>(W12+W13+W14)/V1</f>
        <v>#DIV/0!</v>
      </c>
      <c r="X45" s="224" t="str">
        <f>(Y12+Y13+Y14)/X1</f>
        <v>#DIV/0!</v>
      </c>
      <c r="Z45" s="225" t="str">
        <f>(AA12+AA13+AA14)/Z1</f>
        <v>#DIV/0!</v>
      </c>
      <c r="AB45" s="224">
        <f>(AC12+AC13+AC14)/AB1</f>
        <v>0</v>
      </c>
      <c r="AD45" s="224" t="str">
        <f>(AE12+AE13+AE14)/AD1</f>
        <v>#DIV/0!</v>
      </c>
      <c r="AF45" s="224" t="str">
        <f>(AG12+AG13+AG14)/AF1</f>
        <v>#DIV/0!</v>
      </c>
      <c r="AH45" s="225">
        <f>(AI12+AI13+AI14)/AH1</f>
        <v>0</v>
      </c>
    </row>
    <row r="46">
      <c r="A46" s="222"/>
      <c r="B46" s="222" t="s">
        <v>68</v>
      </c>
      <c r="C46" s="223">
        <f>(C16+C17+C18+C19)/C1</f>
        <v>0.2331368131</v>
      </c>
      <c r="D46" s="224">
        <f>(E16+E17+E18+E19)/D1</f>
        <v>0.5275300826</v>
      </c>
      <c r="F46" s="224">
        <f>(G16+G17+G18+G19)/F1</f>
        <v>0.1637363839</v>
      </c>
      <c r="H46" s="224">
        <f>(I16+I17+I18+I19)/H1</f>
        <v>0.1242098042</v>
      </c>
      <c r="J46" s="225">
        <f>(K16+K17+K18+K19)/J1</f>
        <v>0.1824201643</v>
      </c>
      <c r="L46" s="224">
        <f>(M16+M17+M18+M19)/L1</f>
        <v>0.2098137543</v>
      </c>
      <c r="N46" s="224">
        <f>(O16+O17+O18+O19)/N1</f>
        <v>63.6730327</v>
      </c>
      <c r="P46" s="224">
        <f>(Q16+Q17+Q18+Q19)/P1</f>
        <v>0.09907471333</v>
      </c>
      <c r="R46" s="225">
        <f>(S16+S17+S18+S19)/R1</f>
        <v>0.3723099134</v>
      </c>
      <c r="T46" s="224" t="str">
        <f>(U16+U17+U18+U19)/T1</f>
        <v>#DIV/0!</v>
      </c>
      <c r="V46" s="224" t="str">
        <f>(W16+W17+W18+W19)/V1</f>
        <v>#DIV/0!</v>
      </c>
      <c r="X46" s="224" t="str">
        <f>(Y16+Y17+Y18+Y19)/X1</f>
        <v>#DIV/0!</v>
      </c>
      <c r="Z46" s="225" t="str">
        <f>(AA16+AA17+AA18+AA19)/Z1</f>
        <v>#DIV/0!</v>
      </c>
      <c r="AB46" s="224">
        <f>(AC16+AC17+AC18+AC19)/AB1</f>
        <v>0</v>
      </c>
      <c r="AD46" s="224" t="str">
        <f>(AE16+AE17+AE18+AE19)/AD1</f>
        <v>#DIV/0!</v>
      </c>
      <c r="AF46" s="224" t="str">
        <f>(AG16+AG17+AG18+AG19)/AF1</f>
        <v>#DIV/0!</v>
      </c>
      <c r="AH46" s="225">
        <f>(AI16+AI17+AI18+AI19)/AH1</f>
        <v>0</v>
      </c>
    </row>
    <row r="47">
      <c r="A47" s="222"/>
      <c r="B47" s="222" t="s">
        <v>71</v>
      </c>
      <c r="C47" s="223">
        <f>C22/C1</f>
        <v>0.05841356244</v>
      </c>
      <c r="D47" s="224">
        <f>E22/D1</f>
        <v>0</v>
      </c>
      <c r="F47" s="224">
        <f>G22/F1</f>
        <v>0.00000848017548</v>
      </c>
      <c r="H47" s="224">
        <f>I22/H1</f>
        <v>0.0002460025772</v>
      </c>
      <c r="J47" s="225">
        <f>K22/J1</f>
        <v>0.07780915254</v>
      </c>
      <c r="L47" s="224">
        <f>M22/L1</f>
        <v>0</v>
      </c>
      <c r="N47" s="224">
        <f>O22/N1</f>
        <v>0</v>
      </c>
      <c r="P47" s="224">
        <f>Q22/P1</f>
        <v>0</v>
      </c>
      <c r="R47" s="225">
        <f>S22/R1</f>
        <v>0.005189619789</v>
      </c>
      <c r="T47" s="224" t="str">
        <f>U22/T1</f>
        <v>#DIV/0!</v>
      </c>
      <c r="V47" s="224" t="str">
        <f>W22/V1</f>
        <v>#DIV/0!</v>
      </c>
      <c r="X47" s="224" t="str">
        <f>Y22/X1</f>
        <v>#DIV/0!</v>
      </c>
      <c r="Z47" s="225" t="str">
        <f>AA22/Z1</f>
        <v>#DIV/0!</v>
      </c>
      <c r="AB47" s="224">
        <f>AC22/AB1</f>
        <v>0</v>
      </c>
      <c r="AD47" s="224" t="str">
        <f>AE22/AD1</f>
        <v>#DIV/0!</v>
      </c>
      <c r="AF47" s="224" t="str">
        <f>AG22/AF1</f>
        <v>#DIV/0!</v>
      </c>
      <c r="AH47" s="225">
        <f>AI22/AH1</f>
        <v>0</v>
      </c>
    </row>
    <row r="48">
      <c r="A48" s="222"/>
      <c r="B48" s="222" t="s">
        <v>1995</v>
      </c>
      <c r="C48" s="223">
        <f>(C32+C33)/C1</f>
        <v>0.06573434357</v>
      </c>
      <c r="D48" s="224">
        <f>(E32+E33)/D1</f>
        <v>0.1988441821</v>
      </c>
      <c r="F48" s="224">
        <f>(G32+G33)/F1</f>
        <v>0.0468110503</v>
      </c>
      <c r="H48" s="224">
        <f>(I32+I33)/H1</f>
        <v>0.03212835183</v>
      </c>
      <c r="J48" s="225">
        <f>(K32+K33)/J1</f>
        <v>0.05198053914</v>
      </c>
      <c r="L48" s="224">
        <f>(M32+M33)/L1</f>
        <v>0.05741318201</v>
      </c>
      <c r="N48" s="224">
        <f>(O32+O33)/N1</f>
        <v>19.40521739</v>
      </c>
      <c r="P48" s="224">
        <f>(Q32+Q33)/P1</f>
        <v>0</v>
      </c>
      <c r="R48" s="225">
        <f>(S32+S33)/R1</f>
        <v>0.1034765786</v>
      </c>
      <c r="T48" s="224" t="str">
        <f>(U32+U33)/T1</f>
        <v>#DIV/0!</v>
      </c>
      <c r="V48" s="224" t="str">
        <f>(W32+W33)/V1</f>
        <v>#DIV/0!</v>
      </c>
      <c r="X48" s="224" t="str">
        <f>(Y32+Y33)/X1</f>
        <v>#DIV/0!</v>
      </c>
      <c r="Z48" s="225" t="str">
        <f>(AA32+AA33)/Z1</f>
        <v>#DIV/0!</v>
      </c>
      <c r="AB48" s="224">
        <f>(AC32+AC33)/AB1</f>
        <v>0</v>
      </c>
      <c r="AD48" s="224" t="str">
        <f>(AE32+AE33)/AD1</f>
        <v>#DIV/0!</v>
      </c>
      <c r="AF48" s="224" t="str">
        <f>(AG32+AG33)/AF1</f>
        <v>#DIV/0!</v>
      </c>
      <c r="AH48" s="225">
        <f>(AI32+AI33)/AH1</f>
        <v>0</v>
      </c>
    </row>
    <row r="49">
      <c r="A49" s="222"/>
      <c r="B49" s="222" t="s">
        <v>495</v>
      </c>
      <c r="C49" s="223">
        <f>C34/C1</f>
        <v>0.02193506362</v>
      </c>
      <c r="D49" s="224">
        <f>(E34)/D1</f>
        <v>0.0151089773</v>
      </c>
      <c r="F49" s="224">
        <f>(G34)/F1</f>
        <v>0.01678158014</v>
      </c>
      <c r="H49" s="224">
        <f>(I34)/H1</f>
        <v>0.01127662017</v>
      </c>
      <c r="J49" s="225">
        <f>(K34)/J1</f>
        <v>0.0137038543</v>
      </c>
      <c r="L49" s="224">
        <f>(M34)/L1</f>
        <v>0.01836905289</v>
      </c>
      <c r="N49" s="224">
        <f>(O34)/N1</f>
        <v>5.261011826</v>
      </c>
      <c r="P49" s="224">
        <f>(Q34)/P1</f>
        <v>0.09583606</v>
      </c>
      <c r="R49" s="225">
        <f>(S34)/R1</f>
        <v>0.04452256641</v>
      </c>
      <c r="T49" s="224" t="str">
        <f>(U34)/T1</f>
        <v>#DIV/0!</v>
      </c>
      <c r="V49" s="224" t="str">
        <f>(W34)/V1</f>
        <v>#DIV/0!</v>
      </c>
      <c r="X49" s="224" t="str">
        <f>(Y34)/X1</f>
        <v>#DIV/0!</v>
      </c>
      <c r="Z49" s="225" t="str">
        <f>(AA34)/Z1</f>
        <v>#DIV/0!</v>
      </c>
      <c r="AB49" s="224">
        <f>(AC34)/AB1</f>
        <v>0</v>
      </c>
      <c r="AD49" s="224" t="str">
        <f>(AE34)/AD1</f>
        <v>#DIV/0!</v>
      </c>
      <c r="AF49" s="224" t="str">
        <f>(AG34)/AF1</f>
        <v>#DIV/0!</v>
      </c>
      <c r="AH49" s="225">
        <f>(AI34)/AH1</f>
        <v>0</v>
      </c>
    </row>
    <row r="50">
      <c r="A50" s="222"/>
      <c r="B50" s="222" t="s">
        <v>47</v>
      </c>
      <c r="C50" s="223">
        <f>C29/C1</f>
        <v>0.02696212253</v>
      </c>
      <c r="D50" s="224">
        <f>(E29-D29)/D1</f>
        <v>0.1879503698</v>
      </c>
      <c r="F50" s="224">
        <f>(G29-F29)/F1</f>
        <v>0</v>
      </c>
      <c r="H50" s="224">
        <f>(I29-H29)/H1</f>
        <v>0.01647607786</v>
      </c>
      <c r="J50" s="225">
        <f>(K29-J29)/J1</f>
        <v>0.02485096622</v>
      </c>
      <c r="L50" s="224">
        <f>(M29-L29)/L1</f>
        <v>0</v>
      </c>
      <c r="N50" s="224">
        <f>(O29-N29)/N1</f>
        <v>11.62826087</v>
      </c>
      <c r="P50" s="224">
        <f>(Q29-P29)/P1</f>
        <v>0</v>
      </c>
      <c r="R50" s="225">
        <f>(S29-R29)/R1</f>
        <v>0.03275600887</v>
      </c>
      <c r="T50" s="224" t="str">
        <f>(U29-T29)/T1</f>
        <v>#DIV/0!</v>
      </c>
      <c r="V50" s="224" t="str">
        <f>(W29-V29)/V1</f>
        <v>#DIV/0!</v>
      </c>
      <c r="X50" s="224" t="str">
        <f>(Y29-X29)/X1</f>
        <v>#DIV/0!</v>
      </c>
      <c r="Z50" s="225" t="str">
        <f>(AA29-Z29)/Z1</f>
        <v>#DIV/0!</v>
      </c>
      <c r="AB50" s="224">
        <f>(AC29-AB29)/AB1</f>
        <v>-1</v>
      </c>
      <c r="AD50" s="224" t="str">
        <f>(AE29-AD29)/AD1</f>
        <v>#DIV/0!</v>
      </c>
      <c r="AF50" s="224" t="str">
        <f>(AG29-AF29)/AF1</f>
        <v>#DIV/0!</v>
      </c>
      <c r="AH50" s="225">
        <f>(AI29-AH29)/AH1</f>
        <v>-1</v>
      </c>
    </row>
    <row r="51">
      <c r="A51" s="192"/>
      <c r="B51" s="192" t="s">
        <v>108</v>
      </c>
      <c r="C51" s="226">
        <f>100%-sum(C43:C50)</f>
        <v>0.09985788399</v>
      </c>
    </row>
    <row r="52">
      <c r="A52" s="198"/>
      <c r="B52" s="198"/>
    </row>
    <row r="53">
      <c r="A53" s="198"/>
      <c r="B53" s="198"/>
      <c r="C53" s="226">
        <f>(C7-C8-C9-C10-C11-C12-C13-C14)/C7</f>
        <v>0.4755455521</v>
      </c>
    </row>
    <row r="54">
      <c r="A54" s="198"/>
      <c r="B54" s="198"/>
    </row>
    <row r="55">
      <c r="A55" s="198"/>
      <c r="B55" s="198"/>
      <c r="C55" s="227">
        <f>7200000/0.35</f>
        <v>20571428.57</v>
      </c>
    </row>
    <row r="56">
      <c r="A56" s="198"/>
      <c r="B56" s="198"/>
    </row>
    <row r="57">
      <c r="A57" s="198"/>
      <c r="B57" s="198"/>
      <c r="C57" s="227"/>
    </row>
    <row r="58">
      <c r="A58" s="198"/>
      <c r="B58" s="198"/>
      <c r="C58" s="227"/>
    </row>
    <row r="59">
      <c r="A59" s="198"/>
      <c r="B59" s="198"/>
    </row>
    <row r="60">
      <c r="A60" s="198"/>
      <c r="B60" s="198"/>
    </row>
    <row r="61">
      <c r="A61" s="198"/>
      <c r="B61" s="198"/>
    </row>
    <row r="62">
      <c r="A62" s="198"/>
      <c r="B62" s="198"/>
    </row>
    <row r="63">
      <c r="A63" s="198"/>
      <c r="B63" s="198"/>
    </row>
    <row r="64">
      <c r="A64" s="198"/>
      <c r="B64" s="198"/>
    </row>
    <row r="65">
      <c r="A65" s="198"/>
      <c r="B65" s="198"/>
    </row>
    <row r="66">
      <c r="A66" s="198"/>
      <c r="B66" s="198"/>
    </row>
    <row r="67">
      <c r="A67" s="198"/>
      <c r="B67" s="198"/>
    </row>
    <row r="68">
      <c r="A68" s="198"/>
      <c r="B68" s="198"/>
    </row>
    <row r="69">
      <c r="A69" s="198"/>
      <c r="B69" s="198"/>
    </row>
    <row r="70">
      <c r="A70" s="198"/>
      <c r="B70" s="198"/>
    </row>
    <row r="71">
      <c r="A71" s="198"/>
      <c r="B71" s="198"/>
    </row>
    <row r="72">
      <c r="A72" s="198"/>
      <c r="B72" s="198"/>
    </row>
    <row r="73">
      <c r="A73" s="198"/>
      <c r="B73" s="198"/>
    </row>
    <row r="74">
      <c r="A74" s="198"/>
      <c r="B74" s="198"/>
    </row>
    <row r="75">
      <c r="A75" s="198"/>
      <c r="B75" s="198"/>
    </row>
    <row r="76">
      <c r="A76" s="198"/>
      <c r="B76" s="198"/>
    </row>
    <row r="77">
      <c r="A77" s="198"/>
      <c r="B77" s="198"/>
    </row>
    <row r="78">
      <c r="A78" s="198"/>
      <c r="B78" s="198"/>
    </row>
    <row r="79">
      <c r="A79" s="198"/>
      <c r="B79" s="198"/>
    </row>
    <row r="80">
      <c r="A80" s="198"/>
      <c r="B80" s="198"/>
    </row>
    <row r="81">
      <c r="A81" s="198"/>
      <c r="B81" s="198"/>
    </row>
    <row r="82">
      <c r="A82" s="198"/>
      <c r="B82" s="198"/>
    </row>
    <row r="83">
      <c r="A83" s="198"/>
      <c r="B83" s="198"/>
    </row>
    <row r="84">
      <c r="A84" s="198"/>
      <c r="B84" s="198"/>
    </row>
    <row r="85">
      <c r="A85" s="198"/>
      <c r="B85" s="198"/>
    </row>
    <row r="86">
      <c r="A86" s="198"/>
      <c r="B86" s="198"/>
    </row>
    <row r="87">
      <c r="A87" s="198"/>
      <c r="B87" s="198"/>
    </row>
    <row r="88">
      <c r="A88" s="198"/>
      <c r="B88" s="198"/>
    </row>
    <row r="89">
      <c r="A89" s="198"/>
      <c r="B89" s="198"/>
    </row>
    <row r="90">
      <c r="A90" s="198"/>
      <c r="B90" s="198"/>
    </row>
    <row r="91">
      <c r="A91" s="198"/>
      <c r="B91" s="198"/>
    </row>
    <row r="92">
      <c r="A92" s="198"/>
      <c r="B92" s="198"/>
    </row>
    <row r="93">
      <c r="A93" s="198"/>
      <c r="B93" s="198"/>
    </row>
    <row r="94">
      <c r="A94" s="198"/>
      <c r="B94" s="198"/>
    </row>
    <row r="95">
      <c r="A95" s="198"/>
      <c r="B95" s="198"/>
    </row>
    <row r="96">
      <c r="A96" s="198"/>
      <c r="B96" s="198"/>
    </row>
    <row r="97">
      <c r="A97" s="198"/>
      <c r="B97" s="198"/>
    </row>
    <row r="98">
      <c r="A98" s="198"/>
      <c r="B98" s="198"/>
    </row>
    <row r="99">
      <c r="A99" s="198"/>
      <c r="B99" s="198"/>
    </row>
    <row r="100">
      <c r="A100" s="198"/>
      <c r="B100" s="198"/>
    </row>
    <row r="101">
      <c r="A101" s="198"/>
      <c r="B101" s="198"/>
    </row>
    <row r="102">
      <c r="A102" s="198"/>
      <c r="B102" s="198"/>
    </row>
    <row r="103">
      <c r="A103" s="198"/>
      <c r="B103" s="198"/>
    </row>
    <row r="104">
      <c r="A104" s="198"/>
      <c r="B104" s="198"/>
    </row>
    <row r="105">
      <c r="A105" s="198"/>
      <c r="B105" s="198"/>
    </row>
    <row r="106">
      <c r="A106" s="198"/>
      <c r="B106" s="198"/>
    </row>
    <row r="107">
      <c r="A107" s="198"/>
      <c r="B107" s="198"/>
    </row>
    <row r="108">
      <c r="A108" s="198"/>
      <c r="B108" s="198"/>
    </row>
    <row r="109">
      <c r="A109" s="198"/>
      <c r="B109" s="198"/>
    </row>
    <row r="110">
      <c r="A110" s="198"/>
      <c r="B110" s="198"/>
    </row>
    <row r="111">
      <c r="A111" s="198"/>
      <c r="B111" s="198"/>
    </row>
    <row r="112">
      <c r="A112" s="198"/>
      <c r="B112" s="198"/>
    </row>
    <row r="113">
      <c r="A113" s="198"/>
      <c r="B113" s="198"/>
    </row>
    <row r="114">
      <c r="A114" s="198"/>
      <c r="B114" s="198"/>
    </row>
    <row r="115">
      <c r="A115" s="198"/>
      <c r="B115" s="198"/>
    </row>
    <row r="116">
      <c r="A116" s="198"/>
      <c r="B116" s="198"/>
    </row>
    <row r="117">
      <c r="A117" s="198"/>
      <c r="B117" s="198"/>
    </row>
    <row r="118">
      <c r="A118" s="198"/>
      <c r="B118" s="198"/>
    </row>
    <row r="119">
      <c r="A119" s="198"/>
      <c r="B119" s="198"/>
    </row>
    <row r="120">
      <c r="A120" s="198"/>
      <c r="B120" s="198"/>
    </row>
    <row r="121">
      <c r="A121" s="198"/>
      <c r="B121" s="198"/>
    </row>
    <row r="122">
      <c r="A122" s="198"/>
      <c r="B122" s="198"/>
    </row>
    <row r="123">
      <c r="A123" s="198"/>
      <c r="B123" s="198"/>
    </row>
    <row r="124">
      <c r="A124" s="198"/>
      <c r="B124" s="198"/>
    </row>
    <row r="125">
      <c r="A125" s="198"/>
      <c r="B125" s="198"/>
    </row>
    <row r="126">
      <c r="A126" s="198"/>
      <c r="B126" s="198"/>
    </row>
    <row r="127">
      <c r="A127" s="198"/>
      <c r="B127" s="198"/>
    </row>
    <row r="128">
      <c r="A128" s="198"/>
      <c r="B128" s="198"/>
    </row>
    <row r="129">
      <c r="A129" s="198"/>
      <c r="B129" s="198"/>
    </row>
    <row r="130">
      <c r="A130" s="198"/>
      <c r="B130" s="198"/>
    </row>
    <row r="131">
      <c r="A131" s="198"/>
      <c r="B131" s="198"/>
    </row>
    <row r="132">
      <c r="A132" s="198"/>
      <c r="B132" s="198"/>
    </row>
    <row r="133">
      <c r="A133" s="198"/>
      <c r="B133" s="198"/>
    </row>
    <row r="134">
      <c r="A134" s="198"/>
      <c r="B134" s="198"/>
    </row>
    <row r="135">
      <c r="A135" s="198"/>
      <c r="B135" s="198"/>
    </row>
    <row r="136">
      <c r="A136" s="198"/>
      <c r="B136" s="198"/>
    </row>
    <row r="137">
      <c r="A137" s="198"/>
      <c r="B137" s="198"/>
    </row>
    <row r="138">
      <c r="A138" s="198"/>
      <c r="B138" s="198"/>
    </row>
    <row r="139">
      <c r="A139" s="198"/>
      <c r="B139" s="198"/>
    </row>
    <row r="140">
      <c r="A140" s="198"/>
      <c r="B140" s="198"/>
    </row>
    <row r="141">
      <c r="A141" s="198"/>
      <c r="B141" s="198"/>
    </row>
    <row r="142">
      <c r="A142" s="198"/>
      <c r="B142" s="198"/>
    </row>
    <row r="143">
      <c r="A143" s="198"/>
      <c r="B143" s="198"/>
    </row>
    <row r="144">
      <c r="A144" s="198"/>
      <c r="B144" s="198"/>
    </row>
    <row r="145">
      <c r="A145" s="198"/>
      <c r="B145" s="198"/>
    </row>
    <row r="146">
      <c r="A146" s="198"/>
      <c r="B146" s="198"/>
    </row>
    <row r="147">
      <c r="A147" s="198"/>
      <c r="B147" s="198"/>
    </row>
    <row r="148">
      <c r="A148" s="198"/>
      <c r="B148" s="198"/>
    </row>
    <row r="149">
      <c r="A149" s="198"/>
      <c r="B149" s="198"/>
    </row>
    <row r="150">
      <c r="A150" s="198"/>
      <c r="B150" s="198"/>
    </row>
    <row r="151">
      <c r="A151" s="198"/>
      <c r="B151" s="198"/>
    </row>
    <row r="152">
      <c r="A152" s="198"/>
      <c r="B152" s="198"/>
    </row>
    <row r="153">
      <c r="A153" s="198"/>
      <c r="B153" s="198"/>
    </row>
    <row r="154">
      <c r="A154" s="198"/>
      <c r="B154" s="198"/>
    </row>
    <row r="155">
      <c r="A155" s="198"/>
      <c r="B155" s="198"/>
    </row>
    <row r="156">
      <c r="A156" s="198"/>
      <c r="B156" s="198"/>
    </row>
    <row r="157">
      <c r="A157" s="198"/>
      <c r="B157" s="198"/>
    </row>
    <row r="158">
      <c r="A158" s="198"/>
      <c r="B158" s="198"/>
    </row>
    <row r="159">
      <c r="A159" s="198"/>
      <c r="B159" s="198"/>
    </row>
    <row r="160">
      <c r="A160" s="198"/>
      <c r="B160" s="198"/>
    </row>
    <row r="161">
      <c r="A161" s="198"/>
      <c r="B161" s="198"/>
    </row>
    <row r="162">
      <c r="A162" s="198"/>
      <c r="B162" s="198"/>
    </row>
    <row r="163">
      <c r="A163" s="198"/>
      <c r="B163" s="198"/>
    </row>
    <row r="164">
      <c r="A164" s="198"/>
      <c r="B164" s="198"/>
    </row>
    <row r="165">
      <c r="A165" s="198"/>
      <c r="B165" s="198"/>
    </row>
    <row r="166">
      <c r="A166" s="198"/>
      <c r="B166" s="198"/>
    </row>
    <row r="167">
      <c r="A167" s="198"/>
      <c r="B167" s="198"/>
    </row>
    <row r="168">
      <c r="A168" s="198"/>
      <c r="B168" s="198"/>
    </row>
    <row r="169">
      <c r="A169" s="198"/>
      <c r="B169" s="198"/>
    </row>
    <row r="170">
      <c r="A170" s="198"/>
      <c r="B170" s="198"/>
    </row>
    <row r="171">
      <c r="A171" s="198"/>
      <c r="B171" s="198"/>
    </row>
    <row r="172">
      <c r="A172" s="198"/>
      <c r="B172" s="198"/>
    </row>
    <row r="173">
      <c r="A173" s="198"/>
      <c r="B173" s="198"/>
    </row>
    <row r="174">
      <c r="A174" s="198"/>
      <c r="B174" s="198"/>
    </row>
    <row r="175">
      <c r="A175" s="198"/>
      <c r="B175" s="198"/>
    </row>
    <row r="176">
      <c r="A176" s="198"/>
      <c r="B176" s="198"/>
    </row>
    <row r="177">
      <c r="A177" s="198"/>
      <c r="B177" s="198"/>
    </row>
    <row r="178">
      <c r="A178" s="198"/>
      <c r="B178" s="198"/>
    </row>
    <row r="179">
      <c r="A179" s="198"/>
      <c r="B179" s="198"/>
    </row>
    <row r="180">
      <c r="A180" s="198"/>
      <c r="B180" s="198"/>
    </row>
    <row r="181">
      <c r="A181" s="198"/>
      <c r="B181" s="198"/>
    </row>
    <row r="182">
      <c r="A182" s="198"/>
      <c r="B182" s="198"/>
    </row>
    <row r="183">
      <c r="A183" s="198"/>
      <c r="B183" s="198"/>
    </row>
    <row r="184">
      <c r="A184" s="198"/>
      <c r="B184" s="198"/>
    </row>
    <row r="185">
      <c r="A185" s="198"/>
      <c r="B185" s="198"/>
    </row>
    <row r="186">
      <c r="A186" s="198"/>
      <c r="B186" s="198"/>
    </row>
    <row r="187">
      <c r="A187" s="198"/>
      <c r="B187" s="198"/>
    </row>
    <row r="188">
      <c r="A188" s="198"/>
      <c r="B188" s="198"/>
    </row>
    <row r="189">
      <c r="A189" s="198"/>
      <c r="B189" s="198"/>
    </row>
    <row r="190">
      <c r="A190" s="198"/>
      <c r="B190" s="198"/>
    </row>
    <row r="191">
      <c r="A191" s="198"/>
      <c r="B191" s="198"/>
    </row>
    <row r="192">
      <c r="A192" s="198"/>
      <c r="B192" s="198"/>
    </row>
    <row r="193">
      <c r="A193" s="198"/>
      <c r="B193" s="198"/>
    </row>
    <row r="194">
      <c r="A194" s="198"/>
      <c r="B194" s="198"/>
    </row>
    <row r="195">
      <c r="A195" s="198"/>
      <c r="B195" s="198"/>
    </row>
    <row r="196">
      <c r="A196" s="198"/>
      <c r="B196" s="198"/>
    </row>
    <row r="197">
      <c r="A197" s="198"/>
      <c r="B197" s="198"/>
    </row>
    <row r="198">
      <c r="A198" s="198"/>
      <c r="B198" s="198"/>
    </row>
    <row r="199">
      <c r="A199" s="198"/>
      <c r="B199" s="198"/>
    </row>
    <row r="200">
      <c r="A200" s="198"/>
      <c r="B200" s="198"/>
    </row>
    <row r="201">
      <c r="A201" s="198"/>
      <c r="B201" s="198"/>
    </row>
    <row r="202">
      <c r="A202" s="198"/>
      <c r="B202" s="198"/>
    </row>
    <row r="203">
      <c r="A203" s="198"/>
      <c r="B203" s="198"/>
    </row>
    <row r="204">
      <c r="A204" s="198"/>
      <c r="B204" s="198"/>
    </row>
    <row r="205">
      <c r="A205" s="198"/>
      <c r="B205" s="198"/>
    </row>
    <row r="206">
      <c r="A206" s="198"/>
      <c r="B206" s="198"/>
    </row>
    <row r="207">
      <c r="A207" s="198"/>
      <c r="B207" s="198"/>
    </row>
    <row r="208">
      <c r="A208" s="198"/>
      <c r="B208" s="198"/>
    </row>
    <row r="209">
      <c r="A209" s="198"/>
      <c r="B209" s="198"/>
    </row>
    <row r="210">
      <c r="A210" s="198"/>
      <c r="B210" s="198"/>
    </row>
    <row r="211">
      <c r="A211" s="198"/>
      <c r="B211" s="198"/>
    </row>
    <row r="212">
      <c r="A212" s="198"/>
      <c r="B212" s="198"/>
    </row>
    <row r="213">
      <c r="A213" s="198"/>
      <c r="B213" s="198"/>
    </row>
    <row r="214">
      <c r="A214" s="198"/>
      <c r="B214" s="198"/>
    </row>
    <row r="215">
      <c r="A215" s="198"/>
      <c r="B215" s="198"/>
    </row>
    <row r="216">
      <c r="A216" s="198"/>
      <c r="B216" s="198"/>
    </row>
    <row r="217">
      <c r="A217" s="198"/>
      <c r="B217" s="198"/>
    </row>
    <row r="218">
      <c r="A218" s="198"/>
      <c r="B218" s="198"/>
    </row>
    <row r="219">
      <c r="A219" s="198"/>
      <c r="B219" s="198"/>
    </row>
    <row r="220">
      <c r="A220" s="198"/>
      <c r="B220" s="198"/>
    </row>
    <row r="221">
      <c r="A221" s="198"/>
      <c r="B221" s="198"/>
    </row>
    <row r="222">
      <c r="A222" s="198"/>
      <c r="B222" s="198"/>
    </row>
    <row r="223">
      <c r="A223" s="198"/>
      <c r="B223" s="198"/>
    </row>
    <row r="224">
      <c r="A224" s="198"/>
      <c r="B224" s="198"/>
    </row>
    <row r="225">
      <c r="A225" s="198"/>
      <c r="B225" s="198"/>
    </row>
    <row r="226">
      <c r="A226" s="198"/>
      <c r="B226" s="198"/>
    </row>
    <row r="227">
      <c r="A227" s="198"/>
      <c r="B227" s="198"/>
    </row>
    <row r="228">
      <c r="A228" s="198"/>
      <c r="B228" s="198"/>
    </row>
    <row r="229">
      <c r="A229" s="198"/>
      <c r="B229" s="198"/>
    </row>
    <row r="230">
      <c r="A230" s="198"/>
      <c r="B230" s="198"/>
    </row>
    <row r="231">
      <c r="A231" s="198"/>
      <c r="B231" s="198"/>
    </row>
    <row r="232">
      <c r="A232" s="198"/>
      <c r="B232" s="198"/>
    </row>
    <row r="233">
      <c r="A233" s="198"/>
      <c r="B233" s="198"/>
    </row>
    <row r="234">
      <c r="A234" s="198"/>
      <c r="B234" s="198"/>
    </row>
    <row r="235">
      <c r="A235" s="198"/>
      <c r="B235" s="198"/>
    </row>
    <row r="236">
      <c r="A236" s="198"/>
      <c r="B236" s="198"/>
    </row>
    <row r="237">
      <c r="A237" s="198"/>
      <c r="B237" s="198"/>
    </row>
    <row r="238">
      <c r="A238" s="198"/>
      <c r="B238" s="198"/>
    </row>
    <row r="239">
      <c r="A239" s="198"/>
      <c r="B239" s="198"/>
    </row>
    <row r="240">
      <c r="A240" s="198"/>
      <c r="B240" s="198"/>
    </row>
    <row r="241">
      <c r="A241" s="198"/>
      <c r="B241" s="198"/>
    </row>
    <row r="242">
      <c r="A242" s="198"/>
      <c r="B242" s="198"/>
    </row>
    <row r="243">
      <c r="A243" s="198"/>
      <c r="B243" s="198"/>
    </row>
    <row r="244">
      <c r="A244" s="198"/>
      <c r="B244" s="198"/>
    </row>
    <row r="245">
      <c r="A245" s="198"/>
      <c r="B245" s="198"/>
    </row>
    <row r="246">
      <c r="A246" s="198"/>
      <c r="B246" s="198"/>
    </row>
    <row r="247">
      <c r="A247" s="198"/>
      <c r="B247" s="198"/>
    </row>
    <row r="248">
      <c r="A248" s="198"/>
      <c r="B248" s="198"/>
    </row>
    <row r="249">
      <c r="A249" s="198"/>
      <c r="B249" s="198"/>
    </row>
    <row r="250">
      <c r="A250" s="198"/>
      <c r="B250" s="198"/>
    </row>
    <row r="251">
      <c r="A251" s="198"/>
      <c r="B251" s="198"/>
    </row>
    <row r="252">
      <c r="A252" s="198"/>
      <c r="B252" s="198"/>
    </row>
    <row r="253">
      <c r="A253" s="198"/>
      <c r="B253" s="198"/>
    </row>
    <row r="254">
      <c r="A254" s="198"/>
      <c r="B254" s="198"/>
    </row>
    <row r="255">
      <c r="A255" s="198"/>
      <c r="B255" s="198"/>
    </row>
    <row r="256">
      <c r="A256" s="198"/>
      <c r="B256" s="198"/>
    </row>
    <row r="257">
      <c r="A257" s="198"/>
      <c r="B257" s="198"/>
    </row>
    <row r="258">
      <c r="A258" s="198"/>
      <c r="B258" s="198"/>
    </row>
    <row r="259">
      <c r="A259" s="198"/>
      <c r="B259" s="198"/>
    </row>
    <row r="260">
      <c r="A260" s="198"/>
      <c r="B260" s="198"/>
    </row>
    <row r="261">
      <c r="A261" s="198"/>
      <c r="B261" s="198"/>
    </row>
    <row r="262">
      <c r="A262" s="198"/>
      <c r="B262" s="198"/>
    </row>
    <row r="263">
      <c r="A263" s="198"/>
      <c r="B263" s="198"/>
    </row>
    <row r="264">
      <c r="A264" s="198"/>
      <c r="B264" s="198"/>
    </row>
    <row r="265">
      <c r="A265" s="198"/>
      <c r="B265" s="198"/>
    </row>
    <row r="266">
      <c r="A266" s="198"/>
      <c r="B266" s="198"/>
    </row>
    <row r="267">
      <c r="A267" s="198"/>
      <c r="B267" s="198"/>
    </row>
    <row r="268">
      <c r="A268" s="198"/>
      <c r="B268" s="198"/>
    </row>
    <row r="269">
      <c r="A269" s="198"/>
      <c r="B269" s="198"/>
    </row>
    <row r="270">
      <c r="A270" s="198"/>
      <c r="B270" s="198"/>
    </row>
    <row r="271">
      <c r="A271" s="198"/>
      <c r="B271" s="198"/>
    </row>
    <row r="272">
      <c r="A272" s="198"/>
      <c r="B272" s="198"/>
    </row>
    <row r="273">
      <c r="A273" s="198"/>
      <c r="B273" s="198"/>
    </row>
    <row r="274">
      <c r="A274" s="198"/>
      <c r="B274" s="198"/>
    </row>
    <row r="275">
      <c r="A275" s="198"/>
      <c r="B275" s="198"/>
    </row>
    <row r="276">
      <c r="A276" s="198"/>
      <c r="B276" s="198"/>
    </row>
    <row r="277">
      <c r="A277" s="198"/>
      <c r="B277" s="198"/>
    </row>
    <row r="278">
      <c r="A278" s="198"/>
      <c r="B278" s="198"/>
    </row>
    <row r="279">
      <c r="A279" s="198"/>
      <c r="B279" s="198"/>
    </row>
    <row r="280">
      <c r="A280" s="198"/>
      <c r="B280" s="198"/>
    </row>
    <row r="281">
      <c r="A281" s="198"/>
      <c r="B281" s="198"/>
    </row>
    <row r="282">
      <c r="A282" s="198"/>
      <c r="B282" s="198"/>
    </row>
    <row r="283">
      <c r="A283" s="198"/>
      <c r="B283" s="198"/>
    </row>
    <row r="284">
      <c r="A284" s="198"/>
      <c r="B284" s="198"/>
    </row>
    <row r="285">
      <c r="A285" s="198"/>
      <c r="B285" s="198"/>
    </row>
    <row r="286">
      <c r="A286" s="198"/>
      <c r="B286" s="198"/>
    </row>
    <row r="287">
      <c r="A287" s="198"/>
      <c r="B287" s="198"/>
    </row>
    <row r="288">
      <c r="A288" s="198"/>
      <c r="B288" s="198"/>
    </row>
    <row r="289">
      <c r="A289" s="198"/>
      <c r="B289" s="198"/>
    </row>
    <row r="290">
      <c r="A290" s="198"/>
      <c r="B290" s="198"/>
    </row>
    <row r="291">
      <c r="A291" s="198"/>
      <c r="B291" s="198"/>
    </row>
    <row r="292">
      <c r="A292" s="198"/>
      <c r="B292" s="198"/>
    </row>
    <row r="293">
      <c r="A293" s="198"/>
      <c r="B293" s="198"/>
    </row>
    <row r="294">
      <c r="A294" s="198"/>
      <c r="B294" s="198"/>
    </row>
    <row r="295">
      <c r="A295" s="198"/>
      <c r="B295" s="198"/>
    </row>
    <row r="296">
      <c r="A296" s="198"/>
      <c r="B296" s="198"/>
    </row>
    <row r="297">
      <c r="A297" s="198"/>
      <c r="B297" s="198"/>
    </row>
    <row r="298">
      <c r="A298" s="198"/>
      <c r="B298" s="198"/>
    </row>
    <row r="299">
      <c r="A299" s="198"/>
      <c r="B299" s="198"/>
    </row>
    <row r="300">
      <c r="A300" s="198"/>
      <c r="B300" s="198"/>
    </row>
    <row r="301">
      <c r="A301" s="198"/>
      <c r="B301" s="198"/>
    </row>
    <row r="302">
      <c r="A302" s="198"/>
      <c r="B302" s="198"/>
    </row>
    <row r="303">
      <c r="A303" s="198"/>
      <c r="B303" s="198"/>
    </row>
    <row r="304">
      <c r="A304" s="198"/>
      <c r="B304" s="198"/>
    </row>
    <row r="305">
      <c r="A305" s="198"/>
      <c r="B305" s="198"/>
    </row>
    <row r="306">
      <c r="A306" s="198"/>
      <c r="B306" s="198"/>
    </row>
    <row r="307">
      <c r="A307" s="198"/>
      <c r="B307" s="198"/>
    </row>
    <row r="308">
      <c r="A308" s="198"/>
      <c r="B308" s="198"/>
    </row>
    <row r="309">
      <c r="A309" s="198"/>
      <c r="B309" s="198"/>
    </row>
    <row r="310">
      <c r="A310" s="198"/>
      <c r="B310" s="198"/>
    </row>
    <row r="311">
      <c r="A311" s="198"/>
      <c r="B311" s="198"/>
    </row>
    <row r="312">
      <c r="A312" s="198"/>
      <c r="B312" s="198"/>
    </row>
    <row r="313">
      <c r="A313" s="198"/>
      <c r="B313" s="198"/>
    </row>
    <row r="314">
      <c r="A314" s="198"/>
      <c r="B314" s="198"/>
    </row>
    <row r="315">
      <c r="A315" s="198"/>
      <c r="B315" s="198"/>
    </row>
    <row r="316">
      <c r="A316" s="198"/>
      <c r="B316" s="198"/>
    </row>
    <row r="317">
      <c r="A317" s="198"/>
      <c r="B317" s="198"/>
    </row>
    <row r="318">
      <c r="A318" s="198"/>
      <c r="B318" s="198"/>
    </row>
    <row r="319">
      <c r="A319" s="198"/>
      <c r="B319" s="198"/>
    </row>
    <row r="320">
      <c r="A320" s="198"/>
      <c r="B320" s="198"/>
    </row>
    <row r="321">
      <c r="A321" s="198"/>
      <c r="B321" s="198"/>
    </row>
    <row r="322">
      <c r="A322" s="198"/>
      <c r="B322" s="198"/>
    </row>
    <row r="323">
      <c r="A323" s="198"/>
      <c r="B323" s="198"/>
    </row>
    <row r="324">
      <c r="A324" s="198"/>
      <c r="B324" s="198"/>
    </row>
    <row r="325">
      <c r="A325" s="198"/>
      <c r="B325" s="198"/>
    </row>
    <row r="326">
      <c r="A326" s="198"/>
      <c r="B326" s="198"/>
    </row>
    <row r="327">
      <c r="A327" s="198"/>
      <c r="B327" s="198"/>
    </row>
    <row r="328">
      <c r="A328" s="198"/>
      <c r="B328" s="198"/>
    </row>
    <row r="329">
      <c r="A329" s="198"/>
      <c r="B329" s="198"/>
    </row>
    <row r="330">
      <c r="A330" s="198"/>
      <c r="B330" s="198"/>
    </row>
    <row r="331">
      <c r="A331" s="198"/>
      <c r="B331" s="198"/>
    </row>
    <row r="332">
      <c r="A332" s="198"/>
      <c r="B332" s="198"/>
    </row>
    <row r="333">
      <c r="A333" s="198"/>
      <c r="B333" s="198"/>
    </row>
    <row r="334">
      <c r="A334" s="198"/>
      <c r="B334" s="198"/>
    </row>
    <row r="335">
      <c r="A335" s="198"/>
      <c r="B335" s="198"/>
    </row>
    <row r="336">
      <c r="A336" s="198"/>
      <c r="B336" s="198"/>
    </row>
    <row r="337">
      <c r="A337" s="198"/>
      <c r="B337" s="198"/>
    </row>
    <row r="338">
      <c r="A338" s="198"/>
      <c r="B338" s="198"/>
    </row>
    <row r="339">
      <c r="A339" s="198"/>
      <c r="B339" s="198"/>
    </row>
    <row r="340">
      <c r="A340" s="198"/>
      <c r="B340" s="198"/>
    </row>
    <row r="341">
      <c r="A341" s="198"/>
      <c r="B341" s="198"/>
    </row>
    <row r="342">
      <c r="A342" s="198"/>
      <c r="B342" s="198"/>
    </row>
    <row r="343">
      <c r="A343" s="198"/>
      <c r="B343" s="198"/>
    </row>
    <row r="344">
      <c r="A344" s="198"/>
      <c r="B344" s="198"/>
    </row>
    <row r="345">
      <c r="A345" s="198"/>
      <c r="B345" s="198"/>
    </row>
    <row r="346">
      <c r="A346" s="198"/>
      <c r="B346" s="198"/>
    </row>
    <row r="347">
      <c r="A347" s="198"/>
      <c r="B347" s="198"/>
    </row>
    <row r="348">
      <c r="A348" s="198"/>
      <c r="B348" s="198"/>
    </row>
    <row r="349">
      <c r="A349" s="198"/>
      <c r="B349" s="198"/>
    </row>
    <row r="350">
      <c r="A350" s="198"/>
      <c r="B350" s="198"/>
    </row>
    <row r="351">
      <c r="A351" s="198"/>
      <c r="B351" s="198"/>
    </row>
    <row r="352">
      <c r="A352" s="198"/>
      <c r="B352" s="198"/>
    </row>
    <row r="353">
      <c r="A353" s="198"/>
      <c r="B353" s="198"/>
    </row>
    <row r="354">
      <c r="A354" s="198"/>
      <c r="B354" s="198"/>
    </row>
    <row r="355">
      <c r="A355" s="198"/>
      <c r="B355" s="198"/>
    </row>
    <row r="356">
      <c r="A356" s="198"/>
      <c r="B356" s="198"/>
    </row>
    <row r="357">
      <c r="A357" s="198"/>
      <c r="B357" s="198"/>
    </row>
    <row r="358">
      <c r="A358" s="198"/>
      <c r="B358" s="198"/>
    </row>
    <row r="359">
      <c r="A359" s="198"/>
      <c r="B359" s="198"/>
    </row>
    <row r="360">
      <c r="A360" s="198"/>
      <c r="B360" s="198"/>
    </row>
    <row r="361">
      <c r="A361" s="198"/>
      <c r="B361" s="198"/>
    </row>
    <row r="362">
      <c r="A362" s="198"/>
      <c r="B362" s="198"/>
    </row>
    <row r="363">
      <c r="A363" s="198"/>
      <c r="B363" s="198"/>
    </row>
    <row r="364">
      <c r="A364" s="198"/>
      <c r="B364" s="198"/>
    </row>
    <row r="365">
      <c r="A365" s="198"/>
      <c r="B365" s="198"/>
    </row>
    <row r="366">
      <c r="A366" s="198"/>
      <c r="B366" s="198"/>
    </row>
    <row r="367">
      <c r="A367" s="198"/>
      <c r="B367" s="198"/>
    </row>
    <row r="368">
      <c r="A368" s="198"/>
      <c r="B368" s="198"/>
    </row>
    <row r="369">
      <c r="A369" s="198"/>
      <c r="B369" s="198"/>
    </row>
    <row r="370">
      <c r="A370" s="198"/>
      <c r="B370" s="198"/>
    </row>
    <row r="371">
      <c r="A371" s="198"/>
      <c r="B371" s="198"/>
    </row>
    <row r="372">
      <c r="A372" s="198"/>
      <c r="B372" s="198"/>
    </row>
    <row r="373">
      <c r="A373" s="198"/>
      <c r="B373" s="198"/>
    </row>
    <row r="374">
      <c r="A374" s="198"/>
      <c r="B374" s="198"/>
    </row>
    <row r="375">
      <c r="A375" s="198"/>
      <c r="B375" s="198"/>
    </row>
    <row r="376">
      <c r="A376" s="198"/>
      <c r="B376" s="198"/>
    </row>
    <row r="377">
      <c r="A377" s="198"/>
      <c r="B377" s="198"/>
    </row>
    <row r="378">
      <c r="A378" s="198"/>
      <c r="B378" s="198"/>
    </row>
    <row r="379">
      <c r="A379" s="198"/>
      <c r="B379" s="198"/>
    </row>
    <row r="380">
      <c r="A380" s="198"/>
      <c r="B380" s="198"/>
    </row>
    <row r="381">
      <c r="A381" s="198"/>
      <c r="B381" s="198"/>
    </row>
    <row r="382">
      <c r="A382" s="198"/>
      <c r="B382" s="198"/>
    </row>
    <row r="383">
      <c r="A383" s="198"/>
      <c r="B383" s="198"/>
    </row>
    <row r="384">
      <c r="A384" s="198"/>
      <c r="B384" s="198"/>
    </row>
    <row r="385">
      <c r="A385" s="198"/>
      <c r="B385" s="198"/>
    </row>
    <row r="386">
      <c r="A386" s="198"/>
      <c r="B386" s="198"/>
    </row>
    <row r="387">
      <c r="A387" s="198"/>
      <c r="B387" s="198"/>
    </row>
    <row r="388">
      <c r="A388" s="198"/>
      <c r="B388" s="198"/>
    </row>
    <row r="389">
      <c r="A389" s="198"/>
      <c r="B389" s="198"/>
    </row>
    <row r="390">
      <c r="A390" s="198"/>
      <c r="B390" s="198"/>
    </row>
    <row r="391">
      <c r="A391" s="198"/>
      <c r="B391" s="198"/>
    </row>
    <row r="392">
      <c r="A392" s="198"/>
      <c r="B392" s="198"/>
    </row>
    <row r="393">
      <c r="A393" s="198"/>
      <c r="B393" s="198"/>
    </row>
    <row r="394">
      <c r="A394" s="198"/>
      <c r="B394" s="198"/>
    </row>
    <row r="395">
      <c r="A395" s="198"/>
      <c r="B395" s="198"/>
    </row>
    <row r="396">
      <c r="A396" s="198"/>
      <c r="B396" s="198"/>
    </row>
    <row r="397">
      <c r="A397" s="198"/>
      <c r="B397" s="198"/>
    </row>
    <row r="398">
      <c r="A398" s="198"/>
      <c r="B398" s="198"/>
    </row>
    <row r="399">
      <c r="A399" s="198"/>
      <c r="B399" s="198"/>
    </row>
    <row r="400">
      <c r="A400" s="198"/>
      <c r="B400" s="198"/>
    </row>
    <row r="401">
      <c r="A401" s="198"/>
      <c r="B401" s="198"/>
    </row>
    <row r="402">
      <c r="A402" s="198"/>
      <c r="B402" s="198"/>
    </row>
    <row r="403">
      <c r="A403" s="198"/>
      <c r="B403" s="198"/>
    </row>
    <row r="404">
      <c r="A404" s="198"/>
      <c r="B404" s="198"/>
    </row>
    <row r="405">
      <c r="A405" s="198"/>
      <c r="B405" s="198"/>
    </row>
    <row r="406">
      <c r="A406" s="198"/>
      <c r="B406" s="198"/>
    </row>
    <row r="407">
      <c r="A407" s="198"/>
      <c r="B407" s="198"/>
    </row>
    <row r="408">
      <c r="A408" s="198"/>
      <c r="B408" s="198"/>
    </row>
    <row r="409">
      <c r="A409" s="198"/>
      <c r="B409" s="198"/>
    </row>
    <row r="410">
      <c r="A410" s="198"/>
      <c r="B410" s="198"/>
    </row>
    <row r="411">
      <c r="A411" s="198"/>
      <c r="B411" s="198"/>
    </row>
    <row r="412">
      <c r="A412" s="198"/>
      <c r="B412" s="198"/>
    </row>
    <row r="413">
      <c r="A413" s="198"/>
      <c r="B413" s="198"/>
    </row>
    <row r="414">
      <c r="A414" s="198"/>
      <c r="B414" s="198"/>
    </row>
    <row r="415">
      <c r="A415" s="198"/>
      <c r="B415" s="198"/>
    </row>
    <row r="416">
      <c r="A416" s="198"/>
      <c r="B416" s="198"/>
    </row>
    <row r="417">
      <c r="A417" s="198"/>
      <c r="B417" s="198"/>
    </row>
    <row r="418">
      <c r="A418" s="198"/>
      <c r="B418" s="198"/>
    </row>
    <row r="419">
      <c r="A419" s="198"/>
      <c r="B419" s="198"/>
    </row>
    <row r="420">
      <c r="A420" s="198"/>
      <c r="B420" s="198"/>
    </row>
    <row r="421">
      <c r="A421" s="198"/>
      <c r="B421" s="198"/>
    </row>
    <row r="422">
      <c r="A422" s="198"/>
      <c r="B422" s="198"/>
    </row>
    <row r="423">
      <c r="A423" s="198"/>
      <c r="B423" s="198"/>
    </row>
    <row r="424">
      <c r="A424" s="198"/>
      <c r="B424" s="198"/>
    </row>
    <row r="425">
      <c r="A425" s="198"/>
      <c r="B425" s="198"/>
    </row>
    <row r="426">
      <c r="A426" s="198"/>
      <c r="B426" s="198"/>
    </row>
    <row r="427">
      <c r="A427" s="198"/>
      <c r="B427" s="198"/>
    </row>
    <row r="428">
      <c r="A428" s="198"/>
      <c r="B428" s="198"/>
    </row>
    <row r="429">
      <c r="A429" s="198"/>
      <c r="B429" s="198"/>
    </row>
    <row r="430">
      <c r="A430" s="198"/>
      <c r="B430" s="198"/>
    </row>
    <row r="431">
      <c r="A431" s="198"/>
      <c r="B431" s="198"/>
    </row>
    <row r="432">
      <c r="A432" s="198"/>
      <c r="B432" s="198"/>
    </row>
    <row r="433">
      <c r="A433" s="198"/>
      <c r="B433" s="198"/>
    </row>
    <row r="434">
      <c r="A434" s="198"/>
      <c r="B434" s="198"/>
    </row>
    <row r="435">
      <c r="A435" s="198"/>
      <c r="B435" s="198"/>
    </row>
    <row r="436">
      <c r="A436" s="198"/>
      <c r="B436" s="198"/>
    </row>
    <row r="437">
      <c r="A437" s="198"/>
      <c r="B437" s="198"/>
    </row>
    <row r="438">
      <c r="A438" s="198"/>
      <c r="B438" s="198"/>
    </row>
    <row r="439">
      <c r="A439" s="198"/>
      <c r="B439" s="198"/>
    </row>
    <row r="440">
      <c r="A440" s="198"/>
      <c r="B440" s="198"/>
    </row>
    <row r="441">
      <c r="A441" s="198"/>
      <c r="B441" s="198"/>
    </row>
    <row r="442">
      <c r="A442" s="198"/>
      <c r="B442" s="198"/>
    </row>
    <row r="443">
      <c r="A443" s="198"/>
      <c r="B443" s="198"/>
    </row>
    <row r="444">
      <c r="A444" s="198"/>
      <c r="B444" s="198"/>
    </row>
    <row r="445">
      <c r="A445" s="198"/>
      <c r="B445" s="198"/>
    </row>
    <row r="446">
      <c r="A446" s="198"/>
      <c r="B446" s="198"/>
    </row>
    <row r="447">
      <c r="A447" s="198"/>
      <c r="B447" s="198"/>
    </row>
    <row r="448">
      <c r="A448" s="198"/>
      <c r="B448" s="198"/>
    </row>
    <row r="449">
      <c r="A449" s="198"/>
      <c r="B449" s="198"/>
    </row>
    <row r="450">
      <c r="A450" s="198"/>
      <c r="B450" s="198"/>
    </row>
    <row r="451">
      <c r="A451" s="198"/>
      <c r="B451" s="198"/>
    </row>
    <row r="452">
      <c r="A452" s="198"/>
      <c r="B452" s="198"/>
    </row>
    <row r="453">
      <c r="A453" s="198"/>
      <c r="B453" s="198"/>
    </row>
    <row r="454">
      <c r="A454" s="198"/>
      <c r="B454" s="198"/>
    </row>
    <row r="455">
      <c r="A455" s="198"/>
      <c r="B455" s="198"/>
    </row>
    <row r="456">
      <c r="A456" s="198"/>
      <c r="B456" s="198"/>
    </row>
    <row r="457">
      <c r="A457" s="198"/>
      <c r="B457" s="198"/>
    </row>
    <row r="458">
      <c r="A458" s="198"/>
      <c r="B458" s="198"/>
    </row>
    <row r="459">
      <c r="A459" s="198"/>
      <c r="B459" s="198"/>
    </row>
    <row r="460">
      <c r="A460" s="198"/>
      <c r="B460" s="198"/>
    </row>
    <row r="461">
      <c r="A461" s="198"/>
      <c r="B461" s="198"/>
    </row>
    <row r="462">
      <c r="A462" s="198"/>
      <c r="B462" s="198"/>
    </row>
    <row r="463">
      <c r="A463" s="198"/>
      <c r="B463" s="198"/>
    </row>
    <row r="464">
      <c r="A464" s="198"/>
      <c r="B464" s="198"/>
    </row>
    <row r="465">
      <c r="A465" s="198"/>
      <c r="B465" s="198"/>
    </row>
    <row r="466">
      <c r="A466" s="198"/>
      <c r="B466" s="198"/>
    </row>
    <row r="467">
      <c r="A467" s="198"/>
      <c r="B467" s="198"/>
    </row>
    <row r="468">
      <c r="A468" s="198"/>
      <c r="B468" s="198"/>
    </row>
    <row r="469">
      <c r="A469" s="198"/>
      <c r="B469" s="198"/>
    </row>
    <row r="470">
      <c r="A470" s="198"/>
      <c r="B470" s="198"/>
    </row>
    <row r="471">
      <c r="A471" s="198"/>
      <c r="B471" s="198"/>
    </row>
    <row r="472">
      <c r="A472" s="198"/>
      <c r="B472" s="198"/>
    </row>
    <row r="473">
      <c r="A473" s="198"/>
      <c r="B473" s="198"/>
    </row>
    <row r="474">
      <c r="A474" s="198"/>
      <c r="B474" s="198"/>
    </row>
    <row r="475">
      <c r="A475" s="198"/>
      <c r="B475" s="198"/>
    </row>
    <row r="476">
      <c r="A476" s="198"/>
      <c r="B476" s="198"/>
    </row>
    <row r="477">
      <c r="A477" s="198"/>
      <c r="B477" s="198"/>
    </row>
    <row r="478">
      <c r="A478" s="198"/>
      <c r="B478" s="198"/>
    </row>
    <row r="479">
      <c r="A479" s="198"/>
      <c r="B479" s="198"/>
    </row>
    <row r="480">
      <c r="A480" s="198"/>
      <c r="B480" s="198"/>
    </row>
    <row r="481">
      <c r="A481" s="198"/>
      <c r="B481" s="198"/>
    </row>
    <row r="482">
      <c r="A482" s="198"/>
      <c r="B482" s="198"/>
    </row>
    <row r="483">
      <c r="A483" s="198"/>
      <c r="B483" s="198"/>
    </row>
    <row r="484">
      <c r="A484" s="198"/>
      <c r="B484" s="198"/>
    </row>
    <row r="485">
      <c r="A485" s="198"/>
      <c r="B485" s="198"/>
    </row>
    <row r="486">
      <c r="A486" s="198"/>
      <c r="B486" s="198"/>
    </row>
    <row r="487">
      <c r="A487" s="198"/>
      <c r="B487" s="198"/>
    </row>
    <row r="488">
      <c r="A488" s="198"/>
      <c r="B488" s="198"/>
    </row>
    <row r="489">
      <c r="A489" s="198"/>
      <c r="B489" s="198"/>
    </row>
    <row r="490">
      <c r="A490" s="198"/>
      <c r="B490" s="198"/>
    </row>
    <row r="491">
      <c r="A491" s="198"/>
      <c r="B491" s="198"/>
    </row>
    <row r="492">
      <c r="A492" s="198"/>
      <c r="B492" s="198"/>
    </row>
    <row r="493">
      <c r="A493" s="198"/>
      <c r="B493" s="198"/>
    </row>
    <row r="494">
      <c r="A494" s="198"/>
      <c r="B494" s="198"/>
    </row>
    <row r="495">
      <c r="A495" s="198"/>
      <c r="B495" s="198"/>
    </row>
    <row r="496">
      <c r="A496" s="198"/>
      <c r="B496" s="198"/>
    </row>
    <row r="497">
      <c r="A497" s="198"/>
      <c r="B497" s="198"/>
    </row>
    <row r="498">
      <c r="A498" s="198"/>
      <c r="B498" s="198"/>
    </row>
    <row r="499">
      <c r="A499" s="198"/>
      <c r="B499" s="198"/>
    </row>
    <row r="500">
      <c r="A500" s="198"/>
      <c r="B500" s="198"/>
    </row>
    <row r="501">
      <c r="A501" s="198"/>
      <c r="B501" s="198"/>
    </row>
    <row r="502">
      <c r="A502" s="198"/>
      <c r="B502" s="198"/>
    </row>
    <row r="503">
      <c r="A503" s="198"/>
      <c r="B503" s="198"/>
    </row>
    <row r="504">
      <c r="A504" s="198"/>
      <c r="B504" s="198"/>
    </row>
    <row r="505">
      <c r="A505" s="198"/>
      <c r="B505" s="198"/>
    </row>
    <row r="506">
      <c r="A506" s="198"/>
      <c r="B506" s="198"/>
    </row>
    <row r="507">
      <c r="A507" s="198"/>
      <c r="B507" s="198"/>
    </row>
    <row r="508">
      <c r="A508" s="198"/>
      <c r="B508" s="198"/>
    </row>
    <row r="509">
      <c r="A509" s="198"/>
      <c r="B509" s="198"/>
    </row>
    <row r="510">
      <c r="A510" s="198"/>
      <c r="B510" s="198"/>
    </row>
    <row r="511">
      <c r="A511" s="198"/>
      <c r="B511" s="198"/>
    </row>
    <row r="512">
      <c r="A512" s="198"/>
      <c r="B512" s="198"/>
    </row>
    <row r="513">
      <c r="A513" s="198"/>
      <c r="B513" s="198"/>
    </row>
    <row r="514">
      <c r="A514" s="198"/>
      <c r="B514" s="198"/>
    </row>
    <row r="515">
      <c r="A515" s="198"/>
      <c r="B515" s="198"/>
    </row>
    <row r="516">
      <c r="A516" s="198"/>
      <c r="B516" s="198"/>
    </row>
    <row r="517">
      <c r="A517" s="198"/>
      <c r="B517" s="198"/>
    </row>
    <row r="518">
      <c r="A518" s="198"/>
      <c r="B518" s="198"/>
    </row>
    <row r="519">
      <c r="A519" s="198"/>
      <c r="B519" s="198"/>
    </row>
    <row r="520">
      <c r="A520" s="198"/>
      <c r="B520" s="198"/>
    </row>
    <row r="521">
      <c r="A521" s="198"/>
      <c r="B521" s="198"/>
    </row>
    <row r="522">
      <c r="A522" s="198"/>
      <c r="B522" s="198"/>
    </row>
    <row r="523">
      <c r="A523" s="198"/>
      <c r="B523" s="198"/>
    </row>
    <row r="524">
      <c r="A524" s="198"/>
      <c r="B524" s="198"/>
    </row>
    <row r="525">
      <c r="A525" s="198"/>
      <c r="B525" s="198"/>
    </row>
    <row r="526">
      <c r="A526" s="198"/>
      <c r="B526" s="198"/>
    </row>
    <row r="527">
      <c r="A527" s="198"/>
      <c r="B527" s="198"/>
    </row>
    <row r="528">
      <c r="A528" s="198"/>
      <c r="B528" s="198"/>
    </row>
    <row r="529">
      <c r="A529" s="198"/>
      <c r="B529" s="198"/>
    </row>
    <row r="530">
      <c r="A530" s="198"/>
      <c r="B530" s="198"/>
    </row>
    <row r="531">
      <c r="A531" s="198"/>
      <c r="B531" s="198"/>
    </row>
    <row r="532">
      <c r="A532" s="198"/>
      <c r="B532" s="198"/>
    </row>
    <row r="533">
      <c r="A533" s="198"/>
      <c r="B533" s="198"/>
    </row>
    <row r="534">
      <c r="A534" s="198"/>
      <c r="B534" s="198"/>
    </row>
    <row r="535">
      <c r="A535" s="198"/>
      <c r="B535" s="198"/>
    </row>
    <row r="536">
      <c r="A536" s="198"/>
      <c r="B536" s="198"/>
    </row>
    <row r="537">
      <c r="A537" s="198"/>
      <c r="B537" s="198"/>
    </row>
    <row r="538">
      <c r="A538" s="198"/>
      <c r="B538" s="198"/>
    </row>
    <row r="539">
      <c r="A539" s="198"/>
      <c r="B539" s="198"/>
    </row>
    <row r="540">
      <c r="A540" s="198"/>
      <c r="B540" s="198"/>
    </row>
    <row r="541">
      <c r="A541" s="198"/>
      <c r="B541" s="198"/>
    </row>
    <row r="542">
      <c r="A542" s="198"/>
      <c r="B542" s="198"/>
    </row>
    <row r="543">
      <c r="A543" s="198"/>
      <c r="B543" s="198"/>
    </row>
    <row r="544">
      <c r="A544" s="198"/>
      <c r="B544" s="198"/>
    </row>
    <row r="545">
      <c r="A545" s="198"/>
      <c r="B545" s="198"/>
    </row>
    <row r="546">
      <c r="A546" s="198"/>
      <c r="B546" s="198"/>
    </row>
    <row r="547">
      <c r="A547" s="198"/>
      <c r="B547" s="198"/>
    </row>
    <row r="548">
      <c r="A548" s="198"/>
      <c r="B548" s="198"/>
    </row>
    <row r="549">
      <c r="A549" s="198"/>
      <c r="B549" s="198"/>
    </row>
    <row r="550">
      <c r="A550" s="198"/>
      <c r="B550" s="198"/>
    </row>
    <row r="551">
      <c r="A551" s="198"/>
      <c r="B551" s="198"/>
    </row>
    <row r="552">
      <c r="A552" s="198"/>
      <c r="B552" s="198"/>
    </row>
    <row r="553">
      <c r="A553" s="198"/>
      <c r="B553" s="198"/>
    </row>
    <row r="554">
      <c r="A554" s="198"/>
      <c r="B554" s="198"/>
    </row>
    <row r="555">
      <c r="A555" s="198"/>
      <c r="B555" s="198"/>
    </row>
    <row r="556">
      <c r="A556" s="198"/>
      <c r="B556" s="198"/>
    </row>
    <row r="557">
      <c r="A557" s="198"/>
      <c r="B557" s="198"/>
    </row>
    <row r="558">
      <c r="A558" s="198"/>
      <c r="B558" s="198"/>
    </row>
    <row r="559">
      <c r="A559" s="198"/>
      <c r="B559" s="198"/>
    </row>
    <row r="560">
      <c r="A560" s="198"/>
      <c r="B560" s="198"/>
    </row>
    <row r="561">
      <c r="A561" s="198"/>
      <c r="B561" s="198"/>
    </row>
    <row r="562">
      <c r="A562" s="198"/>
      <c r="B562" s="198"/>
    </row>
    <row r="563">
      <c r="A563" s="198"/>
      <c r="B563" s="198"/>
    </row>
    <row r="564">
      <c r="A564" s="198"/>
      <c r="B564" s="198"/>
    </row>
    <row r="565">
      <c r="A565" s="198"/>
      <c r="B565" s="198"/>
    </row>
    <row r="566">
      <c r="A566" s="198"/>
      <c r="B566" s="198"/>
    </row>
    <row r="567">
      <c r="A567" s="198"/>
      <c r="B567" s="198"/>
    </row>
    <row r="568">
      <c r="A568" s="198"/>
      <c r="B568" s="198"/>
    </row>
    <row r="569">
      <c r="A569" s="198"/>
      <c r="B569" s="198"/>
    </row>
    <row r="570">
      <c r="A570" s="198"/>
      <c r="B570" s="198"/>
    </row>
    <row r="571">
      <c r="A571" s="198"/>
      <c r="B571" s="198"/>
    </row>
    <row r="572">
      <c r="A572" s="198"/>
      <c r="B572" s="198"/>
    </row>
    <row r="573">
      <c r="A573" s="198"/>
      <c r="B573" s="198"/>
    </row>
    <row r="574">
      <c r="A574" s="198"/>
      <c r="B574" s="198"/>
    </row>
    <row r="575">
      <c r="A575" s="198"/>
      <c r="B575" s="198"/>
    </row>
    <row r="576">
      <c r="A576" s="198"/>
      <c r="B576" s="198"/>
    </row>
    <row r="577">
      <c r="A577" s="198"/>
      <c r="B577" s="198"/>
    </row>
    <row r="578">
      <c r="A578" s="198"/>
      <c r="B578" s="198"/>
    </row>
    <row r="579">
      <c r="A579" s="198"/>
      <c r="B579" s="198"/>
    </row>
    <row r="580">
      <c r="A580" s="198"/>
      <c r="B580" s="198"/>
    </row>
    <row r="581">
      <c r="A581" s="198"/>
      <c r="B581" s="198"/>
    </row>
    <row r="582">
      <c r="A582" s="198"/>
      <c r="B582" s="198"/>
    </row>
    <row r="583">
      <c r="A583" s="198"/>
      <c r="B583" s="198"/>
    </row>
    <row r="584">
      <c r="A584" s="198"/>
      <c r="B584" s="198"/>
    </row>
    <row r="585">
      <c r="A585" s="198"/>
      <c r="B585" s="198"/>
    </row>
    <row r="586">
      <c r="A586" s="198"/>
      <c r="B586" s="198"/>
    </row>
    <row r="587">
      <c r="A587" s="198"/>
      <c r="B587" s="198"/>
    </row>
    <row r="588">
      <c r="A588" s="198"/>
      <c r="B588" s="198"/>
    </row>
    <row r="589">
      <c r="A589" s="198"/>
      <c r="B589" s="198"/>
    </row>
    <row r="590">
      <c r="A590" s="198"/>
      <c r="B590" s="198"/>
    </row>
    <row r="591">
      <c r="A591" s="198"/>
      <c r="B591" s="198"/>
    </row>
    <row r="592">
      <c r="A592" s="198"/>
      <c r="B592" s="198"/>
    </row>
    <row r="593">
      <c r="A593" s="198"/>
      <c r="B593" s="198"/>
    </row>
    <row r="594">
      <c r="A594" s="198"/>
      <c r="B594" s="198"/>
    </row>
    <row r="595">
      <c r="A595" s="198"/>
      <c r="B595" s="198"/>
    </row>
    <row r="596">
      <c r="A596" s="198"/>
      <c r="B596" s="198"/>
    </row>
    <row r="597">
      <c r="A597" s="198"/>
      <c r="B597" s="198"/>
    </row>
    <row r="598">
      <c r="A598" s="198"/>
      <c r="B598" s="198"/>
    </row>
    <row r="599">
      <c r="A599" s="198"/>
      <c r="B599" s="198"/>
    </row>
    <row r="600">
      <c r="A600" s="198"/>
      <c r="B600" s="198"/>
    </row>
    <row r="601">
      <c r="A601" s="198"/>
      <c r="B601" s="198"/>
    </row>
    <row r="602">
      <c r="A602" s="198"/>
      <c r="B602" s="198"/>
    </row>
    <row r="603">
      <c r="A603" s="198"/>
      <c r="B603" s="198"/>
    </row>
    <row r="604">
      <c r="A604" s="198"/>
      <c r="B604" s="198"/>
    </row>
    <row r="605">
      <c r="A605" s="198"/>
      <c r="B605" s="198"/>
    </row>
    <row r="606">
      <c r="A606" s="198"/>
      <c r="B606" s="198"/>
    </row>
    <row r="607">
      <c r="A607" s="198"/>
      <c r="B607" s="198"/>
    </row>
    <row r="608">
      <c r="A608" s="198"/>
      <c r="B608" s="198"/>
    </row>
    <row r="609">
      <c r="A609" s="198"/>
      <c r="B609" s="198"/>
    </row>
    <row r="610">
      <c r="A610" s="198"/>
      <c r="B610" s="198"/>
    </row>
    <row r="611">
      <c r="A611" s="198"/>
      <c r="B611" s="198"/>
    </row>
    <row r="612">
      <c r="A612" s="198"/>
      <c r="B612" s="198"/>
    </row>
    <row r="613">
      <c r="A613" s="198"/>
      <c r="B613" s="198"/>
    </row>
    <row r="614">
      <c r="A614" s="198"/>
      <c r="B614" s="198"/>
    </row>
    <row r="615">
      <c r="A615" s="198"/>
      <c r="B615" s="198"/>
    </row>
    <row r="616">
      <c r="A616" s="198"/>
      <c r="B616" s="198"/>
    </row>
    <row r="617">
      <c r="A617" s="198"/>
      <c r="B617" s="198"/>
    </row>
    <row r="618">
      <c r="A618" s="198"/>
      <c r="B618" s="198"/>
    </row>
    <row r="619">
      <c r="A619" s="198"/>
      <c r="B619" s="198"/>
    </row>
    <row r="620">
      <c r="A620" s="198"/>
      <c r="B620" s="198"/>
    </row>
    <row r="621">
      <c r="A621" s="198"/>
      <c r="B621" s="198"/>
    </row>
    <row r="622">
      <c r="A622" s="198"/>
      <c r="B622" s="198"/>
    </row>
    <row r="623">
      <c r="A623" s="198"/>
      <c r="B623" s="198"/>
    </row>
    <row r="624">
      <c r="A624" s="198"/>
      <c r="B624" s="198"/>
    </row>
    <row r="625">
      <c r="A625" s="198"/>
      <c r="B625" s="198"/>
    </row>
    <row r="626">
      <c r="A626" s="198"/>
      <c r="B626" s="198"/>
    </row>
    <row r="627">
      <c r="A627" s="198"/>
      <c r="B627" s="198"/>
    </row>
    <row r="628">
      <c r="A628" s="198"/>
      <c r="B628" s="198"/>
    </row>
    <row r="629">
      <c r="A629" s="198"/>
      <c r="B629" s="198"/>
    </row>
    <row r="630">
      <c r="A630" s="198"/>
      <c r="B630" s="198"/>
    </row>
    <row r="631">
      <c r="A631" s="198"/>
      <c r="B631" s="198"/>
    </row>
    <row r="632">
      <c r="A632" s="198"/>
      <c r="B632" s="198"/>
    </row>
    <row r="633">
      <c r="A633" s="198"/>
      <c r="B633" s="198"/>
    </row>
    <row r="634">
      <c r="A634" s="198"/>
      <c r="B634" s="198"/>
    </row>
    <row r="635">
      <c r="A635" s="198"/>
      <c r="B635" s="198"/>
    </row>
    <row r="636">
      <c r="A636" s="198"/>
      <c r="B636" s="198"/>
    </row>
    <row r="637">
      <c r="A637" s="198"/>
      <c r="B637" s="198"/>
    </row>
    <row r="638">
      <c r="A638" s="198"/>
      <c r="B638" s="198"/>
    </row>
    <row r="639">
      <c r="A639" s="198"/>
      <c r="B639" s="198"/>
    </row>
    <row r="640">
      <c r="A640" s="198"/>
      <c r="B640" s="198"/>
    </row>
    <row r="641">
      <c r="A641" s="198"/>
      <c r="B641" s="198"/>
    </row>
    <row r="642">
      <c r="A642" s="198"/>
      <c r="B642" s="198"/>
    </row>
    <row r="643">
      <c r="A643" s="198"/>
      <c r="B643" s="198"/>
    </row>
    <row r="644">
      <c r="A644" s="198"/>
      <c r="B644" s="198"/>
    </row>
    <row r="645">
      <c r="A645" s="198"/>
      <c r="B645" s="198"/>
    </row>
    <row r="646">
      <c r="A646" s="198"/>
      <c r="B646" s="198"/>
    </row>
    <row r="647">
      <c r="A647" s="198"/>
      <c r="B647" s="198"/>
    </row>
    <row r="648">
      <c r="A648" s="198"/>
      <c r="B648" s="198"/>
    </row>
    <row r="649">
      <c r="A649" s="198"/>
      <c r="B649" s="198"/>
    </row>
    <row r="650">
      <c r="A650" s="198"/>
      <c r="B650" s="198"/>
    </row>
    <row r="651">
      <c r="A651" s="198"/>
      <c r="B651" s="198"/>
    </row>
    <row r="652">
      <c r="A652" s="198"/>
      <c r="B652" s="198"/>
    </row>
    <row r="653">
      <c r="A653" s="198"/>
      <c r="B653" s="198"/>
    </row>
    <row r="654">
      <c r="A654" s="198"/>
      <c r="B654" s="198"/>
    </row>
    <row r="655">
      <c r="A655" s="198"/>
      <c r="B655" s="198"/>
    </row>
    <row r="656">
      <c r="A656" s="198"/>
      <c r="B656" s="198"/>
    </row>
    <row r="657">
      <c r="A657" s="198"/>
      <c r="B657" s="198"/>
    </row>
    <row r="658">
      <c r="A658" s="198"/>
      <c r="B658" s="198"/>
    </row>
    <row r="659">
      <c r="A659" s="198"/>
      <c r="B659" s="198"/>
    </row>
    <row r="660">
      <c r="A660" s="198"/>
      <c r="B660" s="198"/>
    </row>
    <row r="661">
      <c r="A661" s="198"/>
      <c r="B661" s="198"/>
    </row>
    <row r="662">
      <c r="A662" s="198"/>
      <c r="B662" s="198"/>
    </row>
    <row r="663">
      <c r="A663" s="198"/>
      <c r="B663" s="198"/>
    </row>
    <row r="664">
      <c r="A664" s="198"/>
      <c r="B664" s="198"/>
    </row>
    <row r="665">
      <c r="A665" s="198"/>
      <c r="B665" s="198"/>
    </row>
    <row r="666">
      <c r="A666" s="198"/>
      <c r="B666" s="198"/>
    </row>
    <row r="667">
      <c r="A667" s="198"/>
      <c r="B667" s="198"/>
    </row>
    <row r="668">
      <c r="A668" s="198"/>
      <c r="B668" s="198"/>
    </row>
    <row r="669">
      <c r="A669" s="198"/>
      <c r="B669" s="198"/>
    </row>
    <row r="670">
      <c r="A670" s="198"/>
      <c r="B670" s="198"/>
    </row>
    <row r="671">
      <c r="A671" s="198"/>
      <c r="B671" s="198"/>
    </row>
    <row r="672">
      <c r="A672" s="198"/>
      <c r="B672" s="198"/>
    </row>
    <row r="673">
      <c r="A673" s="198"/>
      <c r="B673" s="198"/>
    </row>
    <row r="674">
      <c r="A674" s="198"/>
      <c r="B674" s="198"/>
    </row>
    <row r="675">
      <c r="A675" s="198"/>
      <c r="B675" s="198"/>
    </row>
    <row r="676">
      <c r="A676" s="198"/>
      <c r="B676" s="198"/>
    </row>
    <row r="677">
      <c r="A677" s="198"/>
      <c r="B677" s="198"/>
    </row>
    <row r="678">
      <c r="A678" s="198"/>
      <c r="B678" s="198"/>
    </row>
    <row r="679">
      <c r="A679" s="198"/>
      <c r="B679" s="198"/>
    </row>
    <row r="680">
      <c r="A680" s="198"/>
      <c r="B680" s="198"/>
    </row>
    <row r="681">
      <c r="A681" s="198"/>
      <c r="B681" s="198"/>
    </row>
    <row r="682">
      <c r="A682" s="198"/>
      <c r="B682" s="198"/>
    </row>
    <row r="683">
      <c r="A683" s="198"/>
      <c r="B683" s="198"/>
    </row>
    <row r="684">
      <c r="A684" s="198"/>
      <c r="B684" s="198"/>
    </row>
    <row r="685">
      <c r="A685" s="198"/>
      <c r="B685" s="198"/>
    </row>
    <row r="686">
      <c r="A686" s="198"/>
      <c r="B686" s="198"/>
    </row>
    <row r="687">
      <c r="A687" s="198"/>
      <c r="B687" s="198"/>
    </row>
    <row r="688">
      <c r="A688" s="198"/>
      <c r="B688" s="198"/>
    </row>
    <row r="689">
      <c r="A689" s="198"/>
      <c r="B689" s="198"/>
    </row>
    <row r="690">
      <c r="A690" s="198"/>
      <c r="B690" s="198"/>
    </row>
    <row r="691">
      <c r="A691" s="198"/>
      <c r="B691" s="198"/>
    </row>
    <row r="692">
      <c r="A692" s="198"/>
      <c r="B692" s="198"/>
    </row>
    <row r="693">
      <c r="A693" s="198"/>
      <c r="B693" s="198"/>
    </row>
    <row r="694">
      <c r="A694" s="198"/>
      <c r="B694" s="198"/>
    </row>
    <row r="695">
      <c r="A695" s="198"/>
      <c r="B695" s="198"/>
    </row>
    <row r="696">
      <c r="A696" s="198"/>
      <c r="B696" s="198"/>
    </row>
    <row r="697">
      <c r="A697" s="198"/>
      <c r="B697" s="198"/>
    </row>
    <row r="698">
      <c r="A698" s="198"/>
      <c r="B698" s="198"/>
    </row>
    <row r="699">
      <c r="A699" s="198"/>
      <c r="B699" s="198"/>
    </row>
    <row r="700">
      <c r="A700" s="198"/>
      <c r="B700" s="198"/>
    </row>
    <row r="701">
      <c r="A701" s="198"/>
      <c r="B701" s="198"/>
    </row>
    <row r="702">
      <c r="A702" s="198"/>
      <c r="B702" s="198"/>
    </row>
    <row r="703">
      <c r="A703" s="198"/>
      <c r="B703" s="198"/>
    </row>
    <row r="704">
      <c r="A704" s="198"/>
      <c r="B704" s="198"/>
    </row>
    <row r="705">
      <c r="A705" s="198"/>
      <c r="B705" s="198"/>
    </row>
    <row r="706">
      <c r="A706" s="198"/>
      <c r="B706" s="198"/>
    </row>
    <row r="707">
      <c r="A707" s="198"/>
      <c r="B707" s="198"/>
    </row>
    <row r="708">
      <c r="A708" s="198"/>
      <c r="B708" s="198"/>
    </row>
    <row r="709">
      <c r="A709" s="198"/>
      <c r="B709" s="198"/>
    </row>
    <row r="710">
      <c r="A710" s="198"/>
      <c r="B710" s="198"/>
    </row>
    <row r="711">
      <c r="A711" s="198"/>
      <c r="B711" s="198"/>
    </row>
    <row r="712">
      <c r="A712" s="198"/>
      <c r="B712" s="198"/>
    </row>
    <row r="713">
      <c r="A713" s="198"/>
      <c r="B713" s="198"/>
    </row>
    <row r="714">
      <c r="A714" s="198"/>
      <c r="B714" s="198"/>
    </row>
    <row r="715">
      <c r="A715" s="198"/>
      <c r="B715" s="198"/>
    </row>
    <row r="716">
      <c r="A716" s="198"/>
      <c r="B716" s="198"/>
    </row>
    <row r="717">
      <c r="A717" s="198"/>
      <c r="B717" s="198"/>
    </row>
    <row r="718">
      <c r="A718" s="198"/>
      <c r="B718" s="198"/>
    </row>
    <row r="719">
      <c r="A719" s="198"/>
      <c r="B719" s="198"/>
    </row>
    <row r="720">
      <c r="A720" s="198"/>
      <c r="B720" s="198"/>
    </row>
    <row r="721">
      <c r="A721" s="198"/>
      <c r="B721" s="198"/>
    </row>
    <row r="722">
      <c r="A722" s="198"/>
      <c r="B722" s="198"/>
    </row>
    <row r="723">
      <c r="A723" s="198"/>
      <c r="B723" s="198"/>
    </row>
    <row r="724">
      <c r="A724" s="198"/>
      <c r="B724" s="198"/>
    </row>
    <row r="725">
      <c r="A725" s="198"/>
      <c r="B725" s="198"/>
    </row>
    <row r="726">
      <c r="A726" s="198"/>
      <c r="B726" s="198"/>
    </row>
    <row r="727">
      <c r="A727" s="198"/>
      <c r="B727" s="198"/>
    </row>
    <row r="728">
      <c r="A728" s="198"/>
      <c r="B728" s="198"/>
    </row>
    <row r="729">
      <c r="A729" s="198"/>
      <c r="B729" s="198"/>
    </row>
    <row r="730">
      <c r="A730" s="198"/>
      <c r="B730" s="198"/>
    </row>
    <row r="731">
      <c r="A731" s="198"/>
      <c r="B731" s="198"/>
    </row>
    <row r="732">
      <c r="A732" s="198"/>
      <c r="B732" s="198"/>
    </row>
    <row r="733">
      <c r="A733" s="198"/>
      <c r="B733" s="198"/>
    </row>
    <row r="734">
      <c r="A734" s="198"/>
      <c r="B734" s="198"/>
    </row>
    <row r="735">
      <c r="A735" s="198"/>
      <c r="B735" s="198"/>
    </row>
    <row r="736">
      <c r="A736" s="198"/>
      <c r="B736" s="198"/>
    </row>
    <row r="737">
      <c r="A737" s="198"/>
      <c r="B737" s="198"/>
    </row>
    <row r="738">
      <c r="A738" s="198"/>
      <c r="B738" s="198"/>
    </row>
    <row r="739">
      <c r="A739" s="198"/>
      <c r="B739" s="198"/>
    </row>
    <row r="740">
      <c r="A740" s="198"/>
      <c r="B740" s="198"/>
    </row>
    <row r="741">
      <c r="A741" s="198"/>
      <c r="B741" s="198"/>
    </row>
    <row r="742">
      <c r="A742" s="198"/>
      <c r="B742" s="198"/>
    </row>
    <row r="743">
      <c r="A743" s="198"/>
      <c r="B743" s="198"/>
    </row>
    <row r="744">
      <c r="A744" s="198"/>
      <c r="B744" s="198"/>
    </row>
    <row r="745">
      <c r="A745" s="198"/>
      <c r="B745" s="198"/>
    </row>
    <row r="746">
      <c r="A746" s="198"/>
      <c r="B746" s="198"/>
    </row>
    <row r="747">
      <c r="A747" s="198"/>
      <c r="B747" s="198"/>
    </row>
    <row r="748">
      <c r="A748" s="198"/>
      <c r="B748" s="198"/>
    </row>
    <row r="749">
      <c r="A749" s="198"/>
      <c r="B749" s="198"/>
    </row>
    <row r="750">
      <c r="A750" s="198"/>
      <c r="B750" s="198"/>
    </row>
    <row r="751">
      <c r="A751" s="198"/>
      <c r="B751" s="198"/>
    </row>
    <row r="752">
      <c r="A752" s="198"/>
      <c r="B752" s="198"/>
    </row>
    <row r="753">
      <c r="A753" s="198"/>
      <c r="B753" s="198"/>
    </row>
    <row r="754">
      <c r="A754" s="198"/>
      <c r="B754" s="198"/>
    </row>
    <row r="755">
      <c r="A755" s="198"/>
      <c r="B755" s="198"/>
    </row>
    <row r="756">
      <c r="A756" s="198"/>
      <c r="B756" s="198"/>
    </row>
    <row r="757">
      <c r="A757" s="198"/>
      <c r="B757" s="198"/>
    </row>
    <row r="758">
      <c r="A758" s="198"/>
      <c r="B758" s="198"/>
    </row>
    <row r="759">
      <c r="A759" s="198"/>
      <c r="B759" s="198"/>
    </row>
    <row r="760">
      <c r="A760" s="198"/>
      <c r="B760" s="198"/>
    </row>
    <row r="761">
      <c r="A761" s="198"/>
      <c r="B761" s="198"/>
    </row>
    <row r="762">
      <c r="A762" s="198"/>
      <c r="B762" s="198"/>
    </row>
    <row r="763">
      <c r="A763" s="198"/>
      <c r="B763" s="198"/>
    </row>
    <row r="764">
      <c r="A764" s="198"/>
      <c r="B764" s="198"/>
    </row>
    <row r="765">
      <c r="A765" s="198"/>
      <c r="B765" s="198"/>
    </row>
    <row r="766">
      <c r="A766" s="198"/>
      <c r="B766" s="198"/>
    </row>
    <row r="767">
      <c r="A767" s="198"/>
      <c r="B767" s="198"/>
    </row>
    <row r="768">
      <c r="A768" s="198"/>
      <c r="B768" s="198"/>
    </row>
    <row r="769">
      <c r="A769" s="198"/>
      <c r="B769" s="198"/>
    </row>
    <row r="770">
      <c r="A770" s="198"/>
      <c r="B770" s="198"/>
    </row>
    <row r="771">
      <c r="A771" s="198"/>
      <c r="B771" s="198"/>
    </row>
    <row r="772">
      <c r="A772" s="198"/>
      <c r="B772" s="198"/>
    </row>
    <row r="773">
      <c r="A773" s="198"/>
      <c r="B773" s="198"/>
    </row>
    <row r="774">
      <c r="A774" s="198"/>
      <c r="B774" s="198"/>
    </row>
    <row r="775">
      <c r="A775" s="198"/>
      <c r="B775" s="198"/>
    </row>
    <row r="776">
      <c r="A776" s="198"/>
      <c r="B776" s="198"/>
    </row>
    <row r="777">
      <c r="A777" s="198"/>
      <c r="B777" s="198"/>
    </row>
    <row r="778">
      <c r="A778" s="198"/>
      <c r="B778" s="198"/>
    </row>
    <row r="779">
      <c r="A779" s="198"/>
      <c r="B779" s="198"/>
    </row>
    <row r="780">
      <c r="A780" s="198"/>
      <c r="B780" s="198"/>
    </row>
    <row r="781">
      <c r="A781" s="198"/>
      <c r="B781" s="198"/>
    </row>
    <row r="782">
      <c r="A782" s="198"/>
      <c r="B782" s="198"/>
    </row>
    <row r="783">
      <c r="A783" s="198"/>
      <c r="B783" s="198"/>
    </row>
    <row r="784">
      <c r="A784" s="198"/>
      <c r="B784" s="198"/>
    </row>
    <row r="785">
      <c r="A785" s="198"/>
      <c r="B785" s="198"/>
    </row>
    <row r="786">
      <c r="A786" s="198"/>
      <c r="B786" s="198"/>
    </row>
    <row r="787">
      <c r="A787" s="198"/>
      <c r="B787" s="198"/>
    </row>
    <row r="788">
      <c r="A788" s="198"/>
      <c r="B788" s="198"/>
    </row>
    <row r="789">
      <c r="A789" s="198"/>
      <c r="B789" s="198"/>
    </row>
    <row r="790">
      <c r="A790" s="198"/>
      <c r="B790" s="198"/>
    </row>
    <row r="791">
      <c r="A791" s="198"/>
      <c r="B791" s="198"/>
    </row>
    <row r="792">
      <c r="A792" s="198"/>
      <c r="B792" s="198"/>
    </row>
    <row r="793">
      <c r="A793" s="198"/>
      <c r="B793" s="198"/>
    </row>
    <row r="794">
      <c r="A794" s="198"/>
      <c r="B794" s="198"/>
    </row>
    <row r="795">
      <c r="A795" s="198"/>
      <c r="B795" s="198"/>
    </row>
    <row r="796">
      <c r="A796" s="198"/>
      <c r="B796" s="198"/>
    </row>
    <row r="797">
      <c r="A797" s="198"/>
      <c r="B797" s="198"/>
    </row>
    <row r="798">
      <c r="A798" s="198"/>
      <c r="B798" s="198"/>
    </row>
    <row r="799">
      <c r="A799" s="198"/>
      <c r="B799" s="198"/>
    </row>
    <row r="800">
      <c r="A800" s="198"/>
      <c r="B800" s="198"/>
    </row>
    <row r="801">
      <c r="A801" s="198"/>
      <c r="B801" s="198"/>
    </row>
    <row r="802">
      <c r="A802" s="198"/>
      <c r="B802" s="198"/>
    </row>
    <row r="803">
      <c r="A803" s="198"/>
      <c r="B803" s="198"/>
    </row>
    <row r="804">
      <c r="A804" s="198"/>
      <c r="B804" s="198"/>
    </row>
    <row r="805">
      <c r="A805" s="198"/>
      <c r="B805" s="198"/>
    </row>
    <row r="806">
      <c r="A806" s="198"/>
      <c r="B806" s="198"/>
    </row>
    <row r="807">
      <c r="A807" s="198"/>
      <c r="B807" s="198"/>
    </row>
    <row r="808">
      <c r="A808" s="198"/>
      <c r="B808" s="198"/>
    </row>
    <row r="809">
      <c r="A809" s="198"/>
      <c r="B809" s="198"/>
    </row>
    <row r="810">
      <c r="A810" s="198"/>
      <c r="B810" s="198"/>
    </row>
    <row r="811">
      <c r="A811" s="198"/>
      <c r="B811" s="198"/>
    </row>
    <row r="812">
      <c r="A812" s="198"/>
      <c r="B812" s="198"/>
    </row>
    <row r="813">
      <c r="A813" s="198"/>
      <c r="B813" s="198"/>
    </row>
    <row r="814">
      <c r="A814" s="198"/>
      <c r="B814" s="198"/>
    </row>
    <row r="815">
      <c r="A815" s="198"/>
      <c r="B815" s="198"/>
    </row>
    <row r="816">
      <c r="A816" s="198"/>
      <c r="B816" s="198"/>
    </row>
    <row r="817">
      <c r="A817" s="198"/>
      <c r="B817" s="198"/>
    </row>
    <row r="818">
      <c r="A818" s="198"/>
      <c r="B818" s="198"/>
    </row>
    <row r="819">
      <c r="A819" s="198"/>
      <c r="B819" s="198"/>
    </row>
    <row r="820">
      <c r="A820" s="198"/>
      <c r="B820" s="198"/>
    </row>
    <row r="821">
      <c r="A821" s="198"/>
      <c r="B821" s="198"/>
    </row>
    <row r="822">
      <c r="A822" s="198"/>
      <c r="B822" s="198"/>
    </row>
    <row r="823">
      <c r="A823" s="198"/>
      <c r="B823" s="198"/>
    </row>
    <row r="824">
      <c r="A824" s="198"/>
      <c r="B824" s="198"/>
    </row>
    <row r="825">
      <c r="A825" s="198"/>
      <c r="B825" s="198"/>
    </row>
    <row r="826">
      <c r="A826" s="198"/>
      <c r="B826" s="198"/>
    </row>
    <row r="827">
      <c r="A827" s="198"/>
      <c r="B827" s="198"/>
    </row>
    <row r="828">
      <c r="A828" s="198"/>
      <c r="B828" s="198"/>
    </row>
    <row r="829">
      <c r="A829" s="198"/>
      <c r="B829" s="198"/>
    </row>
    <row r="830">
      <c r="A830" s="198"/>
      <c r="B830" s="198"/>
    </row>
    <row r="831">
      <c r="A831" s="198"/>
      <c r="B831" s="198"/>
    </row>
    <row r="832">
      <c r="A832" s="198"/>
      <c r="B832" s="198"/>
    </row>
    <row r="833">
      <c r="A833" s="198"/>
      <c r="B833" s="198"/>
    </row>
    <row r="834">
      <c r="A834" s="198"/>
      <c r="B834" s="198"/>
    </row>
    <row r="835">
      <c r="A835" s="198"/>
      <c r="B835" s="198"/>
    </row>
    <row r="836">
      <c r="A836" s="198"/>
      <c r="B836" s="198"/>
    </row>
    <row r="837">
      <c r="A837" s="198"/>
      <c r="B837" s="198"/>
    </row>
    <row r="838">
      <c r="A838" s="198"/>
      <c r="B838" s="198"/>
    </row>
    <row r="839">
      <c r="A839" s="198"/>
      <c r="B839" s="198"/>
    </row>
    <row r="840">
      <c r="A840" s="198"/>
      <c r="B840" s="198"/>
    </row>
    <row r="841">
      <c r="A841" s="198"/>
      <c r="B841" s="198"/>
    </row>
    <row r="842">
      <c r="A842" s="198"/>
      <c r="B842" s="198"/>
    </row>
    <row r="843">
      <c r="A843" s="198"/>
      <c r="B843" s="198"/>
    </row>
    <row r="844">
      <c r="A844" s="198"/>
      <c r="B844" s="198"/>
    </row>
    <row r="845">
      <c r="A845" s="198"/>
      <c r="B845" s="198"/>
    </row>
    <row r="846">
      <c r="A846" s="198"/>
      <c r="B846" s="198"/>
    </row>
    <row r="847">
      <c r="A847" s="198"/>
      <c r="B847" s="198"/>
    </row>
    <row r="848">
      <c r="A848" s="198"/>
      <c r="B848" s="198"/>
    </row>
    <row r="849">
      <c r="A849" s="198"/>
      <c r="B849" s="198"/>
    </row>
    <row r="850">
      <c r="A850" s="198"/>
      <c r="B850" s="198"/>
    </row>
    <row r="851">
      <c r="A851" s="198"/>
      <c r="B851" s="198"/>
    </row>
    <row r="852">
      <c r="A852" s="198"/>
      <c r="B852" s="198"/>
    </row>
    <row r="853">
      <c r="A853" s="198"/>
      <c r="B853" s="198"/>
    </row>
    <row r="854">
      <c r="A854" s="198"/>
      <c r="B854" s="198"/>
    </row>
    <row r="855">
      <c r="A855" s="198"/>
      <c r="B855" s="198"/>
    </row>
    <row r="856">
      <c r="A856" s="198"/>
      <c r="B856" s="198"/>
    </row>
    <row r="857">
      <c r="A857" s="198"/>
      <c r="B857" s="198"/>
    </row>
    <row r="858">
      <c r="A858" s="198"/>
      <c r="B858" s="198"/>
    </row>
    <row r="859">
      <c r="A859" s="198"/>
      <c r="B859" s="198"/>
    </row>
    <row r="860">
      <c r="A860" s="198"/>
      <c r="B860" s="198"/>
    </row>
    <row r="861">
      <c r="A861" s="198"/>
      <c r="B861" s="198"/>
    </row>
    <row r="862">
      <c r="A862" s="198"/>
      <c r="B862" s="198"/>
    </row>
    <row r="863">
      <c r="A863" s="198"/>
      <c r="B863" s="198"/>
    </row>
    <row r="864">
      <c r="A864" s="198"/>
      <c r="B864" s="198"/>
    </row>
    <row r="865">
      <c r="A865" s="198"/>
      <c r="B865" s="198"/>
    </row>
    <row r="866">
      <c r="A866" s="198"/>
      <c r="B866" s="198"/>
    </row>
    <row r="867">
      <c r="A867" s="198"/>
      <c r="B867" s="198"/>
    </row>
    <row r="868">
      <c r="A868" s="198"/>
      <c r="B868" s="198"/>
    </row>
    <row r="869">
      <c r="A869" s="198"/>
      <c r="B869" s="198"/>
    </row>
    <row r="870">
      <c r="A870" s="198"/>
      <c r="B870" s="198"/>
    </row>
    <row r="871">
      <c r="A871" s="198"/>
      <c r="B871" s="198"/>
    </row>
    <row r="872">
      <c r="A872" s="198"/>
      <c r="B872" s="198"/>
    </row>
    <row r="873">
      <c r="A873" s="198"/>
      <c r="B873" s="198"/>
    </row>
    <row r="874">
      <c r="A874" s="198"/>
      <c r="B874" s="198"/>
    </row>
    <row r="875">
      <c r="A875" s="198"/>
      <c r="B875" s="198"/>
    </row>
    <row r="876">
      <c r="A876" s="198"/>
      <c r="B876" s="198"/>
    </row>
    <row r="877">
      <c r="A877" s="198"/>
      <c r="B877" s="198"/>
    </row>
    <row r="878">
      <c r="A878" s="198"/>
      <c r="B878" s="198"/>
    </row>
    <row r="879">
      <c r="A879" s="198"/>
      <c r="B879" s="198"/>
    </row>
    <row r="880">
      <c r="A880" s="198"/>
      <c r="B880" s="198"/>
    </row>
    <row r="881">
      <c r="A881" s="198"/>
      <c r="B881" s="198"/>
    </row>
    <row r="882">
      <c r="A882" s="198"/>
      <c r="B882" s="198"/>
    </row>
    <row r="883">
      <c r="A883" s="198"/>
      <c r="B883" s="198"/>
    </row>
    <row r="884">
      <c r="A884" s="198"/>
      <c r="B884" s="198"/>
    </row>
    <row r="885">
      <c r="A885" s="198"/>
      <c r="B885" s="198"/>
    </row>
    <row r="886">
      <c r="A886" s="198"/>
      <c r="B886" s="198"/>
    </row>
    <row r="887">
      <c r="A887" s="198"/>
      <c r="B887" s="198"/>
    </row>
    <row r="888">
      <c r="A888" s="198"/>
      <c r="B888" s="198"/>
    </row>
    <row r="889">
      <c r="A889" s="198"/>
      <c r="B889" s="198"/>
    </row>
    <row r="890">
      <c r="A890" s="198"/>
      <c r="B890" s="198"/>
    </row>
    <row r="891">
      <c r="A891" s="198"/>
      <c r="B891" s="198"/>
    </row>
    <row r="892">
      <c r="A892" s="198"/>
      <c r="B892" s="198"/>
    </row>
    <row r="893">
      <c r="A893" s="198"/>
      <c r="B893" s="198"/>
    </row>
    <row r="894">
      <c r="A894" s="198"/>
      <c r="B894" s="198"/>
    </row>
    <row r="895">
      <c r="A895" s="198"/>
      <c r="B895" s="198"/>
    </row>
    <row r="896">
      <c r="A896" s="198"/>
      <c r="B896" s="198"/>
    </row>
    <row r="897">
      <c r="A897" s="198"/>
      <c r="B897" s="198"/>
    </row>
    <row r="898">
      <c r="A898" s="198"/>
      <c r="B898" s="198"/>
    </row>
    <row r="899">
      <c r="A899" s="198"/>
      <c r="B899" s="198"/>
    </row>
    <row r="900">
      <c r="A900" s="198"/>
      <c r="B900" s="198"/>
    </row>
    <row r="901">
      <c r="A901" s="198"/>
      <c r="B901" s="198"/>
    </row>
    <row r="902">
      <c r="A902" s="198"/>
      <c r="B902" s="198"/>
    </row>
    <row r="903">
      <c r="A903" s="198"/>
      <c r="B903" s="198"/>
    </row>
    <row r="904">
      <c r="A904" s="198"/>
      <c r="B904" s="198"/>
    </row>
    <row r="905">
      <c r="A905" s="198"/>
      <c r="B905" s="198"/>
    </row>
    <row r="906">
      <c r="A906" s="198"/>
      <c r="B906" s="198"/>
    </row>
    <row r="907">
      <c r="A907" s="198"/>
      <c r="B907" s="198"/>
    </row>
    <row r="908">
      <c r="A908" s="198"/>
      <c r="B908" s="198"/>
    </row>
    <row r="909">
      <c r="A909" s="198"/>
      <c r="B909" s="198"/>
    </row>
    <row r="910">
      <c r="A910" s="198"/>
      <c r="B910" s="198"/>
    </row>
    <row r="911">
      <c r="A911" s="198"/>
      <c r="B911" s="198"/>
    </row>
    <row r="912">
      <c r="A912" s="198"/>
      <c r="B912" s="198"/>
    </row>
    <row r="913">
      <c r="A913" s="198"/>
      <c r="B913" s="198"/>
    </row>
    <row r="914">
      <c r="A914" s="198"/>
      <c r="B914" s="198"/>
    </row>
    <row r="915">
      <c r="A915" s="198"/>
      <c r="B915" s="198"/>
    </row>
    <row r="916">
      <c r="A916" s="198"/>
      <c r="B916" s="198"/>
    </row>
    <row r="917">
      <c r="A917" s="198"/>
      <c r="B917" s="198"/>
    </row>
    <row r="918">
      <c r="A918" s="198"/>
      <c r="B918" s="198"/>
    </row>
    <row r="919">
      <c r="A919" s="198"/>
      <c r="B919" s="198"/>
    </row>
    <row r="920">
      <c r="A920" s="198"/>
      <c r="B920" s="198"/>
    </row>
    <row r="921">
      <c r="A921" s="198"/>
      <c r="B921" s="198"/>
    </row>
    <row r="922">
      <c r="A922" s="198"/>
      <c r="B922" s="198"/>
    </row>
    <row r="923">
      <c r="A923" s="198"/>
      <c r="B923" s="198"/>
    </row>
    <row r="924">
      <c r="A924" s="198"/>
      <c r="B924" s="198"/>
    </row>
    <row r="925">
      <c r="A925" s="198"/>
      <c r="B925" s="198"/>
    </row>
    <row r="926">
      <c r="A926" s="198"/>
      <c r="B926" s="198"/>
    </row>
    <row r="927">
      <c r="A927" s="198"/>
      <c r="B927" s="198"/>
    </row>
    <row r="928">
      <c r="A928" s="198"/>
      <c r="B928" s="198"/>
    </row>
    <row r="929">
      <c r="A929" s="198"/>
      <c r="B929" s="198"/>
    </row>
    <row r="930">
      <c r="A930" s="198"/>
      <c r="B930" s="198"/>
    </row>
    <row r="931">
      <c r="A931" s="198"/>
      <c r="B931" s="198"/>
    </row>
    <row r="932">
      <c r="A932" s="198"/>
      <c r="B932" s="198"/>
    </row>
    <row r="933">
      <c r="A933" s="198"/>
      <c r="B933" s="198"/>
    </row>
    <row r="934">
      <c r="A934" s="198"/>
      <c r="B934" s="198"/>
    </row>
    <row r="935">
      <c r="A935" s="198"/>
      <c r="B935" s="198"/>
    </row>
    <row r="936">
      <c r="A936" s="198"/>
      <c r="B936" s="198"/>
    </row>
    <row r="937">
      <c r="A937" s="198"/>
      <c r="B937" s="198"/>
    </row>
    <row r="938">
      <c r="A938" s="198"/>
      <c r="B938" s="198"/>
    </row>
    <row r="939">
      <c r="A939" s="198"/>
      <c r="B939" s="198"/>
    </row>
    <row r="940">
      <c r="A940" s="198"/>
      <c r="B940" s="198"/>
    </row>
    <row r="941">
      <c r="A941" s="198"/>
      <c r="B941" s="198"/>
    </row>
    <row r="942">
      <c r="A942" s="198"/>
      <c r="B942" s="198"/>
    </row>
    <row r="943">
      <c r="A943" s="198"/>
      <c r="B943" s="198"/>
    </row>
    <row r="944">
      <c r="A944" s="198"/>
      <c r="B944" s="198"/>
    </row>
    <row r="945">
      <c r="A945" s="198"/>
      <c r="B945" s="198"/>
    </row>
    <row r="946">
      <c r="A946" s="198"/>
      <c r="B946" s="198"/>
    </row>
    <row r="947">
      <c r="A947" s="198"/>
      <c r="B947" s="198"/>
    </row>
    <row r="948">
      <c r="A948" s="198"/>
      <c r="B948" s="198"/>
    </row>
    <row r="949">
      <c r="A949" s="198"/>
      <c r="B949" s="198"/>
    </row>
    <row r="950">
      <c r="A950" s="198"/>
      <c r="B950" s="198"/>
    </row>
    <row r="951">
      <c r="A951" s="198"/>
      <c r="B951" s="198"/>
    </row>
    <row r="952">
      <c r="A952" s="198"/>
      <c r="B952" s="198"/>
    </row>
    <row r="953">
      <c r="A953" s="198"/>
      <c r="B953" s="198"/>
    </row>
    <row r="954">
      <c r="A954" s="198"/>
      <c r="B954" s="198"/>
    </row>
    <row r="955">
      <c r="A955" s="198"/>
      <c r="B955" s="198"/>
    </row>
    <row r="956">
      <c r="A956" s="198"/>
      <c r="B956" s="198"/>
    </row>
    <row r="957">
      <c r="A957" s="198"/>
      <c r="B957" s="198"/>
    </row>
    <row r="958">
      <c r="A958" s="198"/>
      <c r="B958" s="198"/>
    </row>
    <row r="959">
      <c r="A959" s="198"/>
      <c r="B959" s="198"/>
    </row>
    <row r="960">
      <c r="A960" s="198"/>
      <c r="B960" s="198"/>
    </row>
    <row r="961">
      <c r="A961" s="198"/>
      <c r="B961" s="198"/>
    </row>
    <row r="962">
      <c r="A962" s="198"/>
      <c r="B962" s="198"/>
    </row>
    <row r="963">
      <c r="A963" s="198"/>
      <c r="B963" s="198"/>
    </row>
    <row r="964">
      <c r="A964" s="198"/>
      <c r="B964" s="198"/>
    </row>
    <row r="965">
      <c r="A965" s="198"/>
      <c r="B965" s="198"/>
    </row>
    <row r="966">
      <c r="A966" s="198"/>
      <c r="B966" s="198"/>
    </row>
    <row r="967">
      <c r="A967" s="198"/>
      <c r="B967" s="198"/>
    </row>
    <row r="968">
      <c r="A968" s="198"/>
      <c r="B968" s="198"/>
    </row>
    <row r="969">
      <c r="A969" s="198"/>
      <c r="B969" s="198"/>
    </row>
    <row r="970">
      <c r="A970" s="198"/>
      <c r="B970" s="198"/>
    </row>
    <row r="971">
      <c r="A971" s="198"/>
      <c r="B971" s="198"/>
    </row>
    <row r="972">
      <c r="A972" s="198"/>
      <c r="B972" s="198"/>
    </row>
    <row r="973">
      <c r="A973" s="198"/>
      <c r="B973" s="198"/>
    </row>
    <row r="974">
      <c r="A974" s="198"/>
      <c r="B974" s="198"/>
    </row>
    <row r="975">
      <c r="A975" s="198"/>
      <c r="B975" s="198"/>
    </row>
    <row r="976">
      <c r="A976" s="198"/>
      <c r="B976" s="198"/>
    </row>
    <row r="977">
      <c r="A977" s="198"/>
      <c r="B977" s="198"/>
    </row>
    <row r="978">
      <c r="A978" s="198"/>
      <c r="B978" s="198"/>
    </row>
    <row r="979">
      <c r="A979" s="198"/>
      <c r="B979" s="198"/>
    </row>
    <row r="980">
      <c r="A980" s="198"/>
      <c r="B980" s="198"/>
    </row>
    <row r="981">
      <c r="A981" s="198"/>
      <c r="B981" s="198"/>
    </row>
    <row r="982">
      <c r="A982" s="198"/>
      <c r="B982" s="198"/>
    </row>
    <row r="983">
      <c r="A983" s="198"/>
      <c r="B983" s="198"/>
    </row>
    <row r="984">
      <c r="A984" s="198"/>
      <c r="B984" s="198"/>
    </row>
    <row r="985">
      <c r="A985" s="198"/>
      <c r="B985" s="198"/>
    </row>
    <row r="986">
      <c r="A986" s="198"/>
      <c r="B986" s="198"/>
    </row>
    <row r="987">
      <c r="A987" s="198"/>
      <c r="B987" s="198"/>
    </row>
    <row r="988">
      <c r="A988" s="198"/>
      <c r="B988" s="198"/>
    </row>
    <row r="989">
      <c r="A989" s="198"/>
      <c r="B989" s="198"/>
    </row>
    <row r="990">
      <c r="A990" s="198"/>
      <c r="B990" s="198"/>
    </row>
    <row r="991">
      <c r="A991" s="198"/>
      <c r="B991" s="198"/>
    </row>
    <row r="992">
      <c r="A992" s="198"/>
      <c r="B992" s="198"/>
    </row>
    <row r="993">
      <c r="A993" s="198"/>
      <c r="B993" s="198"/>
    </row>
    <row r="994">
      <c r="A994" s="198"/>
      <c r="B994" s="198"/>
    </row>
    <row r="995">
      <c r="A995" s="198"/>
      <c r="B995" s="198"/>
    </row>
    <row r="996">
      <c r="A996" s="198"/>
      <c r="B996" s="198"/>
    </row>
    <row r="997">
      <c r="A997" s="198"/>
      <c r="B997" s="198"/>
    </row>
    <row r="998">
      <c r="A998" s="198"/>
      <c r="B998" s="198"/>
    </row>
    <row r="999">
      <c r="A999" s="198"/>
      <c r="B999" s="198"/>
    </row>
    <row r="1000">
      <c r="A1000" s="198"/>
      <c r="B1000" s="198"/>
    </row>
    <row r="1001">
      <c r="A1001" s="198"/>
      <c r="B1001" s="198"/>
    </row>
    <row r="1002">
      <c r="A1002" s="198"/>
      <c r="B1002" s="198"/>
    </row>
    <row r="1003">
      <c r="A1003" s="198"/>
      <c r="B1003" s="198"/>
    </row>
    <row r="1004">
      <c r="A1004" s="198"/>
      <c r="B1004" s="198"/>
    </row>
    <row r="1005">
      <c r="A1005" s="198"/>
      <c r="B1005" s="198"/>
    </row>
    <row r="1006">
      <c r="A1006" s="198"/>
      <c r="B1006" s="198"/>
    </row>
    <row r="1007">
      <c r="A1007" s="198"/>
      <c r="B1007" s="198"/>
    </row>
    <row r="1008">
      <c r="A1008" s="198"/>
      <c r="B1008" s="198"/>
    </row>
    <row r="1009">
      <c r="A1009" s="198"/>
      <c r="B1009" s="198"/>
    </row>
    <row r="1010">
      <c r="A1010" s="198"/>
      <c r="B1010" s="198"/>
    </row>
    <row r="1011">
      <c r="A1011" s="198"/>
      <c r="B1011" s="198"/>
    </row>
    <row r="1012">
      <c r="A1012" s="198"/>
      <c r="B1012" s="198"/>
    </row>
    <row r="1013">
      <c r="A1013" s="198"/>
      <c r="B1013" s="198"/>
    </row>
  </sheetData>
  <mergeCells count="176">
    <mergeCell ref="AF3:AG3"/>
    <mergeCell ref="AH3:AI3"/>
    <mergeCell ref="R3:S3"/>
    <mergeCell ref="T3:U3"/>
    <mergeCell ref="V3:W3"/>
    <mergeCell ref="X3:Y3"/>
    <mergeCell ref="Z3:AA3"/>
    <mergeCell ref="AB3:AC3"/>
    <mergeCell ref="AD3:AE3"/>
    <mergeCell ref="AF1:AG1"/>
    <mergeCell ref="AH1:AI1"/>
    <mergeCell ref="R1:S1"/>
    <mergeCell ref="T1:U1"/>
    <mergeCell ref="V1:W1"/>
    <mergeCell ref="X1:Y1"/>
    <mergeCell ref="Z1:AA1"/>
    <mergeCell ref="AB1:AC1"/>
    <mergeCell ref="AD1:AE1"/>
    <mergeCell ref="D1:E1"/>
    <mergeCell ref="F1:G1"/>
    <mergeCell ref="H1:I1"/>
    <mergeCell ref="J1:K1"/>
    <mergeCell ref="L1:M1"/>
    <mergeCell ref="N1:O1"/>
    <mergeCell ref="P1:Q1"/>
    <mergeCell ref="AF2:AG2"/>
    <mergeCell ref="AH2:AI2"/>
    <mergeCell ref="R2:S2"/>
    <mergeCell ref="T2:U2"/>
    <mergeCell ref="V2:W2"/>
    <mergeCell ref="X2:Y2"/>
    <mergeCell ref="Z2:AA2"/>
    <mergeCell ref="AB2:AC2"/>
    <mergeCell ref="AD2:AE2"/>
    <mergeCell ref="D2:E2"/>
    <mergeCell ref="F2:G2"/>
    <mergeCell ref="H2:I2"/>
    <mergeCell ref="J2:K2"/>
    <mergeCell ref="L2:M2"/>
    <mergeCell ref="N2:O2"/>
    <mergeCell ref="P2:Q2"/>
    <mergeCell ref="D3:E3"/>
    <mergeCell ref="F3:G3"/>
    <mergeCell ref="H3:I3"/>
    <mergeCell ref="J3:K3"/>
    <mergeCell ref="L3:M3"/>
    <mergeCell ref="N3:O3"/>
    <mergeCell ref="P3:Q3"/>
    <mergeCell ref="AF45:AG45"/>
    <mergeCell ref="AH45:AI45"/>
    <mergeCell ref="R45:S45"/>
    <mergeCell ref="T45:U45"/>
    <mergeCell ref="V45:W45"/>
    <mergeCell ref="X45:Y45"/>
    <mergeCell ref="Z45:AA45"/>
    <mergeCell ref="AB45:AC45"/>
    <mergeCell ref="AD45:AE45"/>
    <mergeCell ref="AF43:AG43"/>
    <mergeCell ref="AH43:AI43"/>
    <mergeCell ref="R43:S43"/>
    <mergeCell ref="T43:U43"/>
    <mergeCell ref="V43:W43"/>
    <mergeCell ref="X43:Y43"/>
    <mergeCell ref="Z43:AA43"/>
    <mergeCell ref="AB43:AC43"/>
    <mergeCell ref="AD43:AE43"/>
    <mergeCell ref="D43:E43"/>
    <mergeCell ref="F43:G43"/>
    <mergeCell ref="H43:I43"/>
    <mergeCell ref="J43:K43"/>
    <mergeCell ref="L43:M43"/>
    <mergeCell ref="N43:O43"/>
    <mergeCell ref="P43:Q43"/>
    <mergeCell ref="AF44:AG44"/>
    <mergeCell ref="AH44:AI44"/>
    <mergeCell ref="R44:S44"/>
    <mergeCell ref="T44:U44"/>
    <mergeCell ref="V44:W44"/>
    <mergeCell ref="X44:Y44"/>
    <mergeCell ref="Z44:AA44"/>
    <mergeCell ref="AB44:AC44"/>
    <mergeCell ref="AD44:AE44"/>
    <mergeCell ref="D44:E44"/>
    <mergeCell ref="F44:G44"/>
    <mergeCell ref="H44:I44"/>
    <mergeCell ref="J44:K44"/>
    <mergeCell ref="L44:M44"/>
    <mergeCell ref="N44:O44"/>
    <mergeCell ref="P44:Q44"/>
    <mergeCell ref="D45:E45"/>
    <mergeCell ref="F45:G45"/>
    <mergeCell ref="H45:I45"/>
    <mergeCell ref="J45:K45"/>
    <mergeCell ref="L45:M45"/>
    <mergeCell ref="N45:O45"/>
    <mergeCell ref="P45:Q45"/>
    <mergeCell ref="AF48:AG48"/>
    <mergeCell ref="AH48:AI48"/>
    <mergeCell ref="R48:S48"/>
    <mergeCell ref="T48:U48"/>
    <mergeCell ref="V48:W48"/>
    <mergeCell ref="X48:Y48"/>
    <mergeCell ref="Z48:AA48"/>
    <mergeCell ref="AB48:AC48"/>
    <mergeCell ref="AD48:AE48"/>
    <mergeCell ref="AF49:AG49"/>
    <mergeCell ref="AH49:AI49"/>
    <mergeCell ref="R49:S49"/>
    <mergeCell ref="T49:U49"/>
    <mergeCell ref="V49:W49"/>
    <mergeCell ref="X49:Y49"/>
    <mergeCell ref="Z49:AA49"/>
    <mergeCell ref="AB49:AC49"/>
    <mergeCell ref="AD49:AE49"/>
    <mergeCell ref="D49:E49"/>
    <mergeCell ref="F49:G49"/>
    <mergeCell ref="H49:I49"/>
    <mergeCell ref="J49:K49"/>
    <mergeCell ref="L49:M49"/>
    <mergeCell ref="N49:O49"/>
    <mergeCell ref="P49:Q49"/>
    <mergeCell ref="D50:E50"/>
    <mergeCell ref="F50:G50"/>
    <mergeCell ref="H50:I50"/>
    <mergeCell ref="J50:K50"/>
    <mergeCell ref="L50:M50"/>
    <mergeCell ref="N50:O50"/>
    <mergeCell ref="P50:Q50"/>
    <mergeCell ref="AF50:AG50"/>
    <mergeCell ref="AH50:AI50"/>
    <mergeCell ref="R50:S50"/>
    <mergeCell ref="T50:U50"/>
    <mergeCell ref="V50:W50"/>
    <mergeCell ref="X50:Y50"/>
    <mergeCell ref="Z50:AA50"/>
    <mergeCell ref="AB50:AC50"/>
    <mergeCell ref="AD50:AE50"/>
    <mergeCell ref="AF46:AG46"/>
    <mergeCell ref="AH46:AI46"/>
    <mergeCell ref="R46:S46"/>
    <mergeCell ref="T46:U46"/>
    <mergeCell ref="V46:W46"/>
    <mergeCell ref="X46:Y46"/>
    <mergeCell ref="Z46:AA46"/>
    <mergeCell ref="AB46:AC46"/>
    <mergeCell ref="AD46:AE46"/>
    <mergeCell ref="D46:E46"/>
    <mergeCell ref="F46:G46"/>
    <mergeCell ref="H46:I46"/>
    <mergeCell ref="J46:K46"/>
    <mergeCell ref="L46:M46"/>
    <mergeCell ref="N46:O46"/>
    <mergeCell ref="P46:Q46"/>
    <mergeCell ref="AF47:AG47"/>
    <mergeCell ref="AH47:AI47"/>
    <mergeCell ref="R47:S47"/>
    <mergeCell ref="T47:U47"/>
    <mergeCell ref="V47:W47"/>
    <mergeCell ref="X47:Y47"/>
    <mergeCell ref="Z47:AA47"/>
    <mergeCell ref="AB47:AC47"/>
    <mergeCell ref="AD47:AE47"/>
    <mergeCell ref="D47:E47"/>
    <mergeCell ref="F47:G47"/>
    <mergeCell ref="H47:I47"/>
    <mergeCell ref="J47:K47"/>
    <mergeCell ref="L47:M47"/>
    <mergeCell ref="N47:O47"/>
    <mergeCell ref="P47:Q47"/>
    <mergeCell ref="D48:E48"/>
    <mergeCell ref="F48:G48"/>
    <mergeCell ref="H48:I48"/>
    <mergeCell ref="J48:K48"/>
    <mergeCell ref="L48:M48"/>
    <mergeCell ref="N48:O48"/>
    <mergeCell ref="P48:Q4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24.43"/>
    <col customWidth="1" min="2" max="2" width="27.57"/>
    <col customWidth="1" min="3" max="34" width="14.71"/>
  </cols>
  <sheetData>
    <row r="1">
      <c r="A1" s="192" t="s">
        <v>37</v>
      </c>
      <c r="B1" s="193">
        <f t="shared" ref="B1:B3" si="1">SUM(I1+Q1+Y1+AG1)</f>
        <v>341517384</v>
      </c>
      <c r="C1" s="194">
        <f>SUM(C7:C41)</f>
        <v>18833526.58</v>
      </c>
      <c r="D1" s="195"/>
      <c r="E1" s="194">
        <f>SUM(E7:E41)</f>
        <v>28493015.53</v>
      </c>
      <c r="F1" s="195"/>
      <c r="G1" s="194">
        <f>SUM(G7:G41)</f>
        <v>35132672.58</v>
      </c>
      <c r="H1" s="195"/>
      <c r="I1" s="194">
        <f>SUM(I7:I41)</f>
        <v>82459214.69</v>
      </c>
      <c r="J1" s="195"/>
      <c r="K1" s="194">
        <f>SUM(K7:K41)</f>
        <v>35496220.99</v>
      </c>
      <c r="L1" s="195"/>
      <c r="M1" s="194">
        <f>SUM(M7:M41)</f>
        <v>25298278.89</v>
      </c>
      <c r="N1" s="195"/>
      <c r="O1" s="194">
        <f>SUM(O7:O41)</f>
        <v>22239691.01</v>
      </c>
      <c r="P1" s="195"/>
      <c r="Q1" s="194">
        <f>SUM(Q7:Q41)</f>
        <v>83034190.89</v>
      </c>
      <c r="R1" s="195"/>
      <c r="S1" s="194">
        <f>SUM(S7:S41)</f>
        <v>15416325.7</v>
      </c>
      <c r="T1" s="195"/>
      <c r="U1" s="194">
        <f>SUM(U7:U41)</f>
        <v>14990266.97</v>
      </c>
      <c r="V1" s="195"/>
      <c r="W1" s="194">
        <f>SUM(W7:W41)</f>
        <v>23900347.2</v>
      </c>
      <c r="X1" s="195"/>
      <c r="Y1" s="194">
        <f>SUM(Y7:Y41)</f>
        <v>54306939.87</v>
      </c>
      <c r="Z1" s="195"/>
      <c r="AA1" s="194">
        <f>SUM(AA7:AA41)</f>
        <v>35139051.31</v>
      </c>
      <c r="AB1" s="195"/>
      <c r="AC1" s="194">
        <f>SUM(AC7:AC41)</f>
        <v>41080401.14</v>
      </c>
      <c r="AD1" s="195"/>
      <c r="AE1" s="194">
        <f>SUM(AE7:AE41)</f>
        <v>45497586.14</v>
      </c>
      <c r="AF1" s="195"/>
      <c r="AG1" s="194">
        <f>SUM(AG7:AG41)</f>
        <v>121717038.6</v>
      </c>
      <c r="AH1" s="195"/>
    </row>
    <row r="2">
      <c r="A2" s="192" t="s">
        <v>1981</v>
      </c>
      <c r="B2" s="193">
        <f t="shared" si="1"/>
        <v>341510074.9</v>
      </c>
      <c r="C2" s="196">
        <f>SUM(D7:D41)-D15-D22</f>
        <v>15826835.23</v>
      </c>
      <c r="D2" s="16"/>
      <c r="E2" s="196">
        <f>SUM(F7:F41)-F15-F22</f>
        <v>25813711.01</v>
      </c>
      <c r="F2" s="16"/>
      <c r="G2" s="196">
        <f>SUM(H7:H41)-H15-H22</f>
        <v>29653237.55</v>
      </c>
      <c r="H2" s="16"/>
      <c r="I2" s="196">
        <f>SUM(J7:J41)-J15-J22</f>
        <v>89138308.44</v>
      </c>
      <c r="J2" s="16"/>
      <c r="K2" s="196">
        <f>SUM(L7:L41)-L15-L22</f>
        <v>30822660.43</v>
      </c>
      <c r="L2" s="16"/>
      <c r="M2" s="196">
        <f>SUM(N7:N41)-N15-N22</f>
        <v>18586131.47</v>
      </c>
      <c r="N2" s="16"/>
      <c r="O2" s="196">
        <f>SUM(P7:P41)-P15-P22</f>
        <v>17779035.14</v>
      </c>
      <c r="P2" s="16"/>
      <c r="Q2" s="196">
        <f>SUM(R7:R41)-R15-R22</f>
        <v>76429110.42</v>
      </c>
      <c r="R2" s="16"/>
      <c r="S2" s="196">
        <f>SUM(T7:T41)-T15-T22</f>
        <v>20073373.21</v>
      </c>
      <c r="T2" s="16"/>
      <c r="U2" s="196">
        <f>SUM(V7:V41)-V15-V22</f>
        <v>16659955.45</v>
      </c>
      <c r="V2" s="16"/>
      <c r="W2" s="196">
        <f>SUM(X7:X41)-X15-X22</f>
        <v>21780615.78</v>
      </c>
      <c r="X2" s="16"/>
      <c r="Y2" s="196">
        <f>SUM(Z7:Z41)-Z15-Z22</f>
        <v>67752404.43</v>
      </c>
      <c r="Z2" s="16"/>
      <c r="AA2" s="196">
        <f>SUM(AB7:AB41)-AB15-AB22</f>
        <v>22728450.24</v>
      </c>
      <c r="AB2" s="16"/>
      <c r="AC2" s="196">
        <f>SUM(AD7:AD41)-AD15-AD22</f>
        <v>20154181.29</v>
      </c>
      <c r="AD2" s="16"/>
      <c r="AE2" s="196">
        <f>SUM(AF7:AF41)-AF15-AF22</f>
        <v>22285381.57</v>
      </c>
      <c r="AF2" s="16"/>
      <c r="AG2" s="196">
        <f>SUM(AH7:AH41)-AH15-AH22</f>
        <v>108190251.6</v>
      </c>
      <c r="AH2" s="16"/>
    </row>
    <row r="3">
      <c r="A3" s="192" t="s">
        <v>1982</v>
      </c>
      <c r="B3" s="193">
        <f t="shared" si="1"/>
        <v>7309.156078</v>
      </c>
      <c r="C3" s="197">
        <f>C1-C2</f>
        <v>3006691.346</v>
      </c>
      <c r="D3" s="16"/>
      <c r="E3" s="197">
        <f>E1-E2</f>
        <v>2679304.52</v>
      </c>
      <c r="F3" s="16"/>
      <c r="G3" s="197">
        <f>G1-G2</f>
        <v>5479435.026</v>
      </c>
      <c r="H3" s="16"/>
      <c r="I3" s="197">
        <f>I1-I2</f>
        <v>-6679093.748</v>
      </c>
      <c r="J3" s="16"/>
      <c r="K3" s="197">
        <f>K1-K2</f>
        <v>4673560.56</v>
      </c>
      <c r="L3" s="16"/>
      <c r="M3" s="197">
        <f>M1-M2</f>
        <v>6712147.417</v>
      </c>
      <c r="N3" s="16"/>
      <c r="O3" s="197">
        <f>O1-O2</f>
        <v>4460655.87</v>
      </c>
      <c r="P3" s="16"/>
      <c r="Q3" s="197">
        <f>Q1-Q2</f>
        <v>6605080.467</v>
      </c>
      <c r="R3" s="16"/>
      <c r="S3" s="197">
        <f>S1-S2</f>
        <v>-4657047.51</v>
      </c>
      <c r="T3" s="16"/>
      <c r="U3" s="197">
        <f>U1-U2</f>
        <v>-1669688.48</v>
      </c>
      <c r="V3" s="16"/>
      <c r="W3" s="197">
        <f>W1-W2</f>
        <v>2119731.42</v>
      </c>
      <c r="X3" s="16"/>
      <c r="Y3" s="197">
        <f>Y1-Y2</f>
        <v>-13445464.56</v>
      </c>
      <c r="Z3" s="16"/>
      <c r="AA3" s="197">
        <f>AA1-AA2</f>
        <v>12410601.07</v>
      </c>
      <c r="AB3" s="16"/>
      <c r="AC3" s="197">
        <f>AC1-AC2</f>
        <v>20926219.85</v>
      </c>
      <c r="AD3" s="16"/>
      <c r="AE3" s="197">
        <f>AE1-AE2</f>
        <v>23212204.57</v>
      </c>
      <c r="AF3" s="16"/>
      <c r="AG3" s="197">
        <f>AG1-AG2</f>
        <v>13526787</v>
      </c>
      <c r="AH3" s="16"/>
    </row>
    <row r="4">
      <c r="A4" s="198"/>
      <c r="B4" s="199"/>
      <c r="C4" s="200"/>
      <c r="D4" s="201"/>
      <c r="E4" s="200"/>
      <c r="F4" s="202"/>
      <c r="G4" s="200"/>
      <c r="H4" s="202"/>
      <c r="I4" s="200"/>
      <c r="J4" s="202"/>
      <c r="K4" s="200"/>
      <c r="L4" s="201"/>
      <c r="M4" s="200"/>
      <c r="N4" s="202"/>
      <c r="O4" s="200"/>
      <c r="P4" s="202"/>
      <c r="Q4" s="200"/>
      <c r="R4" s="202"/>
      <c r="S4" s="200"/>
      <c r="T4" s="201"/>
      <c r="U4" s="200"/>
      <c r="V4" s="202"/>
      <c r="W4" s="200"/>
      <c r="X4" s="202"/>
      <c r="Y4" s="200"/>
      <c r="Z4" s="202"/>
      <c r="AA4" s="200"/>
      <c r="AB4" s="201"/>
      <c r="AC4" s="200"/>
      <c r="AD4" s="202"/>
      <c r="AE4" s="200"/>
      <c r="AF4" s="202"/>
      <c r="AG4" s="200"/>
      <c r="AH4" s="202"/>
    </row>
    <row r="5">
      <c r="A5" s="203"/>
      <c r="B5" s="204" t="s">
        <v>1996</v>
      </c>
      <c r="C5" s="205"/>
      <c r="D5" s="206" t="s">
        <v>594</v>
      </c>
      <c r="E5" s="205"/>
      <c r="F5" s="206" t="s">
        <v>626</v>
      </c>
      <c r="G5" s="205"/>
      <c r="H5" s="206" t="s">
        <v>674</v>
      </c>
      <c r="I5" s="205"/>
      <c r="J5" s="206" t="s">
        <v>839</v>
      </c>
      <c r="K5" s="205"/>
      <c r="L5" s="206" t="s">
        <v>722</v>
      </c>
      <c r="M5" s="205"/>
      <c r="N5" s="206" t="s">
        <v>800</v>
      </c>
      <c r="O5" s="205"/>
      <c r="P5" s="206" t="s">
        <v>897</v>
      </c>
      <c r="Q5" s="205"/>
      <c r="R5" s="206" t="s">
        <v>951</v>
      </c>
      <c r="S5" s="205"/>
      <c r="T5" s="206" t="s">
        <v>941</v>
      </c>
      <c r="U5" s="205"/>
      <c r="V5" s="206" t="s">
        <v>1002</v>
      </c>
      <c r="W5" s="205"/>
      <c r="X5" s="206" t="s">
        <v>1099</v>
      </c>
      <c r="Y5" s="205"/>
      <c r="Z5" s="206" t="s">
        <v>1160</v>
      </c>
      <c r="AA5" s="205"/>
      <c r="AB5" s="206" t="s">
        <v>1997</v>
      </c>
      <c r="AC5" s="205"/>
      <c r="AD5" s="206" t="s">
        <v>608</v>
      </c>
      <c r="AE5" s="205"/>
      <c r="AF5" s="206" t="s">
        <v>604</v>
      </c>
      <c r="AG5" s="205"/>
      <c r="AH5" s="206" t="s">
        <v>1453</v>
      </c>
    </row>
    <row r="6">
      <c r="A6" s="208"/>
      <c r="B6" s="204"/>
      <c r="C6" s="206" t="s">
        <v>14</v>
      </c>
      <c r="D6" s="206" t="s">
        <v>443</v>
      </c>
      <c r="E6" s="206" t="s">
        <v>14</v>
      </c>
      <c r="F6" s="206" t="s">
        <v>443</v>
      </c>
      <c r="G6" s="206" t="s">
        <v>14</v>
      </c>
      <c r="H6" s="206" t="s">
        <v>443</v>
      </c>
      <c r="I6" s="206" t="s">
        <v>14</v>
      </c>
      <c r="J6" s="206" t="s">
        <v>443</v>
      </c>
      <c r="K6" s="206" t="s">
        <v>14</v>
      </c>
      <c r="L6" s="206" t="s">
        <v>443</v>
      </c>
      <c r="M6" s="206" t="s">
        <v>14</v>
      </c>
      <c r="N6" s="206" t="s">
        <v>443</v>
      </c>
      <c r="O6" s="206" t="s">
        <v>14</v>
      </c>
      <c r="P6" s="206" t="s">
        <v>443</v>
      </c>
      <c r="Q6" s="206" t="s">
        <v>14</v>
      </c>
      <c r="R6" s="206" t="s">
        <v>443</v>
      </c>
      <c r="S6" s="206" t="s">
        <v>14</v>
      </c>
      <c r="T6" s="206" t="s">
        <v>443</v>
      </c>
      <c r="U6" s="206" t="s">
        <v>14</v>
      </c>
      <c r="V6" s="206" t="s">
        <v>443</v>
      </c>
      <c r="W6" s="206" t="s">
        <v>14</v>
      </c>
      <c r="X6" s="206" t="s">
        <v>443</v>
      </c>
      <c r="Y6" s="206" t="s">
        <v>14</v>
      </c>
      <c r="Z6" s="206" t="s">
        <v>443</v>
      </c>
      <c r="AA6" s="206" t="s">
        <v>14</v>
      </c>
      <c r="AB6" s="206" t="s">
        <v>443</v>
      </c>
      <c r="AC6" s="206" t="s">
        <v>14</v>
      </c>
      <c r="AD6" s="206" t="s">
        <v>443</v>
      </c>
      <c r="AE6" s="206" t="s">
        <v>14</v>
      </c>
      <c r="AF6" s="206" t="s">
        <v>443</v>
      </c>
      <c r="AG6" s="206" t="s">
        <v>14</v>
      </c>
      <c r="AH6" s="206" t="s">
        <v>443</v>
      </c>
    </row>
    <row r="7">
      <c r="A7" s="208" t="s">
        <v>37</v>
      </c>
      <c r="B7" s="209">
        <f>I7+Q7+Y7+AG7</f>
        <v>332976536.9</v>
      </c>
      <c r="C7" s="210">
        <f>SUMIFS('CF BEST'!$C$9:$C1013, 'CF BEST'!$I$9:$I1013, A7,'CF BEST'!$F$9:$F1013, $D$5)</f>
        <v>18833526.58</v>
      </c>
      <c r="D7" s="210">
        <f>SUMIFS('CF BEST'!$D$9:$D1013, 'CF BEST'!$I$9:$I1013, A7,'CF BEST'!$F$9:$F1013, $D$5)</f>
        <v>0</v>
      </c>
      <c r="E7" s="211">
        <f>SUMIFS('CF BEST'!$C$9:$C1013, 'CF BEST'!$I$9:$I1013, A7,'CF BEST'!$F$9:$F1013, $F$5)</f>
        <v>28493015.53</v>
      </c>
      <c r="F7" s="211">
        <f>SUMIFS('CF BEST'!$D$9:$D1013, 'CF BEST'!$I$9:$I1013, A7,'CF BEST'!$F$9:$F1013, $F$5)</f>
        <v>0</v>
      </c>
      <c r="G7" s="212">
        <f>SUMIFS('CF BEST'!$C$9:$C1013, 'CF BEST'!$I$9:$I1013, A7,'CF BEST'!$F$9:$F1013, $H$5)</f>
        <v>35132672.58</v>
      </c>
      <c r="H7" s="212">
        <f>SUMIFS('CF BEST'!$D$9:$D1013, 'CF BEST'!$I$9:$I1013, A7,'CF BEST'!$F$9:$F1013, $H$5)</f>
        <v>0</v>
      </c>
      <c r="I7" s="213">
        <f>SUMIFS('CF BEST'!$C$9:$C1013, 'CF BEST'!$I$9:$I1013, A7,'CF BEST'!$F$9:$F1013, $J$5)+C7+E7+G7</f>
        <v>82459214.69</v>
      </c>
      <c r="J7" s="213">
        <f>SUMIFS('CF BEST'!$D$9:$D1013, 'CF BEST'!$I$9:$I1013, A7,'CF BEST'!$F$9:$F1013, $J$5)+D7+F7+H7</f>
        <v>0</v>
      </c>
      <c r="K7" s="210">
        <f>SUMIFS('CF BEST'!$C$9:$C1013, 'CF BEST'!$I$9:$I1013, A7,'CF BEST'!$F$9:$F1013, $L$5)</f>
        <v>35296220.99</v>
      </c>
      <c r="L7" s="210">
        <f>SUMIFS('CF BEST'!$D$9:$D1013, 'CF BEST'!$I$9:$I1013, A7,'CF BEST'!$F$9:$F1013, $L$5)</f>
        <v>0</v>
      </c>
      <c r="M7" s="211">
        <f>SUMIFS('CF BEST'!$C$9:$C1013, 'CF BEST'!$I$9:$I1013, A7,'CF BEST'!$F$9:$F1013, $N$5)</f>
        <v>25298278.89</v>
      </c>
      <c r="N7" s="211">
        <f>SUMIFS('CF BEST'!$D$9:$D1013, 'CF BEST'!$I$9:$I1013, A7,'CF BEST'!$F$9:$F1013, $N$5)</f>
        <v>0</v>
      </c>
      <c r="O7" s="212">
        <f>SUMIFS('CF BEST'!$C$9:$C1013, 'CF BEST'!$I$9:$I1013, A7,'CF BEST'!$F$9:$F1013, $P$5)</f>
        <v>22239691.01</v>
      </c>
      <c r="P7" s="212">
        <f>SUMIFS('CF BEST'!$D$9:$D1013, 'CF BEST'!$I$9:$I1013, A7,'CF BEST'!$F$9:$F1013, $P$5)</f>
        <v>0</v>
      </c>
      <c r="Q7" s="213">
        <f>SUMIFS('CF BEST'!$C$9:$C1013, 'CF BEST'!$I$9:$I1013, A7,'CF BEST'!$F$9:$F1013, $R$5)+K7+M7+O7</f>
        <v>82834190.89</v>
      </c>
      <c r="R7" s="213">
        <f>SUMIFS('CF BEST'!$D$9:$D1013, 'CF BEST'!$I$9:$I1013, A7,'CF BEST'!$F$9:$F1013, $R$5)+L7+N7+P7</f>
        <v>0</v>
      </c>
      <c r="S7" s="210">
        <f>SUMIFS('CF BEST'!$C$9:$C1013, 'CF BEST'!$I$9:$I1013, A7,'CF BEST'!$F$9:$F1013, $T$5)</f>
        <v>15416325.7</v>
      </c>
      <c r="T7" s="210">
        <f>SUMIFS('CF BEST'!$D$9:$D1013, 'CF BEST'!$I$9:$I1013, A7,'CF BEST'!$F$9:$F1013, $T$5)</f>
        <v>0</v>
      </c>
      <c r="U7" s="211">
        <f>SUMIFS('CF BEST'!$C$9:$C1013, 'CF BEST'!$I$9:$I1013, A7,'CF BEST'!$F$9:$F1013, $V$5)</f>
        <v>14990266.97</v>
      </c>
      <c r="V7" s="211">
        <f>SUMIFS('CF BEST'!$D$9:$D1013, 'CF BEST'!$I$9:$I1013, A7,'CF BEST'!$F$9:$F1013, $V$5)</f>
        <v>0</v>
      </c>
      <c r="W7" s="212">
        <f>SUMIFS('CF BEST'!$C$9:$C1013, 'CF BEST'!$I$9:$I1013, A7,'CF BEST'!$F$9:$F1013, $X$5)</f>
        <v>23900347.2</v>
      </c>
      <c r="X7" s="212">
        <f>SUMIFS('CF BEST'!$D$9:$D1013, 'CF BEST'!$I$9:$I1013, A7,'CF BEST'!$F$9:$F1013, $X$5)</f>
        <v>0</v>
      </c>
      <c r="Y7" s="213">
        <f>SUMIFS('CF BEST'!$C$9:$C1013, 'CF BEST'!$I$9:$I1013, A7,'CF BEST'!$F$9:$F1013, $Z$5)+S7+U7+W7</f>
        <v>54306939.87</v>
      </c>
      <c r="Z7" s="213">
        <f>SUMIFS('CF BEST'!$D$9:$D1013, 'CF BEST'!$I$9:$I1013, A7,'CF BEST'!$F$9:$F1013, $Z$5)+T7+V7+X7</f>
        <v>0</v>
      </c>
      <c r="AA7" s="210">
        <f>SUMIFS('CF BEST'!$C$9:$C1013, 'CF BEST'!$I$9:$I1013, A7,'CF BEST'!$F$9:$F1013, $AB$5)</f>
        <v>35139039.31</v>
      </c>
      <c r="AB7" s="210">
        <f>SUMIFS('CF BEST'!$D$9:$D1013, 'CF BEST'!$I$9:$I1013, A7,'CF BEST'!$F$9:$F1013, $AB$5)</f>
        <v>0</v>
      </c>
      <c r="AC7" s="211">
        <f>SUMIFS('CF BEST'!$C$9:$C1013, 'CF BEST'!$I$9:$I1013, A7,'CF BEST'!$F$9:$F1013, $AD$5)</f>
        <v>36992586.25</v>
      </c>
      <c r="AD7" s="211">
        <f>SUMIFS('CF BEST'!$D$9:$D1013, 'CF BEST'!$I$9:$I1013, A7,'CF BEST'!$F$9:$F1013, $AD$5)</f>
        <v>0</v>
      </c>
      <c r="AE7" s="212">
        <f>SUMIFS('CF BEST'!$C$9:$C1013, 'CF BEST'!$I$9:$I1013, A7,'CF BEST'!$F$9:$F1013, $AF$5)</f>
        <v>41244565.9</v>
      </c>
      <c r="AF7" s="212">
        <f>SUMIFS('CF BEST'!$D$9:$D1013, 'CF BEST'!$I$9:$I1013, A7,'CF BEST'!$F$9:$F1013, $AF$5)</f>
        <v>0</v>
      </c>
      <c r="AG7" s="213">
        <f>SUMIFS('CF BEST'!$C$9:$C1013, 'CF BEST'!$I$9:$I1013, A7,'CF BEST'!$F$9:$F1013, $AH$5)+AA7+AC7+AE7</f>
        <v>113376191.5</v>
      </c>
      <c r="AH7" s="213">
        <f>SUMIFS('CF BEST'!$D$9:$D1013, 'CF BEST'!$I$9:$I1013, A7,'CF BEST'!$F$9:$F1013, $AH$5)+AB7+AD7+AF7</f>
        <v>0</v>
      </c>
    </row>
    <row r="8">
      <c r="A8" s="208" t="s">
        <v>322</v>
      </c>
      <c r="B8" s="209">
        <f t="shared" ref="B8:B14" si="2">J8+R8+Z8+AH8</f>
        <v>59194491.97</v>
      </c>
      <c r="C8" s="210">
        <f>SUMIFS('CF BEST'!$C$9:$C1013, 'CF BEST'!$I$9:$I1013, A8,'CF BEST'!$F$9:$F1013, $D$5)</f>
        <v>0</v>
      </c>
      <c r="D8" s="210">
        <f>SUMIFS('CF BEST'!$D$9:$D1013, 'CF BEST'!$I$9:$I1013, A8,'CF BEST'!$F$9:$F1013, $D$5)</f>
        <v>0</v>
      </c>
      <c r="E8" s="211">
        <f>SUMIFS('CF BEST'!$C$9:$C1013, 'CF BEST'!$I$9:$I1013, A8,'CF BEST'!$F$9:$F1013, $F$5)</f>
        <v>0</v>
      </c>
      <c r="F8" s="211">
        <f>SUMIFS('CF BEST'!$D$9:$D1013, 'CF BEST'!$I$9:$I1013, A8,'CF BEST'!$F$9:$F1013, $F$5)</f>
        <v>0</v>
      </c>
      <c r="G8" s="212">
        <f>SUMIFS('CF BEST'!$C$9:$C1013, 'CF BEST'!$I$9:$I1013, A8,'CF BEST'!$F$9:$F1013, $H$5)</f>
        <v>0</v>
      </c>
      <c r="H8" s="212">
        <f>SUMIFS('CF BEST'!$D$9:$D1013, 'CF BEST'!$I$9:$I1013, A8,'CF BEST'!$F$9:$F1013, $H$5)</f>
        <v>106000</v>
      </c>
      <c r="I8" s="213">
        <f>SUMIFS('CF BEST'!$C$9:$C1013, 'CF BEST'!$I$9:$I1013, A8,'CF BEST'!$F$9:$F1013, $J$5)+C8+E8+G8</f>
        <v>0</v>
      </c>
      <c r="J8" s="213">
        <f>SUMIFS('CF BEST'!$D$9:$D1013, 'CF BEST'!$I$9:$I1013, A8,'CF BEST'!$F$9:$F1013, $J$5)+D8+F8+H8</f>
        <v>17290124.64</v>
      </c>
      <c r="K8" s="210">
        <f>SUMIFS('CF BEST'!$C$9:$C1013, 'CF BEST'!$I$9:$I1013, A8,'CF BEST'!$F$9:$F1013, $L$5)</f>
        <v>0</v>
      </c>
      <c r="L8" s="210">
        <f>SUMIFS('CF BEST'!$D$9:$D1013, 'CF BEST'!$I$9:$I1013, A8,'CF BEST'!$F$9:$F1013, $L$5)</f>
        <v>675100</v>
      </c>
      <c r="M8" s="211">
        <f>SUMIFS('CF BEST'!$C$9:$C1013, 'CF BEST'!$I$9:$I1013, A8,'CF BEST'!$F$9:$F1013, $N$5)</f>
        <v>0</v>
      </c>
      <c r="N8" s="211">
        <f>SUMIFS('CF BEST'!$D$9:$D1013, 'CF BEST'!$I$9:$I1013, A8,'CF BEST'!$F$9:$F1013, $N$5)</f>
        <v>0</v>
      </c>
      <c r="O8" s="212">
        <f>SUMIFS('CF BEST'!$C$9:$C1013, 'CF BEST'!$I$9:$I1013, A8,'CF BEST'!$F$9:$F1013, $P$5)</f>
        <v>0</v>
      </c>
      <c r="P8" s="212">
        <f>SUMIFS('CF BEST'!$D$9:$D1013, 'CF BEST'!$I$9:$I1013, A8,'CF BEST'!$F$9:$F1013, $P$5)</f>
        <v>0</v>
      </c>
      <c r="Q8" s="213">
        <f>SUMIFS('CF BEST'!$C$9:$C1013, 'CF BEST'!$I$9:$I1013, A8,'CF BEST'!$F$9:$F1013, $R$5)+K8+M8+O8</f>
        <v>0</v>
      </c>
      <c r="R8" s="213">
        <f>SUMIFS('CF BEST'!$D$9:$D1013, 'CF BEST'!$I$9:$I1013, A8,'CF BEST'!$F$9:$F1013, $R$5)+L8+N8+P8</f>
        <v>9484223.38</v>
      </c>
      <c r="S8" s="210">
        <f>SUMIFS('CF BEST'!$C$9:$C1013, 'CF BEST'!$I$9:$I1013, A8,'CF BEST'!$F$9:$F1013, $T$5)</f>
        <v>0</v>
      </c>
      <c r="T8" s="210">
        <f>SUMIFS('CF BEST'!$D$9:$D1013, 'CF BEST'!$I$9:$I1013, A8,'CF BEST'!$F$9:$F1013, $T$5)</f>
        <v>0</v>
      </c>
      <c r="U8" s="211">
        <f>SUMIFS('CF BEST'!$C$9:$C1013, 'CF BEST'!$I$9:$I1013, A8,'CF BEST'!$F$9:$F1013, $V$5)</f>
        <v>0</v>
      </c>
      <c r="V8" s="211">
        <f>SUMIFS('CF BEST'!$D$9:$D1013, 'CF BEST'!$I$9:$I1013, A8,'CF BEST'!$F$9:$F1013, $V$5)</f>
        <v>0</v>
      </c>
      <c r="W8" s="212">
        <f>SUMIFS('CF BEST'!$C$9:$C1013, 'CF BEST'!$I$9:$I1013, A8,'CF BEST'!$F$9:$F1013, $X$5)</f>
        <v>0</v>
      </c>
      <c r="X8" s="212">
        <f>SUMIFS('CF BEST'!$D$9:$D1013, 'CF BEST'!$I$9:$I1013, A8,'CF BEST'!$F$9:$F1013, $X$5)</f>
        <v>0</v>
      </c>
      <c r="Y8" s="213">
        <f>SUMIFS('CF BEST'!$C$9:$C1013, 'CF BEST'!$I$9:$I1013, A8,'CF BEST'!$F$9:$F1013, $Z$5)+S8+U8+W8</f>
        <v>0</v>
      </c>
      <c r="Z8" s="213">
        <f>SUMIFS('CF BEST'!$D$9:$D1013, 'CF BEST'!$I$9:$I1013, A8,'CF BEST'!$F$9:$F1013, $Z$5)+T8+V8+X8</f>
        <v>7527832.76</v>
      </c>
      <c r="AA8" s="210">
        <f>SUMIFS('CF BEST'!$C$9:$C1013, 'CF BEST'!$I$9:$I1013, A8,'CF BEST'!$F$9:$F1013, $AB$5)</f>
        <v>0</v>
      </c>
      <c r="AB8" s="210">
        <f>SUMIFS('CF BEST'!$D$9:$D1013, 'CF BEST'!$I$9:$I1013, A8,'CF BEST'!$F$9:$F1013, $AB$5)</f>
        <v>0</v>
      </c>
      <c r="AC8" s="211">
        <f>SUMIFS('CF BEST'!$C$9:$C1013, 'CF BEST'!$I$9:$I1013, A8,'CF BEST'!$F$9:$F1013, $AD$5)</f>
        <v>0</v>
      </c>
      <c r="AD8" s="211">
        <f>SUMIFS('CF BEST'!$D$9:$D1013, 'CF BEST'!$I$9:$I1013, A8,'CF BEST'!$F$9:$F1013, $AD$5)</f>
        <v>0</v>
      </c>
      <c r="AE8" s="212">
        <f>SUMIFS('CF BEST'!$C$9:$C1013, 'CF BEST'!$I$9:$I1013, A8,'CF BEST'!$F$9:$F1013, $AF$5)</f>
        <v>0</v>
      </c>
      <c r="AF8" s="212">
        <f>SUMIFS('CF BEST'!$D$9:$D1013, 'CF BEST'!$I$9:$I1013, A8,'CF BEST'!$F$9:$F1013, $AF$5)</f>
        <v>0</v>
      </c>
      <c r="AG8" s="213">
        <f>SUMIFS('CF BEST'!$C$9:$C1013, 'CF BEST'!$I$9:$I1013, A8,'CF BEST'!$F$9:$F1013, $AH$5)+AA8+AC8+AE8</f>
        <v>0</v>
      </c>
      <c r="AH8" s="213">
        <f>SUMIFS('CF BEST'!$D$9:$D1013, 'CF BEST'!$I$9:$I1013, A8,'CF BEST'!$F$9:$F1013, $AH$5)+AB8+AD8+AF8</f>
        <v>24892311.19</v>
      </c>
    </row>
    <row r="9">
      <c r="A9" s="215" t="s">
        <v>93</v>
      </c>
      <c r="B9" s="209">
        <f t="shared" si="2"/>
        <v>16324499.61</v>
      </c>
      <c r="C9" s="210">
        <f>SUMIFS('CF BEST'!$C$9:$C1013, 'CF BEST'!$I$9:$I1013, A9,'CF BEST'!$F$9:$F1013, $D$5)</f>
        <v>0</v>
      </c>
      <c r="D9" s="210">
        <f>SUMIFS('CF BEST'!$D$9:$D1013, 'CF BEST'!$I$9:$I1013, A9,'CF BEST'!$F$9:$F1013, $D$5)</f>
        <v>1547805</v>
      </c>
      <c r="E9" s="211">
        <f>SUMIFS('CF BEST'!$C$9:$C1013, 'CF BEST'!$I$9:$I1013, A9,'CF BEST'!$F$9:$F1013, $F$5)</f>
        <v>0</v>
      </c>
      <c r="F9" s="211">
        <f>SUMIFS('CF BEST'!$D$9:$D1013, 'CF BEST'!$I$9:$I1013, A9,'CF BEST'!$F$9:$F1013, $F$5)</f>
        <v>1398735</v>
      </c>
      <c r="G9" s="212">
        <f>SUMIFS('CF BEST'!$C$9:$C1013, 'CF BEST'!$I$9:$I1013, A9,'CF BEST'!$F$9:$F1013, $H$5)</f>
        <v>0</v>
      </c>
      <c r="H9" s="212">
        <f>SUMIFS('CF BEST'!$D$9:$D1013, 'CF BEST'!$I$9:$I1013, A9,'CF BEST'!$F$9:$F1013, $H$5)</f>
        <v>2222709.1</v>
      </c>
      <c r="I9" s="213">
        <f>SUMIFS('CF BEST'!$C$9:$C1013, 'CF BEST'!$I$9:$I1013, A9,'CF BEST'!$F$9:$F1013, $J$5)+C9+E9+G9</f>
        <v>0</v>
      </c>
      <c r="J9" s="213">
        <f>SUMIFS('CF BEST'!$D$9:$D1013, 'CF BEST'!$I$9:$I1013, A9,'CF BEST'!$F$9:$F1013, $J$5)+D9+F9+H9</f>
        <v>5169249.1</v>
      </c>
      <c r="K9" s="210">
        <f>SUMIFS('CF BEST'!$C$9:$C1013, 'CF BEST'!$I$9:$I1013, A9,'CF BEST'!$F$9:$F1013, $L$5)</f>
        <v>0</v>
      </c>
      <c r="L9" s="210">
        <f>SUMIFS('CF BEST'!$D$9:$D1013, 'CF BEST'!$I$9:$I1013, A9,'CF BEST'!$F$9:$F1013, $L$5)</f>
        <v>1237828</v>
      </c>
      <c r="M9" s="211">
        <f>SUMIFS('CF BEST'!$C$9:$C1013, 'CF BEST'!$I$9:$I1013, A9,'CF BEST'!$F$9:$F1013, $N$5)</f>
        <v>0</v>
      </c>
      <c r="N9" s="211">
        <f>SUMIFS('CF BEST'!$D$9:$D1013, 'CF BEST'!$I$9:$I1013, A9,'CF BEST'!$F$9:$F1013, $N$5)</f>
        <v>768635.9</v>
      </c>
      <c r="O9" s="212">
        <f>SUMIFS('CF BEST'!$C$9:$C1013, 'CF BEST'!$I$9:$I1013, A9,'CF BEST'!$F$9:$F1013, $P$5)</f>
        <v>0</v>
      </c>
      <c r="P9" s="212">
        <f>SUMIFS('CF BEST'!$D$9:$D1013, 'CF BEST'!$I$9:$I1013, A9,'CF BEST'!$F$9:$F1013, $P$5)</f>
        <v>1006127.54</v>
      </c>
      <c r="Q9" s="213">
        <f>SUMIFS('CF BEST'!$C$9:$C1013, 'CF BEST'!$I$9:$I1013, A9,'CF BEST'!$F$9:$F1013, $R$5)+K9+M9+O9</f>
        <v>0</v>
      </c>
      <c r="R9" s="213">
        <f>SUMIFS('CF BEST'!$D$9:$D1013, 'CF BEST'!$I$9:$I1013, A9,'CF BEST'!$F$9:$F1013, $R$5)+L9+N9+P9</f>
        <v>3012591.44</v>
      </c>
      <c r="S9" s="210">
        <f>SUMIFS('CF BEST'!$C$9:$C1013, 'CF BEST'!$I$9:$I1013, A9,'CF BEST'!$F$9:$F1013, $T$5)</f>
        <v>0</v>
      </c>
      <c r="T9" s="210">
        <f>SUMIFS('CF BEST'!$D$9:$D1013, 'CF BEST'!$I$9:$I1013, A9,'CF BEST'!$F$9:$F1013, $T$5)</f>
        <v>1309498.69</v>
      </c>
      <c r="U9" s="211">
        <f>SUMIFS('CF BEST'!$C$9:$C1013, 'CF BEST'!$I$9:$I1013, A9,'CF BEST'!$F$9:$F1013, $V$5)</f>
        <v>0</v>
      </c>
      <c r="V9" s="211">
        <f>SUMIFS('CF BEST'!$D$9:$D1013, 'CF BEST'!$I$9:$I1013, A9,'CF BEST'!$F$9:$F1013, $V$5)</f>
        <v>765120</v>
      </c>
      <c r="W9" s="212">
        <f>SUMIFS('CF BEST'!$C$9:$C1013, 'CF BEST'!$I$9:$I1013, A9,'CF BEST'!$F$9:$F1013, $X$5)</f>
        <v>0</v>
      </c>
      <c r="X9" s="212">
        <f>SUMIFS('CF BEST'!$D$9:$D1013, 'CF BEST'!$I$9:$I1013, A9,'CF BEST'!$F$9:$F1013, $X$5)</f>
        <v>1562205.3</v>
      </c>
      <c r="Y9" s="213">
        <f>SUMIFS('CF BEST'!$C$9:$C1013, 'CF BEST'!$I$9:$I1013, A9,'CF BEST'!$F$9:$F1013, $Z$5)+S9+U9+W9</f>
        <v>0</v>
      </c>
      <c r="Z9" s="213">
        <f>SUMIFS('CF BEST'!$D$9:$D1013, 'CF BEST'!$I$9:$I1013, A9,'CF BEST'!$F$9:$F1013, $Z$5)+T9+V9+X9</f>
        <v>3636823.99</v>
      </c>
      <c r="AA9" s="210">
        <f>SUMIFS('CF BEST'!$C$9:$C1013, 'CF BEST'!$I$9:$I1013, A9,'CF BEST'!$F$9:$F1013, $AB$5)</f>
        <v>0</v>
      </c>
      <c r="AB9" s="210">
        <f>SUMIFS('CF BEST'!$D$9:$D1013, 'CF BEST'!$I$9:$I1013, A9,'CF BEST'!$F$9:$F1013, $AB$5)</f>
        <v>1589321.88</v>
      </c>
      <c r="AC9" s="211">
        <f>SUMIFS('CF BEST'!$C$9:$C1013, 'CF BEST'!$I$9:$I1013, A9,'CF BEST'!$F$9:$F1013, $AD$5)</f>
        <v>0</v>
      </c>
      <c r="AD9" s="211">
        <f>SUMIFS('CF BEST'!$D$9:$D1013, 'CF BEST'!$I$9:$I1013, A9,'CF BEST'!$F$9:$F1013, $AD$5)</f>
        <v>923452.5</v>
      </c>
      <c r="AE9" s="212">
        <f>SUMIFS('CF BEST'!$C$9:$C1013, 'CF BEST'!$I$9:$I1013, A9,'CF BEST'!$F$9:$F1013, $AF$5)</f>
        <v>0</v>
      </c>
      <c r="AF9" s="212">
        <f>SUMIFS('CF BEST'!$D$9:$D1013, 'CF BEST'!$I$9:$I1013, A9,'CF BEST'!$F$9:$F1013, $AF$5)</f>
        <v>1643060.7</v>
      </c>
      <c r="AG9" s="213">
        <f>SUMIFS('CF BEST'!$C$9:$C1013, 'CF BEST'!$I$9:$I1013, A9,'CF BEST'!$F$9:$F1013, $AH$5)+AA9+AC9+AE9</f>
        <v>0</v>
      </c>
      <c r="AH9" s="213">
        <f>SUMIFS('CF BEST'!$D$9:$D1013, 'CF BEST'!$I$9:$I1013, A9,'CF BEST'!$F$9:$F1013, $AH$5)+AB9+AD9+AF9</f>
        <v>4505835.08</v>
      </c>
    </row>
    <row r="10">
      <c r="A10" s="208" t="s">
        <v>101</v>
      </c>
      <c r="B10" s="209">
        <f t="shared" si="2"/>
        <v>99128624.77</v>
      </c>
      <c r="C10" s="210">
        <f>SUMIFS('CF BEST'!$C$9:$C1013, 'CF BEST'!$I$9:$I1013, A10,'CF BEST'!$F$9:$F1013, $D$5)</f>
        <v>0</v>
      </c>
      <c r="D10" s="210">
        <f>SUMIFS('CF BEST'!$D$9:$D1013, 'CF BEST'!$I$9:$I1013, A10,'CF BEST'!$F$9:$F1013, $D$5)</f>
        <v>5221343</v>
      </c>
      <c r="E10" s="211">
        <f>SUMIFS('CF BEST'!$C$9:$C1013, 'CF BEST'!$I$9:$I1013, A10,'CF BEST'!$F$9:$F1013, $F$5)</f>
        <v>0</v>
      </c>
      <c r="F10" s="211">
        <f>SUMIFS('CF BEST'!$D$9:$D1013, 'CF BEST'!$I$9:$I1013, A10,'CF BEST'!$F$9:$F1013, $F$5)</f>
        <v>8884397.06</v>
      </c>
      <c r="G10" s="212">
        <f>SUMIFS('CF BEST'!$C$9:$C1013, 'CF BEST'!$I$9:$I1013, A10,'CF BEST'!$F$9:$F1013, $H$5)</f>
        <v>0</v>
      </c>
      <c r="H10" s="212">
        <f>SUMIFS('CF BEST'!$D$9:$D1013, 'CF BEST'!$I$9:$I1013, A10,'CF BEST'!$F$9:$F1013, $H$5)</f>
        <v>16197463.29</v>
      </c>
      <c r="I10" s="213">
        <f>SUMIFS('CF BEST'!$C$9:$C1013, 'CF BEST'!$I$9:$I1013, A10,'CF BEST'!$F$9:$F1013, $J$5)+C10+E10+G10</f>
        <v>0</v>
      </c>
      <c r="J10" s="213">
        <f>SUMIFS('CF BEST'!$D$9:$D1013, 'CF BEST'!$I$9:$I1013, A10,'CF BEST'!$F$9:$F1013, $J$5)+D10+F10+H10</f>
        <v>30303203.35</v>
      </c>
      <c r="K10" s="210">
        <f>SUMIFS('CF BEST'!$C$9:$C1013, 'CF BEST'!$I$9:$I1013, A10,'CF BEST'!$F$9:$F1013, $L$5)</f>
        <v>0</v>
      </c>
      <c r="L10" s="210">
        <f>SUMIFS('CF BEST'!$D$9:$D1013, 'CF BEST'!$I$9:$I1013, A10,'CF BEST'!$F$9:$F1013, $L$5)</f>
        <v>13233935.68</v>
      </c>
      <c r="M10" s="211">
        <f>SUMIFS('CF BEST'!$C$9:$C1013, 'CF BEST'!$I$9:$I1013, A10,'CF BEST'!$F$9:$F1013, $N$5)</f>
        <v>0</v>
      </c>
      <c r="N10" s="211">
        <f>SUMIFS('CF BEST'!$D$9:$D1013, 'CF BEST'!$I$9:$I1013, A10,'CF BEST'!$F$9:$F1013, $N$5)</f>
        <v>7534431.893</v>
      </c>
      <c r="O10" s="212">
        <f>SUMIFS('CF BEST'!$C$9:$C1013, 'CF BEST'!$I$9:$I1013, A10,'CF BEST'!$F$9:$F1013, $P$5)</f>
        <v>0</v>
      </c>
      <c r="P10" s="212">
        <f>SUMIFS('CF BEST'!$D$9:$D1013, 'CF BEST'!$I$9:$I1013, A10,'CF BEST'!$F$9:$F1013, $P$5)</f>
        <v>7127560.03</v>
      </c>
      <c r="Q10" s="213">
        <f>SUMIFS('CF BEST'!$C$9:$C1013, 'CF BEST'!$I$9:$I1013, A10,'CF BEST'!$F$9:$F1013, $R$5)+K10+M10+O10</f>
        <v>0</v>
      </c>
      <c r="R10" s="213">
        <f>SUMIFS('CF BEST'!$D$9:$D1013, 'CF BEST'!$I$9:$I1013, A10,'CF BEST'!$F$9:$F1013, $R$5)+L10+N10+P10</f>
        <v>27895927.6</v>
      </c>
      <c r="S10" s="210">
        <f>SUMIFS('CF BEST'!$C$9:$C1013, 'CF BEST'!$I$9:$I1013, A10,'CF BEST'!$F$9:$F1013, $T$5)</f>
        <v>0</v>
      </c>
      <c r="T10" s="210">
        <f>SUMIFS('CF BEST'!$D$9:$D1013, 'CF BEST'!$I$9:$I1013, A10,'CF BEST'!$F$9:$F1013, $T$5)</f>
        <v>4959589.31</v>
      </c>
      <c r="U10" s="211">
        <f>SUMIFS('CF BEST'!$C$9:$C1013, 'CF BEST'!$I$9:$I1013, A10,'CF BEST'!$F$9:$F1013, $V$5)</f>
        <v>0</v>
      </c>
      <c r="V10" s="211">
        <f>SUMIFS('CF BEST'!$D$9:$D1013, 'CF BEST'!$I$9:$I1013, A10,'CF BEST'!$F$9:$F1013, $V$5)</f>
        <v>4012790.91</v>
      </c>
      <c r="W10" s="212">
        <f>SUMIFS('CF BEST'!$C$9:$C1013, 'CF BEST'!$I$9:$I1013, A10,'CF BEST'!$F$9:$F1013, $X$5)</f>
        <v>0</v>
      </c>
      <c r="X10" s="212">
        <f>SUMIFS('CF BEST'!$D$9:$D1013, 'CF BEST'!$I$9:$I1013, A10,'CF BEST'!$F$9:$F1013, $X$5)</f>
        <v>6529515.43</v>
      </c>
      <c r="Y10" s="213">
        <f>SUMIFS('CF BEST'!$C$9:$C1013, 'CF BEST'!$I$9:$I1013, A10,'CF BEST'!$F$9:$F1013, $Z$5)+S10+U10+W10</f>
        <v>0</v>
      </c>
      <c r="Z10" s="213">
        <f>SUMIFS('CF BEST'!$D$9:$D1013, 'CF BEST'!$I$9:$I1013, A10,'CF BEST'!$F$9:$F1013, $Z$5)+T10+V10+X10</f>
        <v>15501895.65</v>
      </c>
      <c r="AA10" s="210">
        <f>SUMIFS('CF BEST'!$C$9:$C1013, 'CF BEST'!$I$9:$I1013, A10,'CF BEST'!$F$9:$F1013, $AB$5)</f>
        <v>0</v>
      </c>
      <c r="AB10" s="210">
        <f>SUMIFS('CF BEST'!$D$9:$D1013, 'CF BEST'!$I$9:$I1013, A10,'CF BEST'!$F$9:$F1013, $AB$5)</f>
        <v>8202672.87</v>
      </c>
      <c r="AC10" s="211">
        <f>SUMIFS('CF BEST'!$C$9:$C1013, 'CF BEST'!$I$9:$I1013, A10,'CF BEST'!$F$9:$F1013, $AD$5)</f>
        <v>0</v>
      </c>
      <c r="AD10" s="211">
        <f>SUMIFS('CF BEST'!$D$9:$D1013, 'CF BEST'!$I$9:$I1013, A10,'CF BEST'!$F$9:$F1013, $AD$5)</f>
        <v>9404755.94</v>
      </c>
      <c r="AE10" s="212">
        <f>SUMIFS('CF BEST'!$C$9:$C1013, 'CF BEST'!$I$9:$I1013, A10,'CF BEST'!$F$9:$F1013, $AF$5)</f>
        <v>0</v>
      </c>
      <c r="AF10" s="212">
        <f>SUMIFS('CF BEST'!$D$9:$D1013, 'CF BEST'!$I$9:$I1013, A10,'CF BEST'!$F$9:$F1013, $AF$5)</f>
        <v>7820169.36</v>
      </c>
      <c r="AG10" s="213">
        <f>SUMIFS('CF BEST'!$C$9:$C1013, 'CF BEST'!$I$9:$I1013, A10,'CF BEST'!$F$9:$F1013, $AH$5)+AA10+AC10+AE10</f>
        <v>0</v>
      </c>
      <c r="AH10" s="213">
        <f>SUMIFS('CF BEST'!$D$9:$D1013, 'CF BEST'!$I$9:$I1013, A10,'CF BEST'!$F$9:$F1013, $AH$5)+AB10+AD10+AF10</f>
        <v>25427598.17</v>
      </c>
    </row>
    <row r="11">
      <c r="A11" s="208" t="s">
        <v>1044</v>
      </c>
      <c r="B11" s="209">
        <f t="shared" si="2"/>
        <v>9263915.19</v>
      </c>
      <c r="C11" s="210">
        <f>SUMIFS('CF BEST'!$C$9:$C1013, 'CF BEST'!$I$9:$I1013, A11,'CF BEST'!$F$9:$F1013, $D$5)</f>
        <v>0</v>
      </c>
      <c r="D11" s="210">
        <f>SUMIFS('CF BEST'!$D$9:$D1013, 'CF BEST'!$I$9:$I1013, A11,'CF BEST'!$F$9:$F1013, $D$5)</f>
        <v>0</v>
      </c>
      <c r="E11" s="211">
        <f>SUMIFS('CF BEST'!$C$9:$C1013, 'CF BEST'!$I$9:$I1013, A11,'CF BEST'!$F$9:$F1013, $F$5)</f>
        <v>0</v>
      </c>
      <c r="F11" s="211">
        <f>SUMIFS('CF BEST'!$D$9:$D1013, 'CF BEST'!$I$9:$I1013, A11,'CF BEST'!$F$9:$F1013, $F$5)</f>
        <v>0</v>
      </c>
      <c r="G11" s="212">
        <f>SUMIFS('CF BEST'!$C$9:$C1013, 'CF BEST'!$I$9:$I1013, A11,'CF BEST'!$F$9:$F1013, $H$5)</f>
        <v>0</v>
      </c>
      <c r="H11" s="212">
        <f>SUMIFS('CF BEST'!$D$9:$D1013, 'CF BEST'!$I$9:$I1013, A11,'CF BEST'!$F$9:$F1013, $H$5)</f>
        <v>0</v>
      </c>
      <c r="I11" s="213">
        <f>SUMIFS('CF BEST'!$C$9:$C1013, 'CF BEST'!$I$9:$I1013, A11,'CF BEST'!$F$9:$F1013, $J$5)+C11+E11+G11</f>
        <v>0</v>
      </c>
      <c r="J11" s="213">
        <f>SUMIFS('CF BEST'!$D$9:$D1013, 'CF BEST'!$I$9:$I1013, A11,'CF BEST'!$F$9:$F1013, $J$5)+D11+F11+H11</f>
        <v>0</v>
      </c>
      <c r="K11" s="210">
        <f>SUMIFS('CF BEST'!$C$9:$C1013, 'CF BEST'!$I$9:$I1013, A11,'CF BEST'!$F$9:$F1013, $L$5)</f>
        <v>0</v>
      </c>
      <c r="L11" s="210">
        <f>SUMIFS('CF BEST'!$D$9:$D1013, 'CF BEST'!$I$9:$I1013, A11,'CF BEST'!$F$9:$F1013, $L$5)</f>
        <v>0</v>
      </c>
      <c r="M11" s="211">
        <f>SUMIFS('CF BEST'!$C$9:$C1013, 'CF BEST'!$I$9:$I1013, A11,'CF BEST'!$F$9:$F1013, $N$5)</f>
        <v>0</v>
      </c>
      <c r="N11" s="211">
        <f>SUMIFS('CF BEST'!$D$9:$D1013, 'CF BEST'!$I$9:$I1013, A11,'CF BEST'!$F$9:$F1013, $N$5)</f>
        <v>146432.5</v>
      </c>
      <c r="O11" s="212">
        <f>SUMIFS('CF BEST'!$C$9:$C1013, 'CF BEST'!$I$9:$I1013, A11,'CF BEST'!$F$9:$F1013, $P$5)</f>
        <v>0</v>
      </c>
      <c r="P11" s="212">
        <f>SUMIFS('CF BEST'!$D$9:$D1013, 'CF BEST'!$I$9:$I1013, A11,'CF BEST'!$F$9:$F1013, $P$5)</f>
        <v>156882.1</v>
      </c>
      <c r="Q11" s="213">
        <f>SUMIFS('CF BEST'!$C$9:$C1013, 'CF BEST'!$I$9:$I1013, A11,'CF BEST'!$F$9:$F1013, $R$5)+K11+M11+O11</f>
        <v>0</v>
      </c>
      <c r="R11" s="213">
        <f>SUMIFS('CF BEST'!$D$9:$D1013, 'CF BEST'!$I$9:$I1013, A11,'CF BEST'!$F$9:$F1013, $R$5)+L11+N11+P11</f>
        <v>303314.6</v>
      </c>
      <c r="S11" s="210">
        <f>SUMIFS('CF BEST'!$C$9:$C1013, 'CF BEST'!$I$9:$I1013, A11,'CF BEST'!$F$9:$F1013, $T$5)</f>
        <v>0</v>
      </c>
      <c r="T11" s="210">
        <f>SUMIFS('CF BEST'!$D$9:$D1013, 'CF BEST'!$I$9:$I1013, A11,'CF BEST'!$F$9:$F1013, $T$5)</f>
        <v>445832.7</v>
      </c>
      <c r="U11" s="211">
        <f>SUMIFS('CF BEST'!$C$9:$C1013, 'CF BEST'!$I$9:$I1013, A11,'CF BEST'!$F$9:$F1013, $V$5)</f>
        <v>0</v>
      </c>
      <c r="V11" s="211">
        <f>SUMIFS('CF BEST'!$D$9:$D1013, 'CF BEST'!$I$9:$I1013, A11,'CF BEST'!$F$9:$F1013, $V$5)</f>
        <v>360960</v>
      </c>
      <c r="W11" s="212">
        <f>SUMIFS('CF BEST'!$C$9:$C1013, 'CF BEST'!$I$9:$I1013, A11,'CF BEST'!$F$9:$F1013, $X$5)</f>
        <v>0</v>
      </c>
      <c r="X11" s="212">
        <f>SUMIFS('CF BEST'!$D$9:$D1013, 'CF BEST'!$I$9:$I1013, A11,'CF BEST'!$F$9:$F1013, $X$5)</f>
        <v>693624.69</v>
      </c>
      <c r="Y11" s="213">
        <f>SUMIFS('CF BEST'!$C$9:$C1013, 'CF BEST'!$I$9:$I1013, A11,'CF BEST'!$F$9:$F1013, $Z$5)+S11+U11+W11</f>
        <v>0</v>
      </c>
      <c r="Z11" s="213">
        <f>SUMIFS('CF BEST'!$D$9:$D1013, 'CF BEST'!$I$9:$I1013, A11,'CF BEST'!$F$9:$F1013, $Z$5)+T11+V11+X11</f>
        <v>1500417.39</v>
      </c>
      <c r="AA11" s="210">
        <f>SUMIFS('CF BEST'!$C$9:$C1013, 'CF BEST'!$I$9:$I1013, A11,'CF BEST'!$F$9:$F1013, $AB$5)</f>
        <v>0</v>
      </c>
      <c r="AB11" s="210">
        <f>SUMIFS('CF BEST'!$D$9:$D1013, 'CF BEST'!$I$9:$I1013, A11,'CF BEST'!$F$9:$F1013, $AB$5)</f>
        <v>1360789.27</v>
      </c>
      <c r="AC11" s="211">
        <f>SUMIFS('CF BEST'!$C$9:$C1013, 'CF BEST'!$I$9:$I1013, A11,'CF BEST'!$F$9:$F1013, $AD$5)</f>
        <v>0</v>
      </c>
      <c r="AD11" s="211">
        <f>SUMIFS('CF BEST'!$D$9:$D1013, 'CF BEST'!$I$9:$I1013, A11,'CF BEST'!$F$9:$F1013, $AD$5)</f>
        <v>1599161.73</v>
      </c>
      <c r="AE11" s="212">
        <f>SUMIFS('CF BEST'!$C$9:$C1013, 'CF BEST'!$I$9:$I1013, A11,'CF BEST'!$F$9:$F1013, $AF$5)</f>
        <v>0</v>
      </c>
      <c r="AF11" s="212">
        <f>SUMIFS('CF BEST'!$D$9:$D1013, 'CF BEST'!$I$9:$I1013, A11,'CF BEST'!$F$9:$F1013, $AF$5)</f>
        <v>4500232.2</v>
      </c>
      <c r="AG11" s="213">
        <f>SUMIFS('CF BEST'!$C$9:$C1013, 'CF BEST'!$I$9:$I1013, A11,'CF BEST'!$F$9:$F1013, $AH$5)+AA11+AC11+AE11</f>
        <v>0</v>
      </c>
      <c r="AH11" s="213">
        <f>SUMIFS('CF BEST'!$D$9:$D1013, 'CF BEST'!$I$9:$I1013, A11,'CF BEST'!$F$9:$F1013, $AH$5)+AB11+AD11+AF11</f>
        <v>7460183.2</v>
      </c>
    </row>
    <row r="12">
      <c r="A12" s="208" t="s">
        <v>286</v>
      </c>
      <c r="B12" s="209">
        <f t="shared" si="2"/>
        <v>1749200</v>
      </c>
      <c r="C12" s="210">
        <f>SUMIFS('CF BEST'!$C$9:$C1013, 'CF BEST'!$I$9:$I1013, A12,'CF BEST'!$F$9:$F1013, $D$5)</f>
        <v>0</v>
      </c>
      <c r="D12" s="210">
        <f>SUMIFS('CF BEST'!$D$9:$D1013, 'CF BEST'!$I$9:$I1013, A12,'CF BEST'!$F$9:$F1013, $D$5)</f>
        <v>94000</v>
      </c>
      <c r="E12" s="211">
        <f>SUMIFS('CF BEST'!$C$9:$C1013, 'CF BEST'!$I$9:$I1013, A12,'CF BEST'!$F$9:$F1013, $F$5)</f>
        <v>0</v>
      </c>
      <c r="F12" s="211">
        <f>SUMIFS('CF BEST'!$D$9:$D1013, 'CF BEST'!$I$9:$I1013, A12,'CF BEST'!$F$9:$F1013, $F$5)</f>
        <v>136000</v>
      </c>
      <c r="G12" s="212">
        <f>SUMIFS('CF BEST'!$C$9:$C1013, 'CF BEST'!$I$9:$I1013, A12,'CF BEST'!$F$9:$F1013, $H$5)</f>
        <v>0</v>
      </c>
      <c r="H12" s="212">
        <f>SUMIFS('CF BEST'!$D$9:$D1013, 'CF BEST'!$I$9:$I1013, A12,'CF BEST'!$F$9:$F1013, $H$5)</f>
        <v>185400</v>
      </c>
      <c r="I12" s="213">
        <f>SUMIFS('CF BEST'!$C$9:$C1013, 'CF BEST'!$I$9:$I1013, A12,'CF BEST'!$F$9:$F1013, $J$5)+C12+E12+G12</f>
        <v>0</v>
      </c>
      <c r="J12" s="213">
        <f>SUMIFS('CF BEST'!$D$9:$D1013, 'CF BEST'!$I$9:$I1013, A12,'CF BEST'!$F$9:$F1013, $J$5)+D12+F12+H12</f>
        <v>415400</v>
      </c>
      <c r="K12" s="210">
        <f>SUMIFS('CF BEST'!$C$9:$C1013, 'CF BEST'!$I$9:$I1013, A12,'CF BEST'!$F$9:$F1013, $L$5)</f>
        <v>0</v>
      </c>
      <c r="L12" s="210">
        <f>SUMIFS('CF BEST'!$D$9:$D1013, 'CF BEST'!$I$9:$I1013, A12,'CF BEST'!$F$9:$F1013, $L$5)</f>
        <v>177300</v>
      </c>
      <c r="M12" s="211">
        <f>SUMIFS('CF BEST'!$C$9:$C1013, 'CF BEST'!$I$9:$I1013, A12,'CF BEST'!$F$9:$F1013, $N$5)</f>
        <v>0</v>
      </c>
      <c r="N12" s="211">
        <f>SUMIFS('CF BEST'!$D$9:$D1013, 'CF BEST'!$I$9:$I1013, A12,'CF BEST'!$F$9:$F1013, $N$5)</f>
        <v>134000</v>
      </c>
      <c r="O12" s="212">
        <f>SUMIFS('CF BEST'!$C$9:$C1013, 'CF BEST'!$I$9:$I1013, A12,'CF BEST'!$F$9:$F1013, $P$5)</f>
        <v>0</v>
      </c>
      <c r="P12" s="212">
        <f>SUMIFS('CF BEST'!$D$9:$D1013, 'CF BEST'!$I$9:$I1013, A12,'CF BEST'!$F$9:$F1013, $P$5)</f>
        <v>114000</v>
      </c>
      <c r="Q12" s="213">
        <f>SUMIFS('CF BEST'!$C$9:$C1013, 'CF BEST'!$I$9:$I1013, A12,'CF BEST'!$F$9:$F1013, $R$5)+K12+M12+O12</f>
        <v>0</v>
      </c>
      <c r="R12" s="213">
        <f>SUMIFS('CF BEST'!$D$9:$D1013, 'CF BEST'!$I$9:$I1013, A12,'CF BEST'!$F$9:$F1013, $R$5)+L12+N12+P12</f>
        <v>425300</v>
      </c>
      <c r="S12" s="210">
        <f>SUMIFS('CF BEST'!$C$9:$C1013, 'CF BEST'!$I$9:$I1013, A12,'CF BEST'!$F$9:$F1013, $T$5)</f>
        <v>0</v>
      </c>
      <c r="T12" s="210">
        <f>SUMIFS('CF BEST'!$D$9:$D1013, 'CF BEST'!$I$9:$I1013, A12,'CF BEST'!$F$9:$F1013, $T$5)</f>
        <v>30900</v>
      </c>
      <c r="U12" s="211">
        <f>SUMIFS('CF BEST'!$C$9:$C1013, 'CF BEST'!$I$9:$I1013, A12,'CF BEST'!$F$9:$F1013, $V$5)</f>
        <v>0</v>
      </c>
      <c r="V12" s="211">
        <f>SUMIFS('CF BEST'!$D$9:$D1013, 'CF BEST'!$I$9:$I1013, A12,'CF BEST'!$F$9:$F1013, $V$5)</f>
        <v>88000</v>
      </c>
      <c r="W12" s="212">
        <f>SUMIFS('CF BEST'!$C$9:$C1013, 'CF BEST'!$I$9:$I1013, A12,'CF BEST'!$F$9:$F1013, $X$5)</f>
        <v>0</v>
      </c>
      <c r="X12" s="212">
        <f>SUMIFS('CF BEST'!$D$9:$D1013, 'CF BEST'!$I$9:$I1013, A12,'CF BEST'!$F$9:$F1013, $X$5)</f>
        <v>140000</v>
      </c>
      <c r="Y12" s="213">
        <f>SUMIFS('CF BEST'!$C$9:$C1013, 'CF BEST'!$I$9:$I1013, A12,'CF BEST'!$F$9:$F1013, $Z$5)+S12+U12+W12</f>
        <v>0</v>
      </c>
      <c r="Z12" s="213">
        <f>SUMIFS('CF BEST'!$D$9:$D1013, 'CF BEST'!$I$9:$I1013, A12,'CF BEST'!$F$9:$F1013, $Z$5)+T12+V12+X12</f>
        <v>258900</v>
      </c>
      <c r="AA12" s="210">
        <f>SUMIFS('CF BEST'!$C$9:$C1013, 'CF BEST'!$I$9:$I1013, A12,'CF BEST'!$F$9:$F1013, $AB$5)</f>
        <v>0</v>
      </c>
      <c r="AB12" s="210">
        <f>SUMIFS('CF BEST'!$D$9:$D1013, 'CF BEST'!$I$9:$I1013, A12,'CF BEST'!$F$9:$F1013, $AB$5)</f>
        <v>243450</v>
      </c>
      <c r="AC12" s="211">
        <f>SUMIFS('CF BEST'!$C$9:$C1013, 'CF BEST'!$I$9:$I1013, A12,'CF BEST'!$F$9:$F1013, $AD$5)</f>
        <v>0</v>
      </c>
      <c r="AD12" s="211">
        <f>SUMIFS('CF BEST'!$D$9:$D1013, 'CF BEST'!$I$9:$I1013, A12,'CF BEST'!$F$9:$F1013, $AD$5)</f>
        <v>157950</v>
      </c>
      <c r="AE12" s="212">
        <f>SUMIFS('CF BEST'!$C$9:$C1013, 'CF BEST'!$I$9:$I1013, A12,'CF BEST'!$F$9:$F1013, $AF$5)</f>
        <v>0</v>
      </c>
      <c r="AF12" s="212">
        <f>SUMIFS('CF BEST'!$D$9:$D1013, 'CF BEST'!$I$9:$I1013, A12,'CF BEST'!$F$9:$F1013, $AF$5)</f>
        <v>248200</v>
      </c>
      <c r="AG12" s="213">
        <f>SUMIFS('CF BEST'!$C$9:$C1013, 'CF BEST'!$I$9:$I1013, A12,'CF BEST'!$F$9:$F1013, $AH$5)+AA12+AC12+AE12</f>
        <v>0</v>
      </c>
      <c r="AH12" s="213">
        <f>SUMIFS('CF BEST'!$D$9:$D1013, 'CF BEST'!$I$9:$I1013, A12,'CF BEST'!$F$9:$F1013, $AH$5)+AB12+AD12+AF12</f>
        <v>649600</v>
      </c>
    </row>
    <row r="13">
      <c r="A13" s="208" t="s">
        <v>44</v>
      </c>
      <c r="B13" s="209">
        <f t="shared" si="2"/>
        <v>2834562.88</v>
      </c>
      <c r="C13" s="210">
        <f>SUMIFS('CF BEST'!$C$9:$C1013, 'CF BEST'!$I$9:$I1013, A13,'CF BEST'!$F$9:$F1013, $D$5)</f>
        <v>0</v>
      </c>
      <c r="D13" s="210">
        <f>SUMIFS('CF BEST'!$D$9:$D1013, 'CF BEST'!$I$9:$I1013, A13,'CF BEST'!$F$9:$F1013, $D$5)</f>
        <v>1200</v>
      </c>
      <c r="E13" s="211">
        <f>SUMIFS('CF BEST'!$C$9:$C1013, 'CF BEST'!$I$9:$I1013, A13,'CF BEST'!$F$9:$F1013, $F$5)</f>
        <v>0</v>
      </c>
      <c r="F13" s="211">
        <f>SUMIFS('CF BEST'!$D$9:$D1013, 'CF BEST'!$I$9:$I1013, A13,'CF BEST'!$F$9:$F1013, $F$5)</f>
        <v>521679.54</v>
      </c>
      <c r="G13" s="212">
        <f>SUMIFS('CF BEST'!$C$9:$C1013, 'CF BEST'!$I$9:$I1013, A13,'CF BEST'!$F$9:$F1013, $H$5)</f>
        <v>0</v>
      </c>
      <c r="H13" s="212">
        <f>SUMIFS('CF BEST'!$D$9:$D1013, 'CF BEST'!$I$9:$I1013, A13,'CF BEST'!$F$9:$F1013, $H$5)</f>
        <v>301109.92</v>
      </c>
      <c r="I13" s="213">
        <f>SUMIFS('CF BEST'!$C$9:$C1013, 'CF BEST'!$I$9:$I1013, A13,'CF BEST'!$F$9:$F1013, $J$5)+C13+E13+G13</f>
        <v>0</v>
      </c>
      <c r="J13" s="213">
        <f>SUMIFS('CF BEST'!$D$9:$D1013, 'CF BEST'!$I$9:$I1013, A13,'CF BEST'!$F$9:$F1013, $J$5)+D13+F13+H13</f>
        <v>823989.46</v>
      </c>
      <c r="K13" s="210">
        <f>SUMIFS('CF BEST'!$C$9:$C1013, 'CF BEST'!$I$9:$I1013, A13,'CF BEST'!$F$9:$F1013, $L$5)</f>
        <v>0</v>
      </c>
      <c r="L13" s="210">
        <f>SUMIFS('CF BEST'!$D$9:$D1013, 'CF BEST'!$I$9:$I1013, A13,'CF BEST'!$F$9:$F1013, $L$5)</f>
        <v>314435.84</v>
      </c>
      <c r="M13" s="211">
        <f>SUMIFS('CF BEST'!$C$9:$C1013, 'CF BEST'!$I$9:$I1013, A13,'CF BEST'!$F$9:$F1013, $N$5)</f>
        <v>0</v>
      </c>
      <c r="N13" s="211">
        <f>SUMIFS('CF BEST'!$D$9:$D1013, 'CF BEST'!$I$9:$I1013, A13,'CF BEST'!$F$9:$F1013, $N$5)</f>
        <v>319713.64</v>
      </c>
      <c r="O13" s="212">
        <f>SUMIFS('CF BEST'!$C$9:$C1013, 'CF BEST'!$I$9:$I1013, A13,'CF BEST'!$F$9:$F1013, $P$5)</f>
        <v>0</v>
      </c>
      <c r="P13" s="212">
        <f>SUMIFS('CF BEST'!$D$9:$D1013, 'CF BEST'!$I$9:$I1013, A13,'CF BEST'!$F$9:$F1013, $P$5)</f>
        <v>237913.9</v>
      </c>
      <c r="Q13" s="213">
        <f>SUMIFS('CF BEST'!$C$9:$C1013, 'CF BEST'!$I$9:$I1013, A13,'CF BEST'!$F$9:$F1013, $R$5)+K13+M13+O13</f>
        <v>0</v>
      </c>
      <c r="R13" s="213">
        <f>SUMIFS('CF BEST'!$D$9:$D1013, 'CF BEST'!$I$9:$I1013, A13,'CF BEST'!$F$9:$F1013, $R$5)+L13+N13+P13</f>
        <v>872063.38</v>
      </c>
      <c r="S13" s="210">
        <f>SUMIFS('CF BEST'!$C$9:$C1013, 'CF BEST'!$I$9:$I1013, A13,'CF BEST'!$F$9:$F1013, $T$5)</f>
        <v>0</v>
      </c>
      <c r="T13" s="210">
        <f>SUMIFS('CF BEST'!$D$9:$D1013, 'CF BEST'!$I$9:$I1013, A13,'CF BEST'!$F$9:$F1013, $T$5)</f>
        <v>244469.58</v>
      </c>
      <c r="U13" s="211">
        <f>SUMIFS('CF BEST'!$C$9:$C1013, 'CF BEST'!$I$9:$I1013, A13,'CF BEST'!$F$9:$F1013, $V$5)</f>
        <v>0</v>
      </c>
      <c r="V13" s="211">
        <f>SUMIFS('CF BEST'!$D$9:$D1013, 'CF BEST'!$I$9:$I1013, A13,'CF BEST'!$F$9:$F1013, $V$5)</f>
        <v>160885.26</v>
      </c>
      <c r="W13" s="212">
        <f>SUMIFS('CF BEST'!$C$9:$C1013, 'CF BEST'!$I$9:$I1013, A13,'CF BEST'!$F$9:$F1013, $X$5)</f>
        <v>0</v>
      </c>
      <c r="X13" s="212">
        <f>SUMIFS('CF BEST'!$D$9:$D1013, 'CF BEST'!$I$9:$I1013, A13,'CF BEST'!$F$9:$F1013, $X$5)</f>
        <v>1200</v>
      </c>
      <c r="Y13" s="213">
        <f>SUMIFS('CF BEST'!$C$9:$C1013, 'CF BEST'!$I$9:$I1013, A13,'CF BEST'!$F$9:$F1013, $Z$5)+S13+U13+W13</f>
        <v>0</v>
      </c>
      <c r="Z13" s="213">
        <f>SUMIFS('CF BEST'!$D$9:$D1013, 'CF BEST'!$I$9:$I1013, A13,'CF BEST'!$F$9:$F1013, $Z$5)+T13+V13+X13</f>
        <v>406554.84</v>
      </c>
      <c r="AA13" s="210">
        <f>SUMIFS('CF BEST'!$C$9:$C1013, 'CF BEST'!$I$9:$I1013, A13,'CF BEST'!$F$9:$F1013, $AB$5)</f>
        <v>0</v>
      </c>
      <c r="AB13" s="210">
        <f>SUMIFS('CF BEST'!$D$9:$D1013, 'CF BEST'!$I$9:$I1013, A13,'CF BEST'!$F$9:$F1013, $AB$5)</f>
        <v>366922.42</v>
      </c>
      <c r="AC13" s="211">
        <f>SUMIFS('CF BEST'!$C$9:$C1013, 'CF BEST'!$I$9:$I1013, A13,'CF BEST'!$F$9:$F1013, $AD$5)</f>
        <v>0</v>
      </c>
      <c r="AD13" s="211">
        <f>SUMIFS('CF BEST'!$D$9:$D1013, 'CF BEST'!$I$9:$I1013, A13,'CF BEST'!$F$9:$F1013, $AD$5)</f>
        <v>365032.78</v>
      </c>
      <c r="AE13" s="212">
        <f>SUMIFS('CF BEST'!$C$9:$C1013, 'CF BEST'!$I$9:$I1013, A13,'CF BEST'!$F$9:$F1013, $AF$5)</f>
        <v>0</v>
      </c>
      <c r="AF13" s="212">
        <f>SUMIFS('CF BEST'!$D$9:$D1013, 'CF BEST'!$I$9:$I1013, A13,'CF BEST'!$F$9:$F1013, $AF$5)</f>
        <v>0</v>
      </c>
      <c r="AG13" s="213">
        <f>SUMIFS('CF BEST'!$C$9:$C1013, 'CF BEST'!$I$9:$I1013, A13,'CF BEST'!$F$9:$F1013, $AH$5)+AA13+AC13+AE13</f>
        <v>0</v>
      </c>
      <c r="AH13" s="213">
        <f>SUMIFS('CF BEST'!$D$9:$D1013, 'CF BEST'!$I$9:$I1013, A13,'CF BEST'!$F$9:$F1013, $AH$5)+AB13+AD13+AF13</f>
        <v>731955.2</v>
      </c>
    </row>
    <row r="14">
      <c r="A14" s="208" t="s">
        <v>61</v>
      </c>
      <c r="B14" s="209">
        <f t="shared" si="2"/>
        <v>20174774.23</v>
      </c>
      <c r="C14" s="210">
        <f>SUMIFS('CF BEST'!$C$9:$C1013, 'CF BEST'!$I$9:$I1013, A14,'CF BEST'!$F$9:$F1013, $D$5)</f>
        <v>0</v>
      </c>
      <c r="D14" s="210">
        <f>SUMIFS('CF BEST'!$D$9:$D1013, 'CF BEST'!$I$9:$I1013, A14,'CF BEST'!$F$9:$F1013, $D$5)</f>
        <v>837689.27</v>
      </c>
      <c r="E14" s="211">
        <f>SUMIFS('CF BEST'!$C$9:$C1013, 'CF BEST'!$I$9:$I1013, A14,'CF BEST'!$F$9:$F1013, $F$5)</f>
        <v>0</v>
      </c>
      <c r="F14" s="211">
        <f>SUMIFS('CF BEST'!$D$9:$D1013, 'CF BEST'!$I$9:$I1013, A14,'CF BEST'!$F$9:$F1013, $F$5)</f>
        <v>1385684.09</v>
      </c>
      <c r="G14" s="212">
        <f>SUMIFS('CF BEST'!$C$9:$C1013, 'CF BEST'!$I$9:$I1013, A14,'CF BEST'!$F$9:$F1013, $H$5)</f>
        <v>0</v>
      </c>
      <c r="H14" s="212">
        <f>SUMIFS('CF BEST'!$D$9:$D1013, 'CF BEST'!$I$9:$I1013, A14,'CF BEST'!$F$9:$F1013, $H$5)</f>
        <v>2924822.3</v>
      </c>
      <c r="I14" s="213">
        <f>SUMIFS('CF BEST'!$C$9:$C1013, 'CF BEST'!$I$9:$I1013, A14,'CF BEST'!$F$9:$F1013, $J$5)+C14+E14+G14</f>
        <v>0</v>
      </c>
      <c r="J14" s="213">
        <f>SUMIFS('CF BEST'!$D$9:$D1013, 'CF BEST'!$I$9:$I1013, A14,'CF BEST'!$F$9:$F1013, $J$5)+D14+F14+H14</f>
        <v>5148195.66</v>
      </c>
      <c r="K14" s="210">
        <f>SUMIFS('CF BEST'!$C$9:$C1013, 'CF BEST'!$I$9:$I1013, A14,'CF BEST'!$F$9:$F1013, $L$5)</f>
        <v>0</v>
      </c>
      <c r="L14" s="210">
        <f>SUMIFS('CF BEST'!$D$9:$D1013, 'CF BEST'!$I$9:$I1013, A14,'CF BEST'!$F$9:$F1013, $L$5)</f>
        <v>3865126.53</v>
      </c>
      <c r="M14" s="211">
        <f>SUMIFS('CF BEST'!$C$9:$C1013, 'CF BEST'!$I$9:$I1013, A14,'CF BEST'!$F$9:$F1013, $N$5)</f>
        <v>0</v>
      </c>
      <c r="N14" s="211">
        <f>SUMIFS('CF BEST'!$D$9:$D1013, 'CF BEST'!$I$9:$I1013, A14,'CF BEST'!$F$9:$F1013, $N$5)</f>
        <v>982375.84</v>
      </c>
      <c r="O14" s="212">
        <f>SUMIFS('CF BEST'!$C$9:$C1013, 'CF BEST'!$I$9:$I1013, A14,'CF BEST'!$F$9:$F1013, $P$5)</f>
        <v>0</v>
      </c>
      <c r="P14" s="212">
        <f>SUMIFS('CF BEST'!$D$9:$D1013, 'CF BEST'!$I$9:$I1013, A14,'CF BEST'!$F$9:$F1013, $P$5)</f>
        <v>984092.97</v>
      </c>
      <c r="Q14" s="213">
        <f>SUMIFS('CF BEST'!$C$9:$C1013, 'CF BEST'!$I$9:$I1013, A14,'CF BEST'!$F$9:$F1013, $R$5)+K14+M14+O14</f>
        <v>0</v>
      </c>
      <c r="R14" s="213">
        <f>SUMIFS('CF BEST'!$D$9:$D1013, 'CF BEST'!$I$9:$I1013, A14,'CF BEST'!$F$9:$F1013, $R$5)+L14+N14+P14</f>
        <v>5831595.34</v>
      </c>
      <c r="S14" s="210">
        <f>SUMIFS('CF BEST'!$C$9:$C1013, 'CF BEST'!$I$9:$I1013, A14,'CF BEST'!$F$9:$F1013, $T$5)</f>
        <v>0</v>
      </c>
      <c r="T14" s="210">
        <f>SUMIFS('CF BEST'!$D$9:$D1013, 'CF BEST'!$I$9:$I1013, A14,'CF BEST'!$F$9:$F1013, $T$5)</f>
        <v>878889.58</v>
      </c>
      <c r="U14" s="211">
        <f>SUMIFS('CF BEST'!$C$9:$C1013, 'CF BEST'!$I$9:$I1013, A14,'CF BEST'!$F$9:$F1013, $V$5)</f>
        <v>0</v>
      </c>
      <c r="V14" s="211">
        <f>SUMIFS('CF BEST'!$D$9:$D1013, 'CF BEST'!$I$9:$I1013, A14,'CF BEST'!$F$9:$F1013, $V$5)</f>
        <v>1717983.03</v>
      </c>
      <c r="W14" s="212">
        <f>SUMIFS('CF BEST'!$C$9:$C1013, 'CF BEST'!$I$9:$I1013, A14,'CF BEST'!$F$9:$F1013, $X$5)</f>
        <v>0</v>
      </c>
      <c r="X14" s="212">
        <f>SUMIFS('CF BEST'!$D$9:$D1013, 'CF BEST'!$I$9:$I1013, A14,'CF BEST'!$F$9:$F1013, $X$5)</f>
        <v>1438772.79</v>
      </c>
      <c r="Y14" s="213">
        <f>SUMIFS('CF BEST'!$C$9:$C1013, 'CF BEST'!$I$9:$I1013, A14,'CF BEST'!$F$9:$F1013, $Z$5)+S14+U14+W14</f>
        <v>0</v>
      </c>
      <c r="Z14" s="213">
        <f>SUMIFS('CF BEST'!$D$9:$D1013, 'CF BEST'!$I$9:$I1013, A14,'CF BEST'!$F$9:$F1013, $Z$5)+T14+V14+X14</f>
        <v>4035645.4</v>
      </c>
      <c r="AA14" s="210">
        <f>SUMIFS('CF BEST'!$C$9:$C1013, 'CF BEST'!$I$9:$I1013, A14,'CF BEST'!$F$9:$F1013, $AB$5)</f>
        <v>0</v>
      </c>
      <c r="AB14" s="210">
        <f>SUMIFS('CF BEST'!$D$9:$D1013, 'CF BEST'!$I$9:$I1013, A14,'CF BEST'!$F$9:$F1013, $AB$5)</f>
        <v>3504685.25</v>
      </c>
      <c r="AC14" s="211">
        <f>SUMIFS('CF BEST'!$C$9:$C1013, 'CF BEST'!$I$9:$I1013, A14,'CF BEST'!$F$9:$F1013, $AD$5)</f>
        <v>0</v>
      </c>
      <c r="AD14" s="211">
        <f>SUMIFS('CF BEST'!$D$9:$D1013, 'CF BEST'!$I$9:$I1013, A14,'CF BEST'!$F$9:$F1013, $AD$5)</f>
        <v>1020681.42</v>
      </c>
      <c r="AE14" s="212">
        <f>SUMIFS('CF BEST'!$C$9:$C1013, 'CF BEST'!$I$9:$I1013, A14,'CF BEST'!$F$9:$F1013, $AF$5)</f>
        <v>0</v>
      </c>
      <c r="AF14" s="212">
        <f>SUMIFS('CF BEST'!$D$9:$D1013, 'CF BEST'!$I$9:$I1013, A14,'CF BEST'!$F$9:$F1013, $AF$5)</f>
        <v>633971.16</v>
      </c>
      <c r="AG14" s="213">
        <f>SUMIFS('CF BEST'!$C$9:$C1013, 'CF BEST'!$I$9:$I1013, A14,'CF BEST'!$F$9:$F1013, $AH$5)+AA14+AC14+AE14</f>
        <v>0</v>
      </c>
      <c r="AH14" s="213">
        <f>SUMIFS('CF BEST'!$D$9:$D1013, 'CF BEST'!$I$9:$I1013, A14,'CF BEST'!$F$9:$F1013, $AH$5)+AB14+AD14+AF14</f>
        <v>5159337.83</v>
      </c>
    </row>
    <row r="15">
      <c r="A15" s="216" t="s">
        <v>1992</v>
      </c>
      <c r="B15" s="217"/>
      <c r="C15" s="217">
        <f t="shared" ref="C15:AH15" si="3">SUM(C16:C21)</f>
        <v>0</v>
      </c>
      <c r="D15" s="217">
        <f t="shared" si="3"/>
        <v>2259676.44</v>
      </c>
      <c r="E15" s="217">
        <f t="shared" si="3"/>
        <v>0</v>
      </c>
      <c r="F15" s="217">
        <f t="shared" si="3"/>
        <v>2981657.12</v>
      </c>
      <c r="G15" s="217">
        <f t="shared" si="3"/>
        <v>0</v>
      </c>
      <c r="H15" s="217">
        <f t="shared" si="3"/>
        <v>2632583.23</v>
      </c>
      <c r="I15" s="217">
        <f t="shared" si="3"/>
        <v>0</v>
      </c>
      <c r="J15" s="217">
        <f t="shared" si="3"/>
        <v>8534316.79</v>
      </c>
      <c r="K15" s="217">
        <f t="shared" si="3"/>
        <v>0</v>
      </c>
      <c r="L15" s="217">
        <f t="shared" si="3"/>
        <v>2473840.44</v>
      </c>
      <c r="M15" s="217">
        <f t="shared" si="3"/>
        <v>0</v>
      </c>
      <c r="N15" s="217">
        <f t="shared" si="3"/>
        <v>2617003.06</v>
      </c>
      <c r="O15" s="217">
        <f t="shared" si="3"/>
        <v>0</v>
      </c>
      <c r="P15" s="217">
        <f t="shared" si="3"/>
        <v>3694369.15</v>
      </c>
      <c r="Q15" s="217">
        <f t="shared" si="3"/>
        <v>0</v>
      </c>
      <c r="R15" s="217">
        <f t="shared" si="3"/>
        <v>9214212.65</v>
      </c>
      <c r="S15" s="217">
        <f t="shared" si="3"/>
        <v>0</v>
      </c>
      <c r="T15" s="217">
        <f t="shared" si="3"/>
        <v>3216027.18</v>
      </c>
      <c r="U15" s="217">
        <f t="shared" si="3"/>
        <v>0</v>
      </c>
      <c r="V15" s="217">
        <f t="shared" si="3"/>
        <v>2637744.8</v>
      </c>
      <c r="W15" s="217">
        <f t="shared" si="3"/>
        <v>0</v>
      </c>
      <c r="X15" s="217">
        <f t="shared" si="3"/>
        <v>1281923.57</v>
      </c>
      <c r="Y15" s="217">
        <f t="shared" si="3"/>
        <v>0</v>
      </c>
      <c r="Z15" s="217">
        <f t="shared" si="3"/>
        <v>7746875.55</v>
      </c>
      <c r="AA15" s="217">
        <f t="shared" si="3"/>
        <v>0</v>
      </c>
      <c r="AB15" s="217">
        <f t="shared" si="3"/>
        <v>4400822.64</v>
      </c>
      <c r="AC15" s="217">
        <f t="shared" si="3"/>
        <v>0</v>
      </c>
      <c r="AD15" s="217">
        <f t="shared" si="3"/>
        <v>3865121.69</v>
      </c>
      <c r="AE15" s="217">
        <f t="shared" si="3"/>
        <v>0</v>
      </c>
      <c r="AF15" s="217">
        <f t="shared" si="3"/>
        <v>5702289.31</v>
      </c>
      <c r="AG15" s="217">
        <f t="shared" si="3"/>
        <v>0</v>
      </c>
      <c r="AH15" s="217">
        <f t="shared" si="3"/>
        <v>14853000.64</v>
      </c>
    </row>
    <row r="16">
      <c r="A16" s="208" t="s">
        <v>280</v>
      </c>
      <c r="B16" s="209">
        <f t="shared" ref="B16:B28" si="4">J16+R16+Z16+AH16</f>
        <v>9159875.6</v>
      </c>
      <c r="C16" s="210">
        <f>SUMIFS('CF BEST'!$C$9:$C1013, 'CF BEST'!$I$9:$I1013, A16,'CF BEST'!$F$9:$F1013, $D$5)</f>
        <v>0</v>
      </c>
      <c r="D16" s="210">
        <f>SUMIFS('CF BEST'!$D$9:$D1013, 'CF BEST'!$I$9:$I1013, A16,'CF BEST'!$F$9:$F1013, $D$5)</f>
        <v>396349</v>
      </c>
      <c r="E16" s="211">
        <f>SUMIFS('CF BEST'!$C$9:$C1013, 'CF BEST'!$I$9:$I1013, A16,'CF BEST'!$F$9:$F1013, $F$5)</f>
        <v>0</v>
      </c>
      <c r="F16" s="211">
        <f>SUMIFS('CF BEST'!$D$9:$D1013, 'CF BEST'!$I$9:$I1013, A16,'CF BEST'!$F$9:$F1013, $F$5)</f>
        <v>543344</v>
      </c>
      <c r="G16" s="212">
        <f>SUMIFS('CF BEST'!$C$9:$C1013, 'CF BEST'!$I$9:$I1013, A16,'CF BEST'!$F$9:$F1013, $H$5)</f>
        <v>0</v>
      </c>
      <c r="H16" s="212">
        <f>SUMIFS('CF BEST'!$D$9:$D1013, 'CF BEST'!$I$9:$I1013, A16,'CF BEST'!$F$9:$F1013, $H$5)</f>
        <v>370587.43</v>
      </c>
      <c r="I16" s="213">
        <f>SUMIFS('CF BEST'!$C$9:$C1013, 'CF BEST'!$I$9:$I1013, A16,'CF BEST'!$F$9:$F1013, $J$5)+C16+E16+G16</f>
        <v>0</v>
      </c>
      <c r="J16" s="213">
        <f>SUMIFS('CF BEST'!$D$9:$D1013, 'CF BEST'!$I$9:$I1013, A16,'CF BEST'!$F$9:$F1013, $J$5)+D16+F16+H16</f>
        <v>1310280.43</v>
      </c>
      <c r="K16" s="210">
        <f>SUMIFS('CF BEST'!$C$9:$C1013, 'CF BEST'!$I$9:$I1013, A16,'CF BEST'!$F$9:$F1013, $L$5)</f>
        <v>0</v>
      </c>
      <c r="L16" s="210">
        <f>SUMIFS('CF BEST'!$D$9:$D1013, 'CF BEST'!$I$9:$I1013, A16,'CF BEST'!$F$9:$F1013, $L$5)</f>
        <v>422597.47</v>
      </c>
      <c r="M16" s="211">
        <f>SUMIFS('CF BEST'!$C$9:$C1013, 'CF BEST'!$I$9:$I1013, A16,'CF BEST'!$F$9:$F1013, $N$5)</f>
        <v>0</v>
      </c>
      <c r="N16" s="211">
        <f>SUMIFS('CF BEST'!$D$9:$D1013, 'CF BEST'!$I$9:$I1013, A16,'CF BEST'!$F$9:$F1013, $N$5)</f>
        <v>432867.17</v>
      </c>
      <c r="O16" s="212">
        <f>SUMIFS('CF BEST'!$C$9:$C1013, 'CF BEST'!$I$9:$I1013, A16,'CF BEST'!$F$9:$F1013, $P$5)</f>
        <v>0</v>
      </c>
      <c r="P16" s="212">
        <f>SUMIFS('CF BEST'!$D$9:$D1013, 'CF BEST'!$I$9:$I1013, A16,'CF BEST'!$F$9:$F1013, $P$5)</f>
        <v>638653</v>
      </c>
      <c r="Q16" s="213">
        <f>SUMIFS('CF BEST'!$C$9:$C1013, 'CF BEST'!$I$9:$I1013, A16,'CF BEST'!$F$9:$F1013, $R$5)+K16+M16+O16</f>
        <v>0</v>
      </c>
      <c r="R16" s="213">
        <f>SUMIFS('CF BEST'!$D$9:$D1013, 'CF BEST'!$I$9:$I1013, A16,'CF BEST'!$F$9:$F1013, $R$5)+L16+N16+P16</f>
        <v>1494117.64</v>
      </c>
      <c r="S16" s="210">
        <f>SUMIFS('CF BEST'!$C$9:$C1013, 'CF BEST'!$I$9:$I1013, A16,'CF BEST'!$F$9:$F1013, $T$5)</f>
        <v>0</v>
      </c>
      <c r="T16" s="210">
        <f>SUMIFS('CF BEST'!$D$9:$D1013, 'CF BEST'!$I$9:$I1013, A16,'CF BEST'!$F$9:$F1013, $T$5)</f>
        <v>0</v>
      </c>
      <c r="U16" s="211">
        <f>SUMIFS('CF BEST'!$C$9:$C1013, 'CF BEST'!$I$9:$I1013, A16,'CF BEST'!$F$9:$F1013, $V$5)</f>
        <v>0</v>
      </c>
      <c r="V16" s="211">
        <f>SUMIFS('CF BEST'!$D$9:$D1013, 'CF BEST'!$I$9:$I1013, A16,'CF BEST'!$F$9:$F1013, $V$5)</f>
        <v>1444897</v>
      </c>
      <c r="W16" s="212">
        <f>SUMIFS('CF BEST'!$C$9:$C1013, 'CF BEST'!$I$9:$I1013, A16,'CF BEST'!$F$9:$F1013, $X$5)</f>
        <v>0</v>
      </c>
      <c r="X16" s="212">
        <f>SUMIFS('CF BEST'!$D$9:$D1013, 'CF BEST'!$I$9:$I1013, A16,'CF BEST'!$F$9:$F1013, $X$5)</f>
        <v>0</v>
      </c>
      <c r="Y16" s="213">
        <f>SUMIFS('CF BEST'!$C$9:$C1013, 'CF BEST'!$I$9:$I1013, A16,'CF BEST'!$F$9:$F1013, $Z$5)+S16+U16+W16</f>
        <v>0</v>
      </c>
      <c r="Z16" s="213">
        <f>SUMIFS('CF BEST'!$D$9:$D1013, 'CF BEST'!$I$9:$I1013, A16,'CF BEST'!$F$9:$F1013, $Z$5)+T16+V16+X16</f>
        <v>1444897</v>
      </c>
      <c r="AA16" s="210">
        <f>SUMIFS('CF BEST'!$C$9:$C1013, 'CF BEST'!$I$9:$I1013, A16,'CF BEST'!$F$9:$F1013, $AB$5)</f>
        <v>0</v>
      </c>
      <c r="AB16" s="210">
        <f>SUMIFS('CF BEST'!$D$9:$D1013, 'CF BEST'!$I$9:$I1013, A16,'CF BEST'!$F$9:$F1013, $AB$5)</f>
        <v>1168800.07</v>
      </c>
      <c r="AC16" s="211">
        <f>SUMIFS('CF BEST'!$C$9:$C1013, 'CF BEST'!$I$9:$I1013, A16,'CF BEST'!$F$9:$F1013, $AD$5)</f>
        <v>0</v>
      </c>
      <c r="AD16" s="211">
        <f>SUMIFS('CF BEST'!$D$9:$D1013, 'CF BEST'!$I$9:$I1013, A16,'CF BEST'!$F$9:$F1013, $AD$5)</f>
        <v>1207396.36</v>
      </c>
      <c r="AE16" s="212">
        <f>SUMIFS('CF BEST'!$C$9:$C1013, 'CF BEST'!$I$9:$I1013, A16,'CF BEST'!$F$9:$F1013, $AF$5)</f>
        <v>0</v>
      </c>
      <c r="AF16" s="212">
        <f>SUMIFS('CF BEST'!$D$9:$D1013, 'CF BEST'!$I$9:$I1013, A16,'CF BEST'!$F$9:$F1013, $AF$5)</f>
        <v>2534384.1</v>
      </c>
      <c r="AG16" s="213">
        <f>SUMIFS('CF BEST'!$C$9:$C1013, 'CF BEST'!$I$9:$I1013, A16,'CF BEST'!$F$9:$F1013, $AH$5)+AA16+AC16+AE16</f>
        <v>0</v>
      </c>
      <c r="AH16" s="213">
        <f>SUMIFS('CF BEST'!$D$9:$D1013, 'CF BEST'!$I$9:$I1013, A16,'CF BEST'!$F$9:$F1013, $AH$5)+AB16+AD16+AF16</f>
        <v>4910580.53</v>
      </c>
    </row>
    <row r="17">
      <c r="A17" s="208" t="s">
        <v>68</v>
      </c>
      <c r="B17" s="209">
        <f t="shared" si="4"/>
        <v>14520629.89</v>
      </c>
      <c r="C17" s="210">
        <f>SUMIFS('CF BEST'!$C$9:$C1013, 'CF BEST'!$I$9:$I1013, A17,'CF BEST'!$F$9:$F1013, $D$5)</f>
        <v>0</v>
      </c>
      <c r="D17" s="210">
        <f>SUMIFS('CF BEST'!$D$9:$D1013, 'CF BEST'!$I$9:$I1013, A17,'CF BEST'!$F$9:$F1013, $D$5)</f>
        <v>670661.54</v>
      </c>
      <c r="E17" s="211">
        <f>SUMIFS('CF BEST'!$C$9:$C1013, 'CF BEST'!$I$9:$I1013, A17,'CF BEST'!$F$9:$F1013, $F$5)</f>
        <v>0</v>
      </c>
      <c r="F17" s="211">
        <f>SUMIFS('CF BEST'!$D$9:$D1013, 'CF BEST'!$I$9:$I1013, A17,'CF BEST'!$F$9:$F1013, $F$5)</f>
        <v>543837.65</v>
      </c>
      <c r="G17" s="212">
        <f>SUMIFS('CF BEST'!$C$9:$C1013, 'CF BEST'!$I$9:$I1013, A17,'CF BEST'!$F$9:$F1013, $H$5)</f>
        <v>0</v>
      </c>
      <c r="H17" s="212">
        <f>SUMIFS('CF BEST'!$D$9:$D1013, 'CF BEST'!$I$9:$I1013, A17,'CF BEST'!$F$9:$F1013, $H$5)</f>
        <v>812742.83</v>
      </c>
      <c r="I17" s="213">
        <f>SUMIFS('CF BEST'!$C$9:$C1013, 'CF BEST'!$I$9:$I1013, A17,'CF BEST'!$F$9:$F1013, $J$5)+C17+E17+G17</f>
        <v>0</v>
      </c>
      <c r="J17" s="213">
        <f>SUMIFS('CF BEST'!$D$9:$D1013, 'CF BEST'!$I$9:$I1013, A17,'CF BEST'!$F$9:$F1013, $J$5)+D17+F17+H17</f>
        <v>2027242.02</v>
      </c>
      <c r="K17" s="210">
        <f>SUMIFS('CF BEST'!$C$9:$C1013, 'CF BEST'!$I$9:$I1013, A17,'CF BEST'!$F$9:$F1013, $L$5)</f>
        <v>0</v>
      </c>
      <c r="L17" s="210">
        <f>SUMIFS('CF BEST'!$D$9:$D1013, 'CF BEST'!$I$9:$I1013, A17,'CF BEST'!$F$9:$F1013, $L$5)</f>
        <v>1434107.65</v>
      </c>
      <c r="M17" s="211">
        <f>SUMIFS('CF BEST'!$C$9:$C1013, 'CF BEST'!$I$9:$I1013, A17,'CF BEST'!$F$9:$F1013, $N$5)</f>
        <v>0</v>
      </c>
      <c r="N17" s="211">
        <f>SUMIFS('CF BEST'!$D$9:$D1013, 'CF BEST'!$I$9:$I1013, A17,'CF BEST'!$F$9:$F1013, $N$5)</f>
        <v>1643267.29</v>
      </c>
      <c r="O17" s="212">
        <f>SUMIFS('CF BEST'!$C$9:$C1013, 'CF BEST'!$I$9:$I1013, A17,'CF BEST'!$F$9:$F1013, $P$5)</f>
        <v>0</v>
      </c>
      <c r="P17" s="212">
        <f>SUMIFS('CF BEST'!$D$9:$D1013, 'CF BEST'!$I$9:$I1013, A17,'CF BEST'!$F$9:$F1013, $P$5)</f>
        <v>957937.68</v>
      </c>
      <c r="Q17" s="213">
        <f>SUMIFS('CF BEST'!$C$9:$C1013, 'CF BEST'!$I$9:$I1013, A17,'CF BEST'!$F$9:$F1013, $R$5)+K17+M17+O17</f>
        <v>0</v>
      </c>
      <c r="R17" s="213">
        <f>SUMIFS('CF BEST'!$D$9:$D1013, 'CF BEST'!$I$9:$I1013, A17,'CF BEST'!$F$9:$F1013, $R$5)+L17+N17+P17</f>
        <v>4035312.62</v>
      </c>
      <c r="S17" s="210">
        <f>SUMIFS('CF BEST'!$C$9:$C1013, 'CF BEST'!$I$9:$I1013, A17,'CF BEST'!$F$9:$F1013, $T$5)</f>
        <v>0</v>
      </c>
      <c r="T17" s="210">
        <f>SUMIFS('CF BEST'!$D$9:$D1013, 'CF BEST'!$I$9:$I1013, A17,'CF BEST'!$F$9:$F1013, $T$5)</f>
        <v>2611780.68</v>
      </c>
      <c r="U17" s="211">
        <f>SUMIFS('CF BEST'!$C$9:$C1013, 'CF BEST'!$I$9:$I1013, A17,'CF BEST'!$F$9:$F1013, $V$5)</f>
        <v>0</v>
      </c>
      <c r="V17" s="211">
        <f>SUMIFS('CF BEST'!$D$9:$D1013, 'CF BEST'!$I$9:$I1013, A17,'CF BEST'!$F$9:$F1013, $V$5)</f>
        <v>276598.8</v>
      </c>
      <c r="W17" s="212">
        <f>SUMIFS('CF BEST'!$C$9:$C1013, 'CF BEST'!$I$9:$I1013, A17,'CF BEST'!$F$9:$F1013, $X$5)</f>
        <v>0</v>
      </c>
      <c r="X17" s="212">
        <f>SUMIFS('CF BEST'!$D$9:$D1013, 'CF BEST'!$I$9:$I1013, A17,'CF BEST'!$F$9:$F1013, $X$5)</f>
        <v>0</v>
      </c>
      <c r="Y17" s="213">
        <f>SUMIFS('CF BEST'!$C$9:$C1013, 'CF BEST'!$I$9:$I1013, A17,'CF BEST'!$F$9:$F1013, $Z$5)+S17+U17+W17</f>
        <v>0</v>
      </c>
      <c r="Z17" s="213">
        <f>SUMIFS('CF BEST'!$D$9:$D1013, 'CF BEST'!$I$9:$I1013, A17,'CF BEST'!$F$9:$F1013, $Z$5)+T17+V17+X17</f>
        <v>2888379.48</v>
      </c>
      <c r="AA17" s="210">
        <f>SUMIFS('CF BEST'!$C$9:$C1013, 'CF BEST'!$I$9:$I1013, A17,'CF BEST'!$F$9:$F1013, $AB$5)</f>
        <v>0</v>
      </c>
      <c r="AB17" s="210">
        <f>SUMIFS('CF BEST'!$D$9:$D1013, 'CF BEST'!$I$9:$I1013, A17,'CF BEST'!$F$9:$F1013, $AB$5)</f>
        <v>1846174.58</v>
      </c>
      <c r="AC17" s="211">
        <f>SUMIFS('CF BEST'!$C$9:$C1013, 'CF BEST'!$I$9:$I1013, A17,'CF BEST'!$F$9:$F1013, $AD$5)</f>
        <v>0</v>
      </c>
      <c r="AD17" s="211">
        <f>SUMIFS('CF BEST'!$D$9:$D1013, 'CF BEST'!$I$9:$I1013, A17,'CF BEST'!$F$9:$F1013, $AD$5)</f>
        <v>1839812.33</v>
      </c>
      <c r="AE17" s="212">
        <f>SUMIFS('CF BEST'!$C$9:$C1013, 'CF BEST'!$I$9:$I1013, A17,'CF BEST'!$F$9:$F1013, $AF$5)</f>
        <v>0</v>
      </c>
      <c r="AF17" s="212">
        <f>SUMIFS('CF BEST'!$D$9:$D1013, 'CF BEST'!$I$9:$I1013, A17,'CF BEST'!$F$9:$F1013, $AF$5)</f>
        <v>1883708.86</v>
      </c>
      <c r="AG17" s="213">
        <f>SUMIFS('CF BEST'!$C$9:$C1013, 'CF BEST'!$I$9:$I1013, A17,'CF BEST'!$F$9:$F1013, $AH$5)+AA17+AC17+AE17</f>
        <v>0</v>
      </c>
      <c r="AH17" s="213">
        <f>SUMIFS('CF BEST'!$D$9:$D1013, 'CF BEST'!$I$9:$I1013, A17,'CF BEST'!$F$9:$F1013, $AH$5)+AB17+AD17+AF17</f>
        <v>5569695.77</v>
      </c>
    </row>
    <row r="18">
      <c r="A18" s="208" t="s">
        <v>53</v>
      </c>
      <c r="B18" s="209">
        <f t="shared" si="4"/>
        <v>7223862</v>
      </c>
      <c r="C18" s="210">
        <f>SUMIFS('CF BEST'!$C$9:$C1013, 'CF BEST'!$I$9:$I1013, A18,'CF BEST'!$F$9:$F1013, $D$5)</f>
        <v>0</v>
      </c>
      <c r="D18" s="210">
        <f>SUMIFS('CF BEST'!$D$9:$D1013, 'CF BEST'!$I$9:$I1013, A18,'CF BEST'!$F$9:$F1013, $D$5)</f>
        <v>905000</v>
      </c>
      <c r="E18" s="211">
        <f>SUMIFS('CF BEST'!$C$9:$C1013, 'CF BEST'!$I$9:$I1013, A18,'CF BEST'!$F$9:$F1013, $F$5)</f>
        <v>0</v>
      </c>
      <c r="F18" s="211">
        <f>SUMIFS('CF BEST'!$D$9:$D1013, 'CF BEST'!$I$9:$I1013, A18,'CF BEST'!$F$9:$F1013, $F$5)</f>
        <v>755000</v>
      </c>
      <c r="G18" s="212">
        <f>SUMIFS('CF BEST'!$C$9:$C1013, 'CF BEST'!$I$9:$I1013, A18,'CF BEST'!$F$9:$F1013, $H$5)</f>
        <v>0</v>
      </c>
      <c r="H18" s="212">
        <f>SUMIFS('CF BEST'!$D$9:$D1013, 'CF BEST'!$I$9:$I1013, A18,'CF BEST'!$F$9:$F1013, $H$5)</f>
        <v>855640</v>
      </c>
      <c r="I18" s="213">
        <f>SUMIFS('CF BEST'!$C$9:$C1013, 'CF BEST'!$I$9:$I1013, A18,'CF BEST'!$F$9:$F1013, $J$5)+C18+E18+G18</f>
        <v>0</v>
      </c>
      <c r="J18" s="213">
        <f>SUMIFS('CF BEST'!$D$9:$D1013, 'CF BEST'!$I$9:$I1013, A18,'CF BEST'!$F$9:$F1013, $J$5)+D18+F18+H18</f>
        <v>2515640</v>
      </c>
      <c r="K18" s="210">
        <f>SUMIFS('CF BEST'!$C$9:$C1013, 'CF BEST'!$I$9:$I1013, A18,'CF BEST'!$F$9:$F1013, $L$5)</f>
        <v>0</v>
      </c>
      <c r="L18" s="210">
        <f>SUMIFS('CF BEST'!$D$9:$D1013, 'CF BEST'!$I$9:$I1013, A18,'CF BEST'!$F$9:$F1013, $L$5)</f>
        <v>255500</v>
      </c>
      <c r="M18" s="211">
        <f>SUMIFS('CF BEST'!$C$9:$C1013, 'CF BEST'!$I$9:$I1013, A18,'CF BEST'!$F$9:$F1013, $N$5)</f>
        <v>0</v>
      </c>
      <c r="N18" s="211">
        <f>SUMIFS('CF BEST'!$D$9:$D1013, 'CF BEST'!$I$9:$I1013, A18,'CF BEST'!$F$9:$F1013, $N$5)</f>
        <v>160000</v>
      </c>
      <c r="O18" s="212">
        <f>SUMIFS('CF BEST'!$C$9:$C1013, 'CF BEST'!$I$9:$I1013, A18,'CF BEST'!$F$9:$F1013, $P$5)</f>
        <v>0</v>
      </c>
      <c r="P18" s="212">
        <f>SUMIFS('CF BEST'!$D$9:$D1013, 'CF BEST'!$I$9:$I1013, A18,'CF BEST'!$F$9:$F1013, $P$5)</f>
        <v>1735722</v>
      </c>
      <c r="Q18" s="213">
        <f>SUMIFS('CF BEST'!$C$9:$C1013, 'CF BEST'!$I$9:$I1013, A18,'CF BEST'!$F$9:$F1013, $R$5)+K18+M18+O18</f>
        <v>0</v>
      </c>
      <c r="R18" s="213">
        <f>SUMIFS('CF BEST'!$D$9:$D1013, 'CF BEST'!$I$9:$I1013, A18,'CF BEST'!$F$9:$F1013, $R$5)+L18+N18+P18</f>
        <v>2151222</v>
      </c>
      <c r="S18" s="210">
        <f>SUMIFS('CF BEST'!$C$9:$C1013, 'CF BEST'!$I$9:$I1013, A18,'CF BEST'!$F$9:$F1013, $T$5)</f>
        <v>0</v>
      </c>
      <c r="T18" s="210">
        <f>SUMIFS('CF BEST'!$D$9:$D1013, 'CF BEST'!$I$9:$I1013, A18,'CF BEST'!$F$9:$F1013, $T$5)</f>
        <v>20000</v>
      </c>
      <c r="U18" s="211">
        <f>SUMIFS('CF BEST'!$C$9:$C1013, 'CF BEST'!$I$9:$I1013, A18,'CF BEST'!$F$9:$F1013, $V$5)</f>
        <v>0</v>
      </c>
      <c r="V18" s="211">
        <f>SUMIFS('CF BEST'!$D$9:$D1013, 'CF BEST'!$I$9:$I1013, A18,'CF BEST'!$F$9:$F1013, $V$5)</f>
        <v>332000</v>
      </c>
      <c r="W18" s="212">
        <f>SUMIFS('CF BEST'!$C$9:$C1013, 'CF BEST'!$I$9:$I1013, A18,'CF BEST'!$F$9:$F1013, $X$5)</f>
        <v>0</v>
      </c>
      <c r="X18" s="212">
        <f>SUMIFS('CF BEST'!$D$9:$D1013, 'CF BEST'!$I$9:$I1013, A18,'CF BEST'!$F$9:$F1013, $X$5)</f>
        <v>545000</v>
      </c>
      <c r="Y18" s="213">
        <f>SUMIFS('CF BEST'!$C$9:$C1013, 'CF BEST'!$I$9:$I1013, A18,'CF BEST'!$F$9:$F1013, $Z$5)+S18+U18+W18</f>
        <v>0</v>
      </c>
      <c r="Z18" s="213">
        <f>SUMIFS('CF BEST'!$D$9:$D1013, 'CF BEST'!$I$9:$I1013, A18,'CF BEST'!$F$9:$F1013, $Z$5)+T18+V18+X18</f>
        <v>897000</v>
      </c>
      <c r="AA18" s="210">
        <f>SUMIFS('CF BEST'!$C$9:$C1013, 'CF BEST'!$I$9:$I1013, A18,'CF BEST'!$F$9:$F1013, $AB$5)</f>
        <v>0</v>
      </c>
      <c r="AB18" s="210">
        <f>SUMIFS('CF BEST'!$D$9:$D1013, 'CF BEST'!$I$9:$I1013, A18,'CF BEST'!$F$9:$F1013, $AB$5)</f>
        <v>790000</v>
      </c>
      <c r="AC18" s="211">
        <f>SUMIFS('CF BEST'!$C$9:$C1013, 'CF BEST'!$I$9:$I1013, A18,'CF BEST'!$F$9:$F1013, $AD$5)</f>
        <v>0</v>
      </c>
      <c r="AD18" s="211">
        <f>SUMIFS('CF BEST'!$D$9:$D1013, 'CF BEST'!$I$9:$I1013, A18,'CF BEST'!$F$9:$F1013, $AD$5)</f>
        <v>340000</v>
      </c>
      <c r="AE18" s="212">
        <f>SUMIFS('CF BEST'!$C$9:$C1013, 'CF BEST'!$I$9:$I1013, A18,'CF BEST'!$F$9:$F1013, $AF$5)</f>
        <v>0</v>
      </c>
      <c r="AF18" s="212">
        <f>SUMIFS('CF BEST'!$D$9:$D1013, 'CF BEST'!$I$9:$I1013, A18,'CF BEST'!$F$9:$F1013, $AF$5)</f>
        <v>530000</v>
      </c>
      <c r="AG18" s="213">
        <f>SUMIFS('CF BEST'!$C$9:$C1013, 'CF BEST'!$I$9:$I1013, A18,'CF BEST'!$F$9:$F1013, $AH$5)+AA18+AC18+AE18</f>
        <v>0</v>
      </c>
      <c r="AH18" s="213">
        <f>SUMIFS('CF BEST'!$D$9:$D1013, 'CF BEST'!$I$9:$I1013, A18,'CF BEST'!$F$9:$F1013, $AH$5)+AB18+AD18+AF18</f>
        <v>1660000</v>
      </c>
    </row>
    <row r="19">
      <c r="A19" s="208" t="s">
        <v>65</v>
      </c>
      <c r="B19" s="209">
        <f t="shared" si="4"/>
        <v>2654130</v>
      </c>
      <c r="C19" s="210">
        <f>SUMIFS('CF BEST'!$C$9:$C1013, 'CF BEST'!$I$9:$I1013, A19,'CF BEST'!$F$9:$F1013, $D$5)</f>
        <v>0</v>
      </c>
      <c r="D19" s="210">
        <f>SUMIFS('CF BEST'!$D$9:$D1013, 'CF BEST'!$I$9:$I1013, A19,'CF BEST'!$F$9:$F1013, $D$5)</f>
        <v>0</v>
      </c>
      <c r="E19" s="211">
        <f>SUMIFS('CF BEST'!$C$9:$C1013, 'CF BEST'!$I$9:$I1013, A19,'CF BEST'!$F$9:$F1013, $F$5)</f>
        <v>0</v>
      </c>
      <c r="F19" s="211">
        <f>SUMIFS('CF BEST'!$D$9:$D1013, 'CF BEST'!$I$9:$I1013, A19,'CF BEST'!$F$9:$F1013, $F$5)</f>
        <v>0</v>
      </c>
      <c r="G19" s="212">
        <f>SUMIFS('CF BEST'!$C$9:$C1013, 'CF BEST'!$I$9:$I1013, A19,'CF BEST'!$F$9:$F1013, $H$5)</f>
        <v>0</v>
      </c>
      <c r="H19" s="212">
        <f>SUMIFS('CF BEST'!$D$9:$D1013, 'CF BEST'!$I$9:$I1013, A19,'CF BEST'!$F$9:$F1013, $H$5)</f>
        <v>68783</v>
      </c>
      <c r="I19" s="213">
        <f>SUMIFS('CF BEST'!$C$9:$C1013, 'CF BEST'!$I$9:$I1013, A19,'CF BEST'!$F$9:$F1013, $J$5)+C19+E19+G19</f>
        <v>0</v>
      </c>
      <c r="J19" s="213">
        <f>SUMIFS('CF BEST'!$D$9:$D1013, 'CF BEST'!$I$9:$I1013, A19,'CF BEST'!$F$9:$F1013, $J$5)+D19+F19+H19</f>
        <v>729183</v>
      </c>
      <c r="K19" s="210">
        <f>SUMIFS('CF BEST'!$C$9:$C1013, 'CF BEST'!$I$9:$I1013, A19,'CF BEST'!$F$9:$F1013, $L$5)</f>
        <v>0</v>
      </c>
      <c r="L19" s="210">
        <f>SUMIFS('CF BEST'!$D$9:$D1013, 'CF BEST'!$I$9:$I1013, A19,'CF BEST'!$F$9:$F1013, $L$5)</f>
        <v>0</v>
      </c>
      <c r="M19" s="211">
        <f>SUMIFS('CF BEST'!$C$9:$C1013, 'CF BEST'!$I$9:$I1013, A19,'CF BEST'!$F$9:$F1013, $N$5)</f>
        <v>0</v>
      </c>
      <c r="N19" s="211">
        <f>SUMIFS('CF BEST'!$D$9:$D1013, 'CF BEST'!$I$9:$I1013, A19,'CF BEST'!$F$9:$F1013, $N$5)</f>
        <v>0</v>
      </c>
      <c r="O19" s="212">
        <f>SUMIFS('CF BEST'!$C$9:$C1013, 'CF BEST'!$I$9:$I1013, A19,'CF BEST'!$F$9:$F1013, $P$5)</f>
        <v>0</v>
      </c>
      <c r="P19" s="212">
        <f>SUMIFS('CF BEST'!$D$9:$D1013, 'CF BEST'!$I$9:$I1013, A19,'CF BEST'!$F$9:$F1013, $P$5)</f>
        <v>0</v>
      </c>
      <c r="Q19" s="213">
        <f>SUMIFS('CF BEST'!$C$9:$C1013, 'CF BEST'!$I$9:$I1013, A19,'CF BEST'!$F$9:$F1013, $R$5)+K19+M19+O19</f>
        <v>0</v>
      </c>
      <c r="R19" s="213">
        <f>SUMIFS('CF BEST'!$D$9:$D1013, 'CF BEST'!$I$9:$I1013, A19,'CF BEST'!$F$9:$F1013, $R$5)+L19+N19+P19</f>
        <v>429000</v>
      </c>
      <c r="S19" s="210">
        <f>SUMIFS('CF BEST'!$C$9:$C1013, 'CF BEST'!$I$9:$I1013, A19,'CF BEST'!$F$9:$F1013, $T$5)</f>
        <v>0</v>
      </c>
      <c r="T19" s="210">
        <f>SUMIFS('CF BEST'!$D$9:$D1013, 'CF BEST'!$I$9:$I1013, A19,'CF BEST'!$F$9:$F1013, $T$5)</f>
        <v>0</v>
      </c>
      <c r="U19" s="211">
        <f>SUMIFS('CF BEST'!$C$9:$C1013, 'CF BEST'!$I$9:$I1013, A19,'CF BEST'!$F$9:$F1013, $V$5)</f>
        <v>0</v>
      </c>
      <c r="V19" s="211">
        <f>SUMIFS('CF BEST'!$D$9:$D1013, 'CF BEST'!$I$9:$I1013, A19,'CF BEST'!$F$9:$F1013, $V$5)</f>
        <v>0</v>
      </c>
      <c r="W19" s="212">
        <f>SUMIFS('CF BEST'!$C$9:$C1013, 'CF BEST'!$I$9:$I1013, A19,'CF BEST'!$F$9:$F1013, $X$5)</f>
        <v>0</v>
      </c>
      <c r="X19" s="212">
        <f>SUMIFS('CF BEST'!$D$9:$D1013, 'CF BEST'!$I$9:$I1013, A19,'CF BEST'!$F$9:$F1013, $X$5)</f>
        <v>0</v>
      </c>
      <c r="Y19" s="213">
        <f>SUMIFS('CF BEST'!$C$9:$C1013, 'CF BEST'!$I$9:$I1013, A19,'CF BEST'!$F$9:$F1013, $Z$5)+S19+U19+W19</f>
        <v>0</v>
      </c>
      <c r="Z19" s="213">
        <f>SUMIFS('CF BEST'!$D$9:$D1013, 'CF BEST'!$I$9:$I1013, A19,'CF BEST'!$F$9:$F1013, $Z$5)+T19+V19+X19</f>
        <v>611180</v>
      </c>
      <c r="AA19" s="210">
        <f>SUMIFS('CF BEST'!$C$9:$C1013, 'CF BEST'!$I$9:$I1013, A19,'CF BEST'!$F$9:$F1013, $AB$5)</f>
        <v>0</v>
      </c>
      <c r="AB19" s="210">
        <f>SUMIFS('CF BEST'!$D$9:$D1013, 'CF BEST'!$I$9:$I1013, A19,'CF BEST'!$F$9:$F1013, $AB$5)</f>
        <v>0</v>
      </c>
      <c r="AC19" s="211">
        <f>SUMIFS('CF BEST'!$C$9:$C1013, 'CF BEST'!$I$9:$I1013, A19,'CF BEST'!$F$9:$F1013, $AD$5)</f>
        <v>0</v>
      </c>
      <c r="AD19" s="211">
        <f>SUMIFS('CF BEST'!$D$9:$D1013, 'CF BEST'!$I$9:$I1013, A19,'CF BEST'!$F$9:$F1013, $AD$5)</f>
        <v>0</v>
      </c>
      <c r="AE19" s="212">
        <f>SUMIFS('CF BEST'!$C$9:$C1013, 'CF BEST'!$I$9:$I1013, A19,'CF BEST'!$F$9:$F1013, $AF$5)</f>
        <v>0</v>
      </c>
      <c r="AF19" s="212">
        <f>SUMIFS('CF BEST'!$D$9:$D1013, 'CF BEST'!$I$9:$I1013, A19,'CF BEST'!$F$9:$F1013, $AF$5)</f>
        <v>0</v>
      </c>
      <c r="AG19" s="213">
        <f>SUMIFS('CF BEST'!$C$9:$C1013, 'CF BEST'!$I$9:$I1013, A19,'CF BEST'!$F$9:$F1013, $AH$5)+AA19+AC19+AE19</f>
        <v>0</v>
      </c>
      <c r="AH19" s="213">
        <f>SUMIFS('CF BEST'!$D$9:$D1013, 'CF BEST'!$I$9:$I1013, A19,'CF BEST'!$F$9:$F1013, $AH$5)+AB19+AD19+AF19</f>
        <v>884767</v>
      </c>
    </row>
    <row r="20">
      <c r="A20" s="208" t="s">
        <v>599</v>
      </c>
      <c r="B20" s="209">
        <f t="shared" si="4"/>
        <v>3769351.07</v>
      </c>
      <c r="C20" s="210">
        <f>SUMIFS('CF BEST'!$C$9:$C1013, 'CF BEST'!$I$9:$I1013, A20,'CF BEST'!$F$9:$F1013, $D$5)</f>
        <v>0</v>
      </c>
      <c r="D20" s="210">
        <f>SUMIFS('CF BEST'!$D$9:$D1013, 'CF BEST'!$I$9:$I1013, A20,'CF BEST'!$F$9:$F1013, $D$5)</f>
        <v>129648</v>
      </c>
      <c r="E20" s="211">
        <f>SUMIFS('CF BEST'!$C$9:$C1013, 'CF BEST'!$I$9:$I1013, A20,'CF BEST'!$F$9:$F1013, $F$5)</f>
        <v>0</v>
      </c>
      <c r="F20" s="211">
        <f>SUMIFS('CF BEST'!$D$9:$D1013, 'CF BEST'!$I$9:$I1013, A20,'CF BEST'!$F$9:$F1013, $F$5)</f>
        <v>900100</v>
      </c>
      <c r="G20" s="212">
        <f>SUMIFS('CF BEST'!$C$9:$C1013, 'CF BEST'!$I$9:$I1013, A20,'CF BEST'!$F$9:$F1013, $H$5)</f>
        <v>0</v>
      </c>
      <c r="H20" s="212">
        <f>SUMIFS('CF BEST'!$D$9:$D1013, 'CF BEST'!$I$9:$I1013, A20,'CF BEST'!$F$9:$F1013, $H$5)</f>
        <v>281930</v>
      </c>
      <c r="I20" s="213">
        <f>SUMIFS('CF BEST'!$C$9:$C1013, 'CF BEST'!$I$9:$I1013, A20,'CF BEST'!$F$9:$F1013, $J$5)+C20+E20+G20</f>
        <v>0</v>
      </c>
      <c r="J20" s="213">
        <f>SUMIFS('CF BEST'!$D$9:$D1013, 'CF BEST'!$I$9:$I1013, A20,'CF BEST'!$F$9:$F1013, $J$5)+D20+F20+H20</f>
        <v>1311678</v>
      </c>
      <c r="K20" s="210">
        <f>SUMIFS('CF BEST'!$C$9:$C1013, 'CF BEST'!$I$9:$I1013, A20,'CF BEST'!$F$9:$F1013, $L$5)</f>
        <v>0</v>
      </c>
      <c r="L20" s="210">
        <f>SUMIFS('CF BEST'!$D$9:$D1013, 'CF BEST'!$I$9:$I1013, A20,'CF BEST'!$F$9:$F1013, $L$5)</f>
        <v>152979.85</v>
      </c>
      <c r="M20" s="211">
        <f>SUMIFS('CF BEST'!$C$9:$C1013, 'CF BEST'!$I$9:$I1013, A20,'CF BEST'!$F$9:$F1013, $N$5)</f>
        <v>0</v>
      </c>
      <c r="N20" s="211">
        <f>SUMIFS('CF BEST'!$D$9:$D1013, 'CF BEST'!$I$9:$I1013, A20,'CF BEST'!$F$9:$F1013, $N$5)</f>
        <v>148836</v>
      </c>
      <c r="O20" s="212">
        <f>SUMIFS('CF BEST'!$C$9:$C1013, 'CF BEST'!$I$9:$I1013, A20,'CF BEST'!$F$9:$F1013, $P$5)</f>
        <v>0</v>
      </c>
      <c r="P20" s="212">
        <f>SUMIFS('CF BEST'!$D$9:$D1013, 'CF BEST'!$I$9:$I1013, A20,'CF BEST'!$F$9:$F1013, $P$5)</f>
        <v>109101.22</v>
      </c>
      <c r="Q20" s="213">
        <f>SUMIFS('CF BEST'!$C$9:$C1013, 'CF BEST'!$I$9:$I1013, A20,'CF BEST'!$F$9:$F1013, $R$5)+K20+M20+O20</f>
        <v>0</v>
      </c>
      <c r="R20" s="213">
        <f>SUMIFS('CF BEST'!$D$9:$D1013, 'CF BEST'!$I$9:$I1013, A20,'CF BEST'!$F$9:$F1013, $R$5)+L20+N20+P20</f>
        <v>410917.07</v>
      </c>
      <c r="S20" s="210">
        <f>SUMIFS('CF BEST'!$C$9:$C1013, 'CF BEST'!$I$9:$I1013, A20,'CF BEST'!$F$9:$F1013, $T$5)</f>
        <v>0</v>
      </c>
      <c r="T20" s="210">
        <f>SUMIFS('CF BEST'!$D$9:$D1013, 'CF BEST'!$I$9:$I1013, A20,'CF BEST'!$F$9:$F1013, $T$5)</f>
        <v>238438</v>
      </c>
      <c r="U20" s="211">
        <f>SUMIFS('CF BEST'!$C$9:$C1013, 'CF BEST'!$I$9:$I1013, A20,'CF BEST'!$F$9:$F1013, $V$5)</f>
        <v>0</v>
      </c>
      <c r="V20" s="211">
        <f>SUMIFS('CF BEST'!$D$9:$D1013, 'CF BEST'!$I$9:$I1013, A20,'CF BEST'!$F$9:$F1013, $V$5)</f>
        <v>238441</v>
      </c>
      <c r="W20" s="212">
        <f>SUMIFS('CF BEST'!$C$9:$C1013, 'CF BEST'!$I$9:$I1013, A20,'CF BEST'!$F$9:$F1013, $X$5)</f>
        <v>0</v>
      </c>
      <c r="X20" s="212">
        <f>SUMIFS('CF BEST'!$D$9:$D1013, 'CF BEST'!$I$9:$I1013, A20,'CF BEST'!$F$9:$F1013, $X$5)</f>
        <v>179431</v>
      </c>
      <c r="Y20" s="213">
        <f>SUMIFS('CF BEST'!$C$9:$C1013, 'CF BEST'!$I$9:$I1013, A20,'CF BEST'!$F$9:$F1013, $Z$5)+S20+U20+W20</f>
        <v>0</v>
      </c>
      <c r="Z20" s="213">
        <f>SUMIFS('CF BEST'!$D$9:$D1013, 'CF BEST'!$I$9:$I1013, A20,'CF BEST'!$F$9:$F1013, $Z$5)+T20+V20+X20</f>
        <v>656310</v>
      </c>
      <c r="AA20" s="210">
        <f>SUMIFS('CF BEST'!$C$9:$C1013, 'CF BEST'!$I$9:$I1013, A20,'CF BEST'!$F$9:$F1013, $AB$5)</f>
        <v>0</v>
      </c>
      <c r="AB20" s="210">
        <f>SUMIFS('CF BEST'!$D$9:$D1013, 'CF BEST'!$I$9:$I1013, A20,'CF BEST'!$F$9:$F1013, $AB$5)</f>
        <v>165412</v>
      </c>
      <c r="AC20" s="211">
        <f>SUMIFS('CF BEST'!$C$9:$C1013, 'CF BEST'!$I$9:$I1013, A20,'CF BEST'!$F$9:$F1013, $AD$5)</f>
        <v>0</v>
      </c>
      <c r="AD20" s="211">
        <f>SUMIFS('CF BEST'!$D$9:$D1013, 'CF BEST'!$I$9:$I1013, A20,'CF BEST'!$F$9:$F1013, $AD$5)</f>
        <v>477913</v>
      </c>
      <c r="AE20" s="212">
        <f>SUMIFS('CF BEST'!$C$9:$C1013, 'CF BEST'!$I$9:$I1013, A20,'CF BEST'!$F$9:$F1013, $AF$5)</f>
        <v>0</v>
      </c>
      <c r="AF20" s="212">
        <f>SUMIFS('CF BEST'!$D$9:$D1013, 'CF BEST'!$I$9:$I1013, A20,'CF BEST'!$F$9:$F1013, $AF$5)</f>
        <v>747121</v>
      </c>
      <c r="AG20" s="213">
        <f>SUMIFS('CF BEST'!$C$9:$C1013, 'CF BEST'!$I$9:$I1013, A20,'CF BEST'!$F$9:$F1013, $AH$5)+AA20+AC20+AE20</f>
        <v>0</v>
      </c>
      <c r="AH20" s="213">
        <f>SUMIFS('CF BEST'!$D$9:$D1013, 'CF BEST'!$I$9:$I1013, A20,'CF BEST'!$F$9:$F1013, $AH$5)+AB20+AD20+AF20</f>
        <v>1390446</v>
      </c>
    </row>
    <row r="21">
      <c r="A21" s="208" t="s">
        <v>622</v>
      </c>
      <c r="B21" s="209">
        <f t="shared" si="4"/>
        <v>3020557.07</v>
      </c>
      <c r="C21" s="210">
        <f>SUMIFS('CF BEST'!$C$9:$C1013, 'CF BEST'!$I$9:$I1013, A21,'CF BEST'!$F$9:$F1013, $D$5)</f>
        <v>0</v>
      </c>
      <c r="D21" s="210">
        <f>SUMIFS('CF BEST'!$D$9:$D1013, 'CF BEST'!$I$9:$I1013, A21,'CF BEST'!$F$9:$F1013, $D$5)</f>
        <v>158017.9</v>
      </c>
      <c r="E21" s="211">
        <f>SUMIFS('CF BEST'!$C$9:$C1013, 'CF BEST'!$I$9:$I1013, A21,'CF BEST'!$F$9:$F1013, $F$5)</f>
        <v>0</v>
      </c>
      <c r="F21" s="211">
        <f>SUMIFS('CF BEST'!$D$9:$D1013, 'CF BEST'!$I$9:$I1013, A21,'CF BEST'!$F$9:$F1013, $F$5)</f>
        <v>239375.47</v>
      </c>
      <c r="G21" s="212">
        <f>SUMIFS('CF BEST'!$C$9:$C1013, 'CF BEST'!$I$9:$I1013, A21,'CF BEST'!$F$9:$F1013, $H$5)</f>
        <v>0</v>
      </c>
      <c r="H21" s="212">
        <f>SUMIFS('CF BEST'!$D$9:$D1013, 'CF BEST'!$I$9:$I1013, A21,'CF BEST'!$F$9:$F1013, $H$5)</f>
        <v>242899.97</v>
      </c>
      <c r="I21" s="213">
        <f>SUMIFS('CF BEST'!$C$9:$C1013, 'CF BEST'!$I$9:$I1013, A21,'CF BEST'!$F$9:$F1013, $J$5)+C21+E21+G21</f>
        <v>0</v>
      </c>
      <c r="J21" s="213">
        <f>SUMIFS('CF BEST'!$D$9:$D1013, 'CF BEST'!$I$9:$I1013, A21,'CF BEST'!$F$9:$F1013, $J$5)+D21+F21+H21</f>
        <v>640293.34</v>
      </c>
      <c r="K21" s="210">
        <f>SUMIFS('CF BEST'!$C$9:$C1013, 'CF BEST'!$I$9:$I1013, A21,'CF BEST'!$F$9:$F1013, $L$5)</f>
        <v>0</v>
      </c>
      <c r="L21" s="210">
        <f>SUMIFS('CF BEST'!$D$9:$D1013, 'CF BEST'!$I$9:$I1013, A21,'CF BEST'!$F$9:$F1013, $L$5)</f>
        <v>208655.47</v>
      </c>
      <c r="M21" s="211">
        <f>SUMIFS('CF BEST'!$C$9:$C1013, 'CF BEST'!$I$9:$I1013, A21,'CF BEST'!$F$9:$F1013, $N$5)</f>
        <v>0</v>
      </c>
      <c r="N21" s="211">
        <f>SUMIFS('CF BEST'!$D$9:$D1013, 'CF BEST'!$I$9:$I1013, A21,'CF BEST'!$F$9:$F1013, $N$5)</f>
        <v>232032.6</v>
      </c>
      <c r="O21" s="212">
        <f>SUMIFS('CF BEST'!$C$9:$C1013, 'CF BEST'!$I$9:$I1013, A21,'CF BEST'!$F$9:$F1013, $P$5)</f>
        <v>0</v>
      </c>
      <c r="P21" s="212">
        <f>SUMIFS('CF BEST'!$D$9:$D1013, 'CF BEST'!$I$9:$I1013, A21,'CF BEST'!$F$9:$F1013, $P$5)</f>
        <v>252955.25</v>
      </c>
      <c r="Q21" s="213">
        <f>SUMIFS('CF BEST'!$C$9:$C1013, 'CF BEST'!$I$9:$I1013, A21,'CF BEST'!$F$9:$F1013, $R$5)+K21+M21+O21</f>
        <v>0</v>
      </c>
      <c r="R21" s="213">
        <f>SUMIFS('CF BEST'!$D$9:$D1013, 'CF BEST'!$I$9:$I1013, A21,'CF BEST'!$F$9:$F1013, $R$5)+L21+N21+P21</f>
        <v>693643.32</v>
      </c>
      <c r="S21" s="210">
        <f>SUMIFS('CF BEST'!$C$9:$C1013, 'CF BEST'!$I$9:$I1013, A21,'CF BEST'!$F$9:$F1013, $T$5)</f>
        <v>0</v>
      </c>
      <c r="T21" s="210">
        <f>SUMIFS('CF BEST'!$D$9:$D1013, 'CF BEST'!$I$9:$I1013, A21,'CF BEST'!$F$9:$F1013, $T$5)</f>
        <v>345808.5</v>
      </c>
      <c r="U21" s="211">
        <f>SUMIFS('CF BEST'!$C$9:$C1013, 'CF BEST'!$I$9:$I1013, A21,'CF BEST'!$F$9:$F1013, $V$5)</f>
        <v>0</v>
      </c>
      <c r="V21" s="211">
        <f>SUMIFS('CF BEST'!$D$9:$D1013, 'CF BEST'!$I$9:$I1013, A21,'CF BEST'!$F$9:$F1013, $V$5)</f>
        <v>345808</v>
      </c>
      <c r="W21" s="212">
        <f>SUMIFS('CF BEST'!$C$9:$C1013, 'CF BEST'!$I$9:$I1013, A21,'CF BEST'!$F$9:$F1013, $X$5)</f>
        <v>0</v>
      </c>
      <c r="X21" s="212">
        <f>SUMIFS('CF BEST'!$D$9:$D1013, 'CF BEST'!$I$9:$I1013, A21,'CF BEST'!$F$9:$F1013, $X$5)</f>
        <v>557492.57</v>
      </c>
      <c r="Y21" s="213">
        <f>SUMIFS('CF BEST'!$C$9:$C1013, 'CF BEST'!$I$9:$I1013, A21,'CF BEST'!$F$9:$F1013, $Z$5)+S21+U21+W21</f>
        <v>0</v>
      </c>
      <c r="Z21" s="213">
        <f>SUMIFS('CF BEST'!$D$9:$D1013, 'CF BEST'!$I$9:$I1013, A21,'CF BEST'!$F$9:$F1013, $Z$5)+T21+V21+X21</f>
        <v>1249109.07</v>
      </c>
      <c r="AA21" s="210">
        <f>SUMIFS('CF BEST'!$C$9:$C1013, 'CF BEST'!$I$9:$I1013, A21,'CF BEST'!$F$9:$F1013, $AB$5)</f>
        <v>0</v>
      </c>
      <c r="AB21" s="210">
        <f>SUMIFS('CF BEST'!$D$9:$D1013, 'CF BEST'!$I$9:$I1013, A21,'CF BEST'!$F$9:$F1013, $AB$5)</f>
        <v>430435.99</v>
      </c>
      <c r="AC21" s="211">
        <f>SUMIFS('CF BEST'!$C$9:$C1013, 'CF BEST'!$I$9:$I1013, A21,'CF BEST'!$F$9:$F1013, $AD$5)</f>
        <v>0</v>
      </c>
      <c r="AD21" s="211">
        <f>SUMIFS('CF BEST'!$D$9:$D1013, 'CF BEST'!$I$9:$I1013, A21,'CF BEST'!$F$9:$F1013, $AD$5)</f>
        <v>0</v>
      </c>
      <c r="AE21" s="212">
        <f>SUMIFS('CF BEST'!$C$9:$C1013, 'CF BEST'!$I$9:$I1013, A21,'CF BEST'!$F$9:$F1013, $AF$5)</f>
        <v>0</v>
      </c>
      <c r="AF21" s="212">
        <f>SUMIFS('CF BEST'!$D$9:$D1013, 'CF BEST'!$I$9:$I1013, A21,'CF BEST'!$F$9:$F1013, $AF$5)</f>
        <v>7075.35</v>
      </c>
      <c r="AG21" s="213">
        <f>SUMIFS('CF BEST'!$C$9:$C1013, 'CF BEST'!$I$9:$I1013, A21,'CF BEST'!$F$9:$F1013, $AH$5)+AA21+AC21+AE21</f>
        <v>0</v>
      </c>
      <c r="AH21" s="213">
        <f>SUMIFS('CF BEST'!$D$9:$D1013, 'CF BEST'!$I$9:$I1013, A21,'CF BEST'!$F$9:$F1013, $AH$5)+AB21+AD21+AF21</f>
        <v>437511.34</v>
      </c>
    </row>
    <row r="22">
      <c r="A22" s="216" t="s">
        <v>71</v>
      </c>
      <c r="B22" s="217">
        <f t="shared" si="4"/>
        <v>54913693</v>
      </c>
      <c r="C22" s="217">
        <f>SUMIFS('CF BEST'!$C$9:$C1013, 'CF BEST'!$I$9:$I1013, A22,'CF BEST'!$F$9:$F1013, $D$5)</f>
        <v>0</v>
      </c>
      <c r="D22" s="217">
        <f t="shared" ref="D22:AH22" si="5">SUM(D23:D27)</f>
        <v>2382685.7</v>
      </c>
      <c r="E22" s="217">
        <f t="shared" si="5"/>
        <v>0</v>
      </c>
      <c r="F22" s="217">
        <f t="shared" si="5"/>
        <v>2047020</v>
      </c>
      <c r="G22" s="217">
        <f t="shared" si="5"/>
        <v>0</v>
      </c>
      <c r="H22" s="217">
        <f t="shared" si="5"/>
        <v>2734490</v>
      </c>
      <c r="I22" s="217">
        <f t="shared" si="5"/>
        <v>0</v>
      </c>
      <c r="J22" s="217">
        <f t="shared" si="5"/>
        <v>7164195.7</v>
      </c>
      <c r="K22" s="217">
        <f t="shared" si="5"/>
        <v>0</v>
      </c>
      <c r="L22" s="217">
        <f t="shared" si="5"/>
        <v>5469232</v>
      </c>
      <c r="M22" s="217">
        <f t="shared" si="5"/>
        <v>0</v>
      </c>
      <c r="N22" s="217">
        <f t="shared" si="5"/>
        <v>4169690</v>
      </c>
      <c r="O22" s="217">
        <f t="shared" si="5"/>
        <v>0</v>
      </c>
      <c r="P22" s="217">
        <f t="shared" si="5"/>
        <v>1824104</v>
      </c>
      <c r="Q22" s="217">
        <f t="shared" si="5"/>
        <v>0</v>
      </c>
      <c r="R22" s="217">
        <f t="shared" si="5"/>
        <v>11463026</v>
      </c>
      <c r="S22" s="217">
        <f t="shared" si="5"/>
        <v>0</v>
      </c>
      <c r="T22" s="217">
        <f t="shared" si="5"/>
        <v>7204219</v>
      </c>
      <c r="U22" s="217">
        <f t="shared" si="5"/>
        <v>0</v>
      </c>
      <c r="V22" s="217">
        <f t="shared" si="5"/>
        <v>4033396.77</v>
      </c>
      <c r="W22" s="217">
        <f t="shared" si="5"/>
        <v>0</v>
      </c>
      <c r="X22" s="217">
        <f t="shared" si="5"/>
        <v>6122260</v>
      </c>
      <c r="Y22" s="217">
        <f t="shared" si="5"/>
        <v>0</v>
      </c>
      <c r="Z22" s="217">
        <f t="shared" si="5"/>
        <v>18451739</v>
      </c>
      <c r="AA22" s="217">
        <f t="shared" si="5"/>
        <v>0</v>
      </c>
      <c r="AB22" s="217">
        <f t="shared" si="5"/>
        <v>1048104</v>
      </c>
      <c r="AC22" s="217">
        <f t="shared" si="5"/>
        <v>0</v>
      </c>
      <c r="AD22" s="217">
        <f t="shared" si="5"/>
        <v>0</v>
      </c>
      <c r="AE22" s="217">
        <f t="shared" si="5"/>
        <v>2000000</v>
      </c>
      <c r="AF22" s="217">
        <f t="shared" si="5"/>
        <v>0</v>
      </c>
      <c r="AG22" s="217">
        <f t="shared" si="5"/>
        <v>2000000</v>
      </c>
      <c r="AH22" s="217">
        <f t="shared" si="5"/>
        <v>17834732.3</v>
      </c>
    </row>
    <row r="23">
      <c r="A23" s="208" t="s">
        <v>598</v>
      </c>
      <c r="B23" s="209">
        <f t="shared" si="4"/>
        <v>17398621</v>
      </c>
      <c r="C23" s="210">
        <f>SUMIFS('CF BEST'!$C$9:$C1013, 'CF BEST'!$I$9:$I1013, A23,'CF BEST'!$F$9:$F1013, $D$5)</f>
        <v>0</v>
      </c>
      <c r="D23" s="210">
        <f>SUMIFS('CF BEST'!$D$9:$D1013, 'CF BEST'!$I$9:$I1013, A23,'CF BEST'!$F$9:$F1013, $D$5)</f>
        <v>685714</v>
      </c>
      <c r="E23" s="211">
        <f>SUMIFS('CF BEST'!$C$9:$C1013, 'CF BEST'!$I$9:$I1013, A23,'CF BEST'!$F$9:$F1013, $F$5)</f>
        <v>0</v>
      </c>
      <c r="F23" s="211">
        <f>SUMIFS('CF BEST'!$D$9:$D1013, 'CF BEST'!$I$9:$I1013, A23,'CF BEST'!$F$9:$F1013, $F$5)</f>
        <v>348682</v>
      </c>
      <c r="G23" s="212">
        <f>SUMIFS('CF BEST'!$C$9:$C1013, 'CF BEST'!$I$9:$I1013, A23,'CF BEST'!$F$9:$F1013, $H$5)</f>
        <v>0</v>
      </c>
      <c r="H23" s="212">
        <f>SUMIFS('CF BEST'!$D$9:$D1013, 'CF BEST'!$I$9:$I1013, A23,'CF BEST'!$F$9:$F1013, $H$5)</f>
        <v>0</v>
      </c>
      <c r="I23" s="213">
        <f>SUMIFS('CF BEST'!$C$9:$C1013, 'CF BEST'!$I$9:$I1013, A23,'CF BEST'!$F$9:$F1013, $J$5)+C23+E23+G23</f>
        <v>0</v>
      </c>
      <c r="J23" s="213">
        <f>SUMIFS('CF BEST'!$D$9:$D1013, 'CF BEST'!$I$9:$I1013, A23,'CF BEST'!$F$9:$F1013, $J$5)+D23+F23+H23</f>
        <v>1034396</v>
      </c>
      <c r="K23" s="210">
        <f>SUMIFS('CF BEST'!$C$9:$C1013, 'CF BEST'!$I$9:$I1013, A23,'CF BEST'!$F$9:$F1013, $L$5)</f>
        <v>0</v>
      </c>
      <c r="L23" s="210">
        <f>SUMIFS('CF BEST'!$D$9:$D1013, 'CF BEST'!$I$9:$I1013, A23,'CF BEST'!$F$9:$F1013, $L$5)</f>
        <v>3645128</v>
      </c>
      <c r="M23" s="211">
        <f>SUMIFS('CF BEST'!$C$9:$C1013, 'CF BEST'!$I$9:$I1013, A23,'CF BEST'!$F$9:$F1013, $N$5)</f>
        <v>0</v>
      </c>
      <c r="N23" s="211">
        <f>SUMIFS('CF BEST'!$D$9:$D1013, 'CF BEST'!$I$9:$I1013, A23,'CF BEST'!$F$9:$F1013, $N$5)</f>
        <v>2345586</v>
      </c>
      <c r="O23" s="212">
        <f>SUMIFS('CF BEST'!$C$9:$C1013, 'CF BEST'!$I$9:$I1013, A23,'CF BEST'!$F$9:$F1013, $P$5)</f>
        <v>0</v>
      </c>
      <c r="P23" s="212">
        <f>SUMIFS('CF BEST'!$D$9:$D1013, 'CF BEST'!$I$9:$I1013, A23,'CF BEST'!$F$9:$F1013, $P$5)</f>
        <v>0</v>
      </c>
      <c r="Q23" s="213">
        <f>SUMIFS('CF BEST'!$C$9:$C1013, 'CF BEST'!$I$9:$I1013, A23,'CF BEST'!$F$9:$F1013, $R$5)+K23+M23+O23</f>
        <v>0</v>
      </c>
      <c r="R23" s="213">
        <f>SUMIFS('CF BEST'!$D$9:$D1013, 'CF BEST'!$I$9:$I1013, A23,'CF BEST'!$F$9:$F1013, $R$5)+L23+N23+P23</f>
        <v>5990714</v>
      </c>
      <c r="S23" s="210">
        <f>SUMIFS('CF BEST'!$C$9:$C1013, 'CF BEST'!$I$9:$I1013, A23,'CF BEST'!$F$9:$F1013, $T$5)</f>
        <v>0</v>
      </c>
      <c r="T23" s="210">
        <f>SUMIFS('CF BEST'!$D$9:$D1013, 'CF BEST'!$I$9:$I1013, A23,'CF BEST'!$F$9:$F1013, $T$5)</f>
        <v>4845598</v>
      </c>
      <c r="U23" s="211">
        <f>SUMIFS('CF BEST'!$C$9:$C1013, 'CF BEST'!$I$9:$I1013, A23,'CF BEST'!$F$9:$F1013, $V$5)</f>
        <v>0</v>
      </c>
      <c r="V23" s="211">
        <f>SUMIFS('CF BEST'!$D$9:$D1013, 'CF BEST'!$I$9:$I1013, A23,'CF BEST'!$F$9:$F1013, $V$5)</f>
        <v>0</v>
      </c>
      <c r="W23" s="212">
        <f>SUMIFS('CF BEST'!$C$9:$C1013, 'CF BEST'!$I$9:$I1013, A23,'CF BEST'!$F$9:$F1013, $X$5)</f>
        <v>0</v>
      </c>
      <c r="X23" s="212">
        <f>SUMIFS('CF BEST'!$D$9:$D1013, 'CF BEST'!$I$9:$I1013, A23,'CF BEST'!$F$9:$F1013, $X$5)</f>
        <v>3490133</v>
      </c>
      <c r="Y23" s="213">
        <f>SUMIFS('CF BEST'!$C$9:$C1013, 'CF BEST'!$I$9:$I1013, A23,'CF BEST'!$F$9:$F1013, $Z$5)+S23+U23+W23</f>
        <v>0</v>
      </c>
      <c r="Z23" s="213">
        <f>SUMIFS('CF BEST'!$D$9:$D1013, 'CF BEST'!$I$9:$I1013, A23,'CF BEST'!$F$9:$F1013, $Z$5)+T23+V23+X23</f>
        <v>8335731</v>
      </c>
      <c r="AA23" s="210">
        <f>SUMIFS('CF BEST'!$C$9:$C1013, 'CF BEST'!$I$9:$I1013, A23,'CF BEST'!$F$9:$F1013, $AB$5)</f>
        <v>0</v>
      </c>
      <c r="AB23" s="210">
        <f>SUMIFS('CF BEST'!$D$9:$D1013, 'CF BEST'!$I$9:$I1013, A23,'CF BEST'!$F$9:$F1013, $AB$5)</f>
        <v>0</v>
      </c>
      <c r="AC23" s="211">
        <f>SUMIFS('CF BEST'!$C$9:$C1013, 'CF BEST'!$I$9:$I1013, A23,'CF BEST'!$F$9:$F1013, $AD$5)</f>
        <v>0</v>
      </c>
      <c r="AD23" s="211">
        <f>SUMIFS('CF BEST'!$D$9:$D1013, 'CF BEST'!$I$9:$I1013, A23,'CF BEST'!$F$9:$F1013, $AD$5)</f>
        <v>0</v>
      </c>
      <c r="AE23" s="212">
        <f>SUMIFS('CF BEST'!$C$9:$C1013, 'CF BEST'!$I$9:$I1013, A23,'CF BEST'!$F$9:$F1013, $AF$5)</f>
        <v>2000000</v>
      </c>
      <c r="AF23" s="212">
        <f>SUMIFS('CF BEST'!$D$9:$D1013, 'CF BEST'!$I$9:$I1013, A23,'CF BEST'!$F$9:$F1013, $AF$5)</f>
        <v>0</v>
      </c>
      <c r="AG23" s="213">
        <f>SUMIFS('CF BEST'!$C$9:$C1013, 'CF BEST'!$I$9:$I1013, A23,'CF BEST'!$F$9:$F1013, $AH$5)+AA23+AC23+AE23</f>
        <v>2000000</v>
      </c>
      <c r="AH23" s="213">
        <f>SUMIFS('CF BEST'!$D$9:$D1013, 'CF BEST'!$I$9:$I1013, A23,'CF BEST'!$F$9:$F1013, $AH$5)+AB23+AD23+AF23</f>
        <v>2037780</v>
      </c>
    </row>
    <row r="24">
      <c r="A24" s="208" t="s">
        <v>600</v>
      </c>
      <c r="B24" s="209">
        <f t="shared" si="4"/>
        <v>1805.7</v>
      </c>
      <c r="C24" s="210">
        <f>SUMIFS('CF BEST'!$C$9:$C1013, 'CF BEST'!$I$9:$I1013, A24,'CF BEST'!$F$9:$F1013, $D$5)</f>
        <v>0</v>
      </c>
      <c r="D24" s="210">
        <f>SUMIFS('CF BEST'!$D$9:$D1013, 'CF BEST'!$I$9:$I1013, A24,'CF BEST'!$F$9:$F1013, $D$5)</f>
        <v>1805.7</v>
      </c>
      <c r="E24" s="211">
        <f>SUMIFS('CF BEST'!$C$9:$C1013, 'CF BEST'!$I$9:$I1013, A24,'CF BEST'!$F$9:$F1013, $F$5)</f>
        <v>0</v>
      </c>
      <c r="F24" s="211">
        <f>SUMIFS('CF BEST'!$D$9:$D1013, 'CF BEST'!$I$9:$I1013, A24,'CF BEST'!$F$9:$F1013, $F$5)</f>
        <v>0</v>
      </c>
      <c r="G24" s="212">
        <f>SUMIFS('CF BEST'!$C$9:$C1013, 'CF BEST'!$I$9:$I1013, A24,'CF BEST'!$F$9:$F1013, $H$5)</f>
        <v>0</v>
      </c>
      <c r="H24" s="212">
        <f>SUMIFS('CF BEST'!$D$9:$D1013, 'CF BEST'!$I$9:$I1013, A24,'CF BEST'!$F$9:$F1013, $H$5)</f>
        <v>0</v>
      </c>
      <c r="I24" s="213">
        <f>SUMIFS('CF BEST'!$C$9:$C1013, 'CF BEST'!$I$9:$I1013, A24,'CF BEST'!$F$9:$F1013, $J$5)+C24+E24+G24</f>
        <v>0</v>
      </c>
      <c r="J24" s="213">
        <f>SUMIFS('CF BEST'!$D$9:$D1013, 'CF BEST'!$I$9:$I1013, A24,'CF BEST'!$F$9:$F1013, $J$5)+D24+F24+H24</f>
        <v>1805.7</v>
      </c>
      <c r="K24" s="210">
        <f>SUMIFS('CF BEST'!$C$9:$C1013, 'CF BEST'!$I$9:$I1013, A24,'CF BEST'!$F$9:$F1013, $L$5)</f>
        <v>0</v>
      </c>
      <c r="L24" s="210">
        <f>SUMIFS('CF BEST'!$D$9:$D1013, 'CF BEST'!$I$9:$I1013, A24,'CF BEST'!$F$9:$F1013, $L$5)</f>
        <v>0</v>
      </c>
      <c r="M24" s="211">
        <f>SUMIFS('CF BEST'!$C$9:$C1013, 'CF BEST'!$I$9:$I1013, A24,'CF BEST'!$F$9:$F1013, $N$5)</f>
        <v>0</v>
      </c>
      <c r="N24" s="211">
        <f>SUMIFS('CF BEST'!$D$9:$D1013, 'CF BEST'!$I$9:$I1013, A24,'CF BEST'!$F$9:$F1013, $N$5)</f>
        <v>0</v>
      </c>
      <c r="O24" s="212">
        <f>SUMIFS('CF BEST'!$C$9:$C1013, 'CF BEST'!$I$9:$I1013, A24,'CF BEST'!$F$9:$F1013, $P$5)</f>
        <v>0</v>
      </c>
      <c r="P24" s="212">
        <f>SUMIFS('CF BEST'!$D$9:$D1013, 'CF BEST'!$I$9:$I1013, A24,'CF BEST'!$F$9:$F1013, $P$5)</f>
        <v>0</v>
      </c>
      <c r="Q24" s="213">
        <f>SUMIFS('CF BEST'!$C$9:$C1013, 'CF BEST'!$I$9:$I1013, A24,'CF BEST'!$F$9:$F1013, $R$5)+K24+M24+O24</f>
        <v>0</v>
      </c>
      <c r="R24" s="213">
        <f>SUMIFS('CF BEST'!$D$9:$D1013, 'CF BEST'!$I$9:$I1013, A24,'CF BEST'!$F$9:$F1013, $R$5)+L24+N24+P24</f>
        <v>0</v>
      </c>
      <c r="S24" s="210">
        <f>SUMIFS('CF BEST'!$C$9:$C1013, 'CF BEST'!$I$9:$I1013, A24,'CF BEST'!$F$9:$F1013, $T$5)</f>
        <v>0</v>
      </c>
      <c r="T24" s="210">
        <f>SUMIFS('CF BEST'!$D$9:$D1013, 'CF BEST'!$I$9:$I1013, A24,'CF BEST'!$F$9:$F1013, $T$5)</f>
        <v>0</v>
      </c>
      <c r="U24" s="211">
        <f>SUMIFS('CF BEST'!$C$9:$C1013, 'CF BEST'!$I$9:$I1013, A24,'CF BEST'!$F$9:$F1013, $V$5)</f>
        <v>0</v>
      </c>
      <c r="V24" s="211">
        <f>SUMIFS('CF BEST'!$D$9:$D1013, 'CF BEST'!$I$9:$I1013, A24,'CF BEST'!$F$9:$F1013, $V$5)</f>
        <v>0</v>
      </c>
      <c r="W24" s="212">
        <f>SUMIFS('CF BEST'!$C$9:$C1013, 'CF BEST'!$I$9:$I1013, A24,'CF BEST'!$F$9:$F1013, $X$5)</f>
        <v>0</v>
      </c>
      <c r="X24" s="212">
        <f>SUMIFS('CF BEST'!$D$9:$D1013, 'CF BEST'!$I$9:$I1013, A24,'CF BEST'!$F$9:$F1013, $X$5)</f>
        <v>0</v>
      </c>
      <c r="Y24" s="213">
        <f>SUMIFS('CF BEST'!$C$9:$C1013, 'CF BEST'!$I$9:$I1013, A24,'CF BEST'!$F$9:$F1013, $Z$5)+S24+U24+W24</f>
        <v>0</v>
      </c>
      <c r="Z24" s="213">
        <f>SUMIFS('CF BEST'!$D$9:$D1013, 'CF BEST'!$I$9:$I1013, A24,'CF BEST'!$F$9:$F1013, $Z$5)+T24+V24+X24</f>
        <v>0</v>
      </c>
      <c r="AA24" s="210">
        <f>SUMIFS('CF BEST'!$C$9:$C1013, 'CF BEST'!$I$9:$I1013, A24,'CF BEST'!$F$9:$F1013, $AB$5)</f>
        <v>0</v>
      </c>
      <c r="AB24" s="210">
        <f>SUMIFS('CF BEST'!$D$9:$D1013, 'CF BEST'!$I$9:$I1013, A24,'CF BEST'!$F$9:$F1013, $AB$5)</f>
        <v>0</v>
      </c>
      <c r="AC24" s="211">
        <f>SUMIFS('CF BEST'!$C$9:$C1013, 'CF BEST'!$I$9:$I1013, A24,'CF BEST'!$F$9:$F1013, $AD$5)</f>
        <v>0</v>
      </c>
      <c r="AD24" s="211">
        <f>SUMIFS('CF BEST'!$D$9:$D1013, 'CF BEST'!$I$9:$I1013, A24,'CF BEST'!$F$9:$F1013, $AD$5)</f>
        <v>0</v>
      </c>
      <c r="AE24" s="212">
        <f>SUMIFS('CF BEST'!$C$9:$C1013, 'CF BEST'!$I$9:$I1013, A24,'CF BEST'!$F$9:$F1013, $AF$5)</f>
        <v>0</v>
      </c>
      <c r="AF24" s="212">
        <f>SUMIFS('CF BEST'!$D$9:$D1013, 'CF BEST'!$I$9:$I1013, A24,'CF BEST'!$F$9:$F1013, $AF$5)</f>
        <v>0</v>
      </c>
      <c r="AG24" s="213">
        <f>SUMIFS('CF BEST'!$C$9:$C1013, 'CF BEST'!$I$9:$I1013, A24,'CF BEST'!$F$9:$F1013, $AH$5)+AA24+AC24+AE24</f>
        <v>0</v>
      </c>
      <c r="AH24" s="213">
        <f>SUMIFS('CF BEST'!$D$9:$D1013, 'CF BEST'!$I$9:$I1013, A24,'CF BEST'!$F$9:$F1013, $AH$5)+AB24+AD24+AF24</f>
        <v>0</v>
      </c>
    </row>
    <row r="25">
      <c r="A25" s="208" t="s">
        <v>623</v>
      </c>
      <c r="B25" s="209">
        <f t="shared" si="4"/>
        <v>33081258</v>
      </c>
      <c r="C25" s="210">
        <f>SUMIFS('CF BEST'!$C$9:$C1013, 'CF BEST'!$I$9:$I1013, A25,'CF BEST'!$F$9:$F1013, $D$5)</f>
        <v>0</v>
      </c>
      <c r="D25" s="210">
        <f>SUMIFS('CF BEST'!$D$9:$D1013, 'CF BEST'!$I$9:$I1013, A25,'CF BEST'!$F$9:$F1013, $D$5)</f>
        <v>1695166</v>
      </c>
      <c r="E25" s="211">
        <f>SUMIFS('CF BEST'!$C$9:$C1013, 'CF BEST'!$I$9:$I1013, A25,'CF BEST'!$F$9:$F1013, $F$5)</f>
        <v>0</v>
      </c>
      <c r="F25" s="211">
        <f>SUMIFS('CF BEST'!$D$9:$D1013, 'CF BEST'!$I$9:$I1013, A25,'CF BEST'!$F$9:$F1013, $F$5)</f>
        <v>1695166</v>
      </c>
      <c r="G25" s="212">
        <f>SUMIFS('CF BEST'!$C$9:$C1013, 'CF BEST'!$I$9:$I1013, A25,'CF BEST'!$F$9:$F1013, $H$5)</f>
        <v>0</v>
      </c>
      <c r="H25" s="212">
        <f>SUMIFS('CF BEST'!$D$9:$D1013, 'CF BEST'!$I$9:$I1013, A25,'CF BEST'!$F$9:$F1013, $H$5)</f>
        <v>2734490</v>
      </c>
      <c r="I25" s="213">
        <f>SUMIFS('CF BEST'!$C$9:$C1013, 'CF BEST'!$I$9:$I1013, A25,'CF BEST'!$F$9:$F1013, $J$5)+C25+E25+G25</f>
        <v>0</v>
      </c>
      <c r="J25" s="213">
        <f>SUMIFS('CF BEST'!$D$9:$D1013, 'CF BEST'!$I$9:$I1013, A25,'CF BEST'!$F$9:$F1013, $J$5)+D25+F25+H25</f>
        <v>6124822</v>
      </c>
      <c r="K25" s="210">
        <f>SUMIFS('CF BEST'!$C$9:$C1013, 'CF BEST'!$I$9:$I1013, A25,'CF BEST'!$F$9:$F1013, $L$5)</f>
        <v>0</v>
      </c>
      <c r="L25" s="210">
        <f>SUMIFS('CF BEST'!$D$9:$D1013, 'CF BEST'!$I$9:$I1013, A25,'CF BEST'!$F$9:$F1013, $L$5)</f>
        <v>1824104</v>
      </c>
      <c r="M25" s="211">
        <f>SUMIFS('CF BEST'!$C$9:$C1013, 'CF BEST'!$I$9:$I1013, A25,'CF BEST'!$F$9:$F1013, $N$5)</f>
        <v>0</v>
      </c>
      <c r="N25" s="211">
        <f>SUMIFS('CF BEST'!$D$9:$D1013, 'CF BEST'!$I$9:$I1013, A25,'CF BEST'!$F$9:$F1013, $N$5)</f>
        <v>1824104</v>
      </c>
      <c r="O25" s="212">
        <f>SUMIFS('CF BEST'!$C$9:$C1013, 'CF BEST'!$I$9:$I1013, A25,'CF BEST'!$F$9:$F1013, $P$5)</f>
        <v>0</v>
      </c>
      <c r="P25" s="212">
        <f>SUMIFS('CF BEST'!$D$9:$D1013, 'CF BEST'!$I$9:$I1013, A25,'CF BEST'!$F$9:$F1013, $P$5)</f>
        <v>1824104</v>
      </c>
      <c r="Q25" s="213">
        <f>SUMIFS('CF BEST'!$C$9:$C1013, 'CF BEST'!$I$9:$I1013, A25,'CF BEST'!$F$9:$F1013, $R$5)+K25+M25+O25</f>
        <v>0</v>
      </c>
      <c r="R25" s="213">
        <f>SUMIFS('CF BEST'!$D$9:$D1013, 'CF BEST'!$I$9:$I1013, A25,'CF BEST'!$F$9:$F1013, $R$5)+L25+N25+P25</f>
        <v>5472312</v>
      </c>
      <c r="S25" s="210">
        <f>SUMIFS('CF BEST'!$C$9:$C1013, 'CF BEST'!$I$9:$I1013, A25,'CF BEST'!$F$9:$F1013, $T$5)</f>
        <v>0</v>
      </c>
      <c r="T25" s="210">
        <f>SUMIFS('CF BEST'!$D$9:$D1013, 'CF BEST'!$I$9:$I1013, A25,'CF BEST'!$F$9:$F1013, $T$5)</f>
        <v>2355115</v>
      </c>
      <c r="U25" s="211">
        <f>SUMIFS('CF BEST'!$C$9:$C1013, 'CF BEST'!$I$9:$I1013, A25,'CF BEST'!$F$9:$F1013, $V$5)</f>
        <v>0</v>
      </c>
      <c r="V25" s="211">
        <f>SUMIFS('CF BEST'!$D$9:$D1013, 'CF BEST'!$I$9:$I1013, A25,'CF BEST'!$F$9:$F1013, $V$5)</f>
        <v>2632127</v>
      </c>
      <c r="W25" s="212">
        <f>SUMIFS('CF BEST'!$C$9:$C1013, 'CF BEST'!$I$9:$I1013, A25,'CF BEST'!$F$9:$F1013, $X$5)</f>
        <v>0</v>
      </c>
      <c r="X25" s="212">
        <f>SUMIFS('CF BEST'!$D$9:$D1013, 'CF BEST'!$I$9:$I1013, A25,'CF BEST'!$F$9:$F1013, $X$5)</f>
        <v>2632127</v>
      </c>
      <c r="Y25" s="213">
        <f>SUMIFS('CF BEST'!$C$9:$C1013, 'CF BEST'!$I$9:$I1013, A25,'CF BEST'!$F$9:$F1013, $Z$5)+S25+U25+W25</f>
        <v>0</v>
      </c>
      <c r="Z25" s="213">
        <f>SUMIFS('CF BEST'!$D$9:$D1013, 'CF BEST'!$I$9:$I1013, A25,'CF BEST'!$F$9:$F1013, $Z$5)+T25+V25+X25</f>
        <v>7619369</v>
      </c>
      <c r="AA25" s="210">
        <f>SUMIFS('CF BEST'!$C$9:$C1013, 'CF BEST'!$I$9:$I1013, A25,'CF BEST'!$F$9:$F1013, $AB$5)</f>
        <v>0</v>
      </c>
      <c r="AB25" s="210">
        <f>SUMIFS('CF BEST'!$D$9:$D1013, 'CF BEST'!$I$9:$I1013, A25,'CF BEST'!$F$9:$F1013, $AB$5)</f>
        <v>1044598</v>
      </c>
      <c r="AC25" s="211">
        <f>SUMIFS('CF BEST'!$C$9:$C1013, 'CF BEST'!$I$9:$I1013, A25,'CF BEST'!$F$9:$F1013, $AD$5)</f>
        <v>0</v>
      </c>
      <c r="AD25" s="211">
        <f>SUMIFS('CF BEST'!$D$9:$D1013, 'CF BEST'!$I$9:$I1013, A25,'CF BEST'!$F$9:$F1013, $AD$5)</f>
        <v>0</v>
      </c>
      <c r="AE25" s="212">
        <f>SUMIFS('CF BEST'!$C$9:$C1013, 'CF BEST'!$I$9:$I1013, A25,'CF BEST'!$F$9:$F1013, $AF$5)</f>
        <v>0</v>
      </c>
      <c r="AF25" s="212">
        <f>SUMIFS('CF BEST'!$D$9:$D1013, 'CF BEST'!$I$9:$I1013, A25,'CF BEST'!$F$9:$F1013, $AF$5)</f>
        <v>0</v>
      </c>
      <c r="AG25" s="213">
        <f>SUMIFS('CF BEST'!$C$9:$C1013, 'CF BEST'!$I$9:$I1013, A25,'CF BEST'!$F$9:$F1013, $AH$5)+AA25+AC25+AE25</f>
        <v>0</v>
      </c>
      <c r="AH25" s="213">
        <f>SUMIFS('CF BEST'!$D$9:$D1013, 'CF BEST'!$I$9:$I1013, A25,'CF BEST'!$F$9:$F1013, $AH$5)+AB25+AD25+AF25</f>
        <v>13864755</v>
      </c>
    </row>
    <row r="26">
      <c r="A26" s="208" t="s">
        <v>659</v>
      </c>
      <c r="B26" s="209">
        <f t="shared" si="4"/>
        <v>10184</v>
      </c>
      <c r="C26" s="210">
        <f>SUMIFS('CF BEST'!$C$9:$C1013, 'CF BEST'!$I$9:$I1013, A26,'CF BEST'!$F$9:$F1013, $D$5)</f>
        <v>0</v>
      </c>
      <c r="D26" s="210">
        <f>SUMIFS('CF BEST'!$D$9:$D1013, 'CF BEST'!$I$9:$I1013, A26,'CF BEST'!$F$9:$F1013, $D$5)</f>
        <v>0</v>
      </c>
      <c r="E26" s="211">
        <f>SUMIFS('CF BEST'!$C$9:$C1013, 'CF BEST'!$I$9:$I1013, A26,'CF BEST'!$F$9:$F1013, $F$5)</f>
        <v>0</v>
      </c>
      <c r="F26" s="211">
        <f>SUMIFS('CF BEST'!$D$9:$D1013, 'CF BEST'!$I$9:$I1013, A26,'CF BEST'!$F$9:$F1013, $F$5)</f>
        <v>3172</v>
      </c>
      <c r="G26" s="212">
        <f>SUMIFS('CF BEST'!$C$9:$C1013, 'CF BEST'!$I$9:$I1013, A26,'CF BEST'!$F$9:$F1013, $H$5)</f>
        <v>0</v>
      </c>
      <c r="H26" s="212">
        <f>SUMIFS('CF BEST'!$D$9:$D1013, 'CF BEST'!$I$9:$I1013, A26,'CF BEST'!$F$9:$F1013, $H$5)</f>
        <v>0</v>
      </c>
      <c r="I26" s="213">
        <f>SUMIFS('CF BEST'!$C$9:$C1013, 'CF BEST'!$I$9:$I1013, A26,'CF BEST'!$F$9:$F1013, $J$5)+C26+E26+G26</f>
        <v>0</v>
      </c>
      <c r="J26" s="213">
        <f>SUMIFS('CF BEST'!$D$9:$D1013, 'CF BEST'!$I$9:$I1013, A26,'CF BEST'!$F$9:$F1013, $J$5)+D26+F26+H26</f>
        <v>3172</v>
      </c>
      <c r="K26" s="210">
        <f>SUMIFS('CF BEST'!$C$9:$C1013, 'CF BEST'!$I$9:$I1013, A26,'CF BEST'!$F$9:$F1013, $L$5)</f>
        <v>0</v>
      </c>
      <c r="L26" s="210">
        <f>SUMIFS('CF BEST'!$D$9:$D1013, 'CF BEST'!$I$9:$I1013, A26,'CF BEST'!$F$9:$F1013, $L$5)</f>
        <v>0</v>
      </c>
      <c r="M26" s="211">
        <f>SUMIFS('CF BEST'!$C$9:$C1013, 'CF BEST'!$I$9:$I1013, A26,'CF BEST'!$F$9:$F1013, $N$5)</f>
        <v>0</v>
      </c>
      <c r="N26" s="211">
        <f>SUMIFS('CF BEST'!$D$9:$D1013, 'CF BEST'!$I$9:$I1013, A26,'CF BEST'!$F$9:$F1013, $N$5)</f>
        <v>0</v>
      </c>
      <c r="O26" s="212">
        <f>SUMIFS('CF BEST'!$C$9:$C1013, 'CF BEST'!$I$9:$I1013, A26,'CF BEST'!$F$9:$F1013, $P$5)</f>
        <v>0</v>
      </c>
      <c r="P26" s="212">
        <f>SUMIFS('CF BEST'!$D$9:$D1013, 'CF BEST'!$I$9:$I1013, A26,'CF BEST'!$F$9:$F1013, $P$5)</f>
        <v>0</v>
      </c>
      <c r="Q26" s="213">
        <f>SUMIFS('CF BEST'!$C$9:$C1013, 'CF BEST'!$I$9:$I1013, A26,'CF BEST'!$F$9:$F1013, $R$5)+K26+M26+O26</f>
        <v>0</v>
      </c>
      <c r="R26" s="213">
        <f>SUMIFS('CF BEST'!$D$9:$D1013, 'CF BEST'!$I$9:$I1013, A26,'CF BEST'!$F$9:$F1013, $R$5)+L26+N26+P26</f>
        <v>0</v>
      </c>
      <c r="S26" s="210">
        <f>SUMIFS('CF BEST'!$C$9:$C1013, 'CF BEST'!$I$9:$I1013, A26,'CF BEST'!$F$9:$F1013, $T$5)</f>
        <v>0</v>
      </c>
      <c r="T26" s="210">
        <f>SUMIFS('CF BEST'!$D$9:$D1013, 'CF BEST'!$I$9:$I1013, A26,'CF BEST'!$F$9:$F1013, $T$5)</f>
        <v>3506</v>
      </c>
      <c r="U26" s="211">
        <f>SUMIFS('CF BEST'!$C$9:$C1013, 'CF BEST'!$I$9:$I1013, A26,'CF BEST'!$F$9:$F1013, $V$5)</f>
        <v>0</v>
      </c>
      <c r="V26" s="211">
        <f>SUMIFS('CF BEST'!$D$9:$D1013, 'CF BEST'!$I$9:$I1013, A26,'CF BEST'!$F$9:$F1013, $V$5)</f>
        <v>0</v>
      </c>
      <c r="W26" s="212">
        <f>SUMIFS('CF BEST'!$C$9:$C1013, 'CF BEST'!$I$9:$I1013, A26,'CF BEST'!$F$9:$F1013, $X$5)</f>
        <v>0</v>
      </c>
      <c r="X26" s="212">
        <f>SUMIFS('CF BEST'!$D$9:$D1013, 'CF BEST'!$I$9:$I1013, A26,'CF BEST'!$F$9:$F1013, $X$5)</f>
        <v>0</v>
      </c>
      <c r="Y26" s="213">
        <f>SUMIFS('CF BEST'!$C$9:$C1013, 'CF BEST'!$I$9:$I1013, A26,'CF BEST'!$F$9:$F1013, $Z$5)+S26+U26+W26</f>
        <v>0</v>
      </c>
      <c r="Z26" s="213">
        <f>SUMIFS('CF BEST'!$D$9:$D1013, 'CF BEST'!$I$9:$I1013, A26,'CF BEST'!$F$9:$F1013, $Z$5)+T26+V26+X26</f>
        <v>3506</v>
      </c>
      <c r="AA26" s="210">
        <f>SUMIFS('CF BEST'!$C$9:$C1013, 'CF BEST'!$I$9:$I1013, A26,'CF BEST'!$F$9:$F1013, $AB$5)</f>
        <v>0</v>
      </c>
      <c r="AB26" s="210">
        <f>SUMIFS('CF BEST'!$D$9:$D1013, 'CF BEST'!$I$9:$I1013, A26,'CF BEST'!$F$9:$F1013, $AB$5)</f>
        <v>3506</v>
      </c>
      <c r="AC26" s="211">
        <f>SUMIFS('CF BEST'!$C$9:$C1013, 'CF BEST'!$I$9:$I1013, A26,'CF BEST'!$F$9:$F1013, $AD$5)</f>
        <v>0</v>
      </c>
      <c r="AD26" s="211">
        <f>SUMIFS('CF BEST'!$D$9:$D1013, 'CF BEST'!$I$9:$I1013, A26,'CF BEST'!$F$9:$F1013, $AD$5)</f>
        <v>0</v>
      </c>
      <c r="AE26" s="212">
        <f>SUMIFS('CF BEST'!$C$9:$C1013, 'CF BEST'!$I$9:$I1013, A26,'CF BEST'!$F$9:$F1013, $AF$5)</f>
        <v>0</v>
      </c>
      <c r="AF26" s="212">
        <f>SUMIFS('CF BEST'!$D$9:$D1013, 'CF BEST'!$I$9:$I1013, A26,'CF BEST'!$F$9:$F1013, $AF$5)</f>
        <v>0</v>
      </c>
      <c r="AG26" s="213">
        <f>SUMIFS('CF BEST'!$C$9:$C1013, 'CF BEST'!$I$9:$I1013, A26,'CF BEST'!$F$9:$F1013, $AH$5)+AA26+AC26+AE26</f>
        <v>0</v>
      </c>
      <c r="AH26" s="213">
        <f>SUMIFS('CF BEST'!$D$9:$D1013, 'CF BEST'!$I$9:$I1013, A26,'CF BEST'!$F$9:$F1013, $AH$5)+AB26+AD26+AF26</f>
        <v>3506</v>
      </c>
    </row>
    <row r="27">
      <c r="A27" s="208" t="s">
        <v>1097</v>
      </c>
      <c r="B27" s="209">
        <f t="shared" si="4"/>
        <v>4421824.3</v>
      </c>
      <c r="C27" s="210">
        <f>SUMIFS('CF BEST'!$C$9:$C1013, 'CF BEST'!$I$9:$I1013, A27,'CF BEST'!$F$9:$F1013, $D$5)</f>
        <v>0</v>
      </c>
      <c r="D27" s="210">
        <f>SUMIFS('CF BEST'!$D$9:$D1013, 'CF BEST'!$I$9:$I1013, A27,'CF BEST'!$F$9:$F1013, $D$5)</f>
        <v>0</v>
      </c>
      <c r="E27" s="211">
        <f>SUMIFS('CF BEST'!$C$9:$C1013, 'CF BEST'!$I$9:$I1013, A27,'CF BEST'!$F$9:$F1013, $F$5)</f>
        <v>0</v>
      </c>
      <c r="F27" s="211">
        <f>SUMIFS('CF BEST'!$D$9:$D1013, 'CF BEST'!$I$9:$I1013, A27,'CF BEST'!$F$9:$F1013, $F$5)</f>
        <v>0</v>
      </c>
      <c r="G27" s="212">
        <f>SUMIFS('CF BEST'!$C$9:$C1013, 'CF BEST'!$I$9:$I1013, A27,'CF BEST'!$F$9:$F1013, $H$5)</f>
        <v>0</v>
      </c>
      <c r="H27" s="212">
        <f>SUMIFS('CF BEST'!$D$9:$D1013, 'CF BEST'!$I$9:$I1013, A27,'CF BEST'!$F$9:$F1013, $H$5)</f>
        <v>0</v>
      </c>
      <c r="I27" s="213">
        <f>SUMIFS('CF BEST'!$C$9:$C1013, 'CF BEST'!$I$9:$I1013, A27,'CF BEST'!$F$9:$F1013, $J$5)+C27+E27+G27</f>
        <v>0</v>
      </c>
      <c r="J27" s="213">
        <f>SUMIFS('CF BEST'!$D$9:$D1013, 'CF BEST'!$I$9:$I1013, A27,'CF BEST'!$F$9:$F1013, $J$5)+D27+F27+H27</f>
        <v>0</v>
      </c>
      <c r="K27" s="210">
        <f>SUMIFS('CF BEST'!$C$9:$C1013, 'CF BEST'!$I$9:$I1013, A27,'CF BEST'!$F$9:$F1013, $L$5)</f>
        <v>0</v>
      </c>
      <c r="L27" s="210">
        <f>SUMIFS('CF BEST'!$D$9:$D1013, 'CF BEST'!$I$9:$I1013, A27,'CF BEST'!$F$9:$F1013, $L$5)</f>
        <v>0</v>
      </c>
      <c r="M27" s="211">
        <f>SUMIFS('CF BEST'!$C$9:$C1013, 'CF BEST'!$I$9:$I1013, A27,'CF BEST'!$F$9:$F1013, $N$5)</f>
        <v>0</v>
      </c>
      <c r="N27" s="211">
        <f>SUMIFS('CF BEST'!$D$9:$D1013, 'CF BEST'!$I$9:$I1013, A27,'CF BEST'!$F$9:$F1013, $N$5)</f>
        <v>0</v>
      </c>
      <c r="O27" s="212">
        <f>SUMIFS('CF BEST'!$C$9:$C1013, 'CF BEST'!$I$9:$I1013, A27,'CF BEST'!$F$9:$F1013, $P$5)</f>
        <v>0</v>
      </c>
      <c r="P27" s="212">
        <f>SUMIFS('CF BEST'!$D$9:$D1013, 'CF BEST'!$I$9:$I1013, A27,'CF BEST'!$F$9:$F1013, $P$5)</f>
        <v>0</v>
      </c>
      <c r="Q27" s="213">
        <f>SUMIFS('CF BEST'!$C$9:$C1013, 'CF BEST'!$I$9:$I1013, A27,'CF BEST'!$F$9:$F1013, $R$5)+K27+M27+O27</f>
        <v>0</v>
      </c>
      <c r="R27" s="213">
        <f>SUMIFS('CF BEST'!$D$9:$D1013, 'CF BEST'!$I$9:$I1013, A27,'CF BEST'!$F$9:$F1013, $R$5)+L27+N27+P27</f>
        <v>0</v>
      </c>
      <c r="S27" s="210">
        <f>SUMIFS('CF BEST'!$C$9:$C1013, 'CF BEST'!$I$9:$I1013, A27,'CF BEST'!$F$9:$F1013, $T$5)</f>
        <v>0</v>
      </c>
      <c r="T27" s="210">
        <f>SUMIFS('CF BEST'!$D$9:$D1013, 'CF BEST'!$I$9:$I1013, A27,'CF BEST'!$F$9:$F1013, $T$5)</f>
        <v>0</v>
      </c>
      <c r="U27" s="211">
        <f>SUMIFS('CF BEST'!$C$9:$C1013, 'CF BEST'!$I$9:$I1013, A27,'CF BEST'!$F$9:$F1013, $V$5)</f>
        <v>0</v>
      </c>
      <c r="V27" s="211">
        <f>SUMIFS('CF BEST'!$D$9:$D1013, 'CF BEST'!$I$9:$I1013, A27,'CF BEST'!$F$9:$F1013, $V$5)</f>
        <v>1401269.77</v>
      </c>
      <c r="W27" s="212">
        <f>SUMIFS('CF BEST'!$C$9:$C1013, 'CF BEST'!$I$9:$I1013, A27,'CF BEST'!$F$9:$F1013, $X$5)</f>
        <v>0</v>
      </c>
      <c r="X27" s="212">
        <f>SUMIFS('CF BEST'!$D$9:$D1013, 'CF BEST'!$I$9:$I1013, A27,'CF BEST'!$F$9:$F1013, $X$5)</f>
        <v>0</v>
      </c>
      <c r="Y27" s="213">
        <f>SUMIFS('CF BEST'!$C$9:$C1013, 'CF BEST'!$I$9:$I1013, A27,'CF BEST'!$F$9:$F1013, $Z$5)+S27+U27+W27</f>
        <v>0</v>
      </c>
      <c r="Z27" s="213">
        <f>SUMIFS('CF BEST'!$D$9:$D1013, 'CF BEST'!$I$9:$I1013, A27,'CF BEST'!$F$9:$F1013, $Z$5)+T27+V27+X27</f>
        <v>2493133</v>
      </c>
      <c r="AA27" s="210">
        <f>SUMIFS('CF BEST'!$C$9:$C1013, 'CF BEST'!$I$9:$I1013, A27,'CF BEST'!$F$9:$F1013, $AB$5)</f>
        <v>0</v>
      </c>
      <c r="AB27" s="210">
        <f>SUMIFS('CF BEST'!$D$9:$D1013, 'CF BEST'!$I$9:$I1013, A27,'CF BEST'!$F$9:$F1013, $AB$5)</f>
        <v>0</v>
      </c>
      <c r="AC27" s="211">
        <f>SUMIFS('CF BEST'!$C$9:$C1013, 'CF BEST'!$I$9:$I1013, A27,'CF BEST'!$F$9:$F1013, $AD$5)</f>
        <v>0</v>
      </c>
      <c r="AD27" s="211">
        <f>SUMIFS('CF BEST'!$D$9:$D1013, 'CF BEST'!$I$9:$I1013, A27,'CF BEST'!$F$9:$F1013, $AD$5)</f>
        <v>0</v>
      </c>
      <c r="AE27" s="212">
        <f>SUMIFS('CF BEST'!$C$9:$C1013, 'CF BEST'!$I$9:$I1013, A27,'CF BEST'!$F$9:$F1013, $AF$5)</f>
        <v>0</v>
      </c>
      <c r="AF27" s="212">
        <f>SUMIFS('CF BEST'!$D$9:$D1013, 'CF BEST'!$I$9:$I1013, A27,'CF BEST'!$F$9:$F1013, $AF$5)</f>
        <v>0</v>
      </c>
      <c r="AG27" s="213">
        <f>SUMIFS('CF BEST'!$C$9:$C1013, 'CF BEST'!$I$9:$I1013, A27,'CF BEST'!$F$9:$F1013, $AH$5)+AA27+AC27+AE27</f>
        <v>0</v>
      </c>
      <c r="AH27" s="213">
        <f>SUMIFS('CF BEST'!$D$9:$D1013, 'CF BEST'!$I$9:$I1013, A27,'CF BEST'!$F$9:$F1013, $AH$5)+AB27+AD27+AF27</f>
        <v>1928691.3</v>
      </c>
    </row>
    <row r="28">
      <c r="A28" s="208" t="s">
        <v>636</v>
      </c>
      <c r="B28" s="209">
        <f t="shared" si="4"/>
        <v>5200000</v>
      </c>
      <c r="C28" s="210">
        <f>SUMIFS('CF BEST'!$C$9:$C1013, 'CF BEST'!$I$9:$I1013, A28,'CF BEST'!$F$9:$F1013, $D$5)</f>
        <v>0</v>
      </c>
      <c r="D28" s="210">
        <f>SUMIFS('CF BEST'!$D$9:$D1013, 'CF BEST'!$I$9:$I1013, A28,'CF BEST'!$F$9:$F1013, $D$5)</f>
        <v>0</v>
      </c>
      <c r="E28" s="211">
        <f>SUMIFS('CF BEST'!$C$9:$C1013, 'CF BEST'!$I$9:$I1013, A28,'CF BEST'!$F$9:$F1013, $F$5)</f>
        <v>0</v>
      </c>
      <c r="F28" s="211">
        <f>SUMIFS('CF BEST'!$D$9:$D1013, 'CF BEST'!$I$9:$I1013, A28,'CF BEST'!$F$9:$F1013, $F$5)</f>
        <v>5200000</v>
      </c>
      <c r="G28" s="212">
        <f>SUMIFS('CF BEST'!$C$9:$C1013, 'CF BEST'!$I$9:$I1013, A28,'CF BEST'!$F$9:$F1013, $H$5)</f>
        <v>0</v>
      </c>
      <c r="H28" s="212">
        <f>SUMIFS('CF BEST'!$D$9:$D1013, 'CF BEST'!$I$9:$I1013, A28,'CF BEST'!$F$9:$F1013, $H$5)</f>
        <v>0</v>
      </c>
      <c r="I28" s="213">
        <f>SUMIFS('CF BEST'!$C$9:$C1013, 'CF BEST'!$I$9:$I1013, A28,'CF BEST'!$F$9:$F1013, $J$5)+C28+E28+G28</f>
        <v>0</v>
      </c>
      <c r="J28" s="213">
        <f>SUMIFS('CF BEST'!$D$9:$D1013, 'CF BEST'!$I$9:$I1013, A28,'CF BEST'!$F$9:$F1013, $J$5)+D28+F28+H28</f>
        <v>5200000</v>
      </c>
      <c r="K28" s="210">
        <f>SUMIFS('CF BEST'!$C$9:$C1013, 'CF BEST'!$I$9:$I1013, A28,'CF BEST'!$F$9:$F1013, $L$5)</f>
        <v>0</v>
      </c>
      <c r="L28" s="210">
        <f>SUMIFS('CF BEST'!$D$9:$D1013, 'CF BEST'!$I$9:$I1013, A28,'CF BEST'!$F$9:$F1013, $L$5)</f>
        <v>0</v>
      </c>
      <c r="M28" s="211">
        <f>SUMIFS('CF BEST'!$C$9:$C1013, 'CF BEST'!$I$9:$I1013, A28,'CF BEST'!$F$9:$F1013, $N$5)</f>
        <v>0</v>
      </c>
      <c r="N28" s="211">
        <f>SUMIFS('CF BEST'!$D$9:$D1013, 'CF BEST'!$I$9:$I1013, A28,'CF BEST'!$F$9:$F1013, $N$5)</f>
        <v>0</v>
      </c>
      <c r="O28" s="212">
        <f>SUMIFS('CF BEST'!$C$9:$C1013, 'CF BEST'!$I$9:$I1013, A28,'CF BEST'!$F$9:$F1013, $P$5)</f>
        <v>0</v>
      </c>
      <c r="P28" s="212">
        <f>SUMIFS('CF BEST'!$D$9:$D1013, 'CF BEST'!$I$9:$I1013, A28,'CF BEST'!$F$9:$F1013, $P$5)</f>
        <v>0</v>
      </c>
      <c r="Q28" s="213">
        <f>SUMIFS('CF BEST'!$C$9:$C1013, 'CF BEST'!$I$9:$I1013, A28,'CF BEST'!$F$9:$F1013, $R$5)+K28+M28+O28</f>
        <v>0</v>
      </c>
      <c r="R28" s="213">
        <f>SUMIFS('CF BEST'!$D$9:$D1013, 'CF BEST'!$I$9:$I1013, A28,'CF BEST'!$F$9:$F1013, $R$5)+L28+N28+P28</f>
        <v>0</v>
      </c>
      <c r="S28" s="210">
        <f>SUMIFS('CF BEST'!$C$9:$C1013, 'CF BEST'!$I$9:$I1013, A28,'CF BEST'!$F$9:$F1013, $T$5)</f>
        <v>0</v>
      </c>
      <c r="T28" s="210">
        <f>SUMIFS('CF BEST'!$D$9:$D1013, 'CF BEST'!$I$9:$I1013, A28,'CF BEST'!$F$9:$F1013, $T$5)</f>
        <v>0</v>
      </c>
      <c r="U28" s="211">
        <f>SUMIFS('CF BEST'!$C$9:$C1013, 'CF BEST'!$I$9:$I1013, A28,'CF BEST'!$F$9:$F1013, $V$5)</f>
        <v>0</v>
      </c>
      <c r="V28" s="211">
        <f>SUMIFS('CF BEST'!$D$9:$D1013, 'CF BEST'!$I$9:$I1013, A28,'CF BEST'!$F$9:$F1013, $V$5)</f>
        <v>0</v>
      </c>
      <c r="W28" s="212">
        <f>SUMIFS('CF BEST'!$C$9:$C1013, 'CF BEST'!$I$9:$I1013, A28,'CF BEST'!$F$9:$F1013, $X$5)</f>
        <v>0</v>
      </c>
      <c r="X28" s="212">
        <f>SUMIFS('CF BEST'!$D$9:$D1013, 'CF BEST'!$I$9:$I1013, A28,'CF BEST'!$F$9:$F1013, $X$5)</f>
        <v>0</v>
      </c>
      <c r="Y28" s="213">
        <f>SUMIFS('CF BEST'!$C$9:$C1013, 'CF BEST'!$I$9:$I1013, A28,'CF BEST'!$F$9:$F1013, $Z$5)+S28+U28+W28</f>
        <v>0</v>
      </c>
      <c r="Z28" s="213">
        <f>SUMIFS('CF BEST'!$D$9:$D1013, 'CF BEST'!$I$9:$I1013, A28,'CF BEST'!$F$9:$F1013, $Z$5)+T28+V28+X28</f>
        <v>0</v>
      </c>
      <c r="AA28" s="210">
        <f>SUMIFS('CF BEST'!$C$9:$C1013, 'CF BEST'!$I$9:$I1013, A28,'CF BEST'!$F$9:$F1013, $AB$5)</f>
        <v>0</v>
      </c>
      <c r="AB28" s="210">
        <f>SUMIFS('CF BEST'!$D$9:$D1013, 'CF BEST'!$I$9:$I1013, A28,'CF BEST'!$F$9:$F1013, $AB$5)</f>
        <v>0</v>
      </c>
      <c r="AC28" s="211">
        <f>SUMIFS('CF BEST'!$C$9:$C1013, 'CF BEST'!$I$9:$I1013, A28,'CF BEST'!$F$9:$F1013, $AD$5)</f>
        <v>0</v>
      </c>
      <c r="AD28" s="211">
        <f>SUMIFS('CF BEST'!$D$9:$D1013, 'CF BEST'!$I$9:$I1013, A28,'CF BEST'!$F$9:$F1013, $AD$5)</f>
        <v>0</v>
      </c>
      <c r="AE28" s="212">
        <f>SUMIFS('CF BEST'!$C$9:$C1013, 'CF BEST'!$I$9:$I1013, A28,'CF BEST'!$F$9:$F1013, $AF$5)</f>
        <v>0</v>
      </c>
      <c r="AF28" s="212">
        <f>SUMIFS('CF BEST'!$D$9:$D1013, 'CF BEST'!$I$9:$I1013, A28,'CF BEST'!$F$9:$F1013, $AF$5)</f>
        <v>0</v>
      </c>
      <c r="AG28" s="213">
        <f>SUMIFS('CF BEST'!$C$9:$C1013, 'CF BEST'!$I$9:$I1013, A28,'CF BEST'!$F$9:$F1013, $AH$5)+AA28+AC28+AE28</f>
        <v>0</v>
      </c>
      <c r="AH28" s="213">
        <f>SUMIFS('CF BEST'!$D$9:$D1013, 'CF BEST'!$I$9:$I1013, A28,'CF BEST'!$F$9:$F1013, $AH$5)+AB28+AD28+AF28</f>
        <v>0</v>
      </c>
    </row>
    <row r="29">
      <c r="A29" s="208" t="s">
        <v>47</v>
      </c>
      <c r="B29" s="209">
        <f>(J29+R29+Z29+AH29)-AG29-Y29-Q29-I29</f>
        <v>8228816.628</v>
      </c>
      <c r="C29" s="218">
        <v>0.0</v>
      </c>
      <c r="D29" s="210">
        <f>SUMIFS('CF BEST'!$D$9:$D1013, 'CF BEST'!$I$9:$I1013, $A$29,'CF BEST'!$F$9:$F1013, D5)-SUMIFS('CF BEST'!$C$9:$C1013, 'CF BEST'!$I$9:$I1013, $A$29,'CF BEST'!$F$9:$F1013, D5)</f>
        <v>1797058.824</v>
      </c>
      <c r="E29" s="219">
        <v>0.0</v>
      </c>
      <c r="F29" s="211">
        <f>SUMIFS('CF BEST'!$D$9:$D1013, 'CF BEST'!$I$9:$I1013, $A$29,'CF BEST'!$F$9:$F1013, F5)-SUMIFS('CF BEST'!$C$9:$C1013, 'CF BEST'!$I$9:$I1013, $A$29,'CF BEST'!$F$9:$F1013, F5)</f>
        <v>1200000</v>
      </c>
      <c r="G29" s="220">
        <v>0.0</v>
      </c>
      <c r="H29" s="212">
        <f>SUMIFS('CF BEST'!$D$9:$D1013, 'CF BEST'!$I$9:$I1013, $A$29,'CF BEST'!$F$9:$F1013, H5)-SUMIFS('CF BEST'!$C$9:$C1013, 'CF BEST'!$I$9:$I1013, $A$29,'CF BEST'!$F$9:$F1013, H5)</f>
        <v>1474509.804</v>
      </c>
      <c r="I29" s="213">
        <f>SUMIFS('CF BEST'!$C$9:$C1013, 'CF BEST'!$I$9:$I1013, A29,'CF BEST'!$F$9:$F1013, $J$5)+C29+E29+G29</f>
        <v>0</v>
      </c>
      <c r="J29" s="213">
        <f>SUMIFS('CF BEST'!$D$9:$D1013, 'CF BEST'!$I$9:$I1013, A29,'CF BEST'!$F$9:$F1013, $J$5)+D29+F29+H29</f>
        <v>4471568.628</v>
      </c>
      <c r="K29" s="218">
        <v>0.0</v>
      </c>
      <c r="L29" s="210">
        <f>SUMIFS('CF BEST'!$D$9:$D1013, 'CF BEST'!$I$9:$I1013, $A$29,'CF BEST'!$F$9:$F1013, L5)-SUMIFS('CF BEST'!$C$9:$C1013, 'CF BEST'!$I$9:$I1013, $A$29,'CF BEST'!$F$9:$F1013, L5)</f>
        <v>517000</v>
      </c>
      <c r="M29" s="219">
        <v>0.0</v>
      </c>
      <c r="N29" s="211">
        <f>SUMIFS('CF BEST'!$D$9:$D1013, 'CF BEST'!$I$9:$I1013, $A$29,'CF BEST'!$F$9:$F1013, N5)-SUMIFS('CF BEST'!$C$9:$C1013, 'CF BEST'!$I$9:$I1013, $A$29,'CF BEST'!$F$9:$F1013, N5)</f>
        <v>425000</v>
      </c>
      <c r="O29" s="220">
        <v>0.0</v>
      </c>
      <c r="P29" s="212">
        <f>SUMIFS('CF BEST'!$D$9:$D1013, 'CF BEST'!$I$9:$I1013, $A$29,'CF BEST'!$F$9:$F1013, P5)-SUMIFS('CF BEST'!$C$9:$C1013, 'CF BEST'!$I$9:$I1013, $A$29,'CF BEST'!$F$9:$F1013, P5)</f>
        <v>940750</v>
      </c>
      <c r="Q29" s="213">
        <f>SUMIFS('CF BEST'!$C$9:$C1013, 'CF BEST'!$I$9:$I1013, A29,'CF BEST'!$F$9:$F1013, $R$5)+K29+M29+O29</f>
        <v>0</v>
      </c>
      <c r="R29" s="213">
        <f>SUMIFS('CF BEST'!$D$9:$D1013, 'CF BEST'!$I$9:$I1013, A29,'CF BEST'!$F$9:$F1013, $R$5)+L29+N29+P29</f>
        <v>1882750</v>
      </c>
      <c r="S29" s="218">
        <v>0.0</v>
      </c>
      <c r="T29" s="210">
        <f>SUMIFS('CF BEST'!$D$9:$D1013, 'CF BEST'!$I$9:$I1013, $A$29,'CF BEST'!$F$9:$F1013, T5)-SUMIFS('CF BEST'!$C$9:$C1013, 'CF BEST'!$I$9:$I1013, $A$29,'CF BEST'!$F$9:$F1013, T5)</f>
        <v>0</v>
      </c>
      <c r="U29" s="218">
        <v>0.0</v>
      </c>
      <c r="V29" s="210">
        <f>SUMIFS('CF BEST'!$D$9:$D1013, 'CF BEST'!$I$9:$I1013, $A$29,'CF BEST'!$F$9:$F1013, V5)-SUMIFS('CF BEST'!$C$9:$C1013, 'CF BEST'!$I$9:$I1013, $A$29,'CF BEST'!$F$9:$F1013, V5)</f>
        <v>376510</v>
      </c>
      <c r="W29" s="218">
        <v>0.0</v>
      </c>
      <c r="X29" s="210">
        <f>SUMIFS('CF BEST'!$D$9:$D1013, 'CF BEST'!$I$9:$I1013, $A$29,'CF BEST'!$F$9:$F1013, X5)-SUMIFS('CF BEST'!$C$9:$C1013, 'CF BEST'!$I$9:$I1013, $A$29,'CF BEST'!$F$9:$F1013, X5)</f>
        <v>678000</v>
      </c>
      <c r="Y29" s="213">
        <f>SUMIFS('CF BEST'!$C$9:$C1013, 'CF BEST'!$I$9:$I1013, A29,'CF BEST'!$F$9:$F1013, $Z$5)+S29+U29+W29</f>
        <v>0</v>
      </c>
      <c r="Z29" s="213">
        <f>SUMIFS('CF BEST'!$D$9:$D1013, 'CF BEST'!$I$9:$I1013, A29,'CF BEST'!$F$9:$F1013, $Z$5)+T29+V29+X29</f>
        <v>1054510</v>
      </c>
      <c r="AA29" s="218">
        <v>12.0</v>
      </c>
      <c r="AB29" s="210">
        <f>SUMIFS('CF BEST'!$D$9:$D1013, 'CF BEST'!$I$9:$I1013, $A$29,'CF BEST'!$F$9:$F1013, AB5)-SUMIFS('CF BEST'!$C$9:$C1013, 'CF BEST'!$I$9:$I1013, $A$29,'CF BEST'!$F$9:$F1013, AB5)</f>
        <v>200000</v>
      </c>
      <c r="AC29" s="218">
        <v>0.0</v>
      </c>
      <c r="AD29" s="210">
        <f>SUMIFS('CF BEST'!$D$9:$D1013, 'CF BEST'!$I$9:$I1013, $A$29,'CF BEST'!$F$9:$F1013, AD5)-SUMIFS('CF BEST'!$C$9:$C1013, 'CF BEST'!$I$9:$I1013, $A$29,'CF BEST'!$F$9:$F1013, AD5)</f>
        <v>620000</v>
      </c>
      <c r="AE29" s="218">
        <v>0.0</v>
      </c>
      <c r="AF29" s="210">
        <f>SUMIFS('CF BEST'!$D$9:$D1013, 'CF BEST'!$I$9:$I1013, $A$29,'CF BEST'!$F$9:$F1013, AF5)-SUMIFS('CF BEST'!$C$9:$C1013, 'CF BEST'!$I$9:$I1013, $A$29,'CF BEST'!$F$9:$F1013, AF5)</f>
        <v>0</v>
      </c>
      <c r="AG29" s="213">
        <f>SUMIFS('CF BEST'!$C$9:$C1013, 'CF BEST'!$I$9:$I1013, A29,'CF BEST'!$F$9:$F1013, $AH$5)+AA29+AC29+AE29</f>
        <v>12</v>
      </c>
      <c r="AH29" s="213">
        <f>SUMIFS('CF BEST'!$D$9:$D1013, 'CF BEST'!$I$9:$I1013, A29,'CF BEST'!$F$9:$F1013, $AH$5)+AB29+AD29+AF29</f>
        <v>820000</v>
      </c>
    </row>
    <row r="30">
      <c r="A30" s="208" t="s">
        <v>294</v>
      </c>
      <c r="B30" s="209">
        <f t="shared" ref="B30:B41" si="6">J30+R30+Z30+AH30</f>
        <v>372774.89</v>
      </c>
      <c r="C30" s="210">
        <f>SUMIFS('CF BEST'!$C$9:$C1013, 'CF BEST'!$I$9:$I1013, A30,'CF BEST'!$F$9:$F1013, $D$5)</f>
        <v>0</v>
      </c>
      <c r="D30" s="210">
        <f>SUMIFS('CF BEST'!$D$9:$D1013, 'CF BEST'!$I$9:$I1013, A30,'CF BEST'!$F$9:$F1013, $D$5)</f>
        <v>2400</v>
      </c>
      <c r="E30" s="211">
        <f>SUMIFS('CF BEST'!$C$9:$C1013, 'CF BEST'!$I$9:$I1013, A30,'CF BEST'!$F$9:$F1013, $F$5)</f>
        <v>0</v>
      </c>
      <c r="F30" s="211">
        <f>SUMIFS('CF BEST'!$D$9:$D1013, 'CF BEST'!$I$9:$I1013, A30,'CF BEST'!$F$9:$F1013, $F$5)</f>
        <v>2400</v>
      </c>
      <c r="G30" s="212">
        <f>SUMIFS('CF BEST'!$C$9:$C1013, 'CF BEST'!$I$9:$I1013, A30,'CF BEST'!$F$9:$F1013, $H$5)</f>
        <v>0</v>
      </c>
      <c r="H30" s="212">
        <f>SUMIFS('CF BEST'!$D$9:$D1013, 'CF BEST'!$I$9:$I1013, A30,'CF BEST'!$F$9:$F1013, $H$5)</f>
        <v>2795</v>
      </c>
      <c r="I30" s="213">
        <f>SUMIFS('CF BEST'!$C$9:$C1013, 'CF BEST'!$I$9:$I1013, A30,'CF BEST'!$F$9:$F1013, $J$5)+C30+E30+G30</f>
        <v>0</v>
      </c>
      <c r="J30" s="213">
        <f>SUMIFS('CF BEST'!$D$9:$D1013, 'CF BEST'!$I$9:$I1013, A30,'CF BEST'!$F$9:$F1013, $J$5)+D30+F30+H30</f>
        <v>7595</v>
      </c>
      <c r="K30" s="210">
        <f>SUMIFS('CF BEST'!$C$9:$C1013, 'CF BEST'!$I$9:$I1013, A30,'CF BEST'!$F$9:$F1013, $L$5)</f>
        <v>0</v>
      </c>
      <c r="L30" s="210">
        <f>SUMIFS('CF BEST'!$D$9:$D1013, 'CF BEST'!$I$9:$I1013, A30,'CF BEST'!$F$9:$F1013, $L$5)</f>
        <v>8401</v>
      </c>
      <c r="M30" s="211">
        <f>SUMIFS('CF BEST'!$C$9:$C1013, 'CF BEST'!$I$9:$I1013, A30,'CF BEST'!$F$9:$F1013, $N$5)</f>
        <v>0</v>
      </c>
      <c r="N30" s="211">
        <f>SUMIFS('CF BEST'!$D$9:$D1013, 'CF BEST'!$I$9:$I1013, A30,'CF BEST'!$F$9:$F1013, $N$5)</f>
        <v>0</v>
      </c>
      <c r="O30" s="212">
        <f>SUMIFS('CF BEST'!$C$9:$C1013, 'CF BEST'!$I$9:$I1013, A30,'CF BEST'!$F$9:$F1013, $P$5)</f>
        <v>0</v>
      </c>
      <c r="P30" s="212">
        <f>SUMIFS('CF BEST'!$D$9:$D1013, 'CF BEST'!$I$9:$I1013, A30,'CF BEST'!$F$9:$F1013, $P$5)</f>
        <v>0</v>
      </c>
      <c r="Q30" s="213">
        <f>SUMIFS('CF BEST'!$C$9:$C1013, 'CF BEST'!$I$9:$I1013, A30,'CF BEST'!$F$9:$F1013, $R$5)+K30+M30+O30</f>
        <v>0</v>
      </c>
      <c r="R30" s="213">
        <f>SUMIFS('CF BEST'!$D$9:$D1013, 'CF BEST'!$I$9:$I1013, A30,'CF BEST'!$F$9:$F1013, $R$5)+L30+N30+P30</f>
        <v>11561</v>
      </c>
      <c r="S30" s="210">
        <f>SUMIFS('CF BEST'!$C$9:$C1013, 'CF BEST'!$I$9:$I1013, A30,'CF BEST'!$F$9:$F1013, $T$5)</f>
        <v>0</v>
      </c>
      <c r="T30" s="210">
        <f>SUMIFS('CF BEST'!$D$9:$D1013, 'CF BEST'!$I$9:$I1013, A30,'CF BEST'!$F$9:$F1013, $T$5)</f>
        <v>0</v>
      </c>
      <c r="U30" s="211">
        <f>SUMIFS('CF BEST'!$C$9:$C1013, 'CF BEST'!$I$9:$I1013, A30,'CF BEST'!$F$9:$F1013, $V$5)</f>
        <v>0</v>
      </c>
      <c r="V30" s="211">
        <f>SUMIFS('CF BEST'!$D$9:$D1013, 'CF BEST'!$I$9:$I1013, A30,'CF BEST'!$F$9:$F1013, $V$5)</f>
        <v>20383.56</v>
      </c>
      <c r="W30" s="212">
        <f>SUMIFS('CF BEST'!$C$9:$C1013, 'CF BEST'!$I$9:$I1013, A30,'CF BEST'!$F$9:$F1013, $X$5)</f>
        <v>0</v>
      </c>
      <c r="X30" s="212">
        <f>SUMIFS('CF BEST'!$D$9:$D1013, 'CF BEST'!$I$9:$I1013, A30,'CF BEST'!$F$9:$F1013, $X$5)</f>
        <v>0</v>
      </c>
      <c r="Y30" s="213">
        <f>SUMIFS('CF BEST'!$C$9:$C1013, 'CF BEST'!$I$9:$I1013, A30,'CF BEST'!$F$9:$F1013, $Z$5)+S30+U30+W30</f>
        <v>0</v>
      </c>
      <c r="Z30" s="213">
        <f>SUMIFS('CF BEST'!$D$9:$D1013, 'CF BEST'!$I$9:$I1013, A30,'CF BEST'!$F$9:$F1013, $Z$5)+T30+V30+X30</f>
        <v>27967.56</v>
      </c>
      <c r="AA30" s="210">
        <f>SUMIFS('CF BEST'!$C$9:$C1013, 'CF BEST'!$I$9:$I1013, A30,'CF BEST'!$F$9:$F1013, $AB$5)</f>
        <v>0</v>
      </c>
      <c r="AB30" s="210">
        <f>SUMIFS('CF BEST'!$D$9:$D1013, 'CF BEST'!$I$9:$I1013, A30,'CF BEST'!$F$9:$F1013, $AB$5)</f>
        <v>0</v>
      </c>
      <c r="AC30" s="211">
        <f>SUMIFS('CF BEST'!$C$9:$C1013, 'CF BEST'!$I$9:$I1013, A30,'CF BEST'!$F$9:$F1013, $AD$5)</f>
        <v>0</v>
      </c>
      <c r="AD30" s="211">
        <f>SUMIFS('CF BEST'!$D$9:$D1013, 'CF BEST'!$I$9:$I1013, A30,'CF BEST'!$F$9:$F1013, $AD$5)</f>
        <v>305833.33</v>
      </c>
      <c r="AE30" s="212">
        <f>SUMIFS('CF BEST'!$C$9:$C1013, 'CF BEST'!$I$9:$I1013, A30,'CF BEST'!$F$9:$F1013, $AF$5)</f>
        <v>0</v>
      </c>
      <c r="AF30" s="212">
        <f>SUMIFS('CF BEST'!$D$9:$D1013, 'CF BEST'!$I$9:$I1013, A30,'CF BEST'!$F$9:$F1013, $AF$5)</f>
        <v>11286</v>
      </c>
      <c r="AG30" s="213">
        <f>SUMIFS('CF BEST'!$C$9:$C1013, 'CF BEST'!$I$9:$I1013, A30,'CF BEST'!$F$9:$F1013, $AH$5)+AA30+AC30+AE30</f>
        <v>0</v>
      </c>
      <c r="AH30" s="213">
        <f>SUMIFS('CF BEST'!$D$9:$D1013, 'CF BEST'!$I$9:$I1013, A30,'CF BEST'!$F$9:$F1013, $AH$5)+AB30+AD30+AF30</f>
        <v>325651.33</v>
      </c>
    </row>
    <row r="31">
      <c r="A31" s="208" t="s">
        <v>1373</v>
      </c>
      <c r="B31" s="209">
        <f t="shared" si="6"/>
        <v>100000</v>
      </c>
      <c r="C31" s="210">
        <f>SUMIFS('CF BEST'!$C$9:$C1013, 'CF BEST'!$I$9:$I1013, A31,'CF BEST'!$F$9:$F1013, $D$5)</f>
        <v>0</v>
      </c>
      <c r="D31" s="210">
        <f>SUMIFS('CF BEST'!$D$9:$D1013, 'CF BEST'!$I$9:$I1013, A31,'CF BEST'!$F$9:$F1013, $D$5)</f>
        <v>0</v>
      </c>
      <c r="E31" s="211">
        <f>SUMIFS('CF BEST'!$C$9:$C1013, 'CF BEST'!$I$9:$I1013, A31,'CF BEST'!$F$9:$F1013, $F$5)</f>
        <v>0</v>
      </c>
      <c r="F31" s="211">
        <f>SUMIFS('CF BEST'!$D$9:$D1013, 'CF BEST'!$I$9:$I1013, A31,'CF BEST'!$F$9:$F1013, $F$5)</f>
        <v>0</v>
      </c>
      <c r="G31" s="212">
        <f>SUMIFS('CF BEST'!$C$9:$C1013, 'CF BEST'!$I$9:$I1013, A31,'CF BEST'!$F$9:$F1013, $H$5)</f>
        <v>0</v>
      </c>
      <c r="H31" s="212">
        <f>SUMIFS('CF BEST'!$D$9:$D1013, 'CF BEST'!$I$9:$I1013, A31,'CF BEST'!$F$9:$F1013, $H$5)</f>
        <v>0</v>
      </c>
      <c r="I31" s="213">
        <f>SUMIFS('CF BEST'!$C$9:$C1013, 'CF BEST'!$I$9:$I1013, A31,'CF BEST'!$F$9:$F1013, $J$5)+C31+E31+G31</f>
        <v>0</v>
      </c>
      <c r="J31" s="213">
        <f>SUMIFS('CF BEST'!$D$9:$D1013, 'CF BEST'!$I$9:$I1013, A31,'CF BEST'!$F$9:$F1013, $J$5)+D31+F31+H31</f>
        <v>0</v>
      </c>
      <c r="K31" s="210">
        <f>SUMIFS('CF BEST'!$C$9:$C1013, 'CF BEST'!$I$9:$I1013, A31,'CF BEST'!$F$9:$F1013, $L$5)</f>
        <v>0</v>
      </c>
      <c r="L31" s="210">
        <f>SUMIFS('CF BEST'!$D$9:$D1013, 'CF BEST'!$I$9:$I1013, A31,'CF BEST'!$F$9:$F1013, $L$5)</f>
        <v>0</v>
      </c>
      <c r="M31" s="211">
        <f>SUMIFS('CF BEST'!$C$9:$C1013, 'CF BEST'!$I$9:$I1013, A31,'CF BEST'!$F$9:$F1013, $N$5)</f>
        <v>0</v>
      </c>
      <c r="N31" s="211">
        <f>SUMIFS('CF BEST'!$D$9:$D1013, 'CF BEST'!$I$9:$I1013, A31,'CF BEST'!$F$9:$F1013, $N$5)</f>
        <v>0</v>
      </c>
      <c r="O31" s="212">
        <f>SUMIFS('CF BEST'!$C$9:$C1013, 'CF BEST'!$I$9:$I1013, A31,'CF BEST'!$F$9:$F1013, $P$5)</f>
        <v>0</v>
      </c>
      <c r="P31" s="212">
        <f>SUMIFS('CF BEST'!$D$9:$D1013, 'CF BEST'!$I$9:$I1013, A31,'CF BEST'!$F$9:$F1013, $P$5)</f>
        <v>0</v>
      </c>
      <c r="Q31" s="213">
        <f>SUMIFS('CF BEST'!$C$9:$C1013, 'CF BEST'!$I$9:$I1013, A31,'CF BEST'!$F$9:$F1013, $R$5)+K31+M31+O31</f>
        <v>0</v>
      </c>
      <c r="R31" s="213">
        <f>SUMIFS('CF BEST'!$D$9:$D1013, 'CF BEST'!$I$9:$I1013, A31,'CF BEST'!$F$9:$F1013, $R$5)+L31+N31+P31</f>
        <v>0</v>
      </c>
      <c r="S31" s="210">
        <f>SUMIFS('CF BEST'!$C$9:$C1013, 'CF BEST'!$I$9:$I1013, A31,'CF BEST'!$F$9:$F1013, $T$5)</f>
        <v>0</v>
      </c>
      <c r="T31" s="210">
        <f>SUMIFS('CF BEST'!$D$9:$D1013, 'CF BEST'!$I$9:$I1013, A31,'CF BEST'!$F$9:$F1013, $T$5)</f>
        <v>0</v>
      </c>
      <c r="U31" s="211">
        <f>SUMIFS('CF BEST'!$C$9:$C1013, 'CF BEST'!$I$9:$I1013, A31,'CF BEST'!$F$9:$F1013, $V$5)</f>
        <v>0</v>
      </c>
      <c r="V31" s="211">
        <f>SUMIFS('CF BEST'!$D$9:$D1013, 'CF BEST'!$I$9:$I1013, A31,'CF BEST'!$F$9:$F1013, $V$5)</f>
        <v>0</v>
      </c>
      <c r="W31" s="212">
        <f>SUMIFS('CF BEST'!$C$9:$C1013, 'CF BEST'!$I$9:$I1013, A31,'CF BEST'!$F$9:$F1013, $X$5)</f>
        <v>0</v>
      </c>
      <c r="X31" s="212">
        <f>SUMIFS('CF BEST'!$D$9:$D1013, 'CF BEST'!$I$9:$I1013, A31,'CF BEST'!$F$9:$F1013, $X$5)</f>
        <v>0</v>
      </c>
      <c r="Y31" s="213">
        <f>SUMIFS('CF BEST'!$C$9:$C1013, 'CF BEST'!$I$9:$I1013, A31,'CF BEST'!$F$9:$F1013, $Z$5)+S31+U31+W31</f>
        <v>0</v>
      </c>
      <c r="Z31" s="213">
        <f>SUMIFS('CF BEST'!$D$9:$D1013, 'CF BEST'!$I$9:$I1013, A31,'CF BEST'!$F$9:$F1013, $Z$5)+T31+V31+X31</f>
        <v>0</v>
      </c>
      <c r="AA31" s="210">
        <f>SUMIFS('CF BEST'!$C$9:$C1013, 'CF BEST'!$I$9:$I1013, A31,'CF BEST'!$F$9:$F1013, $AB$5)</f>
        <v>0</v>
      </c>
      <c r="AB31" s="210">
        <f>SUMIFS('CF BEST'!$D$9:$D1013, 'CF BEST'!$I$9:$I1013, A31,'CF BEST'!$F$9:$F1013, $AB$5)</f>
        <v>0</v>
      </c>
      <c r="AC31" s="211">
        <f>SUMIFS('CF BEST'!$C$9:$C1013, 'CF BEST'!$I$9:$I1013, A31,'CF BEST'!$F$9:$F1013, $AD$5)</f>
        <v>3572210.05</v>
      </c>
      <c r="AD31" s="211">
        <f>SUMIFS('CF BEST'!$D$9:$D1013, 'CF BEST'!$I$9:$I1013, A31,'CF BEST'!$F$9:$F1013, $AD$5)</f>
        <v>0</v>
      </c>
      <c r="AE31" s="212">
        <f>SUMIFS('CF BEST'!$C$9:$C1013, 'CF BEST'!$I$9:$I1013, A31,'CF BEST'!$F$9:$F1013, $AF$5)</f>
        <v>0</v>
      </c>
      <c r="AF31" s="212">
        <f>SUMIFS('CF BEST'!$D$9:$D1013, 'CF BEST'!$I$9:$I1013, A31,'CF BEST'!$F$9:$F1013, $AF$5)</f>
        <v>0</v>
      </c>
      <c r="AG31" s="213">
        <f>SUMIFS('CF BEST'!$C$9:$C1013, 'CF BEST'!$I$9:$I1013, A31,'CF BEST'!$F$9:$F1013, $AH$5)+AA31+AC31+AE31</f>
        <v>3572210.05</v>
      </c>
      <c r="AH31" s="213">
        <f>SUMIFS('CF BEST'!$D$9:$D1013, 'CF BEST'!$I$9:$I1013, A31,'CF BEST'!$F$9:$F1013, $AH$5)+AB31+AD31+AF31</f>
        <v>100000</v>
      </c>
    </row>
    <row r="32">
      <c r="A32" s="208" t="s">
        <v>504</v>
      </c>
      <c r="B32" s="209">
        <f t="shared" si="6"/>
        <v>5157500</v>
      </c>
      <c r="C32" s="210">
        <f>SUMIFS('CF BEST'!$C$9:$C1013, 'CF BEST'!$I$9:$I1013, A32,'CF BEST'!$F$9:$F1013, $D$5)</f>
        <v>0</v>
      </c>
      <c r="D32" s="210">
        <f>SUMIFS('CF BEST'!$D$9:$D1013, 'CF BEST'!$I$9:$I1013, A32,'CF BEST'!$F$9:$F1013, $D$5)</f>
        <v>0</v>
      </c>
      <c r="E32" s="211">
        <f>SUMIFS('CF BEST'!$C$9:$C1013, 'CF BEST'!$I$9:$I1013, A32,'CF BEST'!$F$9:$F1013, $F$5)</f>
        <v>0</v>
      </c>
      <c r="F32" s="211">
        <f>SUMIFS('CF BEST'!$D$9:$D1013, 'CF BEST'!$I$9:$I1013, A32,'CF BEST'!$F$9:$F1013, $F$5)</f>
        <v>0</v>
      </c>
      <c r="G32" s="212">
        <f>SUMIFS('CF BEST'!$C$9:$C1013, 'CF BEST'!$I$9:$I1013, A32,'CF BEST'!$F$9:$F1013, $H$5)</f>
        <v>0</v>
      </c>
      <c r="H32" s="212">
        <f>SUMIFS('CF BEST'!$D$9:$D1013, 'CF BEST'!$I$9:$I1013, A32,'CF BEST'!$F$9:$F1013, $H$5)</f>
        <v>0</v>
      </c>
      <c r="I32" s="213">
        <f>SUMIFS('CF BEST'!$C$9:$C1013, 'CF BEST'!$I$9:$I1013, A32,'CF BEST'!$F$9:$F1013, $J$5)+C32+E32+G32</f>
        <v>0</v>
      </c>
      <c r="J32" s="213">
        <f>SUMIFS('CF BEST'!$D$9:$D1013, 'CF BEST'!$I$9:$I1013, A32,'CF BEST'!$F$9:$F1013, $J$5)+D32+F32+H32</f>
        <v>0</v>
      </c>
      <c r="K32" s="210">
        <f>SUMIFS('CF BEST'!$C$9:$C1013, 'CF BEST'!$I$9:$I1013, A32,'CF BEST'!$F$9:$F1013, $L$5)</f>
        <v>0</v>
      </c>
      <c r="L32" s="210">
        <f>SUMIFS('CF BEST'!$D$9:$D1013, 'CF BEST'!$I$9:$I1013, A32,'CF BEST'!$F$9:$F1013, $L$5)</f>
        <v>550000</v>
      </c>
      <c r="M32" s="211">
        <f>SUMIFS('CF BEST'!$C$9:$C1013, 'CF BEST'!$I$9:$I1013, A32,'CF BEST'!$F$9:$F1013, $N$5)</f>
        <v>0</v>
      </c>
      <c r="N32" s="211">
        <f>SUMIFS('CF BEST'!$D$9:$D1013, 'CF BEST'!$I$9:$I1013, A32,'CF BEST'!$F$9:$F1013, $N$5)</f>
        <v>550000</v>
      </c>
      <c r="O32" s="212">
        <f>SUMIFS('CF BEST'!$C$9:$C1013, 'CF BEST'!$I$9:$I1013, A32,'CF BEST'!$F$9:$F1013, $P$5)</f>
        <v>0</v>
      </c>
      <c r="P32" s="212">
        <f>SUMIFS('CF BEST'!$D$9:$D1013, 'CF BEST'!$I$9:$I1013, A32,'CF BEST'!$F$9:$F1013, $P$5)</f>
        <v>550000</v>
      </c>
      <c r="Q32" s="213">
        <f>SUMIFS('CF BEST'!$C$9:$C1013, 'CF BEST'!$I$9:$I1013, A32,'CF BEST'!$F$9:$F1013, $R$5)+K32+M32+O32</f>
        <v>0</v>
      </c>
      <c r="R32" s="213">
        <f>SUMIFS('CF BEST'!$D$9:$D1013, 'CF BEST'!$I$9:$I1013, A32,'CF BEST'!$F$9:$F1013, $R$5)+L32+N32+P32</f>
        <v>1650000</v>
      </c>
      <c r="S32" s="210">
        <f>SUMIFS('CF BEST'!$C$9:$C1013, 'CF BEST'!$I$9:$I1013, A32,'CF BEST'!$F$9:$F1013, $T$5)</f>
        <v>0</v>
      </c>
      <c r="T32" s="210">
        <f>SUMIFS('CF BEST'!$D$9:$D1013, 'CF BEST'!$I$9:$I1013, A32,'CF BEST'!$F$9:$F1013, $T$5)</f>
        <v>550000</v>
      </c>
      <c r="U32" s="211">
        <f>SUMIFS('CF BEST'!$C$9:$C1013, 'CF BEST'!$I$9:$I1013, A32,'CF BEST'!$F$9:$F1013, $V$5)</f>
        <v>0</v>
      </c>
      <c r="V32" s="211">
        <f>SUMIFS('CF BEST'!$D$9:$D1013, 'CF BEST'!$I$9:$I1013, A32,'CF BEST'!$F$9:$F1013, $V$5)</f>
        <v>550000</v>
      </c>
      <c r="W32" s="212">
        <f>SUMIFS('CF BEST'!$C$9:$C1013, 'CF BEST'!$I$9:$I1013, A32,'CF BEST'!$F$9:$F1013, $X$5)</f>
        <v>0</v>
      </c>
      <c r="X32" s="212">
        <f>SUMIFS('CF BEST'!$D$9:$D1013, 'CF BEST'!$I$9:$I1013, A32,'CF BEST'!$F$9:$F1013, $X$5)</f>
        <v>650000</v>
      </c>
      <c r="Y32" s="213">
        <f>SUMIFS('CF BEST'!$C$9:$C1013, 'CF BEST'!$I$9:$I1013, A32,'CF BEST'!$F$9:$F1013, $Z$5)+S32+U32+W32</f>
        <v>0</v>
      </c>
      <c r="Z32" s="213">
        <f>SUMIFS('CF BEST'!$D$9:$D1013, 'CF BEST'!$I$9:$I1013, A32,'CF BEST'!$F$9:$F1013, $Z$5)+T32+V32+X32</f>
        <v>1750000</v>
      </c>
      <c r="AA32" s="210">
        <f>SUMIFS('CF BEST'!$C$9:$C1013, 'CF BEST'!$I$9:$I1013, A32,'CF BEST'!$F$9:$F1013, $AB$5)</f>
        <v>0</v>
      </c>
      <c r="AB32" s="210">
        <f>SUMIFS('CF BEST'!$D$9:$D1013, 'CF BEST'!$I$9:$I1013, A32,'CF BEST'!$F$9:$F1013, $AB$5)</f>
        <v>717500</v>
      </c>
      <c r="AC32" s="211">
        <f>SUMIFS('CF BEST'!$C$9:$C1013, 'CF BEST'!$I$9:$I1013, A32,'CF BEST'!$F$9:$F1013, $AD$5)</f>
        <v>0</v>
      </c>
      <c r="AD32" s="211">
        <f>SUMIFS('CF BEST'!$D$9:$D1013, 'CF BEST'!$I$9:$I1013, A32,'CF BEST'!$F$9:$F1013, $AD$5)</f>
        <v>550000</v>
      </c>
      <c r="AE32" s="212">
        <f>SUMIFS('CF BEST'!$C$9:$C1013, 'CF BEST'!$I$9:$I1013, A32,'CF BEST'!$F$9:$F1013, $AF$5)</f>
        <v>0</v>
      </c>
      <c r="AF32" s="212">
        <f>SUMIFS('CF BEST'!$D$9:$D1013, 'CF BEST'!$I$9:$I1013, A32,'CF BEST'!$F$9:$F1013, $AF$5)</f>
        <v>490000</v>
      </c>
      <c r="AG32" s="213">
        <f>SUMIFS('CF BEST'!$C$9:$C1013, 'CF BEST'!$I$9:$I1013, A32,'CF BEST'!$F$9:$F1013, $AH$5)+AA32+AC32+AE32</f>
        <v>0</v>
      </c>
      <c r="AH32" s="213">
        <f>SUMIFS('CF BEST'!$D$9:$D1013, 'CF BEST'!$I$9:$I1013, A32,'CF BEST'!$F$9:$F1013, $AH$5)+AB32+AD32+AF32</f>
        <v>1757500</v>
      </c>
    </row>
    <row r="33">
      <c r="A33" s="215" t="s">
        <v>30</v>
      </c>
      <c r="B33" s="209">
        <f t="shared" si="6"/>
        <v>2583270.12</v>
      </c>
      <c r="C33" s="210">
        <f>SUMIFS('CF BEST'!$C$9:$C1013, 'CF BEST'!$I$9:$I1013, A33,'CF BEST'!$F$9:$F1013, $D$5)</f>
        <v>0</v>
      </c>
      <c r="D33" s="210">
        <f>SUMIFS('CF BEST'!$D$9:$D1013, 'CF BEST'!$I$9:$I1013, A33,'CF BEST'!$F$9:$F1013, $D$5)</f>
        <v>13999</v>
      </c>
      <c r="E33" s="211">
        <f>SUMIFS('CF BEST'!$C$9:$C1013, 'CF BEST'!$I$9:$I1013, A33,'CF BEST'!$F$9:$F1013, $F$5)</f>
        <v>0</v>
      </c>
      <c r="F33" s="211">
        <f>SUMIFS('CF BEST'!$D$9:$D1013, 'CF BEST'!$I$9:$I1013, A33,'CF BEST'!$F$9:$F1013, $F$5)</f>
        <v>13990</v>
      </c>
      <c r="G33" s="212">
        <f>SUMIFS('CF BEST'!$C$9:$C1013, 'CF BEST'!$I$9:$I1013, A33,'CF BEST'!$F$9:$F1013, $H$5)</f>
        <v>0</v>
      </c>
      <c r="H33" s="212">
        <f>SUMIFS('CF BEST'!$D$9:$D1013, 'CF BEST'!$I$9:$I1013, A33,'CF BEST'!$F$9:$F1013, $H$5)</f>
        <v>90782</v>
      </c>
      <c r="I33" s="213">
        <f>SUMIFS('CF BEST'!$C$9:$C1013, 'CF BEST'!$I$9:$I1013, A33,'CF BEST'!$F$9:$F1013, $J$5)+C33+E33+G33</f>
        <v>0</v>
      </c>
      <c r="J33" s="213">
        <f>SUMIFS('CF BEST'!$D$9:$D1013, 'CF BEST'!$I$9:$I1013, A33,'CF BEST'!$F$9:$F1013, $J$5)+D33+F33+H33</f>
        <v>118771</v>
      </c>
      <c r="K33" s="210">
        <f>SUMIFS('CF BEST'!$C$9:$C1013, 'CF BEST'!$I$9:$I1013, A33,'CF BEST'!$F$9:$F1013, $L$5)</f>
        <v>0</v>
      </c>
      <c r="L33" s="210">
        <f>SUMIFS('CF BEST'!$D$9:$D1013, 'CF BEST'!$I$9:$I1013, A33,'CF BEST'!$F$9:$F1013, $L$5)</f>
        <v>9000</v>
      </c>
      <c r="M33" s="211">
        <f>SUMIFS('CF BEST'!$C$9:$C1013, 'CF BEST'!$I$9:$I1013, A33,'CF BEST'!$F$9:$F1013, $N$5)</f>
        <v>0</v>
      </c>
      <c r="N33" s="211">
        <f>SUMIFS('CF BEST'!$D$9:$D1013, 'CF BEST'!$I$9:$I1013, A33,'CF BEST'!$F$9:$F1013, $N$5)</f>
        <v>171506</v>
      </c>
      <c r="O33" s="212">
        <f>SUMIFS('CF BEST'!$C$9:$C1013, 'CF BEST'!$I$9:$I1013, A33,'CF BEST'!$F$9:$F1013, $P$5)</f>
        <v>0</v>
      </c>
      <c r="P33" s="212">
        <f>SUMIFS('CF BEST'!$D$9:$D1013, 'CF BEST'!$I$9:$I1013, A33,'CF BEST'!$F$9:$F1013, $P$5)</f>
        <v>11300</v>
      </c>
      <c r="Q33" s="213">
        <f>SUMIFS('CF BEST'!$C$9:$C1013, 'CF BEST'!$I$9:$I1013, A33,'CF BEST'!$F$9:$F1013, $R$5)+K33+M33+O33</f>
        <v>0</v>
      </c>
      <c r="R33" s="213">
        <f>SUMIFS('CF BEST'!$D$9:$D1013, 'CF BEST'!$I$9:$I1013, A33,'CF BEST'!$F$9:$F1013, $R$5)+L33+N33+P33</f>
        <v>191806</v>
      </c>
      <c r="S33" s="210">
        <f>SUMIFS('CF BEST'!$C$9:$C1013, 'CF BEST'!$I$9:$I1013, A33,'CF BEST'!$F$9:$F1013, $T$5)</f>
        <v>0</v>
      </c>
      <c r="T33" s="210">
        <f>SUMIFS('CF BEST'!$D$9:$D1013, 'CF BEST'!$I$9:$I1013, A33,'CF BEST'!$F$9:$F1013, $T$5)</f>
        <v>137582.69</v>
      </c>
      <c r="U33" s="211">
        <f>SUMIFS('CF BEST'!$C$9:$C1013, 'CF BEST'!$I$9:$I1013, A33,'CF BEST'!$F$9:$F1013, $V$5)</f>
        <v>0</v>
      </c>
      <c r="V33" s="211">
        <f>SUMIFS('CF BEST'!$D$9:$D1013, 'CF BEST'!$I$9:$I1013, A33,'CF BEST'!$F$9:$F1013, $V$5)</f>
        <v>476768.06</v>
      </c>
      <c r="W33" s="212">
        <f>SUMIFS('CF BEST'!$C$9:$C1013, 'CF BEST'!$I$9:$I1013, A33,'CF BEST'!$F$9:$F1013, $X$5)</f>
        <v>0</v>
      </c>
      <c r="X33" s="212">
        <f>SUMIFS('CF BEST'!$D$9:$D1013, 'CF BEST'!$I$9:$I1013, A33,'CF BEST'!$F$9:$F1013, $X$5)</f>
        <v>223973.37</v>
      </c>
      <c r="Y33" s="213">
        <f>SUMIFS('CF BEST'!$C$9:$C1013, 'CF BEST'!$I$9:$I1013, A33,'CF BEST'!$F$9:$F1013, $Z$5)+S33+U33+W33</f>
        <v>0</v>
      </c>
      <c r="Z33" s="213">
        <f>SUMIFS('CF BEST'!$D$9:$D1013, 'CF BEST'!$I$9:$I1013, A33,'CF BEST'!$F$9:$F1013, $Z$5)+T33+V33+X33</f>
        <v>838324.12</v>
      </c>
      <c r="AA33" s="210">
        <f>SUMIFS('CF BEST'!$C$9:$C1013, 'CF BEST'!$I$9:$I1013, A33,'CF BEST'!$F$9:$F1013, $AB$5)</f>
        <v>0</v>
      </c>
      <c r="AB33" s="210">
        <f>SUMIFS('CF BEST'!$D$9:$D1013, 'CF BEST'!$I$9:$I1013, A33,'CF BEST'!$F$9:$F1013, $AB$5)</f>
        <v>347743.99</v>
      </c>
      <c r="AC33" s="211">
        <f>SUMIFS('CF BEST'!$C$9:$C1013, 'CF BEST'!$I$9:$I1013, A33,'CF BEST'!$F$9:$F1013, $AD$5)</f>
        <v>0</v>
      </c>
      <c r="AD33" s="211">
        <f>SUMIFS('CF BEST'!$D$9:$D1013, 'CF BEST'!$I$9:$I1013, A33,'CF BEST'!$F$9:$F1013, $AD$5)</f>
        <v>567269.96</v>
      </c>
      <c r="AE33" s="212">
        <f>SUMIFS('CF BEST'!$C$9:$C1013, 'CF BEST'!$I$9:$I1013, A33,'CF BEST'!$F$9:$F1013, $AF$5)</f>
        <v>0</v>
      </c>
      <c r="AF33" s="212">
        <f>SUMIFS('CF BEST'!$D$9:$D1013, 'CF BEST'!$I$9:$I1013, A33,'CF BEST'!$F$9:$F1013, $AF$5)</f>
        <v>519355.05</v>
      </c>
      <c r="AG33" s="213">
        <f>SUMIFS('CF BEST'!$C$9:$C1013, 'CF BEST'!$I$9:$I1013, A33,'CF BEST'!$F$9:$F1013, $AH$5)+AA33+AC33+AE33</f>
        <v>0</v>
      </c>
      <c r="AH33" s="213">
        <f>SUMIFS('CF BEST'!$D$9:$D1013, 'CF BEST'!$I$9:$I1013, A33,'CF BEST'!$F$9:$F1013, $AH$5)+AB33+AD33+AF33</f>
        <v>1434369</v>
      </c>
    </row>
    <row r="34">
      <c r="A34" s="208" t="s">
        <v>495</v>
      </c>
      <c r="B34" s="209">
        <f t="shared" si="6"/>
        <v>4343748.813</v>
      </c>
      <c r="C34" s="210">
        <f>SUMIFS('CF BEST'!$C$9:$C1013, 'CF BEST'!$I$9:$I1013, A34,'CF BEST'!$F$9:$F1013, $D$5)</f>
        <v>0</v>
      </c>
      <c r="D34" s="210">
        <f>SUMIFS('CF BEST'!$D$9:$D1013, 'CF BEST'!$I$9:$I1013, A34,'CF BEST'!$F$9:$F1013, $D$5)</f>
        <v>343570</v>
      </c>
      <c r="E34" s="211">
        <f>SUMIFS('CF BEST'!$C$9:$C1013, 'CF BEST'!$I$9:$I1013, A34,'CF BEST'!$F$9:$F1013, $F$5)</f>
        <v>0</v>
      </c>
      <c r="F34" s="211">
        <f>SUMIFS('CF BEST'!$D$9:$D1013, 'CF BEST'!$I$9:$I1013, A34,'CF BEST'!$F$9:$F1013, $F$5)</f>
        <v>689950</v>
      </c>
      <c r="G34" s="212">
        <f>SUMIFS('CF BEST'!$C$9:$C1013, 'CF BEST'!$I$9:$I1013, A34,'CF BEST'!$F$9:$F1013, $H$5)</f>
        <v>0</v>
      </c>
      <c r="H34" s="212">
        <f>SUMIFS('CF BEST'!$D$9:$D1013, 'CF BEST'!$I$9:$I1013, A34,'CF BEST'!$F$9:$F1013, $H$5)</f>
        <v>353082.91</v>
      </c>
      <c r="I34" s="213">
        <f>SUMIFS('CF BEST'!$C$9:$C1013, 'CF BEST'!$I$9:$I1013, A34,'CF BEST'!$F$9:$F1013, $J$5)+C34+E34+G34</f>
        <v>0</v>
      </c>
      <c r="J34" s="213">
        <f>SUMIFS('CF BEST'!$D$9:$D1013, 'CF BEST'!$I$9:$I1013, A34,'CF BEST'!$F$9:$F1013, $J$5)+D34+F34+H34</f>
        <v>1386602.91</v>
      </c>
      <c r="K34" s="210">
        <f>SUMIFS('CF BEST'!$C$9:$C1013, 'CF BEST'!$I$9:$I1013, A34,'CF BEST'!$F$9:$F1013, $L$5)</f>
        <v>0</v>
      </c>
      <c r="L34" s="210">
        <f>SUMIFS('CF BEST'!$D$9:$D1013, 'CF BEST'!$I$9:$I1013, A34,'CF BEST'!$F$9:$F1013, $L$5)</f>
        <v>274483.19</v>
      </c>
      <c r="M34" s="211">
        <f>SUMIFS('CF BEST'!$C$9:$C1013, 'CF BEST'!$I$9:$I1013, A34,'CF BEST'!$F$9:$F1013, $N$5)</f>
        <v>0</v>
      </c>
      <c r="N34" s="211">
        <f>SUMIFS('CF BEST'!$D$9:$D1013, 'CF BEST'!$I$9:$I1013, A34,'CF BEST'!$F$9:$F1013, $N$5)</f>
        <v>419732.64</v>
      </c>
      <c r="O34" s="212">
        <f>SUMIFS('CF BEST'!$C$9:$C1013, 'CF BEST'!$I$9:$I1013, A34,'CF BEST'!$F$9:$F1013, $P$5)</f>
        <v>0</v>
      </c>
      <c r="P34" s="212">
        <f>SUMIFS('CF BEST'!$D$9:$D1013, 'CF BEST'!$I$9:$I1013, A34,'CF BEST'!$F$9:$F1013, $P$5)</f>
        <v>383913.45</v>
      </c>
      <c r="Q34" s="213">
        <f>SUMIFS('CF BEST'!$C$9:$C1013, 'CF BEST'!$I$9:$I1013, A34,'CF BEST'!$F$9:$F1013, $R$5)+K34+M34+O34</f>
        <v>0</v>
      </c>
      <c r="R34" s="213">
        <f>SUMIFS('CF BEST'!$D$9:$D1013, 'CF BEST'!$I$9:$I1013, A34,'CF BEST'!$F$9:$F1013, $R$5)+L34+N34+P34</f>
        <v>1078129.28</v>
      </c>
      <c r="S34" s="210">
        <f>SUMIFS('CF BEST'!$C$9:$C1013, 'CF BEST'!$I$9:$I1013, A34,'CF BEST'!$F$9:$F1013, $T$5)</f>
        <v>0</v>
      </c>
      <c r="T34" s="210">
        <f>SUMIFS('CF BEST'!$D$9:$D1013, 'CF BEST'!$I$9:$I1013, A34,'CF BEST'!$F$9:$F1013, $T$5)</f>
        <v>405249.48</v>
      </c>
      <c r="U34" s="211">
        <f>SUMIFS('CF BEST'!$C$9:$C1013, 'CF BEST'!$I$9:$I1013, A34,'CF BEST'!$F$9:$F1013, $V$5)</f>
        <v>0</v>
      </c>
      <c r="V34" s="211">
        <f>SUMIFS('CF BEST'!$D$9:$D1013, 'CF BEST'!$I$9:$I1013, A34,'CF BEST'!$F$9:$F1013, $V$5)</f>
        <v>358184.06</v>
      </c>
      <c r="W34" s="212">
        <f>SUMIFS('CF BEST'!$C$9:$C1013, 'CF BEST'!$I$9:$I1013, A34,'CF BEST'!$F$9:$F1013, $X$5)</f>
        <v>0</v>
      </c>
      <c r="X34" s="212">
        <f>SUMIFS('CF BEST'!$D$9:$D1013, 'CF BEST'!$I$9:$I1013, A34,'CF BEST'!$F$9:$F1013, $X$5)</f>
        <v>247643.82</v>
      </c>
      <c r="Y34" s="213">
        <f>SUMIFS('CF BEST'!$C$9:$C1013, 'CF BEST'!$I$9:$I1013, A34,'CF BEST'!$F$9:$F1013, $Z$5)+S34+U34+W34</f>
        <v>0</v>
      </c>
      <c r="Z34" s="213">
        <f>SUMIFS('CF BEST'!$D$9:$D1013, 'CF BEST'!$I$9:$I1013, A34,'CF BEST'!$F$9:$F1013, $Z$5)+T34+V34+X34</f>
        <v>1011077.36</v>
      </c>
      <c r="AA34" s="210">
        <f>SUMIFS('CF BEST'!$C$9:$C1013, 'CF BEST'!$I$9:$I1013, A34,'CF BEST'!$F$9:$F1013, $AB$5)</f>
        <v>0</v>
      </c>
      <c r="AB34" s="210">
        <f>SUMIFS('CF BEST'!$D$9:$D1013, 'CF BEST'!$I$9:$I1013, A34,'CF BEST'!$F$9:$F1013, $AB$5)</f>
        <v>278787.92</v>
      </c>
      <c r="AC34" s="211">
        <f>SUMIFS('CF BEST'!$C$9:$C1013, 'CF BEST'!$I$9:$I1013, A34,'CF BEST'!$F$9:$F1013, $AD$5)</f>
        <v>0</v>
      </c>
      <c r="AD34" s="211">
        <f>SUMIFS('CF BEST'!$D$9:$D1013, 'CF BEST'!$I$9:$I1013, A34,'CF BEST'!$F$9:$F1013, $AD$5)</f>
        <v>278717.943</v>
      </c>
      <c r="AE34" s="212">
        <f>SUMIFS('CF BEST'!$C$9:$C1013, 'CF BEST'!$I$9:$I1013, A34,'CF BEST'!$F$9:$F1013, $AF$5)</f>
        <v>0</v>
      </c>
      <c r="AF34" s="212">
        <f>SUMIFS('CF BEST'!$D$9:$D1013, 'CF BEST'!$I$9:$I1013, A34,'CF BEST'!$F$9:$F1013, $AF$5)</f>
        <v>310433.4</v>
      </c>
      <c r="AG34" s="213">
        <f>SUMIFS('CF BEST'!$C$9:$C1013, 'CF BEST'!$I$9:$I1013, A34,'CF BEST'!$F$9:$F1013, $AH$5)+AA34+AC34+AE34</f>
        <v>0</v>
      </c>
      <c r="AH34" s="213">
        <f>SUMIFS('CF BEST'!$D$9:$D1013, 'CF BEST'!$I$9:$I1013, A34,'CF BEST'!$F$9:$F1013, $AH$5)+AB34+AD34+AF34</f>
        <v>867939.263</v>
      </c>
    </row>
    <row r="35">
      <c r="A35" s="208" t="s">
        <v>490</v>
      </c>
      <c r="B35" s="209">
        <f t="shared" si="6"/>
        <v>1757222</v>
      </c>
      <c r="C35" s="210">
        <f>SUMIFS('CF BEST'!$C$9:$C1013, 'CF BEST'!$I$9:$I1013, A35,'CF BEST'!$F$9:$F1013, $D$5)</f>
        <v>0</v>
      </c>
      <c r="D35" s="210">
        <f>SUMIFS('CF BEST'!$D$9:$D1013, 'CF BEST'!$I$9:$I1013, A35,'CF BEST'!$F$9:$F1013, $D$5)</f>
        <v>20408</v>
      </c>
      <c r="E35" s="211">
        <f>SUMIFS('CF BEST'!$C$9:$C1013, 'CF BEST'!$I$9:$I1013, A35,'CF BEST'!$F$9:$F1013, $F$5)</f>
        <v>0</v>
      </c>
      <c r="F35" s="211">
        <f>SUMIFS('CF BEST'!$D$9:$D1013, 'CF BEST'!$I$9:$I1013, A35,'CF BEST'!$F$9:$F1013, $F$5)</f>
        <v>77550</v>
      </c>
      <c r="G35" s="212">
        <f>SUMIFS('CF BEST'!$C$9:$C1013, 'CF BEST'!$I$9:$I1013, A35,'CF BEST'!$F$9:$F1013, $H$5)</f>
        <v>0</v>
      </c>
      <c r="H35" s="212">
        <f>SUMIFS('CF BEST'!$D$9:$D1013, 'CF BEST'!$I$9:$I1013, A35,'CF BEST'!$F$9:$F1013, $H$5)</f>
        <v>262240</v>
      </c>
      <c r="I35" s="213">
        <f>SUMIFS('CF BEST'!$C$9:$C1013, 'CF BEST'!$I$9:$I1013, A35,'CF BEST'!$F$9:$F1013, $J$5)+C35+E35+G35</f>
        <v>0</v>
      </c>
      <c r="J35" s="213">
        <f>SUMIFS('CF BEST'!$D$9:$D1013, 'CF BEST'!$I$9:$I1013, A35,'CF BEST'!$F$9:$F1013, $J$5)+D35+F35+H35</f>
        <v>360198</v>
      </c>
      <c r="K35" s="210">
        <f>SUMIFS('CF BEST'!$C$9:$C1013, 'CF BEST'!$I$9:$I1013, A35,'CF BEST'!$F$9:$F1013, $L$5)</f>
        <v>0</v>
      </c>
      <c r="L35" s="210">
        <f>SUMIFS('CF BEST'!$D$9:$D1013, 'CF BEST'!$I$9:$I1013, A35,'CF BEST'!$F$9:$F1013, $L$5)</f>
        <v>62400</v>
      </c>
      <c r="M35" s="211">
        <f>SUMIFS('CF BEST'!$C$9:$C1013, 'CF BEST'!$I$9:$I1013, A35,'CF BEST'!$F$9:$F1013, $N$5)</f>
        <v>0</v>
      </c>
      <c r="N35" s="211">
        <f>SUMIFS('CF BEST'!$D$9:$D1013, 'CF BEST'!$I$9:$I1013, A35,'CF BEST'!$F$9:$F1013, $N$5)</f>
        <v>150000</v>
      </c>
      <c r="O35" s="212">
        <f>SUMIFS('CF BEST'!$C$9:$C1013, 'CF BEST'!$I$9:$I1013, A35,'CF BEST'!$F$9:$F1013, $P$5)</f>
        <v>0</v>
      </c>
      <c r="P35" s="212">
        <f>SUMIFS('CF BEST'!$D$9:$D1013, 'CF BEST'!$I$9:$I1013, A35,'CF BEST'!$F$9:$F1013, $P$5)</f>
        <v>148022</v>
      </c>
      <c r="Q35" s="213">
        <f>SUMIFS('CF BEST'!$C$9:$C1013, 'CF BEST'!$I$9:$I1013, A35,'CF BEST'!$F$9:$F1013, $R$5)+K35+M35+O35</f>
        <v>0</v>
      </c>
      <c r="R35" s="213">
        <f>SUMIFS('CF BEST'!$D$9:$D1013, 'CF BEST'!$I$9:$I1013, A35,'CF BEST'!$F$9:$F1013, $R$5)+L35+N35+P35</f>
        <v>360422</v>
      </c>
      <c r="S35" s="210">
        <f>SUMIFS('CF BEST'!$C$9:$C1013, 'CF BEST'!$I$9:$I1013, A35,'CF BEST'!$F$9:$F1013, $T$5)</f>
        <v>0</v>
      </c>
      <c r="T35" s="210">
        <f>SUMIFS('CF BEST'!$D$9:$D1013, 'CF BEST'!$I$9:$I1013, A35,'CF BEST'!$F$9:$F1013, $T$5)</f>
        <v>195500</v>
      </c>
      <c r="U35" s="211">
        <f>SUMIFS('CF BEST'!$C$9:$C1013, 'CF BEST'!$I$9:$I1013, A35,'CF BEST'!$F$9:$F1013, $V$5)</f>
        <v>0</v>
      </c>
      <c r="V35" s="211">
        <f>SUMIFS('CF BEST'!$D$9:$D1013, 'CF BEST'!$I$9:$I1013, A35,'CF BEST'!$F$9:$F1013, $V$5)</f>
        <v>60000</v>
      </c>
      <c r="W35" s="212">
        <f>SUMIFS('CF BEST'!$C$9:$C1013, 'CF BEST'!$I$9:$I1013, A35,'CF BEST'!$F$9:$F1013, $X$5)</f>
        <v>0</v>
      </c>
      <c r="X35" s="212">
        <f>SUMIFS('CF BEST'!$D$9:$D1013, 'CF BEST'!$I$9:$I1013, A35,'CF BEST'!$F$9:$F1013, $X$5)</f>
        <v>69532</v>
      </c>
      <c r="Y35" s="213">
        <f>SUMIFS('CF BEST'!$C$9:$C1013, 'CF BEST'!$I$9:$I1013, A35,'CF BEST'!$F$9:$F1013, $Z$5)+S35+U35+W35</f>
        <v>0</v>
      </c>
      <c r="Z35" s="213">
        <f>SUMIFS('CF BEST'!$D$9:$D1013, 'CF BEST'!$I$9:$I1013, A35,'CF BEST'!$F$9:$F1013, $Z$5)+T35+V35+X35</f>
        <v>325032</v>
      </c>
      <c r="AA35" s="210">
        <f>SUMIFS('CF BEST'!$C$9:$C1013, 'CF BEST'!$I$9:$I1013, A35,'CF BEST'!$F$9:$F1013, $AB$5)</f>
        <v>0</v>
      </c>
      <c r="AB35" s="210">
        <f>SUMIFS('CF BEST'!$D$9:$D1013, 'CF BEST'!$I$9:$I1013, A35,'CF BEST'!$F$9:$F1013, $AB$5)</f>
        <v>85000</v>
      </c>
      <c r="AC35" s="211">
        <f>SUMIFS('CF BEST'!$C$9:$C1013, 'CF BEST'!$I$9:$I1013, A35,'CF BEST'!$F$9:$F1013, $AD$5)</f>
        <v>0</v>
      </c>
      <c r="AD35" s="211">
        <f>SUMIFS('CF BEST'!$D$9:$D1013, 'CF BEST'!$I$9:$I1013, A35,'CF BEST'!$F$9:$F1013, $AD$5)</f>
        <v>298730</v>
      </c>
      <c r="AE35" s="212">
        <f>SUMIFS('CF BEST'!$C$9:$C1013, 'CF BEST'!$I$9:$I1013, A35,'CF BEST'!$F$9:$F1013, $AF$5)</f>
        <v>0</v>
      </c>
      <c r="AF35" s="212">
        <f>SUMIFS('CF BEST'!$D$9:$D1013, 'CF BEST'!$I$9:$I1013, A35,'CF BEST'!$F$9:$F1013, $AF$5)</f>
        <v>327840</v>
      </c>
      <c r="AG35" s="213">
        <f>SUMIFS('CF BEST'!$C$9:$C1013, 'CF BEST'!$I$9:$I1013, A35,'CF BEST'!$F$9:$F1013, $AH$5)+AA35+AC35+AE35</f>
        <v>0</v>
      </c>
      <c r="AH35" s="213">
        <f>SUMIFS('CF BEST'!$D$9:$D1013, 'CF BEST'!$I$9:$I1013, A35,'CF BEST'!$F$9:$F1013, $AH$5)+AB35+AD35+AF35</f>
        <v>711570</v>
      </c>
    </row>
    <row r="36">
      <c r="A36" s="208" t="s">
        <v>383</v>
      </c>
      <c r="B36" s="209">
        <f t="shared" si="6"/>
        <v>4140483.75</v>
      </c>
      <c r="C36" s="210">
        <f>SUMIFS('CF BEST'!$C$9:$C1013, 'CF BEST'!$I$9:$I1013, A36,'CF BEST'!$F$9:$F1013, $D$5)</f>
        <v>0</v>
      </c>
      <c r="D36" s="210">
        <f>SUMIFS('CF BEST'!$D$9:$D1013, 'CF BEST'!$I$9:$I1013, A36,'CF BEST'!$F$9:$F1013, $D$5)</f>
        <v>0</v>
      </c>
      <c r="E36" s="211">
        <f>SUMIFS('CF BEST'!$C$9:$C1013, 'CF BEST'!$I$9:$I1013, A36,'CF BEST'!$F$9:$F1013, $F$5)</f>
        <v>0</v>
      </c>
      <c r="F36" s="211">
        <f>SUMIFS('CF BEST'!$D$9:$D1013, 'CF BEST'!$I$9:$I1013, A36,'CF BEST'!$F$9:$F1013, $F$5)</f>
        <v>556463</v>
      </c>
      <c r="G36" s="212">
        <f>SUMIFS('CF BEST'!$C$9:$C1013, 'CF BEST'!$I$9:$I1013, A36,'CF BEST'!$F$9:$F1013, $H$5)</f>
        <v>0</v>
      </c>
      <c r="H36" s="212">
        <f>SUMIFS('CF BEST'!$D$9:$D1013, 'CF BEST'!$I$9:$I1013, A36,'CF BEST'!$F$9:$F1013, $H$5)</f>
        <v>0</v>
      </c>
      <c r="I36" s="213">
        <f>SUMIFS('CF BEST'!$C$9:$C1013, 'CF BEST'!$I$9:$I1013, A36,'CF BEST'!$F$9:$F1013, $J$5)+C36+E36+G36</f>
        <v>0</v>
      </c>
      <c r="J36" s="213">
        <f>SUMIFS('CF BEST'!$D$9:$D1013, 'CF BEST'!$I$9:$I1013, A36,'CF BEST'!$F$9:$F1013, $J$5)+D36+F36+H36</f>
        <v>556463</v>
      </c>
      <c r="K36" s="210">
        <f>SUMIFS('CF BEST'!$C$9:$C1013, 'CF BEST'!$I$9:$I1013, A36,'CF BEST'!$F$9:$F1013, $L$5)</f>
        <v>200000</v>
      </c>
      <c r="L36" s="210">
        <f>SUMIFS('CF BEST'!$D$9:$D1013, 'CF BEST'!$I$9:$I1013, A36,'CF BEST'!$F$9:$F1013, $L$5)</f>
        <v>1954577.75</v>
      </c>
      <c r="M36" s="211">
        <f>SUMIFS('CF BEST'!$C$9:$C1013, 'CF BEST'!$I$9:$I1013, A36,'CF BEST'!$F$9:$F1013, $N$5)</f>
        <v>0</v>
      </c>
      <c r="N36" s="211">
        <f>SUMIFS('CF BEST'!$D$9:$D1013, 'CF BEST'!$I$9:$I1013, A36,'CF BEST'!$F$9:$F1013, $N$5)</f>
        <v>0</v>
      </c>
      <c r="O36" s="212">
        <f>SUMIFS('CF BEST'!$C$9:$C1013, 'CF BEST'!$I$9:$I1013, A36,'CF BEST'!$F$9:$F1013, $P$5)</f>
        <v>0</v>
      </c>
      <c r="P36" s="212">
        <f>SUMIFS('CF BEST'!$D$9:$D1013, 'CF BEST'!$I$9:$I1013, A36,'CF BEST'!$F$9:$F1013, $P$5)</f>
        <v>0</v>
      </c>
      <c r="Q36" s="213">
        <f>SUMIFS('CF BEST'!$C$9:$C1013, 'CF BEST'!$I$9:$I1013, A36,'CF BEST'!$F$9:$F1013, $R$5)+K36+M36+O36</f>
        <v>200000</v>
      </c>
      <c r="R36" s="213">
        <f>SUMIFS('CF BEST'!$D$9:$D1013, 'CF BEST'!$I$9:$I1013, A36,'CF BEST'!$F$9:$F1013, $R$5)+L36+N36+P36</f>
        <v>1954577.75</v>
      </c>
      <c r="S36" s="210">
        <f>SUMIFS('CF BEST'!$C$9:$C1013, 'CF BEST'!$I$9:$I1013, A36,'CF BEST'!$F$9:$F1013, $T$5)</f>
        <v>0</v>
      </c>
      <c r="T36" s="210">
        <f>SUMIFS('CF BEST'!$D$9:$D1013, 'CF BEST'!$I$9:$I1013, A36,'CF BEST'!$F$9:$F1013, $T$5)</f>
        <v>250000</v>
      </c>
      <c r="U36" s="211">
        <f>SUMIFS('CF BEST'!$C$9:$C1013, 'CF BEST'!$I$9:$I1013, A36,'CF BEST'!$F$9:$F1013, $V$5)</f>
        <v>0</v>
      </c>
      <c r="V36" s="211">
        <f>SUMIFS('CF BEST'!$D$9:$D1013, 'CF BEST'!$I$9:$I1013, A36,'CF BEST'!$F$9:$F1013, $V$5)</f>
        <v>507095</v>
      </c>
      <c r="W36" s="212">
        <f>SUMIFS('CF BEST'!$C$9:$C1013, 'CF BEST'!$I$9:$I1013, A36,'CF BEST'!$F$9:$F1013, $X$5)</f>
        <v>0</v>
      </c>
      <c r="X36" s="212">
        <f>SUMIFS('CF BEST'!$D$9:$D1013, 'CF BEST'!$I$9:$I1013, A36,'CF BEST'!$F$9:$F1013, $X$5)</f>
        <v>438074</v>
      </c>
      <c r="Y36" s="213">
        <f>SUMIFS('CF BEST'!$C$9:$C1013, 'CF BEST'!$I$9:$I1013, A36,'CF BEST'!$F$9:$F1013, $Z$5)+S36+U36+W36</f>
        <v>0</v>
      </c>
      <c r="Z36" s="213">
        <f>SUMIFS('CF BEST'!$D$9:$D1013, 'CF BEST'!$I$9:$I1013, A36,'CF BEST'!$F$9:$F1013, $Z$5)+T36+V36+X36</f>
        <v>1195169</v>
      </c>
      <c r="AA36" s="210">
        <f>SUMIFS('CF BEST'!$C$9:$C1013, 'CF BEST'!$I$9:$I1013, A36,'CF BEST'!$F$9:$F1013, $AB$5)</f>
        <v>0</v>
      </c>
      <c r="AB36" s="210">
        <f>SUMIFS('CF BEST'!$D$9:$D1013, 'CF BEST'!$I$9:$I1013, A36,'CF BEST'!$F$9:$F1013, $AB$5)</f>
        <v>276800</v>
      </c>
      <c r="AC36" s="211">
        <f>SUMIFS('CF BEST'!$C$9:$C1013, 'CF BEST'!$I$9:$I1013, A36,'CF BEST'!$F$9:$F1013, $AD$5)</f>
        <v>0</v>
      </c>
      <c r="AD36" s="211">
        <f>SUMIFS('CF BEST'!$D$9:$D1013, 'CF BEST'!$I$9:$I1013, A36,'CF BEST'!$F$9:$F1013, $AD$5)</f>
        <v>157474</v>
      </c>
      <c r="AE36" s="212">
        <f>SUMIFS('CF BEST'!$C$9:$C1013, 'CF BEST'!$I$9:$I1013, A36,'CF BEST'!$F$9:$F1013, $AF$5)</f>
        <v>0</v>
      </c>
      <c r="AF36" s="212">
        <f>SUMIFS('CF BEST'!$D$9:$D1013, 'CF BEST'!$I$9:$I1013, A36,'CF BEST'!$F$9:$F1013, $AF$5)</f>
        <v>0</v>
      </c>
      <c r="AG36" s="213">
        <f>SUMIFS('CF BEST'!$C$9:$C1013, 'CF BEST'!$I$9:$I1013, A36,'CF BEST'!$F$9:$F1013, $AH$5)+AA36+AC36+AE36</f>
        <v>0</v>
      </c>
      <c r="AH36" s="213">
        <f>SUMIFS('CF BEST'!$D$9:$D1013, 'CF BEST'!$I$9:$I1013, A36,'CF BEST'!$F$9:$F1013, $AH$5)+AB36+AD36+AF36</f>
        <v>434274</v>
      </c>
    </row>
    <row r="37">
      <c r="A37" s="208" t="s">
        <v>233</v>
      </c>
      <c r="B37" s="209">
        <f t="shared" si="6"/>
        <v>615653</v>
      </c>
      <c r="C37" s="210">
        <f>SUMIFS('CF BEST'!$C$9:$C1013, 'CF BEST'!$I$9:$I1013, A37,'CF BEST'!$F$9:$F1013, $D$5)</f>
        <v>0</v>
      </c>
      <c r="D37" s="210">
        <f>SUMIFS('CF BEST'!$D$9:$D1013, 'CF BEST'!$I$9:$I1013, A37,'CF BEST'!$F$9:$F1013, $D$5)</f>
        <v>0</v>
      </c>
      <c r="E37" s="211">
        <f>SUMIFS('CF BEST'!$C$9:$C1013, 'CF BEST'!$I$9:$I1013, A37,'CF BEST'!$F$9:$F1013, $F$5)</f>
        <v>0</v>
      </c>
      <c r="F37" s="211">
        <f>SUMIFS('CF BEST'!$D$9:$D1013, 'CF BEST'!$I$9:$I1013, A37,'CF BEST'!$F$9:$F1013, $F$5)</f>
        <v>0</v>
      </c>
      <c r="G37" s="212">
        <f>SUMIFS('CF BEST'!$C$9:$C1013, 'CF BEST'!$I$9:$I1013, A37,'CF BEST'!$F$9:$F1013, $H$5)</f>
        <v>0</v>
      </c>
      <c r="H37" s="212">
        <f>SUMIFS('CF BEST'!$D$9:$D1013, 'CF BEST'!$I$9:$I1013, A37,'CF BEST'!$F$9:$F1013, $H$5)</f>
        <v>0</v>
      </c>
      <c r="I37" s="213">
        <f>SUMIFS('CF BEST'!$C$9:$C1013, 'CF BEST'!$I$9:$I1013, A37,'CF BEST'!$F$9:$F1013, $J$5)+C37+E37+G37</f>
        <v>0</v>
      </c>
      <c r="J37" s="213">
        <f>SUMIFS('CF BEST'!$D$9:$D1013, 'CF BEST'!$I$9:$I1013, A37,'CF BEST'!$F$9:$F1013, $J$5)+D37+F37+H37</f>
        <v>0</v>
      </c>
      <c r="K37" s="210">
        <f>SUMIFS('CF BEST'!$C$9:$C1013, 'CF BEST'!$I$9:$I1013, A37,'CF BEST'!$F$9:$F1013, $L$5)</f>
        <v>0</v>
      </c>
      <c r="L37" s="210">
        <f>SUMIFS('CF BEST'!$D$9:$D1013, 'CF BEST'!$I$9:$I1013, A37,'CF BEST'!$F$9:$F1013, $L$5)</f>
        <v>0</v>
      </c>
      <c r="M37" s="211">
        <f>SUMIFS('CF BEST'!$C$9:$C1013, 'CF BEST'!$I$9:$I1013, A37,'CF BEST'!$F$9:$F1013, $N$5)</f>
        <v>0</v>
      </c>
      <c r="N37" s="211">
        <f>SUMIFS('CF BEST'!$D$9:$D1013, 'CF BEST'!$I$9:$I1013, A37,'CF BEST'!$F$9:$F1013, $N$5)</f>
        <v>12000</v>
      </c>
      <c r="O37" s="212">
        <f>SUMIFS('CF BEST'!$C$9:$C1013, 'CF BEST'!$I$9:$I1013, A37,'CF BEST'!$F$9:$F1013, $P$5)</f>
        <v>0</v>
      </c>
      <c r="P37" s="212">
        <f>SUMIFS('CF BEST'!$D$9:$D1013, 'CF BEST'!$I$9:$I1013, A37,'CF BEST'!$F$9:$F1013, $P$5)</f>
        <v>0</v>
      </c>
      <c r="Q37" s="213">
        <f>SUMIFS('CF BEST'!$C$9:$C1013, 'CF BEST'!$I$9:$I1013, A37,'CF BEST'!$F$9:$F1013, $R$5)+K37+M37+O37</f>
        <v>0</v>
      </c>
      <c r="R37" s="213">
        <f>SUMIFS('CF BEST'!$D$9:$D1013, 'CF BEST'!$I$9:$I1013, A37,'CF BEST'!$F$9:$F1013, $R$5)+L37+N37+P37</f>
        <v>12000</v>
      </c>
      <c r="S37" s="210">
        <f>SUMIFS('CF BEST'!$C$9:$C1013, 'CF BEST'!$I$9:$I1013, A37,'CF BEST'!$F$9:$F1013, $T$5)</f>
        <v>0</v>
      </c>
      <c r="T37" s="210">
        <f>SUMIFS('CF BEST'!$D$9:$D1013, 'CF BEST'!$I$9:$I1013, A37,'CF BEST'!$F$9:$F1013, $T$5)</f>
        <v>208615</v>
      </c>
      <c r="U37" s="211">
        <f>SUMIFS('CF BEST'!$C$9:$C1013, 'CF BEST'!$I$9:$I1013, A37,'CF BEST'!$F$9:$F1013, $V$5)</f>
        <v>0</v>
      </c>
      <c r="V37" s="211">
        <f>SUMIFS('CF BEST'!$D$9:$D1013, 'CF BEST'!$I$9:$I1013, A37,'CF BEST'!$F$9:$F1013, $V$5)</f>
        <v>264879</v>
      </c>
      <c r="W37" s="212">
        <f>SUMIFS('CF BEST'!$C$9:$C1013, 'CF BEST'!$I$9:$I1013, A37,'CF BEST'!$F$9:$F1013, $X$5)</f>
        <v>0</v>
      </c>
      <c r="X37" s="212">
        <f>SUMIFS('CF BEST'!$D$9:$D1013, 'CF BEST'!$I$9:$I1013, A37,'CF BEST'!$F$9:$F1013, $X$5)</f>
        <v>130159</v>
      </c>
      <c r="Y37" s="213">
        <f>SUMIFS('CF BEST'!$C$9:$C1013, 'CF BEST'!$I$9:$I1013, A37,'CF BEST'!$F$9:$F1013, $Z$5)+S37+U37+W37</f>
        <v>0</v>
      </c>
      <c r="Z37" s="213">
        <f>SUMIFS('CF BEST'!$D$9:$D1013, 'CF BEST'!$I$9:$I1013, A37,'CF BEST'!$F$9:$F1013, $Z$5)+T37+V37+X37</f>
        <v>603653</v>
      </c>
      <c r="AA37" s="210">
        <f>SUMIFS('CF BEST'!$C$9:$C1013, 'CF BEST'!$I$9:$I1013, A37,'CF BEST'!$F$9:$F1013, $AB$5)</f>
        <v>0</v>
      </c>
      <c r="AB37" s="210">
        <f>SUMIFS('CF BEST'!$D$9:$D1013, 'CF BEST'!$I$9:$I1013, A37,'CF BEST'!$F$9:$F1013, $AB$5)</f>
        <v>0</v>
      </c>
      <c r="AC37" s="211">
        <f>SUMIFS('CF BEST'!$C$9:$C1013, 'CF BEST'!$I$9:$I1013, A37,'CF BEST'!$F$9:$F1013, $AD$5)</f>
        <v>0</v>
      </c>
      <c r="AD37" s="211">
        <f>SUMIFS('CF BEST'!$D$9:$D1013, 'CF BEST'!$I$9:$I1013, A37,'CF BEST'!$F$9:$F1013, $AD$5)</f>
        <v>0</v>
      </c>
      <c r="AE37" s="212">
        <f>SUMIFS('CF BEST'!$C$9:$C1013, 'CF BEST'!$I$9:$I1013, A37,'CF BEST'!$F$9:$F1013, $AF$5)</f>
        <v>0</v>
      </c>
      <c r="AF37" s="212">
        <f>SUMIFS('CF BEST'!$D$9:$D1013, 'CF BEST'!$I$9:$I1013, A37,'CF BEST'!$F$9:$F1013, $AF$5)</f>
        <v>0</v>
      </c>
      <c r="AG37" s="213">
        <f>SUMIFS('CF BEST'!$C$9:$C1013, 'CF BEST'!$I$9:$I1013, A37,'CF BEST'!$F$9:$F1013, $AH$5)+AA37+AC37+AE37</f>
        <v>0</v>
      </c>
      <c r="AH37" s="213">
        <f>SUMIFS('CF BEST'!$D$9:$D1013, 'CF BEST'!$I$9:$I1013, A37,'CF BEST'!$F$9:$F1013, $AH$5)+AB37+AD37+AF37</f>
        <v>0</v>
      </c>
    </row>
    <row r="38">
      <c r="A38" s="208" t="s">
        <v>616</v>
      </c>
      <c r="B38" s="209">
        <f t="shared" si="6"/>
        <v>295000</v>
      </c>
      <c r="C38" s="210">
        <f>SUMIFS('CF BEST'!$C$9:$C1013, 'CF BEST'!$I$9:$I1013, A38,'CF BEST'!$F$9:$F1013, $D$5)</f>
        <v>0</v>
      </c>
      <c r="D38" s="210">
        <f>SUMIFS('CF BEST'!$D$9:$D1013, 'CF BEST'!$I$9:$I1013, A38,'CF BEST'!$F$9:$F1013, $D$5)</f>
        <v>95000</v>
      </c>
      <c r="E38" s="211">
        <f>SUMIFS('CF BEST'!$C$9:$C1013, 'CF BEST'!$I$9:$I1013, A38,'CF BEST'!$F$9:$F1013, $F$5)</f>
        <v>0</v>
      </c>
      <c r="F38" s="211">
        <f>SUMIFS('CF BEST'!$D$9:$D1013, 'CF BEST'!$I$9:$I1013, A38,'CF BEST'!$F$9:$F1013, $F$5)</f>
        <v>0</v>
      </c>
      <c r="G38" s="212">
        <f>SUMIFS('CF BEST'!$C$9:$C1013, 'CF BEST'!$I$9:$I1013, A38,'CF BEST'!$F$9:$F1013, $H$5)</f>
        <v>0</v>
      </c>
      <c r="H38" s="212">
        <f>SUMIFS('CF BEST'!$D$9:$D1013, 'CF BEST'!$I$9:$I1013, A38,'CF BEST'!$F$9:$F1013, $H$5)</f>
        <v>0</v>
      </c>
      <c r="I38" s="213">
        <f>SUMIFS('CF BEST'!$C$9:$C1013, 'CF BEST'!$I$9:$I1013, A38,'CF BEST'!$F$9:$F1013, $J$5)+C38+E38+G38</f>
        <v>0</v>
      </c>
      <c r="J38" s="213">
        <f>SUMIFS('CF BEST'!$D$9:$D1013, 'CF BEST'!$I$9:$I1013, A38,'CF BEST'!$F$9:$F1013, $J$5)+D38+F38+H38</f>
        <v>95000</v>
      </c>
      <c r="K38" s="210">
        <f>SUMIFS('CF BEST'!$C$9:$C1013, 'CF BEST'!$I$9:$I1013, A38,'CF BEST'!$F$9:$F1013, $L$5)</f>
        <v>0</v>
      </c>
      <c r="L38" s="210">
        <f>SUMIFS('CF BEST'!$D$9:$D1013, 'CF BEST'!$I$9:$I1013, A38,'CF BEST'!$F$9:$F1013, $L$5)</f>
        <v>0</v>
      </c>
      <c r="M38" s="211">
        <f>SUMIFS('CF BEST'!$C$9:$C1013, 'CF BEST'!$I$9:$I1013, A38,'CF BEST'!$F$9:$F1013, $N$5)</f>
        <v>0</v>
      </c>
      <c r="N38" s="211">
        <f>SUMIFS('CF BEST'!$D$9:$D1013, 'CF BEST'!$I$9:$I1013, A38,'CF BEST'!$F$9:$F1013, $N$5)</f>
        <v>0</v>
      </c>
      <c r="O38" s="212">
        <f>SUMIFS('CF BEST'!$C$9:$C1013, 'CF BEST'!$I$9:$I1013, A38,'CF BEST'!$F$9:$F1013, $P$5)</f>
        <v>0</v>
      </c>
      <c r="P38" s="212">
        <f>SUMIFS('CF BEST'!$D$9:$D1013, 'CF BEST'!$I$9:$I1013, A38,'CF BEST'!$F$9:$F1013, $P$5)</f>
        <v>0</v>
      </c>
      <c r="Q38" s="213">
        <f>SUMIFS('CF BEST'!$C$9:$C1013, 'CF BEST'!$I$9:$I1013, A38,'CF BEST'!$F$9:$F1013, $R$5)+K38+M38+O38</f>
        <v>0</v>
      </c>
      <c r="R38" s="213">
        <f>SUMIFS('CF BEST'!$D$9:$D1013, 'CF BEST'!$I$9:$I1013, A38,'CF BEST'!$F$9:$F1013, $R$5)+L38+N38+P38</f>
        <v>0</v>
      </c>
      <c r="S38" s="210">
        <f>SUMIFS('CF BEST'!$C$9:$C1013, 'CF BEST'!$I$9:$I1013, A38,'CF BEST'!$F$9:$F1013, $T$5)</f>
        <v>0</v>
      </c>
      <c r="T38" s="210">
        <f>SUMIFS('CF BEST'!$D$9:$D1013, 'CF BEST'!$I$9:$I1013, A38,'CF BEST'!$F$9:$F1013, $T$5)</f>
        <v>0</v>
      </c>
      <c r="U38" s="211">
        <f>SUMIFS('CF BEST'!$C$9:$C1013, 'CF BEST'!$I$9:$I1013, A38,'CF BEST'!$F$9:$F1013, $V$5)</f>
        <v>0</v>
      </c>
      <c r="V38" s="211">
        <f>SUMIFS('CF BEST'!$D$9:$D1013, 'CF BEST'!$I$9:$I1013, A38,'CF BEST'!$F$9:$F1013, $V$5)</f>
        <v>200000</v>
      </c>
      <c r="W38" s="212">
        <f>SUMIFS('CF BEST'!$C$9:$C1013, 'CF BEST'!$I$9:$I1013, A38,'CF BEST'!$F$9:$F1013, $X$5)</f>
        <v>0</v>
      </c>
      <c r="X38" s="212">
        <f>SUMIFS('CF BEST'!$D$9:$D1013, 'CF BEST'!$I$9:$I1013, A38,'CF BEST'!$F$9:$F1013, $X$5)</f>
        <v>0</v>
      </c>
      <c r="Y38" s="213">
        <f>SUMIFS('CF BEST'!$C$9:$C1013, 'CF BEST'!$I$9:$I1013, A38,'CF BEST'!$F$9:$F1013, $Z$5)+S38+U38+W38</f>
        <v>0</v>
      </c>
      <c r="Z38" s="213">
        <f>SUMIFS('CF BEST'!$D$9:$D1013, 'CF BEST'!$I$9:$I1013, A38,'CF BEST'!$F$9:$F1013, $Z$5)+T38+V38+X38</f>
        <v>200000</v>
      </c>
      <c r="AA38" s="210">
        <f>SUMIFS('CF BEST'!$C$9:$C1013, 'CF BEST'!$I$9:$I1013, A38,'CF BEST'!$F$9:$F1013, $AB$5)</f>
        <v>0</v>
      </c>
      <c r="AB38" s="210">
        <f>SUMIFS('CF BEST'!$D$9:$D1013, 'CF BEST'!$I$9:$I1013, A38,'CF BEST'!$F$9:$F1013, $AB$5)</f>
        <v>0</v>
      </c>
      <c r="AC38" s="211">
        <f>SUMIFS('CF BEST'!$C$9:$C1013, 'CF BEST'!$I$9:$I1013, A38,'CF BEST'!$F$9:$F1013, $AD$5)</f>
        <v>0</v>
      </c>
      <c r="AD38" s="211">
        <f>SUMIFS('CF BEST'!$D$9:$D1013, 'CF BEST'!$I$9:$I1013, A38,'CF BEST'!$F$9:$F1013, $AD$5)</f>
        <v>0</v>
      </c>
      <c r="AE38" s="212">
        <f>SUMIFS('CF BEST'!$C$9:$C1013, 'CF BEST'!$I$9:$I1013, A38,'CF BEST'!$F$9:$F1013, $AF$5)</f>
        <v>0</v>
      </c>
      <c r="AF38" s="212">
        <f>SUMIFS('CF BEST'!$D$9:$D1013, 'CF BEST'!$I$9:$I1013, A38,'CF BEST'!$F$9:$F1013, $AF$5)</f>
        <v>0</v>
      </c>
      <c r="AG38" s="213">
        <f>SUMIFS('CF BEST'!$C$9:$C1013, 'CF BEST'!$I$9:$I1013, A38,'CF BEST'!$F$9:$F1013, $AH$5)+AA38+AC38+AE38</f>
        <v>0</v>
      </c>
      <c r="AH38" s="213">
        <f>SUMIFS('CF BEST'!$D$9:$D1013, 'CF BEST'!$I$9:$I1013, A38,'CF BEST'!$F$9:$F1013, $AH$5)+AB38+AD38+AF38</f>
        <v>0</v>
      </c>
    </row>
    <row r="39">
      <c r="A39" s="208" t="s">
        <v>554</v>
      </c>
      <c r="B39" s="209">
        <f t="shared" si="6"/>
        <v>3323731.81</v>
      </c>
      <c r="C39" s="210">
        <f>SUMIFS('CF BEST'!$C$9:$C1013, 'CF BEST'!$I$9:$I1013, A39,'CF BEST'!$F$9:$F1013, $D$5)</f>
        <v>0</v>
      </c>
      <c r="D39" s="210">
        <f>SUMIFS('CF BEST'!$D$9:$D1013, 'CF BEST'!$I$9:$I1013, A39,'CF BEST'!$F$9:$F1013, $D$5)</f>
        <v>1200000</v>
      </c>
      <c r="E39" s="211">
        <f>SUMIFS('CF BEST'!$C$9:$C1013, 'CF BEST'!$I$9:$I1013, A39,'CF BEST'!$F$9:$F1013, $F$5)</f>
        <v>0</v>
      </c>
      <c r="F39" s="211">
        <f>SUMIFS('CF BEST'!$D$9:$D1013, 'CF BEST'!$I$9:$I1013, A39,'CF BEST'!$F$9:$F1013, $F$5)</f>
        <v>0</v>
      </c>
      <c r="G39" s="212">
        <f>SUMIFS('CF BEST'!$C$9:$C1013, 'CF BEST'!$I$9:$I1013, A39,'CF BEST'!$F$9:$F1013, $H$5)</f>
        <v>0</v>
      </c>
      <c r="H39" s="212">
        <f>SUMIFS('CF BEST'!$D$9:$D1013, 'CF BEST'!$I$9:$I1013, A39,'CF BEST'!$F$9:$F1013, $H$5)</f>
        <v>0</v>
      </c>
      <c r="I39" s="213">
        <f>SUMIFS('CF BEST'!$C$9:$C1013, 'CF BEST'!$I$9:$I1013, A39,'CF BEST'!$F$9:$F1013, $J$5)+C39+E39+G39</f>
        <v>0</v>
      </c>
      <c r="J39" s="213">
        <f>SUMIFS('CF BEST'!$D$9:$D1013, 'CF BEST'!$I$9:$I1013, A39,'CF BEST'!$F$9:$F1013, $J$5)+D39+F39+H39</f>
        <v>1200000</v>
      </c>
      <c r="K39" s="210">
        <f>SUMIFS('CF BEST'!$C$9:$C1013, 'CF BEST'!$I$9:$I1013, A39,'CF BEST'!$F$9:$F1013, $L$5)</f>
        <v>0</v>
      </c>
      <c r="L39" s="210">
        <f>SUMIFS('CF BEST'!$D$9:$D1013, 'CF BEST'!$I$9:$I1013, A39,'CF BEST'!$F$9:$F1013, $L$5)</f>
        <v>0</v>
      </c>
      <c r="M39" s="211">
        <f>SUMIFS('CF BEST'!$C$9:$C1013, 'CF BEST'!$I$9:$I1013, A39,'CF BEST'!$F$9:$F1013, $N$5)</f>
        <v>0</v>
      </c>
      <c r="N39" s="211">
        <f>SUMIFS('CF BEST'!$D$9:$D1013, 'CF BEST'!$I$9:$I1013, A39,'CF BEST'!$F$9:$F1013, $N$5)</f>
        <v>0</v>
      </c>
      <c r="O39" s="212">
        <f>SUMIFS('CF BEST'!$C$9:$C1013, 'CF BEST'!$I$9:$I1013, A39,'CF BEST'!$F$9:$F1013, $P$5)</f>
        <v>0</v>
      </c>
      <c r="P39" s="212">
        <f>SUMIFS('CF BEST'!$D$9:$D1013, 'CF BEST'!$I$9:$I1013, A39,'CF BEST'!$F$9:$F1013, $P$5)</f>
        <v>600000</v>
      </c>
      <c r="Q39" s="213">
        <f>SUMIFS('CF BEST'!$C$9:$C1013, 'CF BEST'!$I$9:$I1013, A39,'CF BEST'!$F$9:$F1013, $R$5)+K39+M39+O39</f>
        <v>0</v>
      </c>
      <c r="R39" s="213">
        <f>SUMIFS('CF BEST'!$D$9:$D1013, 'CF BEST'!$I$9:$I1013, A39,'CF BEST'!$F$9:$F1013, $R$5)+L39+N39+P39</f>
        <v>600000</v>
      </c>
      <c r="S39" s="210">
        <f>SUMIFS('CF BEST'!$C$9:$C1013, 'CF BEST'!$I$9:$I1013, A39,'CF BEST'!$F$9:$F1013, $T$5)</f>
        <v>0</v>
      </c>
      <c r="T39" s="210">
        <f>SUMIFS('CF BEST'!$D$9:$D1013, 'CF BEST'!$I$9:$I1013, A39,'CF BEST'!$F$9:$F1013, $T$5)</f>
        <v>0</v>
      </c>
      <c r="U39" s="211">
        <f>SUMIFS('CF BEST'!$C$9:$C1013, 'CF BEST'!$I$9:$I1013, A39,'CF BEST'!$F$9:$F1013, $V$5)</f>
        <v>0</v>
      </c>
      <c r="V39" s="211">
        <f>SUMIFS('CF BEST'!$D$9:$D1013, 'CF BEST'!$I$9:$I1013, A39,'CF BEST'!$F$9:$F1013, $V$5)</f>
        <v>0</v>
      </c>
      <c r="W39" s="212">
        <f>SUMIFS('CF BEST'!$C$9:$C1013, 'CF BEST'!$I$9:$I1013, A39,'CF BEST'!$F$9:$F1013, $X$5)</f>
        <v>0</v>
      </c>
      <c r="X39" s="212">
        <f>SUMIFS('CF BEST'!$D$9:$D1013, 'CF BEST'!$I$9:$I1013, A39,'CF BEST'!$F$9:$F1013, $X$5)</f>
        <v>1523731.81</v>
      </c>
      <c r="Y39" s="213">
        <f>SUMIFS('CF BEST'!$C$9:$C1013, 'CF BEST'!$I$9:$I1013, A39,'CF BEST'!$F$9:$F1013, $Z$5)+S39+U39+W39</f>
        <v>0</v>
      </c>
      <c r="Z39" s="213">
        <f>SUMIFS('CF BEST'!$D$9:$D1013, 'CF BEST'!$I$9:$I1013, A39,'CF BEST'!$F$9:$F1013, $Z$5)+T39+V39+X39</f>
        <v>1523731.81</v>
      </c>
      <c r="AA39" s="210">
        <f>SUMIFS('CF BEST'!$C$9:$C1013, 'CF BEST'!$I$9:$I1013, A39,'CF BEST'!$F$9:$F1013, $AB$5)</f>
        <v>0</v>
      </c>
      <c r="AB39" s="210">
        <f>SUMIFS('CF BEST'!$D$9:$D1013, 'CF BEST'!$I$9:$I1013, A39,'CF BEST'!$F$9:$F1013, $AB$5)</f>
        <v>0</v>
      </c>
      <c r="AC39" s="211">
        <f>SUMIFS('CF BEST'!$C$9:$C1013, 'CF BEST'!$I$9:$I1013, A39,'CF BEST'!$F$9:$F1013, $AD$5)</f>
        <v>0</v>
      </c>
      <c r="AD39" s="211">
        <f>SUMIFS('CF BEST'!$D$9:$D1013, 'CF BEST'!$I$9:$I1013, A39,'CF BEST'!$F$9:$F1013, $AD$5)</f>
        <v>0</v>
      </c>
      <c r="AE39" s="212">
        <f>SUMIFS('CF BEST'!$C$9:$C1013, 'CF BEST'!$I$9:$I1013, A39,'CF BEST'!$F$9:$F1013, $AF$5)</f>
        <v>0</v>
      </c>
      <c r="AF39" s="212">
        <f>SUMIFS('CF BEST'!$D$9:$D1013, 'CF BEST'!$I$9:$I1013, A39,'CF BEST'!$F$9:$F1013, $AF$5)</f>
        <v>0</v>
      </c>
      <c r="AG39" s="213">
        <f>SUMIFS('CF BEST'!$C$9:$C1013, 'CF BEST'!$I$9:$I1013, A39,'CF BEST'!$F$9:$F1013, $AH$5)+AA39+AC39+AE39</f>
        <v>0</v>
      </c>
      <c r="AH39" s="213">
        <f>SUMIFS('CF BEST'!$D$9:$D1013, 'CF BEST'!$I$9:$I1013, A39,'CF BEST'!$F$9:$F1013, $AH$5)+AB39+AD39+AF39</f>
        <v>0</v>
      </c>
    </row>
    <row r="40">
      <c r="A40" s="208" t="s">
        <v>259</v>
      </c>
      <c r="B40" s="209">
        <f t="shared" si="6"/>
        <v>744.39</v>
      </c>
      <c r="C40" s="210">
        <f>SUMIFS('CF BEST'!$C$9:$C1013, 'CF BEST'!$I$9:$I1013, A40,'CF BEST'!$F$9:$F1013, $D$5)</f>
        <v>0</v>
      </c>
      <c r="D40" s="210">
        <f>SUMIFS('CF BEST'!$D$9:$D1013, 'CF BEST'!$I$9:$I1013, A40,'CF BEST'!$F$9:$F1013, $D$5)</f>
        <v>0</v>
      </c>
      <c r="E40" s="211">
        <f>SUMIFS('CF BEST'!$C$9:$C1013, 'CF BEST'!$I$9:$I1013, A40,'CF BEST'!$F$9:$F1013, $F$5)</f>
        <v>0</v>
      </c>
      <c r="F40" s="211">
        <f>SUMIFS('CF BEST'!$D$9:$D1013, 'CF BEST'!$I$9:$I1013, A40,'CF BEST'!$F$9:$F1013, $F$5)</f>
        <v>0</v>
      </c>
      <c r="G40" s="212">
        <f>SUMIFS('CF BEST'!$C$9:$C1013, 'CF BEST'!$I$9:$I1013, A40,'CF BEST'!$F$9:$F1013, $H$5)</f>
        <v>0</v>
      </c>
      <c r="H40" s="212">
        <f>SUMIFS('CF BEST'!$D$9:$D1013, 'CF BEST'!$I$9:$I1013, A40,'CF BEST'!$F$9:$F1013, $H$5)</f>
        <v>0</v>
      </c>
      <c r="I40" s="213">
        <f>SUMIFS('CF BEST'!$C$9:$C1013, 'CF BEST'!$I$9:$I1013, A40,'CF BEST'!$F$9:$F1013, $J$5)+C40+E40+G40</f>
        <v>0</v>
      </c>
      <c r="J40" s="213">
        <f>SUMIFS('CF BEST'!$D$9:$D1013, 'CF BEST'!$I$9:$I1013, A40,'CF BEST'!$F$9:$F1013, $J$5)+D40+F40+H40</f>
        <v>0</v>
      </c>
      <c r="K40" s="210">
        <f>SUMIFS('CF BEST'!$C$9:$C1013, 'CF BEST'!$I$9:$I1013, A40,'CF BEST'!$F$9:$F1013, $L$5)</f>
        <v>0</v>
      </c>
      <c r="L40" s="210">
        <f>SUMIFS('CF BEST'!$D$9:$D1013, 'CF BEST'!$I$9:$I1013, A40,'CF BEST'!$F$9:$F1013, $L$5)</f>
        <v>0</v>
      </c>
      <c r="M40" s="211">
        <f>SUMIFS('CF BEST'!$C$9:$C1013, 'CF BEST'!$I$9:$I1013, A40,'CF BEST'!$F$9:$F1013, $N$5)</f>
        <v>0</v>
      </c>
      <c r="N40" s="211">
        <f>SUMIFS('CF BEST'!$D$9:$D1013, 'CF BEST'!$I$9:$I1013, A40,'CF BEST'!$F$9:$F1013, $N$5)</f>
        <v>0</v>
      </c>
      <c r="O40" s="212">
        <f>SUMIFS('CF BEST'!$C$9:$C1013, 'CF BEST'!$I$9:$I1013, A40,'CF BEST'!$F$9:$F1013, $P$5)</f>
        <v>0</v>
      </c>
      <c r="P40" s="212">
        <f>SUMIFS('CF BEST'!$D$9:$D1013, 'CF BEST'!$I$9:$I1013, A40,'CF BEST'!$F$9:$F1013, $P$5)</f>
        <v>0</v>
      </c>
      <c r="Q40" s="213">
        <f>SUMIFS('CF BEST'!$C$9:$C1013, 'CF BEST'!$I$9:$I1013, A40,'CF BEST'!$F$9:$F1013, $R$5)+K40+M40+O40</f>
        <v>0</v>
      </c>
      <c r="R40" s="213">
        <f>SUMIFS('CF BEST'!$D$9:$D1013, 'CF BEST'!$I$9:$I1013, A40,'CF BEST'!$F$9:$F1013, $R$5)+L40+N40+P40</f>
        <v>0</v>
      </c>
      <c r="S40" s="210">
        <f>SUMIFS('CF BEST'!$C$9:$C1013, 'CF BEST'!$I$9:$I1013, A40,'CF BEST'!$F$9:$F1013, $T$5)</f>
        <v>0</v>
      </c>
      <c r="T40" s="210">
        <f>SUMIFS('CF BEST'!$D$9:$D1013, 'CF BEST'!$I$9:$I1013, A40,'CF BEST'!$F$9:$F1013, $T$5)</f>
        <v>0</v>
      </c>
      <c r="U40" s="211">
        <f>SUMIFS('CF BEST'!$C$9:$C1013, 'CF BEST'!$I$9:$I1013, A40,'CF BEST'!$F$9:$F1013, $V$5)</f>
        <v>0</v>
      </c>
      <c r="V40" s="211">
        <f>SUMIFS('CF BEST'!$D$9:$D1013, 'CF BEST'!$I$9:$I1013, A40,'CF BEST'!$F$9:$F1013, $V$5)</f>
        <v>0</v>
      </c>
      <c r="W40" s="212">
        <f>SUMIFS('CF BEST'!$C$9:$C1013, 'CF BEST'!$I$9:$I1013, A40,'CF BEST'!$F$9:$F1013, $X$5)</f>
        <v>0</v>
      </c>
      <c r="X40" s="212">
        <f>SUMIFS('CF BEST'!$D$9:$D1013, 'CF BEST'!$I$9:$I1013, A40,'CF BEST'!$F$9:$F1013, $X$5)</f>
        <v>0</v>
      </c>
      <c r="Y40" s="213">
        <f>SUMIFS('CF BEST'!$C$9:$C1013, 'CF BEST'!$I$9:$I1013, A40,'CF BEST'!$F$9:$F1013, $Z$5)+S40+U40+W40</f>
        <v>0</v>
      </c>
      <c r="Z40" s="213">
        <f>SUMIFS('CF BEST'!$D$9:$D1013, 'CF BEST'!$I$9:$I1013, A40,'CF BEST'!$F$9:$F1013, $Z$5)+T40+V40+X40</f>
        <v>0</v>
      </c>
      <c r="AA40" s="210">
        <f>SUMIFS('CF BEST'!$C$9:$C1013, 'CF BEST'!$I$9:$I1013, A40,'CF BEST'!$F$9:$F1013, $AB$5)</f>
        <v>0</v>
      </c>
      <c r="AB40" s="210">
        <f>SUMIFS('CF BEST'!$D$9:$D1013, 'CF BEST'!$I$9:$I1013, A40,'CF BEST'!$F$9:$F1013, $AB$5)</f>
        <v>0</v>
      </c>
      <c r="AC40" s="211">
        <f>SUMIFS('CF BEST'!$C$9:$C1013, 'CF BEST'!$I$9:$I1013, A40,'CF BEST'!$F$9:$F1013, $AD$5)</f>
        <v>0</v>
      </c>
      <c r="AD40" s="211">
        <f>SUMIFS('CF BEST'!$D$9:$D1013, 'CF BEST'!$I$9:$I1013, A40,'CF BEST'!$F$9:$F1013, $AD$5)</f>
        <v>0</v>
      </c>
      <c r="AE40" s="212">
        <f>SUMIFS('CF BEST'!$C$9:$C1013, 'CF BEST'!$I$9:$I1013, A40,'CF BEST'!$F$9:$F1013, $AF$5)</f>
        <v>0</v>
      </c>
      <c r="AF40" s="212">
        <f>SUMIFS('CF BEST'!$D$9:$D1013, 'CF BEST'!$I$9:$I1013, A40,'CF BEST'!$F$9:$F1013, $AF$5)</f>
        <v>744.39</v>
      </c>
      <c r="AG40" s="213">
        <f>SUMIFS('CF BEST'!$C$9:$C1013, 'CF BEST'!$I$9:$I1013, A40,'CF BEST'!$F$9:$F1013, $AH$5)+AA40+AC40+AE40</f>
        <v>0</v>
      </c>
      <c r="AH40" s="213">
        <f>SUMIFS('CF BEST'!$D$9:$D1013, 'CF BEST'!$I$9:$I1013, A40,'CF BEST'!$F$9:$F1013, $AH$5)+AB40+AD40+AF40</f>
        <v>744.39</v>
      </c>
    </row>
    <row r="41">
      <c r="A41" s="215" t="s">
        <v>35</v>
      </c>
      <c r="B41" s="209">
        <f t="shared" si="6"/>
        <v>1458950.2</v>
      </c>
      <c r="C41" s="210">
        <f>SUMIFS('CF BEST'!$C$9:$C1013, 'CF BEST'!$I$9:$I1013, A41,'CF BEST'!$F$9:$F1013, $D$5)</f>
        <v>0</v>
      </c>
      <c r="D41" s="210">
        <f>SUMIFS('CF BEST'!$D$9:$D1013, 'CF BEST'!$I$9:$I1013, A41,'CF BEST'!$F$9:$F1013, $D$5)</f>
        <v>10000</v>
      </c>
      <c r="E41" s="211">
        <f>SUMIFS('CF BEST'!$C$9:$C1013, 'CF BEST'!$I$9:$I1013, A41,'CF BEST'!$F$9:$F1013, $F$5)</f>
        <v>0</v>
      </c>
      <c r="F41" s="211">
        <f>SUMIFS('CF BEST'!$D$9:$D1013, 'CF BEST'!$I$9:$I1013, A41,'CF BEST'!$F$9:$F1013, $F$5)</f>
        <v>718185.2</v>
      </c>
      <c r="G41" s="212">
        <f>SUMIFS('CF BEST'!$C$9:$C1013, 'CF BEST'!$I$9:$I1013, A41,'CF BEST'!$F$9:$F1013, $H$5)</f>
        <v>0</v>
      </c>
      <c r="H41" s="212">
        <f>SUMIFS('CF BEST'!$D$9:$D1013, 'CF BEST'!$I$9:$I1013, A41,'CF BEST'!$F$9:$F1013, $H$5)</f>
        <v>165250</v>
      </c>
      <c r="I41" s="213">
        <f>SUMIFS('CF BEST'!$C$9:$C1013, 'CF BEST'!$I$9:$I1013, A41,'CF BEST'!$F$9:$F1013, $J$5)+C41+E41+G41</f>
        <v>0</v>
      </c>
      <c r="J41" s="213">
        <f>SUMIFS('CF BEST'!$D$9:$D1013, 'CF BEST'!$I$9:$I1013, A41,'CF BEST'!$F$9:$F1013, $J$5)+D41+F41+H41</f>
        <v>893435.2</v>
      </c>
      <c r="K41" s="210">
        <f>SUMIFS('CF BEST'!$C$9:$C1013, 'CF BEST'!$I$9:$I1013, A41,'CF BEST'!$F$9:$F1013, $L$5)</f>
        <v>0</v>
      </c>
      <c r="L41" s="210">
        <f>SUMIFS('CF BEST'!$D$9:$D1013, 'CF BEST'!$I$9:$I1013, A41,'CF BEST'!$F$9:$F1013, $L$5)</f>
        <v>0</v>
      </c>
      <c r="M41" s="211">
        <f>SUMIFS('CF BEST'!$C$9:$C1013, 'CF BEST'!$I$9:$I1013, A41,'CF BEST'!$F$9:$F1013, $N$5)</f>
        <v>0</v>
      </c>
      <c r="N41" s="211">
        <f>SUMIFS('CF BEST'!$D$9:$D1013, 'CF BEST'!$I$9:$I1013, A41,'CF BEST'!$F$9:$F1013, $N$5)</f>
        <v>185610</v>
      </c>
      <c r="O41" s="212">
        <f>SUMIFS('CF BEST'!$C$9:$C1013, 'CF BEST'!$I$9:$I1013, A41,'CF BEST'!$F$9:$F1013, $P$5)</f>
        <v>0</v>
      </c>
      <c r="P41" s="212">
        <f>SUMIFS('CF BEST'!$D$9:$D1013, 'CF BEST'!$I$9:$I1013, A41,'CF BEST'!$F$9:$F1013, $P$5)</f>
        <v>0</v>
      </c>
      <c r="Q41" s="213">
        <f>SUMIFS('CF BEST'!$C$9:$C1013, 'CF BEST'!$I$9:$I1013, A41,'CF BEST'!$F$9:$F1013, $R$5)+K41+M41+O41</f>
        <v>0</v>
      </c>
      <c r="R41" s="213">
        <f>SUMIFS('CF BEST'!$D$9:$D1013, 'CF BEST'!$I$9:$I1013, A41,'CF BEST'!$F$9:$F1013, $R$5)+L41+N41+P41</f>
        <v>185610</v>
      </c>
      <c r="S41" s="210">
        <f>SUMIFS('CF BEST'!$C$9:$C1013, 'CF BEST'!$I$9:$I1013, A41,'CF BEST'!$F$9:$F1013, $T$5)</f>
        <v>0</v>
      </c>
      <c r="T41" s="210">
        <f>SUMIFS('CF BEST'!$D$9:$D1013, 'CF BEST'!$I$9:$I1013, A41,'CF BEST'!$F$9:$F1013, $T$5)</f>
        <v>37000</v>
      </c>
      <c r="U41" s="211">
        <f>SUMIFS('CF BEST'!$C$9:$C1013, 'CF BEST'!$I$9:$I1013, A41,'CF BEST'!$F$9:$F1013, $V$5)</f>
        <v>0</v>
      </c>
      <c r="V41" s="211">
        <f>SUMIFS('CF BEST'!$D$9:$D1013, 'CF BEST'!$I$9:$I1013, A41,'CF BEST'!$F$9:$F1013, $V$5)</f>
        <v>69255</v>
      </c>
      <c r="W41" s="212">
        <f>SUMIFS('CF BEST'!$C$9:$C1013, 'CF BEST'!$I$9:$I1013, A41,'CF BEST'!$F$9:$F1013, $X$5)</f>
        <v>0</v>
      </c>
      <c r="X41" s="212">
        <f>SUMIFS('CF BEST'!$D$9:$D1013, 'CF BEST'!$I$9:$I1013, A41,'CF BEST'!$F$9:$F1013, $X$5)</f>
        <v>50000</v>
      </c>
      <c r="Y41" s="213">
        <f>SUMIFS('CF BEST'!$C$9:$C1013, 'CF BEST'!$I$9:$I1013, A41,'CF BEST'!$F$9:$F1013, $Z$5)+S41+U41+W41</f>
        <v>0</v>
      </c>
      <c r="Z41" s="213">
        <f>SUMIFS('CF BEST'!$D$9:$D1013, 'CF BEST'!$I$9:$I1013, A41,'CF BEST'!$F$9:$F1013, $Z$5)+T41+V41+X41</f>
        <v>156255</v>
      </c>
      <c r="AA41" s="210">
        <f>SUMIFS('CF BEST'!$C$9:$C1013, 'CF BEST'!$I$9:$I1013, A41,'CF BEST'!$F$9:$F1013, $AB$5)</f>
        <v>0</v>
      </c>
      <c r="AB41" s="210">
        <f>SUMIFS('CF BEST'!$D$9:$D1013, 'CF BEST'!$I$9:$I1013, A41,'CF BEST'!$F$9:$F1013, $AB$5)</f>
        <v>105850</v>
      </c>
      <c r="AC41" s="211">
        <f>SUMIFS('CF BEST'!$C$9:$C1013, 'CF BEST'!$I$9:$I1013, A41,'CF BEST'!$F$9:$F1013, $AD$5)</f>
        <v>515604.84</v>
      </c>
      <c r="AD41" s="211">
        <f>SUMIFS('CF BEST'!$D$9:$D1013, 'CF BEST'!$I$9:$I1013, A41,'CF BEST'!$F$9:$F1013, $AD$5)</f>
        <v>40000</v>
      </c>
      <c r="AE41" s="212">
        <f>SUMIFS('CF BEST'!$C$9:$C1013, 'CF BEST'!$I$9:$I1013, A41,'CF BEST'!$F$9:$F1013, $AF$5)</f>
        <v>253020.24</v>
      </c>
      <c r="AF41" s="212">
        <f>SUMIFS('CF BEST'!$D$9:$D1013, 'CF BEST'!$I$9:$I1013, A41,'CF BEST'!$F$9:$F1013, $AF$5)</f>
        <v>77800</v>
      </c>
      <c r="AG41" s="213">
        <f>SUMIFS('CF BEST'!$C$9:$C1013, 'CF BEST'!$I$9:$I1013, A41,'CF BEST'!$F$9:$F1013, $AH$5)+AA41+AC41+AE41</f>
        <v>768625.08</v>
      </c>
      <c r="AH41" s="213">
        <f>SUMIFS('CF BEST'!$D$9:$D1013, 'CF BEST'!$I$9:$I1013, A41,'CF BEST'!$F$9:$F1013, $AH$5)+AB41+AD41+AF41</f>
        <v>223650</v>
      </c>
    </row>
    <row r="42">
      <c r="A42" s="198"/>
      <c r="B42" s="221"/>
    </row>
    <row r="43">
      <c r="A43" s="222" t="s">
        <v>413</v>
      </c>
      <c r="B43" s="223">
        <f>(B8+B9)/B1</f>
        <v>0.2211278111</v>
      </c>
      <c r="C43" s="224">
        <f>(D8+D9)/C1</f>
        <v>0.08218349301</v>
      </c>
      <c r="E43" s="224">
        <f>(F8+F9)/E1</f>
        <v>0.04909045161</v>
      </c>
      <c r="G43" s="224">
        <f>(H8+H9)/G1</f>
        <v>0.06628328929</v>
      </c>
      <c r="I43" s="225">
        <f>(J8+J9)/I1</f>
        <v>0.2723694838</v>
      </c>
      <c r="K43" s="224">
        <f>(L8+L9)/K1</f>
        <v>0.05389103253</v>
      </c>
      <c r="M43" s="224">
        <f>(N8+N9)/M1</f>
        <v>0.0303829325</v>
      </c>
      <c r="O43" s="224">
        <f>(P8+P9)/O1</f>
        <v>0.0452401762</v>
      </c>
      <c r="Q43" s="225">
        <f>(R8+R9)/Q1</f>
        <v>0.1505020364</v>
      </c>
      <c r="S43" s="224">
        <f>(T8+T9)/S1</f>
        <v>0.08494233422</v>
      </c>
      <c r="U43" s="224">
        <f>(V8+V9)/U1</f>
        <v>0.05104111898</v>
      </c>
      <c r="W43" s="224">
        <f>(X8+X9)/W1</f>
        <v>0.06536328895</v>
      </c>
      <c r="Y43" s="225">
        <f>(Z8+Z9)/Y1</f>
        <v>0.2055843466</v>
      </c>
      <c r="AA43" s="224">
        <f>(AB8+AB9)/AA1</f>
        <v>0.04522950452</v>
      </c>
      <c r="AC43" s="224">
        <f>(AD8+AD9)/AC1</f>
        <v>0.02247915002</v>
      </c>
      <c r="AE43" s="224">
        <f>(AF8+AF9)/AE1</f>
        <v>0.03611314005</v>
      </c>
      <c r="AG43" s="225">
        <f>(AH8+AH9)/AG1</f>
        <v>0.2415286028</v>
      </c>
    </row>
    <row r="44">
      <c r="A44" s="222" t="s">
        <v>1993</v>
      </c>
      <c r="B44" s="223">
        <f>(B10+B11)/B1</f>
        <v>0.3173851319</v>
      </c>
      <c r="C44" s="224">
        <f>(D10+D11)/C1</f>
        <v>0.2772366066</v>
      </c>
      <c r="E44" s="224">
        <f>(F10+F11)/E1</f>
        <v>0.3118096451</v>
      </c>
      <c r="G44" s="224">
        <f>(H10+H11)/G1</f>
        <v>0.4610370376</v>
      </c>
      <c r="I44" s="225">
        <f>(J10+J11)/I1</f>
        <v>0.3674932324</v>
      </c>
      <c r="K44" s="224">
        <f>(L10+L11)/K1</f>
        <v>0.3728266083</v>
      </c>
      <c r="M44" s="224">
        <f>(N10+N11)/M1</f>
        <v>0.3036121321</v>
      </c>
      <c r="O44" s="224">
        <f>(P10+P11)/O1</f>
        <v>0.3275424162</v>
      </c>
      <c r="Q44" s="225">
        <f>(R10+R11)/Q1</f>
        <v>0.3396100076</v>
      </c>
      <c r="S44" s="224">
        <f>(T10+T11)/S1</f>
        <v>0.350629723</v>
      </c>
      <c r="U44" s="224">
        <f>(V10+V11)/U1</f>
        <v>0.2917727162</v>
      </c>
      <c r="W44" s="224">
        <f>(X10+X11)/W1</f>
        <v>0.3022190456</v>
      </c>
      <c r="Y44" s="225">
        <f>(Z10+Z11)/Y1</f>
        <v>0.3130780906</v>
      </c>
      <c r="AA44" s="224">
        <f>(AB10+AB11)/AA1</f>
        <v>0.2721605104</v>
      </c>
      <c r="AC44" s="224">
        <f>(AD10+AD11)/AC1</f>
        <v>0.2678629557</v>
      </c>
      <c r="AE44" s="224">
        <f>(AF10+AF11)/AE1</f>
        <v>0.2707924223</v>
      </c>
      <c r="AG44" s="225">
        <f>(AH10+AH11)/AG1</f>
        <v>0.2701986653</v>
      </c>
    </row>
    <row r="45">
      <c r="A45" s="222" t="s">
        <v>1994</v>
      </c>
      <c r="B45" s="223">
        <f>(B12+B13+B14)/B1</f>
        <v>0.07249568621</v>
      </c>
      <c r="C45" s="224">
        <f>(D12+D13+D14)/C1</f>
        <v>0.04953343528</v>
      </c>
      <c r="E45" s="224">
        <f>(F12+F13+F14)/E1</f>
        <v>0.07171454449</v>
      </c>
      <c r="G45" s="224">
        <f>(H12+H13+H14)/G1</f>
        <v>0.09709856864</v>
      </c>
      <c r="I45" s="225">
        <f>(J12+J13+J14)/I1</f>
        <v>0.07746356964</v>
      </c>
      <c r="K45" s="224">
        <f>(L12+L13+L14)/K1</f>
        <v>0.1227415834</v>
      </c>
      <c r="M45" s="224">
        <f>(N12+N13+N14)/M1</f>
        <v>0.05676629174</v>
      </c>
      <c r="O45" s="224">
        <f>(P12+P13+P14)/O1</f>
        <v>0.06007308597</v>
      </c>
      <c r="Q45" s="225">
        <f>(R12+R13+R14)/Q1</f>
        <v>0.08585570165</v>
      </c>
      <c r="S45" s="224">
        <f>(T12+T13+T14)/S1</f>
        <v>0.07487252037</v>
      </c>
      <c r="U45" s="224">
        <f>(V12+V13+V14)/U1</f>
        <v>0.1312096905</v>
      </c>
      <c r="W45" s="224">
        <f>(X12+X13+X14)/W1</f>
        <v>0.06610668777</v>
      </c>
      <c r="Y45" s="225">
        <f>(Z12+Z13+Z14)/Y1</f>
        <v>0.0865653681</v>
      </c>
      <c r="AA45" s="224">
        <f>(AB12+AB13+AB14)/AA1</f>
        <v>0.1171078193</v>
      </c>
      <c r="AC45" s="224">
        <f>(AD12+AD13+AD14)/AC1</f>
        <v>0.03757665839</v>
      </c>
      <c r="AE45" s="224">
        <f>(AF12+AF13+AF14)/AE1</f>
        <v>0.01938940579</v>
      </c>
      <c r="AG45" s="225">
        <f>(AH12+AH13+AH14)/AG1</f>
        <v>0.05373851603</v>
      </c>
    </row>
    <row r="46">
      <c r="A46" s="222" t="s">
        <v>68</v>
      </c>
      <c r="B46" s="223">
        <f>(B16+B17+B18+B19)/B1</f>
        <v>0.09826292616</v>
      </c>
      <c r="C46" s="224">
        <f>(D16+D17+D18+D19)/C1</f>
        <v>0.1047074499</v>
      </c>
      <c r="E46" s="224">
        <f>(F16+F17+F18+F19)/E1</f>
        <v>0.06465379728</v>
      </c>
      <c r="G46" s="224">
        <f>(H16+H17+H18+H19)/G1</f>
        <v>0.05999410535</v>
      </c>
      <c r="I46" s="225">
        <f>(J16+J17+J18+J19)/I1</f>
        <v>0.07982546856</v>
      </c>
      <c r="K46" s="224">
        <f>(L16+L17+L18+L19)/K1</f>
        <v>0.05950507015</v>
      </c>
      <c r="M46" s="224">
        <f>(N16+N17+N18+N19)/M1</f>
        <v>0.08839077432</v>
      </c>
      <c r="O46" s="224">
        <f>(P16+P17+P18+P19)/O1</f>
        <v>0.149836285</v>
      </c>
      <c r="Q46" s="225">
        <f>(R16+R17+R18+R19)/Q1</f>
        <v>0.09766642118</v>
      </c>
      <c r="S46" s="224">
        <f>(T16+T17+T18+T19)/S1</f>
        <v>0.1707138738</v>
      </c>
      <c r="U46" s="224">
        <f>(V16+V17+V18+V19)/U1</f>
        <v>0.1369886076</v>
      </c>
      <c r="W46" s="224">
        <f>(X16+X17+X18+X19)/W1</f>
        <v>0.02280301602</v>
      </c>
      <c r="Y46" s="225">
        <f>(Z16+Z17+Z18+Z19)/Y1</f>
        <v>0.1075637201</v>
      </c>
      <c r="AA46" s="224">
        <f>(AB16+AB17+AB18+AB19)/AA1</f>
        <v>0.108283363</v>
      </c>
      <c r="AC46" s="224">
        <f>(AD16+AD17+AD18+AD19)/AC1</f>
        <v>0.08245315518</v>
      </c>
      <c r="AE46" s="224">
        <f>(AF16+AF17+AF18+AF19)/AE1</f>
        <v>0.1087550655</v>
      </c>
      <c r="AG46" s="225">
        <f>(AH16+AH17+AH18+AH19)/AG1</f>
        <v>0.1070108462</v>
      </c>
    </row>
    <row r="47">
      <c r="A47" s="222" t="s">
        <v>71</v>
      </c>
      <c r="B47" s="223">
        <f>B22/B1</f>
        <v>0.1607932585</v>
      </c>
      <c r="C47" s="224">
        <f>D22/C1</f>
        <v>0.1265129868</v>
      </c>
      <c r="E47" s="224">
        <f>F22/E1</f>
        <v>0.07184286963</v>
      </c>
      <c r="G47" s="224">
        <f>H22/G1</f>
        <v>0.07783324749</v>
      </c>
      <c r="I47" s="225">
        <f>J22/I1</f>
        <v>0.08688168723</v>
      </c>
      <c r="K47" s="224">
        <f>L22/K1</f>
        <v>0.1540792751</v>
      </c>
      <c r="M47" s="224">
        <f>N22/M1</f>
        <v>0.1648210939</v>
      </c>
      <c r="O47" s="224">
        <f>P22/O1</f>
        <v>0.08202020429</v>
      </c>
      <c r="Q47" s="225">
        <f>R22/Q1</f>
        <v>0.1380518781</v>
      </c>
      <c r="S47" s="224">
        <f>T22/S1</f>
        <v>0.4673110273</v>
      </c>
      <c r="U47" s="224">
        <f>V22/U1</f>
        <v>0.2690677076</v>
      </c>
      <c r="W47" s="224">
        <f>X22/W1</f>
        <v>0.256157785</v>
      </c>
      <c r="Y47" s="225">
        <f>Z22/Y1</f>
        <v>0.3397676069</v>
      </c>
      <c r="AA47" s="224">
        <f>AB22/AA1</f>
        <v>0.02982732774</v>
      </c>
      <c r="AC47" s="224">
        <f>AD22/AC1</f>
        <v>0</v>
      </c>
      <c r="AE47" s="224">
        <f>AF22/AE1</f>
        <v>0</v>
      </c>
      <c r="AG47" s="225">
        <f>AH22/AG1</f>
        <v>0.1465261767</v>
      </c>
    </row>
    <row r="48">
      <c r="A48" s="222" t="s">
        <v>1995</v>
      </c>
      <c r="B48" s="223">
        <f>(B32+B33)/B1</f>
        <v>0.0226658158</v>
      </c>
      <c r="C48" s="224">
        <f>(D32+D33)/C1</f>
        <v>0.0007433021076</v>
      </c>
      <c r="E48" s="224">
        <f>(F32+F33)/E1</f>
        <v>0.0004909975213</v>
      </c>
      <c r="G48" s="224">
        <f>(H32+H33)/G1</f>
        <v>0.002583976491</v>
      </c>
      <c r="I48" s="225">
        <f>(J32+J33)/I1</f>
        <v>0.001440360552</v>
      </c>
      <c r="K48" s="224">
        <f>(L32+L33)/K1</f>
        <v>0.01574815528</v>
      </c>
      <c r="M48" s="224">
        <f>(N32+N33)/M1</f>
        <v>0.02851996387</v>
      </c>
      <c r="O48" s="224">
        <f>(P32+P33)/O1</f>
        <v>0.02523866</v>
      </c>
      <c r="Q48" s="225">
        <f>(R32+R33)/Q1</f>
        <v>0.02218129641</v>
      </c>
      <c r="S48" s="224">
        <f>(T32+T33)/S1</f>
        <v>0.0446009447</v>
      </c>
      <c r="U48" s="224">
        <f>(V32+V33)/U1</f>
        <v>0.06849564868</v>
      </c>
      <c r="W48" s="224">
        <f>(X32+X33)/W1</f>
        <v>0.03656739221</v>
      </c>
      <c r="Y48" s="225">
        <f>(Z32+Z33)/Y1</f>
        <v>0.0476610195</v>
      </c>
      <c r="AA48" s="224">
        <f>(AB32+AB33)/AA1</f>
        <v>0.03031510386</v>
      </c>
      <c r="AC48" s="224">
        <f>(AD32+AD33)/AC1</f>
        <v>0.02719715312</v>
      </c>
      <c r="AE48" s="224">
        <f>(AF32+AF33)/AE1</f>
        <v>0.02218480442</v>
      </c>
      <c r="AG48" s="225">
        <f>(AH32+AH33)/AG1</f>
        <v>0.02622368271</v>
      </c>
    </row>
    <row r="49">
      <c r="A49" s="222" t="s">
        <v>495</v>
      </c>
      <c r="B49" s="223">
        <f>B34/B1</f>
        <v>0.01271896839</v>
      </c>
      <c r="C49" s="224">
        <f>(D34)/C1</f>
        <v>0.01824246768</v>
      </c>
      <c r="E49" s="224">
        <f>(F34)/E1</f>
        <v>0.02421470621</v>
      </c>
      <c r="G49" s="224">
        <f>(H34)/G1</f>
        <v>0.01004998721</v>
      </c>
      <c r="I49" s="225">
        <f>(J34)/I1</f>
        <v>0.01681562109</v>
      </c>
      <c r="K49" s="224">
        <f>(L34)/K1</f>
        <v>0.007732744003</v>
      </c>
      <c r="M49" s="224">
        <f>(N34)/M1</f>
        <v>0.0165913516</v>
      </c>
      <c r="O49" s="224">
        <f>(P34)/O1</f>
        <v>0.01726253525</v>
      </c>
      <c r="Q49" s="225">
        <f>(R34)/Q1</f>
        <v>0.01298416072</v>
      </c>
      <c r="S49" s="224">
        <f>(T34)/S1</f>
        <v>0.02628703414</v>
      </c>
      <c r="U49" s="224">
        <f>(V34)/U1</f>
        <v>0.02389444169</v>
      </c>
      <c r="W49" s="224">
        <f>(X34)/W1</f>
        <v>0.01036151559</v>
      </c>
      <c r="Y49" s="225">
        <f>(Z34)/Y1</f>
        <v>0.01861782974</v>
      </c>
      <c r="AA49" s="224">
        <f>(AB34)/AA1</f>
        <v>0.007933848798</v>
      </c>
      <c r="AC49" s="224">
        <f>(AD34)/AC1</f>
        <v>0.006784693802</v>
      </c>
      <c r="AE49" s="224">
        <f>(AF34)/AE1</f>
        <v>0.006823074065</v>
      </c>
      <c r="AG49" s="225">
        <f>(AH34)/AG1</f>
        <v>0.007130795105</v>
      </c>
    </row>
    <row r="50">
      <c r="A50" s="222" t="s">
        <v>47</v>
      </c>
      <c r="B50" s="223">
        <f>B29/B1</f>
        <v>0.02409486899</v>
      </c>
      <c r="C50" s="224">
        <f>(D29-C29)/C1</f>
        <v>0.09541807353</v>
      </c>
      <c r="E50" s="224">
        <f>(F29-E29)/E1</f>
        <v>0.04211558439</v>
      </c>
      <c r="G50" s="224">
        <f>(H29-G29)/G1</f>
        <v>0.04196975908</v>
      </c>
      <c r="I50" s="225">
        <f>(J29-I29)/I1</f>
        <v>0.05422764023</v>
      </c>
      <c r="K50" s="224">
        <f>(L29-K29)/K1</f>
        <v>0.01456493073</v>
      </c>
      <c r="M50" s="224">
        <f>(N29-M29)/M1</f>
        <v>0.01679956181</v>
      </c>
      <c r="O50" s="224">
        <f>(P29-O29)/O1</f>
        <v>0.04230049777</v>
      </c>
      <c r="Q50" s="225">
        <f>(R29-Q29)/Q1</f>
        <v>0.02267439449</v>
      </c>
      <c r="S50" s="224">
        <f>(T29-S29)/S1</f>
        <v>0</v>
      </c>
      <c r="U50" s="224">
        <f>(V29-U29)/U1</f>
        <v>0.02511696428</v>
      </c>
      <c r="W50" s="224">
        <f>(X29-W29)/W1</f>
        <v>0.02836778873</v>
      </c>
      <c r="Y50" s="225">
        <f>(Z29-Y29)/Y1</f>
        <v>0.01941759198</v>
      </c>
      <c r="AA50" s="224">
        <f>(AB29-AA29)/AA1</f>
        <v>0.005691331796</v>
      </c>
      <c r="AC50" s="224">
        <f>(AD29-AC29)/AC1</f>
        <v>0.01509235506</v>
      </c>
      <c r="AE50" s="224">
        <f>(AF29-AE29)/AE1</f>
        <v>0</v>
      </c>
      <c r="AG50" s="225">
        <f>(AH29-AG29)/AG1</f>
        <v>0.00673683824</v>
      </c>
    </row>
    <row r="51">
      <c r="A51" s="192" t="s">
        <v>108</v>
      </c>
      <c r="B51" s="226">
        <f>100%-sum(B43:B50)</f>
        <v>0.07045553304</v>
      </c>
    </row>
    <row r="52">
      <c r="A52" s="198"/>
    </row>
    <row r="53">
      <c r="A53" s="198"/>
      <c r="B53" s="226">
        <f>(B7-B8-B9-B10-B11-B12-B13-B14)/B7</f>
        <v>0.3733190014</v>
      </c>
    </row>
    <row r="54">
      <c r="A54" s="198"/>
    </row>
    <row r="55">
      <c r="A55" s="198"/>
      <c r="B55" s="227">
        <f>7200000/0.35</f>
        <v>20571428.57</v>
      </c>
    </row>
    <row r="56">
      <c r="A56" s="198"/>
    </row>
    <row r="57">
      <c r="A57" s="198"/>
      <c r="B57" s="227"/>
    </row>
    <row r="58">
      <c r="A58" s="198"/>
      <c r="B58" s="227"/>
    </row>
    <row r="59">
      <c r="A59" s="198"/>
    </row>
    <row r="60">
      <c r="A60" s="198"/>
    </row>
    <row r="61">
      <c r="A61" s="198"/>
    </row>
    <row r="62">
      <c r="A62" s="198"/>
    </row>
    <row r="63">
      <c r="A63" s="198"/>
    </row>
    <row r="64">
      <c r="A64" s="198"/>
    </row>
    <row r="65">
      <c r="A65" s="198"/>
    </row>
    <row r="66">
      <c r="A66" s="198"/>
    </row>
    <row r="67">
      <c r="A67" s="198"/>
    </row>
    <row r="68">
      <c r="A68" s="198"/>
    </row>
    <row r="69">
      <c r="A69" s="198"/>
    </row>
    <row r="70">
      <c r="A70" s="198"/>
    </row>
    <row r="71">
      <c r="A71" s="198"/>
    </row>
    <row r="72">
      <c r="A72" s="198"/>
    </row>
    <row r="73">
      <c r="A73" s="198"/>
    </row>
    <row r="74">
      <c r="A74" s="198"/>
    </row>
    <row r="75">
      <c r="A75" s="198"/>
    </row>
    <row r="76">
      <c r="A76" s="198"/>
    </row>
    <row r="77">
      <c r="A77" s="198"/>
    </row>
    <row r="78">
      <c r="A78" s="198"/>
    </row>
    <row r="79">
      <c r="A79" s="198"/>
    </row>
    <row r="80">
      <c r="A80" s="198"/>
    </row>
    <row r="81">
      <c r="A81" s="198"/>
    </row>
    <row r="82">
      <c r="A82" s="198"/>
    </row>
    <row r="83">
      <c r="A83" s="198"/>
    </row>
    <row r="84">
      <c r="A84" s="198"/>
    </row>
    <row r="85">
      <c r="A85" s="198"/>
    </row>
    <row r="86">
      <c r="A86" s="198"/>
    </row>
    <row r="87">
      <c r="A87" s="198"/>
    </row>
    <row r="88">
      <c r="A88" s="198"/>
    </row>
    <row r="89">
      <c r="A89" s="198"/>
    </row>
    <row r="90">
      <c r="A90" s="198"/>
    </row>
    <row r="91">
      <c r="A91" s="198"/>
    </row>
    <row r="92">
      <c r="A92" s="198"/>
    </row>
    <row r="93">
      <c r="A93" s="198"/>
    </row>
    <row r="94">
      <c r="A94" s="198"/>
    </row>
    <row r="95">
      <c r="A95" s="198"/>
    </row>
    <row r="96">
      <c r="A96" s="198"/>
    </row>
    <row r="97">
      <c r="A97" s="198"/>
    </row>
    <row r="98">
      <c r="A98" s="198"/>
    </row>
    <row r="99">
      <c r="A99" s="198"/>
    </row>
    <row r="100">
      <c r="A100" s="198"/>
    </row>
    <row r="101">
      <c r="A101" s="198"/>
    </row>
    <row r="102">
      <c r="A102" s="198"/>
    </row>
    <row r="103">
      <c r="A103" s="198"/>
    </row>
    <row r="104">
      <c r="A104" s="198"/>
    </row>
    <row r="105">
      <c r="A105" s="198"/>
    </row>
    <row r="106">
      <c r="A106" s="198"/>
    </row>
    <row r="107">
      <c r="A107" s="198"/>
    </row>
    <row r="108">
      <c r="A108" s="198"/>
    </row>
    <row r="109">
      <c r="A109" s="198"/>
    </row>
    <row r="110">
      <c r="A110" s="198"/>
    </row>
    <row r="111">
      <c r="A111" s="198"/>
    </row>
    <row r="112">
      <c r="A112" s="198"/>
    </row>
    <row r="113">
      <c r="A113" s="198"/>
    </row>
    <row r="114">
      <c r="A114" s="198"/>
    </row>
    <row r="115">
      <c r="A115" s="198"/>
    </row>
    <row r="116">
      <c r="A116" s="198"/>
    </row>
    <row r="117">
      <c r="A117" s="198"/>
    </row>
    <row r="118">
      <c r="A118" s="198"/>
    </row>
    <row r="119">
      <c r="A119" s="198"/>
    </row>
    <row r="120">
      <c r="A120" s="198"/>
    </row>
    <row r="121">
      <c r="A121" s="198"/>
    </row>
    <row r="122">
      <c r="A122" s="198"/>
    </row>
    <row r="123">
      <c r="A123" s="198"/>
    </row>
    <row r="124">
      <c r="A124" s="198"/>
    </row>
    <row r="125">
      <c r="A125" s="198"/>
    </row>
    <row r="126">
      <c r="A126" s="198"/>
    </row>
    <row r="127">
      <c r="A127" s="198"/>
    </row>
    <row r="128">
      <c r="A128" s="198"/>
    </row>
    <row r="129">
      <c r="A129" s="198"/>
    </row>
    <row r="130">
      <c r="A130" s="198"/>
    </row>
    <row r="131">
      <c r="A131" s="198"/>
    </row>
    <row r="132">
      <c r="A132" s="198"/>
    </row>
    <row r="133">
      <c r="A133" s="198"/>
    </row>
    <row r="134">
      <c r="A134" s="198"/>
    </row>
    <row r="135">
      <c r="A135" s="198"/>
    </row>
    <row r="136">
      <c r="A136" s="198"/>
    </row>
    <row r="137">
      <c r="A137" s="198"/>
    </row>
    <row r="138">
      <c r="A138" s="198"/>
    </row>
    <row r="139">
      <c r="A139" s="198"/>
    </row>
    <row r="140">
      <c r="A140" s="198"/>
    </row>
    <row r="141">
      <c r="A141" s="198"/>
    </row>
    <row r="142">
      <c r="A142" s="198"/>
    </row>
    <row r="143">
      <c r="A143" s="198"/>
    </row>
    <row r="144">
      <c r="A144" s="198"/>
    </row>
    <row r="145">
      <c r="A145" s="198"/>
    </row>
    <row r="146">
      <c r="A146" s="198"/>
    </row>
    <row r="147">
      <c r="A147" s="198"/>
    </row>
    <row r="148">
      <c r="A148" s="198"/>
    </row>
    <row r="149">
      <c r="A149" s="198"/>
    </row>
    <row r="150">
      <c r="A150" s="198"/>
    </row>
    <row r="151">
      <c r="A151" s="198"/>
    </row>
    <row r="152">
      <c r="A152" s="198"/>
    </row>
    <row r="153">
      <c r="A153" s="198"/>
    </row>
    <row r="154">
      <c r="A154" s="198"/>
    </row>
    <row r="155">
      <c r="A155" s="198"/>
    </row>
    <row r="156">
      <c r="A156" s="198"/>
    </row>
    <row r="157">
      <c r="A157" s="198"/>
    </row>
    <row r="158">
      <c r="A158" s="198"/>
    </row>
    <row r="159">
      <c r="A159" s="198"/>
    </row>
    <row r="160">
      <c r="A160" s="198"/>
    </row>
    <row r="161">
      <c r="A161" s="198"/>
    </row>
    <row r="162">
      <c r="A162" s="198"/>
    </row>
    <row r="163">
      <c r="A163" s="198"/>
    </row>
    <row r="164">
      <c r="A164" s="198"/>
    </row>
    <row r="165">
      <c r="A165" s="198"/>
    </row>
    <row r="166">
      <c r="A166" s="198"/>
    </row>
    <row r="167">
      <c r="A167" s="198"/>
    </row>
    <row r="168">
      <c r="A168" s="198"/>
    </row>
    <row r="169">
      <c r="A169" s="198"/>
    </row>
    <row r="170">
      <c r="A170" s="198"/>
    </row>
    <row r="171">
      <c r="A171" s="198"/>
    </row>
    <row r="172">
      <c r="A172" s="198"/>
    </row>
    <row r="173">
      <c r="A173" s="198"/>
    </row>
    <row r="174">
      <c r="A174" s="198"/>
    </row>
    <row r="175">
      <c r="A175" s="198"/>
    </row>
    <row r="176">
      <c r="A176" s="198"/>
    </row>
    <row r="177">
      <c r="A177" s="198"/>
    </row>
    <row r="178">
      <c r="A178" s="198"/>
    </row>
    <row r="179">
      <c r="A179" s="198"/>
    </row>
    <row r="180">
      <c r="A180" s="198"/>
    </row>
    <row r="181">
      <c r="A181" s="198"/>
    </row>
    <row r="182">
      <c r="A182" s="198"/>
    </row>
    <row r="183">
      <c r="A183" s="198"/>
    </row>
    <row r="184">
      <c r="A184" s="198"/>
    </row>
    <row r="185">
      <c r="A185" s="198"/>
    </row>
    <row r="186">
      <c r="A186" s="198"/>
    </row>
    <row r="187">
      <c r="A187" s="198"/>
    </row>
    <row r="188">
      <c r="A188" s="198"/>
    </row>
    <row r="189">
      <c r="A189" s="198"/>
    </row>
    <row r="190">
      <c r="A190" s="198"/>
    </row>
    <row r="191">
      <c r="A191" s="198"/>
    </row>
    <row r="192">
      <c r="A192" s="198"/>
    </row>
    <row r="193">
      <c r="A193" s="198"/>
    </row>
    <row r="194">
      <c r="A194" s="198"/>
    </row>
    <row r="195">
      <c r="A195" s="198"/>
    </row>
    <row r="196">
      <c r="A196" s="198"/>
    </row>
    <row r="197">
      <c r="A197" s="198"/>
    </row>
    <row r="198">
      <c r="A198" s="198"/>
    </row>
    <row r="199">
      <c r="A199" s="198"/>
    </row>
    <row r="200">
      <c r="A200" s="198"/>
    </row>
    <row r="201">
      <c r="A201" s="198"/>
    </row>
    <row r="202">
      <c r="A202" s="198"/>
    </row>
    <row r="203">
      <c r="A203" s="198"/>
    </row>
    <row r="204">
      <c r="A204" s="198"/>
    </row>
    <row r="205">
      <c r="A205" s="198"/>
    </row>
    <row r="206">
      <c r="A206" s="198"/>
    </row>
    <row r="207">
      <c r="A207" s="198"/>
    </row>
    <row r="208">
      <c r="A208" s="198"/>
    </row>
    <row r="209">
      <c r="A209" s="198"/>
    </row>
    <row r="210">
      <c r="A210" s="198"/>
    </row>
    <row r="211">
      <c r="A211" s="198"/>
    </row>
    <row r="212">
      <c r="A212" s="198"/>
    </row>
    <row r="213">
      <c r="A213" s="198"/>
    </row>
    <row r="214">
      <c r="A214" s="198"/>
    </row>
    <row r="215">
      <c r="A215" s="198"/>
    </row>
    <row r="216">
      <c r="A216" s="198"/>
    </row>
    <row r="217">
      <c r="A217" s="198"/>
    </row>
    <row r="218">
      <c r="A218" s="198"/>
    </row>
    <row r="219">
      <c r="A219" s="198"/>
    </row>
    <row r="220">
      <c r="A220" s="198"/>
    </row>
    <row r="221">
      <c r="A221" s="198"/>
    </row>
    <row r="222">
      <c r="A222" s="198"/>
    </row>
    <row r="223">
      <c r="A223" s="198"/>
    </row>
    <row r="224">
      <c r="A224" s="198"/>
    </row>
    <row r="225">
      <c r="A225" s="198"/>
    </row>
    <row r="226">
      <c r="A226" s="198"/>
    </row>
    <row r="227">
      <c r="A227" s="198"/>
    </row>
    <row r="228">
      <c r="A228" s="198"/>
    </row>
    <row r="229">
      <c r="A229" s="198"/>
    </row>
    <row r="230">
      <c r="A230" s="198"/>
    </row>
    <row r="231">
      <c r="A231" s="198"/>
    </row>
    <row r="232">
      <c r="A232" s="198"/>
    </row>
    <row r="233">
      <c r="A233" s="198"/>
    </row>
    <row r="234">
      <c r="A234" s="198"/>
    </row>
    <row r="235">
      <c r="A235" s="198"/>
    </row>
    <row r="236">
      <c r="A236" s="198"/>
    </row>
    <row r="237">
      <c r="A237" s="198"/>
    </row>
    <row r="238">
      <c r="A238" s="198"/>
    </row>
    <row r="239">
      <c r="A239" s="198"/>
    </row>
    <row r="240">
      <c r="A240" s="198"/>
    </row>
    <row r="241">
      <c r="A241" s="198"/>
    </row>
    <row r="242">
      <c r="A242" s="198"/>
    </row>
    <row r="243">
      <c r="A243" s="198"/>
    </row>
    <row r="244">
      <c r="A244" s="198"/>
    </row>
    <row r="245">
      <c r="A245" s="198"/>
    </row>
    <row r="246">
      <c r="A246" s="198"/>
    </row>
    <row r="247">
      <c r="A247" s="198"/>
    </row>
    <row r="248">
      <c r="A248" s="198"/>
    </row>
    <row r="249">
      <c r="A249" s="198"/>
    </row>
    <row r="250">
      <c r="A250" s="198"/>
    </row>
    <row r="251">
      <c r="A251" s="198"/>
    </row>
    <row r="252">
      <c r="A252" s="198"/>
    </row>
    <row r="253">
      <c r="A253" s="198"/>
    </row>
    <row r="254">
      <c r="A254" s="198"/>
    </row>
    <row r="255">
      <c r="A255" s="198"/>
    </row>
    <row r="256">
      <c r="A256" s="198"/>
    </row>
    <row r="257">
      <c r="A257" s="198"/>
    </row>
    <row r="258">
      <c r="A258" s="198"/>
    </row>
    <row r="259">
      <c r="A259" s="198"/>
    </row>
    <row r="260">
      <c r="A260" s="198"/>
    </row>
    <row r="261">
      <c r="A261" s="198"/>
    </row>
    <row r="262">
      <c r="A262" s="198"/>
    </row>
    <row r="263">
      <c r="A263" s="198"/>
    </row>
    <row r="264">
      <c r="A264" s="198"/>
    </row>
    <row r="265">
      <c r="A265" s="198"/>
    </row>
    <row r="266">
      <c r="A266" s="198"/>
    </row>
    <row r="267">
      <c r="A267" s="198"/>
    </row>
    <row r="268">
      <c r="A268" s="198"/>
    </row>
    <row r="269">
      <c r="A269" s="198"/>
    </row>
    <row r="270">
      <c r="A270" s="198"/>
    </row>
    <row r="271">
      <c r="A271" s="198"/>
    </row>
    <row r="272">
      <c r="A272" s="198"/>
    </row>
    <row r="273">
      <c r="A273" s="198"/>
    </row>
    <row r="274">
      <c r="A274" s="198"/>
    </row>
    <row r="275">
      <c r="A275" s="198"/>
    </row>
    <row r="276">
      <c r="A276" s="198"/>
    </row>
    <row r="277">
      <c r="A277" s="198"/>
    </row>
    <row r="278">
      <c r="A278" s="198"/>
    </row>
    <row r="279">
      <c r="A279" s="198"/>
    </row>
    <row r="280">
      <c r="A280" s="198"/>
    </row>
    <row r="281">
      <c r="A281" s="198"/>
    </row>
    <row r="282">
      <c r="A282" s="198"/>
    </row>
    <row r="283">
      <c r="A283" s="198"/>
    </row>
    <row r="284">
      <c r="A284" s="198"/>
    </row>
    <row r="285">
      <c r="A285" s="198"/>
    </row>
    <row r="286">
      <c r="A286" s="198"/>
    </row>
    <row r="287">
      <c r="A287" s="198"/>
    </row>
    <row r="288">
      <c r="A288" s="198"/>
    </row>
    <row r="289">
      <c r="A289" s="198"/>
    </row>
    <row r="290">
      <c r="A290" s="198"/>
    </row>
    <row r="291">
      <c r="A291" s="198"/>
    </row>
    <row r="292">
      <c r="A292" s="198"/>
    </row>
    <row r="293">
      <c r="A293" s="198"/>
    </row>
    <row r="294">
      <c r="A294" s="198"/>
    </row>
    <row r="295">
      <c r="A295" s="198"/>
    </row>
    <row r="296">
      <c r="A296" s="198"/>
    </row>
    <row r="297">
      <c r="A297" s="198"/>
    </row>
    <row r="298">
      <c r="A298" s="198"/>
    </row>
    <row r="299">
      <c r="A299" s="198"/>
    </row>
    <row r="300">
      <c r="A300" s="198"/>
    </row>
    <row r="301">
      <c r="A301" s="198"/>
    </row>
    <row r="302">
      <c r="A302" s="198"/>
    </row>
    <row r="303">
      <c r="A303" s="198"/>
    </row>
    <row r="304">
      <c r="A304" s="198"/>
    </row>
    <row r="305">
      <c r="A305" s="198"/>
    </row>
    <row r="306">
      <c r="A306" s="198"/>
    </row>
    <row r="307">
      <c r="A307" s="198"/>
    </row>
    <row r="308">
      <c r="A308" s="198"/>
    </row>
    <row r="309">
      <c r="A309" s="198"/>
    </row>
    <row r="310">
      <c r="A310" s="198"/>
    </row>
    <row r="311">
      <c r="A311" s="198"/>
    </row>
    <row r="312">
      <c r="A312" s="198"/>
    </row>
    <row r="313">
      <c r="A313" s="198"/>
    </row>
    <row r="314">
      <c r="A314" s="198"/>
    </row>
    <row r="315">
      <c r="A315" s="198"/>
    </row>
    <row r="316">
      <c r="A316" s="198"/>
    </row>
    <row r="317">
      <c r="A317" s="198"/>
    </row>
    <row r="318">
      <c r="A318" s="198"/>
    </row>
    <row r="319">
      <c r="A319" s="198"/>
    </row>
    <row r="320">
      <c r="A320" s="198"/>
    </row>
    <row r="321">
      <c r="A321" s="198"/>
    </row>
    <row r="322">
      <c r="A322" s="198"/>
    </row>
    <row r="323">
      <c r="A323" s="198"/>
    </row>
    <row r="324">
      <c r="A324" s="198"/>
    </row>
    <row r="325">
      <c r="A325" s="198"/>
    </row>
    <row r="326">
      <c r="A326" s="198"/>
    </row>
    <row r="327">
      <c r="A327" s="198"/>
    </row>
    <row r="328">
      <c r="A328" s="198"/>
    </row>
    <row r="329">
      <c r="A329" s="198"/>
    </row>
    <row r="330">
      <c r="A330" s="198"/>
    </row>
    <row r="331">
      <c r="A331" s="198"/>
    </row>
    <row r="332">
      <c r="A332" s="198"/>
    </row>
    <row r="333">
      <c r="A333" s="198"/>
    </row>
    <row r="334">
      <c r="A334" s="198"/>
    </row>
    <row r="335">
      <c r="A335" s="198"/>
    </row>
    <row r="336">
      <c r="A336" s="198"/>
    </row>
    <row r="337">
      <c r="A337" s="198"/>
    </row>
    <row r="338">
      <c r="A338" s="198"/>
    </row>
    <row r="339">
      <c r="A339" s="198"/>
    </row>
    <row r="340">
      <c r="A340" s="198"/>
    </row>
    <row r="341">
      <c r="A341" s="198"/>
    </row>
    <row r="342">
      <c r="A342" s="198"/>
    </row>
    <row r="343">
      <c r="A343" s="198"/>
    </row>
    <row r="344">
      <c r="A344" s="198"/>
    </row>
    <row r="345">
      <c r="A345" s="198"/>
    </row>
    <row r="346">
      <c r="A346" s="198"/>
    </row>
    <row r="347">
      <c r="A347" s="198"/>
    </row>
    <row r="348">
      <c r="A348" s="198"/>
    </row>
    <row r="349">
      <c r="A349" s="198"/>
    </row>
    <row r="350">
      <c r="A350" s="198"/>
    </row>
    <row r="351">
      <c r="A351" s="198"/>
    </row>
    <row r="352">
      <c r="A352" s="198"/>
    </row>
    <row r="353">
      <c r="A353" s="198"/>
    </row>
    <row r="354">
      <c r="A354" s="198"/>
    </row>
    <row r="355">
      <c r="A355" s="198"/>
    </row>
    <row r="356">
      <c r="A356" s="198"/>
    </row>
    <row r="357">
      <c r="A357" s="198"/>
    </row>
    <row r="358">
      <c r="A358" s="198"/>
    </row>
    <row r="359">
      <c r="A359" s="198"/>
    </row>
    <row r="360">
      <c r="A360" s="198"/>
    </row>
    <row r="361">
      <c r="A361" s="198"/>
    </row>
    <row r="362">
      <c r="A362" s="198"/>
    </row>
    <row r="363">
      <c r="A363" s="198"/>
    </row>
    <row r="364">
      <c r="A364" s="198"/>
    </row>
    <row r="365">
      <c r="A365" s="198"/>
    </row>
    <row r="366">
      <c r="A366" s="198"/>
    </row>
    <row r="367">
      <c r="A367" s="198"/>
    </row>
    <row r="368">
      <c r="A368" s="198"/>
    </row>
    <row r="369">
      <c r="A369" s="198"/>
    </row>
    <row r="370">
      <c r="A370" s="198"/>
    </row>
    <row r="371">
      <c r="A371" s="198"/>
    </row>
    <row r="372">
      <c r="A372" s="198"/>
    </row>
    <row r="373">
      <c r="A373" s="198"/>
    </row>
    <row r="374">
      <c r="A374" s="198"/>
    </row>
    <row r="375">
      <c r="A375" s="198"/>
    </row>
    <row r="376">
      <c r="A376" s="198"/>
    </row>
    <row r="377">
      <c r="A377" s="198"/>
    </row>
    <row r="378">
      <c r="A378" s="198"/>
    </row>
    <row r="379">
      <c r="A379" s="198"/>
    </row>
    <row r="380">
      <c r="A380" s="198"/>
    </row>
    <row r="381">
      <c r="A381" s="198"/>
    </row>
    <row r="382">
      <c r="A382" s="198"/>
    </row>
    <row r="383">
      <c r="A383" s="198"/>
    </row>
    <row r="384">
      <c r="A384" s="198"/>
    </row>
    <row r="385">
      <c r="A385" s="198"/>
    </row>
    <row r="386">
      <c r="A386" s="198"/>
    </row>
    <row r="387">
      <c r="A387" s="198"/>
    </row>
    <row r="388">
      <c r="A388" s="198"/>
    </row>
    <row r="389">
      <c r="A389" s="198"/>
    </row>
    <row r="390">
      <c r="A390" s="198"/>
    </row>
    <row r="391">
      <c r="A391" s="198"/>
    </row>
    <row r="392">
      <c r="A392" s="198"/>
    </row>
    <row r="393">
      <c r="A393" s="198"/>
    </row>
    <row r="394">
      <c r="A394" s="198"/>
    </row>
    <row r="395">
      <c r="A395" s="198"/>
    </row>
    <row r="396">
      <c r="A396" s="198"/>
    </row>
    <row r="397">
      <c r="A397" s="198"/>
    </row>
    <row r="398">
      <c r="A398" s="198"/>
    </row>
    <row r="399">
      <c r="A399" s="198"/>
    </row>
    <row r="400">
      <c r="A400" s="198"/>
    </row>
    <row r="401">
      <c r="A401" s="198"/>
    </row>
    <row r="402">
      <c r="A402" s="198"/>
    </row>
    <row r="403">
      <c r="A403" s="198"/>
    </row>
    <row r="404">
      <c r="A404" s="198"/>
    </row>
    <row r="405">
      <c r="A405" s="198"/>
    </row>
    <row r="406">
      <c r="A406" s="198"/>
    </row>
    <row r="407">
      <c r="A407" s="198"/>
    </row>
    <row r="408">
      <c r="A408" s="198"/>
    </row>
    <row r="409">
      <c r="A409" s="198"/>
    </row>
    <row r="410">
      <c r="A410" s="198"/>
    </row>
    <row r="411">
      <c r="A411" s="198"/>
    </row>
    <row r="412">
      <c r="A412" s="198"/>
    </row>
    <row r="413">
      <c r="A413" s="198"/>
    </row>
    <row r="414">
      <c r="A414" s="198"/>
    </row>
    <row r="415">
      <c r="A415" s="198"/>
    </row>
    <row r="416">
      <c r="A416" s="198"/>
    </row>
    <row r="417">
      <c r="A417" s="198"/>
    </row>
    <row r="418">
      <c r="A418" s="198"/>
    </row>
    <row r="419">
      <c r="A419" s="198"/>
    </row>
    <row r="420">
      <c r="A420" s="198"/>
    </row>
    <row r="421">
      <c r="A421" s="198"/>
    </row>
    <row r="422">
      <c r="A422" s="198"/>
    </row>
    <row r="423">
      <c r="A423" s="198"/>
    </row>
    <row r="424">
      <c r="A424" s="198"/>
    </row>
    <row r="425">
      <c r="A425" s="198"/>
    </row>
    <row r="426">
      <c r="A426" s="198"/>
    </row>
    <row r="427">
      <c r="A427" s="198"/>
    </row>
    <row r="428">
      <c r="A428" s="198"/>
    </row>
    <row r="429">
      <c r="A429" s="198"/>
    </row>
    <row r="430">
      <c r="A430" s="198"/>
    </row>
    <row r="431">
      <c r="A431" s="198"/>
    </row>
    <row r="432">
      <c r="A432" s="198"/>
    </row>
    <row r="433">
      <c r="A433" s="198"/>
    </row>
    <row r="434">
      <c r="A434" s="198"/>
    </row>
    <row r="435">
      <c r="A435" s="198"/>
    </row>
    <row r="436">
      <c r="A436" s="198"/>
    </row>
    <row r="437">
      <c r="A437" s="198"/>
    </row>
    <row r="438">
      <c r="A438" s="198"/>
    </row>
    <row r="439">
      <c r="A439" s="198"/>
    </row>
    <row r="440">
      <c r="A440" s="198"/>
    </row>
    <row r="441">
      <c r="A441" s="198"/>
    </row>
    <row r="442">
      <c r="A442" s="198"/>
    </row>
    <row r="443">
      <c r="A443" s="198"/>
    </row>
    <row r="444">
      <c r="A444" s="198"/>
    </row>
    <row r="445">
      <c r="A445" s="198"/>
    </row>
    <row r="446">
      <c r="A446" s="198"/>
    </row>
    <row r="447">
      <c r="A447" s="198"/>
    </row>
    <row r="448">
      <c r="A448" s="198"/>
    </row>
    <row r="449">
      <c r="A449" s="198"/>
    </row>
    <row r="450">
      <c r="A450" s="198"/>
    </row>
    <row r="451">
      <c r="A451" s="198"/>
    </row>
    <row r="452">
      <c r="A452" s="198"/>
    </row>
    <row r="453">
      <c r="A453" s="198"/>
    </row>
    <row r="454">
      <c r="A454" s="198"/>
    </row>
    <row r="455">
      <c r="A455" s="198"/>
    </row>
    <row r="456">
      <c r="A456" s="198"/>
    </row>
    <row r="457">
      <c r="A457" s="198"/>
    </row>
    <row r="458">
      <c r="A458" s="198"/>
    </row>
    <row r="459">
      <c r="A459" s="198"/>
    </row>
    <row r="460">
      <c r="A460" s="198"/>
    </row>
    <row r="461">
      <c r="A461" s="198"/>
    </row>
    <row r="462">
      <c r="A462" s="198"/>
    </row>
    <row r="463">
      <c r="A463" s="198"/>
    </row>
    <row r="464">
      <c r="A464" s="198"/>
    </row>
    <row r="465">
      <c r="A465" s="198"/>
    </row>
    <row r="466">
      <c r="A466" s="198"/>
    </row>
    <row r="467">
      <c r="A467" s="198"/>
    </row>
    <row r="468">
      <c r="A468" s="198"/>
    </row>
    <row r="469">
      <c r="A469" s="198"/>
    </row>
    <row r="470">
      <c r="A470" s="198"/>
    </row>
    <row r="471">
      <c r="A471" s="198"/>
    </row>
    <row r="472">
      <c r="A472" s="198"/>
    </row>
    <row r="473">
      <c r="A473" s="198"/>
    </row>
    <row r="474">
      <c r="A474" s="198"/>
    </row>
    <row r="475">
      <c r="A475" s="198"/>
    </row>
    <row r="476">
      <c r="A476" s="198"/>
    </row>
    <row r="477">
      <c r="A477" s="198"/>
    </row>
    <row r="478">
      <c r="A478" s="198"/>
    </row>
    <row r="479">
      <c r="A479" s="198"/>
    </row>
    <row r="480">
      <c r="A480" s="198"/>
    </row>
    <row r="481">
      <c r="A481" s="198"/>
    </row>
    <row r="482">
      <c r="A482" s="198"/>
    </row>
    <row r="483">
      <c r="A483" s="198"/>
    </row>
    <row r="484">
      <c r="A484" s="198"/>
    </row>
    <row r="485">
      <c r="A485" s="198"/>
    </row>
    <row r="486">
      <c r="A486" s="198"/>
    </row>
    <row r="487">
      <c r="A487" s="198"/>
    </row>
    <row r="488">
      <c r="A488" s="198"/>
    </row>
    <row r="489">
      <c r="A489" s="198"/>
    </row>
    <row r="490">
      <c r="A490" s="198"/>
    </row>
    <row r="491">
      <c r="A491" s="198"/>
    </row>
    <row r="492">
      <c r="A492" s="198"/>
    </row>
    <row r="493">
      <c r="A493" s="198"/>
    </row>
    <row r="494">
      <c r="A494" s="198"/>
    </row>
    <row r="495">
      <c r="A495" s="198"/>
    </row>
    <row r="496">
      <c r="A496" s="198"/>
    </row>
    <row r="497">
      <c r="A497" s="198"/>
    </row>
    <row r="498">
      <c r="A498" s="198"/>
    </row>
    <row r="499">
      <c r="A499" s="198"/>
    </row>
    <row r="500">
      <c r="A500" s="198"/>
    </row>
    <row r="501">
      <c r="A501" s="198"/>
    </row>
    <row r="502">
      <c r="A502" s="198"/>
    </row>
    <row r="503">
      <c r="A503" s="198"/>
    </row>
    <row r="504">
      <c r="A504" s="198"/>
    </row>
    <row r="505">
      <c r="A505" s="198"/>
    </row>
    <row r="506">
      <c r="A506" s="198"/>
    </row>
    <row r="507">
      <c r="A507" s="198"/>
    </row>
    <row r="508">
      <c r="A508" s="198"/>
    </row>
    <row r="509">
      <c r="A509" s="198"/>
    </row>
    <row r="510">
      <c r="A510" s="198"/>
    </row>
    <row r="511">
      <c r="A511" s="198"/>
    </row>
    <row r="512">
      <c r="A512" s="198"/>
    </row>
    <row r="513">
      <c r="A513" s="198"/>
    </row>
    <row r="514">
      <c r="A514" s="198"/>
    </row>
    <row r="515">
      <c r="A515" s="198"/>
    </row>
    <row r="516">
      <c r="A516" s="198"/>
    </row>
    <row r="517">
      <c r="A517" s="198"/>
    </row>
    <row r="518">
      <c r="A518" s="198"/>
    </row>
    <row r="519">
      <c r="A519" s="198"/>
    </row>
    <row r="520">
      <c r="A520" s="198"/>
    </row>
    <row r="521">
      <c r="A521" s="198"/>
    </row>
    <row r="522">
      <c r="A522" s="198"/>
    </row>
    <row r="523">
      <c r="A523" s="198"/>
    </row>
    <row r="524">
      <c r="A524" s="198"/>
    </row>
    <row r="525">
      <c r="A525" s="198"/>
    </row>
    <row r="526">
      <c r="A526" s="198"/>
    </row>
    <row r="527">
      <c r="A527" s="198"/>
    </row>
    <row r="528">
      <c r="A528" s="198"/>
    </row>
    <row r="529">
      <c r="A529" s="198"/>
    </row>
    <row r="530">
      <c r="A530" s="198"/>
    </row>
    <row r="531">
      <c r="A531" s="198"/>
    </row>
    <row r="532">
      <c r="A532" s="198"/>
    </row>
    <row r="533">
      <c r="A533" s="198"/>
    </row>
    <row r="534">
      <c r="A534" s="198"/>
    </row>
    <row r="535">
      <c r="A535" s="198"/>
    </row>
    <row r="536">
      <c r="A536" s="198"/>
    </row>
    <row r="537">
      <c r="A537" s="198"/>
    </row>
    <row r="538">
      <c r="A538" s="198"/>
    </row>
    <row r="539">
      <c r="A539" s="198"/>
    </row>
    <row r="540">
      <c r="A540" s="198"/>
    </row>
    <row r="541">
      <c r="A541" s="198"/>
    </row>
    <row r="542">
      <c r="A542" s="198"/>
    </row>
    <row r="543">
      <c r="A543" s="198"/>
    </row>
    <row r="544">
      <c r="A544" s="198"/>
    </row>
    <row r="545">
      <c r="A545" s="198"/>
    </row>
    <row r="546">
      <c r="A546" s="198"/>
    </row>
    <row r="547">
      <c r="A547" s="198"/>
    </row>
    <row r="548">
      <c r="A548" s="198"/>
    </row>
    <row r="549">
      <c r="A549" s="198"/>
    </row>
    <row r="550">
      <c r="A550" s="198"/>
    </row>
    <row r="551">
      <c r="A551" s="198"/>
    </row>
    <row r="552">
      <c r="A552" s="198"/>
    </row>
    <row r="553">
      <c r="A553" s="198"/>
    </row>
    <row r="554">
      <c r="A554" s="198"/>
    </row>
    <row r="555">
      <c r="A555" s="198"/>
    </row>
    <row r="556">
      <c r="A556" s="198"/>
    </row>
    <row r="557">
      <c r="A557" s="198"/>
    </row>
    <row r="558">
      <c r="A558" s="198"/>
    </row>
    <row r="559">
      <c r="A559" s="198"/>
    </row>
    <row r="560">
      <c r="A560" s="198"/>
    </row>
    <row r="561">
      <c r="A561" s="198"/>
    </row>
    <row r="562">
      <c r="A562" s="198"/>
    </row>
    <row r="563">
      <c r="A563" s="198"/>
    </row>
    <row r="564">
      <c r="A564" s="198"/>
    </row>
    <row r="565">
      <c r="A565" s="198"/>
    </row>
    <row r="566">
      <c r="A566" s="198"/>
    </row>
    <row r="567">
      <c r="A567" s="198"/>
    </row>
    <row r="568">
      <c r="A568" s="198"/>
    </row>
    <row r="569">
      <c r="A569" s="198"/>
    </row>
    <row r="570">
      <c r="A570" s="198"/>
    </row>
    <row r="571">
      <c r="A571" s="198"/>
    </row>
    <row r="572">
      <c r="A572" s="198"/>
    </row>
    <row r="573">
      <c r="A573" s="198"/>
    </row>
    <row r="574">
      <c r="A574" s="198"/>
    </row>
    <row r="575">
      <c r="A575" s="198"/>
    </row>
    <row r="576">
      <c r="A576" s="198"/>
    </row>
    <row r="577">
      <c r="A577" s="198"/>
    </row>
    <row r="578">
      <c r="A578" s="198"/>
    </row>
    <row r="579">
      <c r="A579" s="198"/>
    </row>
    <row r="580">
      <c r="A580" s="198"/>
    </row>
    <row r="581">
      <c r="A581" s="198"/>
    </row>
    <row r="582">
      <c r="A582" s="198"/>
    </row>
    <row r="583">
      <c r="A583" s="198"/>
    </row>
    <row r="584">
      <c r="A584" s="198"/>
    </row>
    <row r="585">
      <c r="A585" s="198"/>
    </row>
    <row r="586">
      <c r="A586" s="198"/>
    </row>
    <row r="587">
      <c r="A587" s="198"/>
    </row>
    <row r="588">
      <c r="A588" s="198"/>
    </row>
    <row r="589">
      <c r="A589" s="198"/>
    </row>
    <row r="590">
      <c r="A590" s="198"/>
    </row>
    <row r="591">
      <c r="A591" s="198"/>
    </row>
    <row r="592">
      <c r="A592" s="198"/>
    </row>
    <row r="593">
      <c r="A593" s="198"/>
    </row>
    <row r="594">
      <c r="A594" s="198"/>
    </row>
    <row r="595">
      <c r="A595" s="198"/>
    </row>
    <row r="596">
      <c r="A596" s="198"/>
    </row>
    <row r="597">
      <c r="A597" s="198"/>
    </row>
    <row r="598">
      <c r="A598" s="198"/>
    </row>
    <row r="599">
      <c r="A599" s="198"/>
    </row>
    <row r="600">
      <c r="A600" s="198"/>
    </row>
    <row r="601">
      <c r="A601" s="198"/>
    </row>
    <row r="602">
      <c r="A602" s="198"/>
    </row>
    <row r="603">
      <c r="A603" s="198"/>
    </row>
    <row r="604">
      <c r="A604" s="198"/>
    </row>
    <row r="605">
      <c r="A605" s="198"/>
    </row>
    <row r="606">
      <c r="A606" s="198"/>
    </row>
    <row r="607">
      <c r="A607" s="198"/>
    </row>
    <row r="608">
      <c r="A608" s="198"/>
    </row>
    <row r="609">
      <c r="A609" s="198"/>
    </row>
    <row r="610">
      <c r="A610" s="198"/>
    </row>
    <row r="611">
      <c r="A611" s="198"/>
    </row>
    <row r="612">
      <c r="A612" s="198"/>
    </row>
    <row r="613">
      <c r="A613" s="198"/>
    </row>
    <row r="614">
      <c r="A614" s="198"/>
    </row>
    <row r="615">
      <c r="A615" s="198"/>
    </row>
    <row r="616">
      <c r="A616" s="198"/>
    </row>
    <row r="617">
      <c r="A617" s="198"/>
    </row>
    <row r="618">
      <c r="A618" s="198"/>
    </row>
    <row r="619">
      <c r="A619" s="198"/>
    </row>
    <row r="620">
      <c r="A620" s="198"/>
    </row>
    <row r="621">
      <c r="A621" s="198"/>
    </row>
    <row r="622">
      <c r="A622" s="198"/>
    </row>
    <row r="623">
      <c r="A623" s="198"/>
    </row>
    <row r="624">
      <c r="A624" s="198"/>
    </row>
    <row r="625">
      <c r="A625" s="198"/>
    </row>
    <row r="626">
      <c r="A626" s="198"/>
    </row>
    <row r="627">
      <c r="A627" s="198"/>
    </row>
    <row r="628">
      <c r="A628" s="198"/>
    </row>
    <row r="629">
      <c r="A629" s="198"/>
    </row>
    <row r="630">
      <c r="A630" s="198"/>
    </row>
    <row r="631">
      <c r="A631" s="198"/>
    </row>
    <row r="632">
      <c r="A632" s="198"/>
    </row>
    <row r="633">
      <c r="A633" s="198"/>
    </row>
    <row r="634">
      <c r="A634" s="198"/>
    </row>
    <row r="635">
      <c r="A635" s="198"/>
    </row>
    <row r="636">
      <c r="A636" s="198"/>
    </row>
    <row r="637">
      <c r="A637" s="198"/>
    </row>
    <row r="638">
      <c r="A638" s="198"/>
    </row>
    <row r="639">
      <c r="A639" s="198"/>
    </row>
    <row r="640">
      <c r="A640" s="198"/>
    </row>
    <row r="641">
      <c r="A641" s="198"/>
    </row>
    <row r="642">
      <c r="A642" s="198"/>
    </row>
    <row r="643">
      <c r="A643" s="198"/>
    </row>
    <row r="644">
      <c r="A644" s="198"/>
    </row>
    <row r="645">
      <c r="A645" s="198"/>
    </row>
    <row r="646">
      <c r="A646" s="198"/>
    </row>
    <row r="647">
      <c r="A647" s="198"/>
    </row>
    <row r="648">
      <c r="A648" s="198"/>
    </row>
    <row r="649">
      <c r="A649" s="198"/>
    </row>
    <row r="650">
      <c r="A650" s="198"/>
    </row>
    <row r="651">
      <c r="A651" s="198"/>
    </row>
    <row r="652">
      <c r="A652" s="198"/>
    </row>
    <row r="653">
      <c r="A653" s="198"/>
    </row>
    <row r="654">
      <c r="A654" s="198"/>
    </row>
    <row r="655">
      <c r="A655" s="198"/>
    </row>
    <row r="656">
      <c r="A656" s="198"/>
    </row>
    <row r="657">
      <c r="A657" s="198"/>
    </row>
    <row r="658">
      <c r="A658" s="198"/>
    </row>
    <row r="659">
      <c r="A659" s="198"/>
    </row>
    <row r="660">
      <c r="A660" s="198"/>
    </row>
    <row r="661">
      <c r="A661" s="198"/>
    </row>
    <row r="662">
      <c r="A662" s="198"/>
    </row>
    <row r="663">
      <c r="A663" s="198"/>
    </row>
    <row r="664">
      <c r="A664" s="198"/>
    </row>
    <row r="665">
      <c r="A665" s="198"/>
    </row>
    <row r="666">
      <c r="A666" s="198"/>
    </row>
    <row r="667">
      <c r="A667" s="198"/>
    </row>
    <row r="668">
      <c r="A668" s="198"/>
    </row>
    <row r="669">
      <c r="A669" s="198"/>
    </row>
    <row r="670">
      <c r="A670" s="198"/>
    </row>
    <row r="671">
      <c r="A671" s="198"/>
    </row>
    <row r="672">
      <c r="A672" s="198"/>
    </row>
    <row r="673">
      <c r="A673" s="198"/>
    </row>
    <row r="674">
      <c r="A674" s="198"/>
    </row>
    <row r="675">
      <c r="A675" s="198"/>
    </row>
    <row r="676">
      <c r="A676" s="198"/>
    </row>
    <row r="677">
      <c r="A677" s="198"/>
    </row>
    <row r="678">
      <c r="A678" s="198"/>
    </row>
    <row r="679">
      <c r="A679" s="198"/>
    </row>
    <row r="680">
      <c r="A680" s="198"/>
    </row>
    <row r="681">
      <c r="A681" s="198"/>
    </row>
    <row r="682">
      <c r="A682" s="198"/>
    </row>
    <row r="683">
      <c r="A683" s="198"/>
    </row>
    <row r="684">
      <c r="A684" s="198"/>
    </row>
    <row r="685">
      <c r="A685" s="198"/>
    </row>
    <row r="686">
      <c r="A686" s="198"/>
    </row>
    <row r="687">
      <c r="A687" s="198"/>
    </row>
    <row r="688">
      <c r="A688" s="198"/>
    </row>
    <row r="689">
      <c r="A689" s="198"/>
    </row>
    <row r="690">
      <c r="A690" s="198"/>
    </row>
    <row r="691">
      <c r="A691" s="198"/>
    </row>
    <row r="692">
      <c r="A692" s="198"/>
    </row>
    <row r="693">
      <c r="A693" s="198"/>
    </row>
    <row r="694">
      <c r="A694" s="198"/>
    </row>
    <row r="695">
      <c r="A695" s="198"/>
    </row>
    <row r="696">
      <c r="A696" s="198"/>
    </row>
    <row r="697">
      <c r="A697" s="198"/>
    </row>
    <row r="698">
      <c r="A698" s="198"/>
    </row>
    <row r="699">
      <c r="A699" s="198"/>
    </row>
    <row r="700">
      <c r="A700" s="198"/>
    </row>
    <row r="701">
      <c r="A701" s="198"/>
    </row>
    <row r="702">
      <c r="A702" s="198"/>
    </row>
    <row r="703">
      <c r="A703" s="198"/>
    </row>
    <row r="704">
      <c r="A704" s="198"/>
    </row>
    <row r="705">
      <c r="A705" s="198"/>
    </row>
    <row r="706">
      <c r="A706" s="198"/>
    </row>
    <row r="707">
      <c r="A707" s="198"/>
    </row>
    <row r="708">
      <c r="A708" s="198"/>
    </row>
    <row r="709">
      <c r="A709" s="198"/>
    </row>
    <row r="710">
      <c r="A710" s="198"/>
    </row>
    <row r="711">
      <c r="A711" s="198"/>
    </row>
    <row r="712">
      <c r="A712" s="198"/>
    </row>
    <row r="713">
      <c r="A713" s="198"/>
    </row>
    <row r="714">
      <c r="A714" s="198"/>
    </row>
    <row r="715">
      <c r="A715" s="198"/>
    </row>
    <row r="716">
      <c r="A716" s="198"/>
    </row>
    <row r="717">
      <c r="A717" s="198"/>
    </row>
    <row r="718">
      <c r="A718" s="198"/>
    </row>
    <row r="719">
      <c r="A719" s="198"/>
    </row>
    <row r="720">
      <c r="A720" s="198"/>
    </row>
    <row r="721">
      <c r="A721" s="198"/>
    </row>
    <row r="722">
      <c r="A722" s="198"/>
    </row>
    <row r="723">
      <c r="A723" s="198"/>
    </row>
    <row r="724">
      <c r="A724" s="198"/>
    </row>
    <row r="725">
      <c r="A725" s="198"/>
    </row>
    <row r="726">
      <c r="A726" s="198"/>
    </row>
    <row r="727">
      <c r="A727" s="198"/>
    </row>
    <row r="728">
      <c r="A728" s="198"/>
    </row>
    <row r="729">
      <c r="A729" s="198"/>
    </row>
    <row r="730">
      <c r="A730" s="198"/>
    </row>
    <row r="731">
      <c r="A731" s="198"/>
    </row>
    <row r="732">
      <c r="A732" s="198"/>
    </row>
    <row r="733">
      <c r="A733" s="198"/>
    </row>
    <row r="734">
      <c r="A734" s="198"/>
    </row>
    <row r="735">
      <c r="A735" s="198"/>
    </row>
    <row r="736">
      <c r="A736" s="198"/>
    </row>
    <row r="737">
      <c r="A737" s="198"/>
    </row>
    <row r="738">
      <c r="A738" s="198"/>
    </row>
    <row r="739">
      <c r="A739" s="198"/>
    </row>
    <row r="740">
      <c r="A740" s="198"/>
    </row>
    <row r="741">
      <c r="A741" s="198"/>
    </row>
    <row r="742">
      <c r="A742" s="198"/>
    </row>
    <row r="743">
      <c r="A743" s="198"/>
    </row>
    <row r="744">
      <c r="A744" s="198"/>
    </row>
    <row r="745">
      <c r="A745" s="198"/>
    </row>
    <row r="746">
      <c r="A746" s="198"/>
    </row>
    <row r="747">
      <c r="A747" s="198"/>
    </row>
    <row r="748">
      <c r="A748" s="198"/>
    </row>
    <row r="749">
      <c r="A749" s="198"/>
    </row>
    <row r="750">
      <c r="A750" s="198"/>
    </row>
    <row r="751">
      <c r="A751" s="198"/>
    </row>
    <row r="752">
      <c r="A752" s="198"/>
    </row>
    <row r="753">
      <c r="A753" s="198"/>
    </row>
    <row r="754">
      <c r="A754" s="198"/>
    </row>
    <row r="755">
      <c r="A755" s="198"/>
    </row>
    <row r="756">
      <c r="A756" s="198"/>
    </row>
    <row r="757">
      <c r="A757" s="198"/>
    </row>
    <row r="758">
      <c r="A758" s="198"/>
    </row>
    <row r="759">
      <c r="A759" s="198"/>
    </row>
    <row r="760">
      <c r="A760" s="198"/>
    </row>
    <row r="761">
      <c r="A761" s="198"/>
    </row>
    <row r="762">
      <c r="A762" s="198"/>
    </row>
    <row r="763">
      <c r="A763" s="198"/>
    </row>
    <row r="764">
      <c r="A764" s="198"/>
    </row>
    <row r="765">
      <c r="A765" s="198"/>
    </row>
    <row r="766">
      <c r="A766" s="198"/>
    </row>
    <row r="767">
      <c r="A767" s="198"/>
    </row>
    <row r="768">
      <c r="A768" s="198"/>
    </row>
    <row r="769">
      <c r="A769" s="198"/>
    </row>
    <row r="770">
      <c r="A770" s="198"/>
    </row>
    <row r="771">
      <c r="A771" s="198"/>
    </row>
    <row r="772">
      <c r="A772" s="198"/>
    </row>
    <row r="773">
      <c r="A773" s="198"/>
    </row>
    <row r="774">
      <c r="A774" s="198"/>
    </row>
    <row r="775">
      <c r="A775" s="198"/>
    </row>
    <row r="776">
      <c r="A776" s="198"/>
    </row>
    <row r="777">
      <c r="A777" s="198"/>
    </row>
    <row r="778">
      <c r="A778" s="198"/>
    </row>
    <row r="779">
      <c r="A779" s="198"/>
    </row>
    <row r="780">
      <c r="A780" s="198"/>
    </row>
    <row r="781">
      <c r="A781" s="198"/>
    </row>
    <row r="782">
      <c r="A782" s="198"/>
    </row>
    <row r="783">
      <c r="A783" s="198"/>
    </row>
    <row r="784">
      <c r="A784" s="198"/>
    </row>
    <row r="785">
      <c r="A785" s="198"/>
    </row>
    <row r="786">
      <c r="A786" s="198"/>
    </row>
    <row r="787">
      <c r="A787" s="198"/>
    </row>
    <row r="788">
      <c r="A788" s="198"/>
    </row>
    <row r="789">
      <c r="A789" s="198"/>
    </row>
    <row r="790">
      <c r="A790" s="198"/>
    </row>
    <row r="791">
      <c r="A791" s="198"/>
    </row>
    <row r="792">
      <c r="A792" s="198"/>
    </row>
    <row r="793">
      <c r="A793" s="198"/>
    </row>
    <row r="794">
      <c r="A794" s="198"/>
    </row>
    <row r="795">
      <c r="A795" s="198"/>
    </row>
    <row r="796">
      <c r="A796" s="198"/>
    </row>
    <row r="797">
      <c r="A797" s="198"/>
    </row>
    <row r="798">
      <c r="A798" s="198"/>
    </row>
    <row r="799">
      <c r="A799" s="198"/>
    </row>
    <row r="800">
      <c r="A800" s="198"/>
    </row>
    <row r="801">
      <c r="A801" s="198"/>
    </row>
    <row r="802">
      <c r="A802" s="198"/>
    </row>
    <row r="803">
      <c r="A803" s="198"/>
    </row>
    <row r="804">
      <c r="A804" s="198"/>
    </row>
    <row r="805">
      <c r="A805" s="198"/>
    </row>
    <row r="806">
      <c r="A806" s="198"/>
    </row>
    <row r="807">
      <c r="A807" s="198"/>
    </row>
    <row r="808">
      <c r="A808" s="198"/>
    </row>
    <row r="809">
      <c r="A809" s="198"/>
    </row>
    <row r="810">
      <c r="A810" s="198"/>
    </row>
    <row r="811">
      <c r="A811" s="198"/>
    </row>
    <row r="812">
      <c r="A812" s="198"/>
    </row>
    <row r="813">
      <c r="A813" s="198"/>
    </row>
    <row r="814">
      <c r="A814" s="198"/>
    </row>
    <row r="815">
      <c r="A815" s="198"/>
    </row>
    <row r="816">
      <c r="A816" s="198"/>
    </row>
    <row r="817">
      <c r="A817" s="198"/>
    </row>
    <row r="818">
      <c r="A818" s="198"/>
    </row>
    <row r="819">
      <c r="A819" s="198"/>
    </row>
    <row r="820">
      <c r="A820" s="198"/>
    </row>
    <row r="821">
      <c r="A821" s="198"/>
    </row>
    <row r="822">
      <c r="A822" s="198"/>
    </row>
    <row r="823">
      <c r="A823" s="198"/>
    </row>
    <row r="824">
      <c r="A824" s="198"/>
    </row>
    <row r="825">
      <c r="A825" s="198"/>
    </row>
    <row r="826">
      <c r="A826" s="198"/>
    </row>
    <row r="827">
      <c r="A827" s="198"/>
    </row>
    <row r="828">
      <c r="A828" s="198"/>
    </row>
    <row r="829">
      <c r="A829" s="198"/>
    </row>
    <row r="830">
      <c r="A830" s="198"/>
    </row>
    <row r="831">
      <c r="A831" s="198"/>
    </row>
    <row r="832">
      <c r="A832" s="198"/>
    </row>
    <row r="833">
      <c r="A833" s="198"/>
    </row>
    <row r="834">
      <c r="A834" s="198"/>
    </row>
    <row r="835">
      <c r="A835" s="198"/>
    </row>
    <row r="836">
      <c r="A836" s="198"/>
    </row>
    <row r="837">
      <c r="A837" s="198"/>
    </row>
    <row r="838">
      <c r="A838" s="198"/>
    </row>
    <row r="839">
      <c r="A839" s="198"/>
    </row>
    <row r="840">
      <c r="A840" s="198"/>
    </row>
    <row r="841">
      <c r="A841" s="198"/>
    </row>
    <row r="842">
      <c r="A842" s="198"/>
    </row>
    <row r="843">
      <c r="A843" s="198"/>
    </row>
    <row r="844">
      <c r="A844" s="198"/>
    </row>
    <row r="845">
      <c r="A845" s="198"/>
    </row>
    <row r="846">
      <c r="A846" s="198"/>
    </row>
    <row r="847">
      <c r="A847" s="198"/>
    </row>
    <row r="848">
      <c r="A848" s="198"/>
    </row>
    <row r="849">
      <c r="A849" s="198"/>
    </row>
    <row r="850">
      <c r="A850" s="198"/>
    </row>
    <row r="851">
      <c r="A851" s="198"/>
    </row>
    <row r="852">
      <c r="A852" s="198"/>
    </row>
    <row r="853">
      <c r="A853" s="198"/>
    </row>
    <row r="854">
      <c r="A854" s="198"/>
    </row>
    <row r="855">
      <c r="A855" s="198"/>
    </row>
    <row r="856">
      <c r="A856" s="198"/>
    </row>
    <row r="857">
      <c r="A857" s="198"/>
    </row>
    <row r="858">
      <c r="A858" s="198"/>
    </row>
    <row r="859">
      <c r="A859" s="198"/>
    </row>
    <row r="860">
      <c r="A860" s="198"/>
    </row>
    <row r="861">
      <c r="A861" s="198"/>
    </row>
    <row r="862">
      <c r="A862" s="198"/>
    </row>
    <row r="863">
      <c r="A863" s="198"/>
    </row>
    <row r="864">
      <c r="A864" s="198"/>
    </row>
    <row r="865">
      <c r="A865" s="198"/>
    </row>
    <row r="866">
      <c r="A866" s="198"/>
    </row>
    <row r="867">
      <c r="A867" s="198"/>
    </row>
    <row r="868">
      <c r="A868" s="198"/>
    </row>
    <row r="869">
      <c r="A869" s="198"/>
    </row>
    <row r="870">
      <c r="A870" s="198"/>
    </row>
    <row r="871">
      <c r="A871" s="198"/>
    </row>
    <row r="872">
      <c r="A872" s="198"/>
    </row>
    <row r="873">
      <c r="A873" s="198"/>
    </row>
    <row r="874">
      <c r="A874" s="198"/>
    </row>
    <row r="875">
      <c r="A875" s="198"/>
    </row>
    <row r="876">
      <c r="A876" s="198"/>
    </row>
    <row r="877">
      <c r="A877" s="198"/>
    </row>
    <row r="878">
      <c r="A878" s="198"/>
    </row>
    <row r="879">
      <c r="A879" s="198"/>
    </row>
    <row r="880">
      <c r="A880" s="198"/>
    </row>
    <row r="881">
      <c r="A881" s="198"/>
    </row>
    <row r="882">
      <c r="A882" s="198"/>
    </row>
    <row r="883">
      <c r="A883" s="198"/>
    </row>
    <row r="884">
      <c r="A884" s="198"/>
    </row>
    <row r="885">
      <c r="A885" s="198"/>
    </row>
    <row r="886">
      <c r="A886" s="198"/>
    </row>
    <row r="887">
      <c r="A887" s="198"/>
    </row>
    <row r="888">
      <c r="A888" s="198"/>
    </row>
    <row r="889">
      <c r="A889" s="198"/>
    </row>
    <row r="890">
      <c r="A890" s="198"/>
    </row>
    <row r="891">
      <c r="A891" s="198"/>
    </row>
    <row r="892">
      <c r="A892" s="198"/>
    </row>
    <row r="893">
      <c r="A893" s="198"/>
    </row>
    <row r="894">
      <c r="A894" s="198"/>
    </row>
    <row r="895">
      <c r="A895" s="198"/>
    </row>
    <row r="896">
      <c r="A896" s="198"/>
    </row>
    <row r="897">
      <c r="A897" s="198"/>
    </row>
    <row r="898">
      <c r="A898" s="198"/>
    </row>
    <row r="899">
      <c r="A899" s="198"/>
    </row>
    <row r="900">
      <c r="A900" s="198"/>
    </row>
    <row r="901">
      <c r="A901" s="198"/>
    </row>
    <row r="902">
      <c r="A902" s="198"/>
    </row>
    <row r="903">
      <c r="A903" s="198"/>
    </row>
    <row r="904">
      <c r="A904" s="198"/>
    </row>
    <row r="905">
      <c r="A905" s="198"/>
    </row>
    <row r="906">
      <c r="A906" s="198"/>
    </row>
    <row r="907">
      <c r="A907" s="198"/>
    </row>
    <row r="908">
      <c r="A908" s="198"/>
    </row>
    <row r="909">
      <c r="A909" s="198"/>
    </row>
    <row r="910">
      <c r="A910" s="198"/>
    </row>
    <row r="911">
      <c r="A911" s="198"/>
    </row>
    <row r="912">
      <c r="A912" s="198"/>
    </row>
    <row r="913">
      <c r="A913" s="198"/>
    </row>
    <row r="914">
      <c r="A914" s="198"/>
    </row>
    <row r="915">
      <c r="A915" s="198"/>
    </row>
    <row r="916">
      <c r="A916" s="198"/>
    </row>
    <row r="917">
      <c r="A917" s="198"/>
    </row>
    <row r="918">
      <c r="A918" s="198"/>
    </row>
    <row r="919">
      <c r="A919" s="198"/>
    </row>
    <row r="920">
      <c r="A920" s="198"/>
    </row>
    <row r="921">
      <c r="A921" s="198"/>
    </row>
    <row r="922">
      <c r="A922" s="198"/>
    </row>
    <row r="923">
      <c r="A923" s="198"/>
    </row>
    <row r="924">
      <c r="A924" s="198"/>
    </row>
    <row r="925">
      <c r="A925" s="198"/>
    </row>
    <row r="926">
      <c r="A926" s="198"/>
    </row>
    <row r="927">
      <c r="A927" s="198"/>
    </row>
    <row r="928">
      <c r="A928" s="198"/>
    </row>
    <row r="929">
      <c r="A929" s="198"/>
    </row>
    <row r="930">
      <c r="A930" s="198"/>
    </row>
    <row r="931">
      <c r="A931" s="198"/>
    </row>
    <row r="932">
      <c r="A932" s="198"/>
    </row>
    <row r="933">
      <c r="A933" s="198"/>
    </row>
    <row r="934">
      <c r="A934" s="198"/>
    </row>
    <row r="935">
      <c r="A935" s="198"/>
    </row>
    <row r="936">
      <c r="A936" s="198"/>
    </row>
    <row r="937">
      <c r="A937" s="198"/>
    </row>
    <row r="938">
      <c r="A938" s="198"/>
    </row>
    <row r="939">
      <c r="A939" s="198"/>
    </row>
    <row r="940">
      <c r="A940" s="198"/>
    </row>
    <row r="941">
      <c r="A941" s="198"/>
    </row>
    <row r="942">
      <c r="A942" s="198"/>
    </row>
    <row r="943">
      <c r="A943" s="198"/>
    </row>
    <row r="944">
      <c r="A944" s="198"/>
    </row>
    <row r="945">
      <c r="A945" s="198"/>
    </row>
    <row r="946">
      <c r="A946" s="198"/>
    </row>
    <row r="947">
      <c r="A947" s="198"/>
    </row>
    <row r="948">
      <c r="A948" s="198"/>
    </row>
    <row r="949">
      <c r="A949" s="198"/>
    </row>
    <row r="950">
      <c r="A950" s="198"/>
    </row>
    <row r="951">
      <c r="A951" s="198"/>
    </row>
    <row r="952">
      <c r="A952" s="198"/>
    </row>
    <row r="953">
      <c r="A953" s="198"/>
    </row>
    <row r="954">
      <c r="A954" s="198"/>
    </row>
    <row r="955">
      <c r="A955" s="198"/>
    </row>
    <row r="956">
      <c r="A956" s="198"/>
    </row>
    <row r="957">
      <c r="A957" s="198"/>
    </row>
    <row r="958">
      <c r="A958" s="198"/>
    </row>
    <row r="959">
      <c r="A959" s="198"/>
    </row>
    <row r="960">
      <c r="A960" s="198"/>
    </row>
    <row r="961">
      <c r="A961" s="198"/>
    </row>
    <row r="962">
      <c r="A962" s="198"/>
    </row>
    <row r="963">
      <c r="A963" s="198"/>
    </row>
    <row r="964">
      <c r="A964" s="198"/>
    </row>
    <row r="965">
      <c r="A965" s="198"/>
    </row>
    <row r="966">
      <c r="A966" s="198"/>
    </row>
    <row r="967">
      <c r="A967" s="198"/>
    </row>
    <row r="968">
      <c r="A968" s="198"/>
    </row>
    <row r="969">
      <c r="A969" s="198"/>
    </row>
    <row r="970">
      <c r="A970" s="198"/>
    </row>
    <row r="971">
      <c r="A971" s="198"/>
    </row>
    <row r="972">
      <c r="A972" s="198"/>
    </row>
    <row r="973">
      <c r="A973" s="198"/>
    </row>
    <row r="974">
      <c r="A974" s="198"/>
    </row>
    <row r="975">
      <c r="A975" s="198"/>
    </row>
    <row r="976">
      <c r="A976" s="198"/>
    </row>
    <row r="977">
      <c r="A977" s="198"/>
    </row>
    <row r="978">
      <c r="A978" s="198"/>
    </row>
    <row r="979">
      <c r="A979" s="198"/>
    </row>
    <row r="980">
      <c r="A980" s="198"/>
    </row>
    <row r="981">
      <c r="A981" s="198"/>
    </row>
    <row r="982">
      <c r="A982" s="198"/>
    </row>
    <row r="983">
      <c r="A983" s="198"/>
    </row>
    <row r="984">
      <c r="A984" s="198"/>
    </row>
    <row r="985">
      <c r="A985" s="198"/>
    </row>
    <row r="986">
      <c r="A986" s="198"/>
    </row>
    <row r="987">
      <c r="A987" s="198"/>
    </row>
    <row r="988">
      <c r="A988" s="198"/>
    </row>
    <row r="989">
      <c r="A989" s="198"/>
    </row>
    <row r="990">
      <c r="A990" s="198"/>
    </row>
    <row r="991">
      <c r="A991" s="198"/>
    </row>
    <row r="992">
      <c r="A992" s="198"/>
    </row>
    <row r="993">
      <c r="A993" s="198"/>
    </row>
    <row r="994">
      <c r="A994" s="198"/>
    </row>
    <row r="995">
      <c r="A995" s="198"/>
    </row>
    <row r="996">
      <c r="A996" s="198"/>
    </row>
    <row r="997">
      <c r="A997" s="198"/>
    </row>
    <row r="998">
      <c r="A998" s="198"/>
    </row>
    <row r="999">
      <c r="A999" s="198"/>
    </row>
    <row r="1000">
      <c r="A1000" s="198"/>
    </row>
    <row r="1001">
      <c r="A1001" s="198"/>
    </row>
    <row r="1002">
      <c r="A1002" s="198"/>
    </row>
    <row r="1003">
      <c r="A1003" s="198"/>
    </row>
    <row r="1004">
      <c r="A1004" s="198"/>
    </row>
    <row r="1005">
      <c r="A1005" s="198"/>
    </row>
    <row r="1006">
      <c r="A1006" s="198"/>
    </row>
    <row r="1007">
      <c r="A1007" s="198"/>
    </row>
    <row r="1008">
      <c r="A1008" s="198"/>
    </row>
    <row r="1009">
      <c r="A1009" s="198"/>
    </row>
    <row r="1010">
      <c r="A1010" s="198"/>
    </row>
    <row r="1011">
      <c r="A1011" s="198"/>
    </row>
    <row r="1012">
      <c r="A1012" s="198"/>
    </row>
    <row r="1013">
      <c r="A1013" s="198"/>
    </row>
  </sheetData>
  <mergeCells count="176">
    <mergeCell ref="AE3:AF3"/>
    <mergeCell ref="AG3:AH3"/>
    <mergeCell ref="Q3:R3"/>
    <mergeCell ref="S3:T3"/>
    <mergeCell ref="U3:V3"/>
    <mergeCell ref="W3:X3"/>
    <mergeCell ref="Y3:Z3"/>
    <mergeCell ref="AA3:AB3"/>
    <mergeCell ref="AC3:AD3"/>
    <mergeCell ref="AE1:AF1"/>
    <mergeCell ref="AG1:AH1"/>
    <mergeCell ref="Q1:R1"/>
    <mergeCell ref="S1:T1"/>
    <mergeCell ref="U1:V1"/>
    <mergeCell ref="W1:X1"/>
    <mergeCell ref="Y1:Z1"/>
    <mergeCell ref="AA1:AB1"/>
    <mergeCell ref="AC1:AD1"/>
    <mergeCell ref="C1:D1"/>
    <mergeCell ref="E1:F1"/>
    <mergeCell ref="G1:H1"/>
    <mergeCell ref="I1:J1"/>
    <mergeCell ref="K1:L1"/>
    <mergeCell ref="M1:N1"/>
    <mergeCell ref="O1:P1"/>
    <mergeCell ref="AE2:AF2"/>
    <mergeCell ref="AG2:AH2"/>
    <mergeCell ref="Q2:R2"/>
    <mergeCell ref="S2:T2"/>
    <mergeCell ref="U2:V2"/>
    <mergeCell ref="W2:X2"/>
    <mergeCell ref="Y2:Z2"/>
    <mergeCell ref="AA2:AB2"/>
    <mergeCell ref="AC2:AD2"/>
    <mergeCell ref="C2:D2"/>
    <mergeCell ref="E2:F2"/>
    <mergeCell ref="G2:H2"/>
    <mergeCell ref="I2:J2"/>
    <mergeCell ref="K2:L2"/>
    <mergeCell ref="M2:N2"/>
    <mergeCell ref="O2:P2"/>
    <mergeCell ref="C3:D3"/>
    <mergeCell ref="E3:F3"/>
    <mergeCell ref="G3:H3"/>
    <mergeCell ref="I3:J3"/>
    <mergeCell ref="K3:L3"/>
    <mergeCell ref="M3:N3"/>
    <mergeCell ref="O3:P3"/>
    <mergeCell ref="AE45:AF45"/>
    <mergeCell ref="AG45:AH45"/>
    <mergeCell ref="Q45:R45"/>
    <mergeCell ref="S45:T45"/>
    <mergeCell ref="U45:V45"/>
    <mergeCell ref="W45:X45"/>
    <mergeCell ref="Y45:Z45"/>
    <mergeCell ref="AA45:AB45"/>
    <mergeCell ref="AC45:AD45"/>
    <mergeCell ref="AE43:AF43"/>
    <mergeCell ref="AG43:AH43"/>
    <mergeCell ref="Q43:R43"/>
    <mergeCell ref="S43:T43"/>
    <mergeCell ref="U43:V43"/>
    <mergeCell ref="W43:X43"/>
    <mergeCell ref="Y43:Z43"/>
    <mergeCell ref="AA43:AB43"/>
    <mergeCell ref="AC43:AD43"/>
    <mergeCell ref="C43:D43"/>
    <mergeCell ref="E43:F43"/>
    <mergeCell ref="G43:H43"/>
    <mergeCell ref="I43:J43"/>
    <mergeCell ref="K43:L43"/>
    <mergeCell ref="M43:N43"/>
    <mergeCell ref="O43:P43"/>
    <mergeCell ref="AE44:AF44"/>
    <mergeCell ref="AG44:AH44"/>
    <mergeCell ref="Q44:R44"/>
    <mergeCell ref="S44:T44"/>
    <mergeCell ref="U44:V44"/>
    <mergeCell ref="W44:X44"/>
    <mergeCell ref="Y44:Z44"/>
    <mergeCell ref="AA44:AB44"/>
    <mergeCell ref="AC44:AD44"/>
    <mergeCell ref="C44:D44"/>
    <mergeCell ref="E44:F44"/>
    <mergeCell ref="G44:H44"/>
    <mergeCell ref="I44:J44"/>
    <mergeCell ref="K44:L44"/>
    <mergeCell ref="M44:N44"/>
    <mergeCell ref="O44:P44"/>
    <mergeCell ref="C45:D45"/>
    <mergeCell ref="E45:F45"/>
    <mergeCell ref="G45:H45"/>
    <mergeCell ref="I45:J45"/>
    <mergeCell ref="K45:L45"/>
    <mergeCell ref="M45:N45"/>
    <mergeCell ref="O45:P45"/>
    <mergeCell ref="AE48:AF48"/>
    <mergeCell ref="AG48:AH48"/>
    <mergeCell ref="Q48:R48"/>
    <mergeCell ref="S48:T48"/>
    <mergeCell ref="U48:V48"/>
    <mergeCell ref="W48:X48"/>
    <mergeCell ref="Y48:Z48"/>
    <mergeCell ref="AA48:AB48"/>
    <mergeCell ref="AC48:AD48"/>
    <mergeCell ref="AE49:AF49"/>
    <mergeCell ref="AG49:AH49"/>
    <mergeCell ref="Q49:R49"/>
    <mergeCell ref="S49:T49"/>
    <mergeCell ref="U49:V49"/>
    <mergeCell ref="W49:X49"/>
    <mergeCell ref="Y49:Z49"/>
    <mergeCell ref="AA49:AB49"/>
    <mergeCell ref="AC49:AD49"/>
    <mergeCell ref="C49:D49"/>
    <mergeCell ref="E49:F49"/>
    <mergeCell ref="G49:H49"/>
    <mergeCell ref="I49:J49"/>
    <mergeCell ref="K49:L49"/>
    <mergeCell ref="M49:N49"/>
    <mergeCell ref="O49:P49"/>
    <mergeCell ref="C50:D50"/>
    <mergeCell ref="E50:F50"/>
    <mergeCell ref="G50:H50"/>
    <mergeCell ref="I50:J50"/>
    <mergeCell ref="K50:L50"/>
    <mergeCell ref="M50:N50"/>
    <mergeCell ref="O50:P50"/>
    <mergeCell ref="AE50:AF50"/>
    <mergeCell ref="AG50:AH50"/>
    <mergeCell ref="Q50:R50"/>
    <mergeCell ref="S50:T50"/>
    <mergeCell ref="U50:V50"/>
    <mergeCell ref="W50:X50"/>
    <mergeCell ref="Y50:Z50"/>
    <mergeCell ref="AA50:AB50"/>
    <mergeCell ref="AC50:AD50"/>
    <mergeCell ref="AE46:AF46"/>
    <mergeCell ref="AG46:AH46"/>
    <mergeCell ref="Q46:R46"/>
    <mergeCell ref="S46:T46"/>
    <mergeCell ref="U46:V46"/>
    <mergeCell ref="W46:X46"/>
    <mergeCell ref="Y46:Z46"/>
    <mergeCell ref="AA46:AB46"/>
    <mergeCell ref="AC46:AD46"/>
    <mergeCell ref="C46:D46"/>
    <mergeCell ref="E46:F46"/>
    <mergeCell ref="G46:H46"/>
    <mergeCell ref="I46:J46"/>
    <mergeCell ref="K46:L46"/>
    <mergeCell ref="M46:N46"/>
    <mergeCell ref="O46:P46"/>
    <mergeCell ref="AE47:AF47"/>
    <mergeCell ref="AG47:AH47"/>
    <mergeCell ref="Q47:R47"/>
    <mergeCell ref="S47:T47"/>
    <mergeCell ref="U47:V47"/>
    <mergeCell ref="W47:X47"/>
    <mergeCell ref="Y47:Z47"/>
    <mergeCell ref="AA47:AB47"/>
    <mergeCell ref="AC47:AD47"/>
    <mergeCell ref="C47:D47"/>
    <mergeCell ref="E47:F47"/>
    <mergeCell ref="G47:H47"/>
    <mergeCell ref="I47:J47"/>
    <mergeCell ref="K47:L47"/>
    <mergeCell ref="M47:N47"/>
    <mergeCell ref="O47:P47"/>
    <mergeCell ref="C48:D48"/>
    <mergeCell ref="E48:F48"/>
    <mergeCell ref="G48:H48"/>
    <mergeCell ref="I48:J48"/>
    <mergeCell ref="K48:L48"/>
    <mergeCell ref="M48:N48"/>
    <mergeCell ref="O48:P4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75"/>
  <cols>
    <col customWidth="1" min="2" max="15" width="17.14"/>
  </cols>
  <sheetData>
    <row r="1">
      <c r="A1" s="228" t="s">
        <v>1998</v>
      </c>
    </row>
    <row r="3">
      <c r="C3" s="229" t="s">
        <v>603</v>
      </c>
      <c r="D3" s="229" t="s">
        <v>1531</v>
      </c>
      <c r="E3" s="229" t="s">
        <v>1609</v>
      </c>
      <c r="F3" s="229" t="s">
        <v>1680</v>
      </c>
      <c r="G3" s="229" t="s">
        <v>1734</v>
      </c>
      <c r="H3" s="229" t="s">
        <v>1797</v>
      </c>
      <c r="I3" s="229" t="s">
        <v>1984</v>
      </c>
      <c r="J3" s="229" t="s">
        <v>1985</v>
      </c>
      <c r="K3" s="229" t="s">
        <v>1986</v>
      </c>
      <c r="L3" s="229" t="s">
        <v>1999</v>
      </c>
      <c r="M3" s="229" t="s">
        <v>1989</v>
      </c>
      <c r="N3" s="229" t="s">
        <v>1990</v>
      </c>
      <c r="O3" s="230" t="s">
        <v>2000</v>
      </c>
    </row>
    <row r="4"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/>
    </row>
    <row r="5">
      <c r="B5" s="233" t="s">
        <v>2001</v>
      </c>
      <c r="C5" s="234">
        <v>1.6E7</v>
      </c>
      <c r="D5" s="234">
        <v>3.1E7</v>
      </c>
      <c r="E5" s="234">
        <v>3.55E7</v>
      </c>
      <c r="F5" s="234">
        <v>3.3E7</v>
      </c>
      <c r="G5" s="234">
        <v>2.4E7</v>
      </c>
      <c r="H5" s="234">
        <v>2.3E7</v>
      </c>
      <c r="I5" s="234">
        <v>1.2E7</v>
      </c>
      <c r="J5" s="234">
        <v>1.4E7</v>
      </c>
      <c r="K5" s="234">
        <v>2.7E7</v>
      </c>
      <c r="L5" s="234">
        <v>3.75E7</v>
      </c>
      <c r="M5" s="234">
        <v>4.2E7</v>
      </c>
      <c r="N5" s="234">
        <v>4.8E7</v>
      </c>
      <c r="O5" s="235">
        <f t="shared" ref="O5:O6" si="1">SUM(C5:N5)</f>
        <v>343000000</v>
      </c>
    </row>
    <row r="6">
      <c r="B6" s="236" t="s">
        <v>0</v>
      </c>
      <c r="C6" s="237">
        <f>'БДДС 2026'!D1/1.2</f>
        <v>3990415.133</v>
      </c>
      <c r="D6" s="237">
        <f>'БДДС 2026'!F1/1.2</f>
        <v>17803287.25</v>
      </c>
      <c r="E6" s="237">
        <f>'БДДС 2026'!H1/1.2</f>
        <v>24884563.15</v>
      </c>
      <c r="F6" s="238">
        <v>2.1354855E7</v>
      </c>
      <c r="G6" s="238">
        <v>1.0E7</v>
      </c>
      <c r="H6" s="237"/>
      <c r="I6" s="237"/>
      <c r="J6" s="237"/>
      <c r="K6" s="237"/>
      <c r="L6" s="237"/>
      <c r="M6" s="237"/>
      <c r="N6" s="237"/>
      <c r="O6" s="237">
        <f t="shared" si="1"/>
        <v>78033120.53</v>
      </c>
    </row>
    <row r="7"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40"/>
    </row>
    <row r="8">
      <c r="A8" s="226">
        <f>('БДДС 2026'!A10+'БДДС 2026'!A11+'БДДС 2026'!A12+'БДДС 2026'!A13+'БДДС 2026'!A14)</f>
        <v>0.3426349284</v>
      </c>
      <c r="B8" s="228" t="s">
        <v>2002</v>
      </c>
      <c r="C8" s="239">
        <f t="shared" ref="C8:N8" si="2">if(C6&gt;0,(C6*$A$8),(C5*$A$8))</f>
        <v>1367255.604</v>
      </c>
      <c r="D8" s="239">
        <f t="shared" si="2"/>
        <v>6100028.053</v>
      </c>
      <c r="E8" s="239">
        <f t="shared" si="2"/>
        <v>8526320.514</v>
      </c>
      <c r="F8" s="239">
        <f t="shared" si="2"/>
        <v>7316919.215</v>
      </c>
      <c r="G8" s="239">
        <f t="shared" si="2"/>
        <v>3426349.284</v>
      </c>
      <c r="H8" s="239">
        <f t="shared" si="2"/>
        <v>7880603.354</v>
      </c>
      <c r="I8" s="239">
        <f t="shared" si="2"/>
        <v>4111619.141</v>
      </c>
      <c r="J8" s="239">
        <f t="shared" si="2"/>
        <v>4796888.998</v>
      </c>
      <c r="K8" s="239">
        <f t="shared" si="2"/>
        <v>9251143.068</v>
      </c>
      <c r="L8" s="239">
        <f t="shared" si="2"/>
        <v>12848809.82</v>
      </c>
      <c r="M8" s="239">
        <f t="shared" si="2"/>
        <v>14390666.99</v>
      </c>
      <c r="N8" s="239">
        <f t="shared" si="2"/>
        <v>16446476.57</v>
      </c>
      <c r="O8" s="240">
        <f t="shared" ref="O8:O11" si="4">sum(C8:N8)</f>
        <v>96463080.61</v>
      </c>
    </row>
    <row r="9">
      <c r="A9" s="241">
        <v>0.22</v>
      </c>
      <c r="B9" s="228" t="s">
        <v>2003</v>
      </c>
      <c r="C9" s="239">
        <f t="shared" ref="C9:N9" si="3">if(C6&gt;0,(C6*$A$9),(C5*$A$9))</f>
        <v>877891.3293</v>
      </c>
      <c r="D9" s="239">
        <f t="shared" si="3"/>
        <v>3916723.195</v>
      </c>
      <c r="E9" s="239">
        <f t="shared" si="3"/>
        <v>5474603.893</v>
      </c>
      <c r="F9" s="239">
        <f t="shared" si="3"/>
        <v>4698068.1</v>
      </c>
      <c r="G9" s="239">
        <f t="shared" si="3"/>
        <v>2200000</v>
      </c>
      <c r="H9" s="239">
        <f t="shared" si="3"/>
        <v>5060000</v>
      </c>
      <c r="I9" s="239">
        <f t="shared" si="3"/>
        <v>2640000</v>
      </c>
      <c r="J9" s="239">
        <f t="shared" si="3"/>
        <v>3080000</v>
      </c>
      <c r="K9" s="239">
        <f t="shared" si="3"/>
        <v>5940000</v>
      </c>
      <c r="L9" s="239">
        <f t="shared" si="3"/>
        <v>8250000</v>
      </c>
      <c r="M9" s="239">
        <f t="shared" si="3"/>
        <v>9240000</v>
      </c>
      <c r="N9" s="239">
        <f t="shared" si="3"/>
        <v>10560000</v>
      </c>
      <c r="O9" s="240">
        <f t="shared" si="4"/>
        <v>61937286.52</v>
      </c>
    </row>
    <row r="10">
      <c r="A10" s="241">
        <v>0.12</v>
      </c>
      <c r="B10" s="228" t="s">
        <v>2004</v>
      </c>
      <c r="C10" s="239">
        <f t="shared" ref="C10:N10" si="5">if(C6&gt;0,(C6*$A$10),(C5*$A$10))</f>
        <v>478849.816</v>
      </c>
      <c r="D10" s="239">
        <f t="shared" si="5"/>
        <v>2136394.47</v>
      </c>
      <c r="E10" s="239">
        <f t="shared" si="5"/>
        <v>2986147.578</v>
      </c>
      <c r="F10" s="239">
        <f t="shared" si="5"/>
        <v>2562582.6</v>
      </c>
      <c r="G10" s="239">
        <f t="shared" si="5"/>
        <v>1200000</v>
      </c>
      <c r="H10" s="239">
        <f t="shared" si="5"/>
        <v>2760000</v>
      </c>
      <c r="I10" s="239">
        <f t="shared" si="5"/>
        <v>1440000</v>
      </c>
      <c r="J10" s="239">
        <f t="shared" si="5"/>
        <v>1680000</v>
      </c>
      <c r="K10" s="239">
        <f t="shared" si="5"/>
        <v>3240000</v>
      </c>
      <c r="L10" s="239">
        <f t="shared" si="5"/>
        <v>4500000</v>
      </c>
      <c r="M10" s="239">
        <f t="shared" si="5"/>
        <v>5040000</v>
      </c>
      <c r="N10" s="239">
        <f t="shared" si="5"/>
        <v>5760000</v>
      </c>
      <c r="O10" s="240">
        <f t="shared" si="4"/>
        <v>33783974.46</v>
      </c>
    </row>
    <row r="11">
      <c r="A11" s="242">
        <v>0.03</v>
      </c>
      <c r="B11" s="228" t="s">
        <v>2005</v>
      </c>
      <c r="C11" s="239">
        <f t="shared" ref="C11:N11" si="6">if(C6&gt;0,(C6*$A$11),(C5*$A$11))</f>
        <v>119712.454</v>
      </c>
      <c r="D11" s="239">
        <f t="shared" si="6"/>
        <v>534098.6175</v>
      </c>
      <c r="E11" s="239">
        <f t="shared" si="6"/>
        <v>746536.8945</v>
      </c>
      <c r="F11" s="239">
        <f t="shared" si="6"/>
        <v>640645.65</v>
      </c>
      <c r="G11" s="239">
        <f t="shared" si="6"/>
        <v>300000</v>
      </c>
      <c r="H11" s="239">
        <f t="shared" si="6"/>
        <v>690000</v>
      </c>
      <c r="I11" s="239">
        <f t="shared" si="6"/>
        <v>360000</v>
      </c>
      <c r="J11" s="239">
        <f t="shared" si="6"/>
        <v>420000</v>
      </c>
      <c r="K11" s="239">
        <f t="shared" si="6"/>
        <v>810000</v>
      </c>
      <c r="L11" s="239">
        <f t="shared" si="6"/>
        <v>1125000</v>
      </c>
      <c r="M11" s="239">
        <f t="shared" si="6"/>
        <v>1260000</v>
      </c>
      <c r="N11" s="239">
        <f t="shared" si="6"/>
        <v>1440000</v>
      </c>
      <c r="O11" s="240">
        <f t="shared" si="4"/>
        <v>8445993.616</v>
      </c>
    </row>
    <row r="12"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40"/>
    </row>
    <row r="13">
      <c r="A13" s="228" t="s">
        <v>2006</v>
      </c>
      <c r="B13" s="228" t="s">
        <v>2007</v>
      </c>
      <c r="C13" s="239"/>
      <c r="D13" s="239"/>
      <c r="E13" s="239"/>
      <c r="F13" s="239"/>
      <c r="G13" s="239"/>
      <c r="H13" s="239"/>
      <c r="I13" s="239"/>
      <c r="J13" s="239"/>
      <c r="K13" s="239"/>
      <c r="L13" s="239"/>
      <c r="M13" s="239"/>
      <c r="N13" s="239"/>
      <c r="O13" s="240"/>
    </row>
    <row r="14">
      <c r="B14" s="228" t="s">
        <v>466</v>
      </c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40"/>
    </row>
    <row r="15">
      <c r="A15" s="243"/>
      <c r="B15" s="228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44"/>
      <c r="O15" s="240"/>
    </row>
    <row r="16">
      <c r="A16" s="243" t="s">
        <v>2008</v>
      </c>
      <c r="B16" s="228" t="s">
        <v>2009</v>
      </c>
      <c r="C16" s="244">
        <v>5000000.0</v>
      </c>
      <c r="D16" s="244">
        <v>5000000.0</v>
      </c>
      <c r="E16" s="244">
        <v>5000000.0</v>
      </c>
      <c r="F16" s="244">
        <v>5000000.0</v>
      </c>
      <c r="G16" s="244">
        <v>5000000.0</v>
      </c>
      <c r="H16" s="244">
        <v>5000000.0</v>
      </c>
      <c r="I16" s="244">
        <v>5000000.0</v>
      </c>
      <c r="J16" s="244">
        <v>5000000.0</v>
      </c>
      <c r="K16" s="244">
        <v>5000000.0</v>
      </c>
      <c r="L16" s="244">
        <v>5000000.0</v>
      </c>
      <c r="M16" s="244">
        <v>5000000.0</v>
      </c>
      <c r="N16" s="244">
        <v>5000000.0</v>
      </c>
      <c r="O16" s="240">
        <f t="shared" ref="O16:O19" si="7">sum(C16:N16)</f>
        <v>60000000</v>
      </c>
    </row>
    <row r="17">
      <c r="B17" s="228" t="s">
        <v>30</v>
      </c>
      <c r="C17" s="244">
        <v>450000.0</v>
      </c>
      <c r="D17" s="244">
        <v>450000.0</v>
      </c>
      <c r="E17" s="244">
        <v>450000.0</v>
      </c>
      <c r="F17" s="244">
        <v>450000.0</v>
      </c>
      <c r="G17" s="244">
        <v>450000.0</v>
      </c>
      <c r="H17" s="244">
        <v>450000.0</v>
      </c>
      <c r="I17" s="244">
        <v>450000.0</v>
      </c>
      <c r="J17" s="244">
        <v>450000.0</v>
      </c>
      <c r="K17" s="244">
        <v>450000.0</v>
      </c>
      <c r="L17" s="244">
        <v>450000.0</v>
      </c>
      <c r="M17" s="244">
        <v>450000.0</v>
      </c>
      <c r="N17" s="244">
        <v>450000.0</v>
      </c>
      <c r="O17" s="240">
        <f t="shared" si="7"/>
        <v>5400000</v>
      </c>
    </row>
    <row r="18">
      <c r="B18" s="228" t="s">
        <v>2010</v>
      </c>
      <c r="C18" s="244">
        <v>550000.0</v>
      </c>
      <c r="D18" s="244">
        <v>550000.0</v>
      </c>
      <c r="E18" s="244">
        <v>550000.0</v>
      </c>
      <c r="F18" s="244">
        <v>550000.0</v>
      </c>
      <c r="G18" s="244">
        <v>550000.0</v>
      </c>
      <c r="H18" s="244">
        <v>550000.0</v>
      </c>
      <c r="I18" s="244">
        <v>550000.0</v>
      </c>
      <c r="J18" s="244">
        <v>550000.0</v>
      </c>
      <c r="K18" s="244">
        <v>550000.0</v>
      </c>
      <c r="L18" s="244">
        <v>550000.0</v>
      </c>
      <c r="M18" s="244">
        <v>550000.0</v>
      </c>
      <c r="N18" s="244">
        <v>550000.0</v>
      </c>
      <c r="O18" s="240">
        <f t="shared" si="7"/>
        <v>6600000</v>
      </c>
    </row>
    <row r="19">
      <c r="B19" s="228" t="s">
        <v>2011</v>
      </c>
      <c r="C19" s="244">
        <v>360000.0</v>
      </c>
      <c r="D19" s="244">
        <v>360000.0</v>
      </c>
      <c r="E19" s="244">
        <v>360000.0</v>
      </c>
      <c r="F19" s="244">
        <v>360000.0</v>
      </c>
      <c r="G19" s="244">
        <v>360000.0</v>
      </c>
      <c r="H19" s="244">
        <v>360000.0</v>
      </c>
      <c r="I19" s="244">
        <v>360000.0</v>
      </c>
      <c r="J19" s="244">
        <v>360000.0</v>
      </c>
      <c r="K19" s="244">
        <v>360000.0</v>
      </c>
      <c r="L19" s="244">
        <v>360000.0</v>
      </c>
      <c r="M19" s="244">
        <v>360000.0</v>
      </c>
      <c r="N19" s="244">
        <v>360000.0</v>
      </c>
      <c r="O19" s="240">
        <f t="shared" si="7"/>
        <v>4320000</v>
      </c>
    </row>
    <row r="20">
      <c r="C20" s="239"/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40"/>
    </row>
    <row r="21">
      <c r="B21" s="245" t="s">
        <v>2007</v>
      </c>
      <c r="C21" s="246">
        <f t="shared" ref="C21:N21" si="8">if(C6&gt;0,C6-sum(C8:C19),C5-sum(C8:C19))</f>
        <v>-5213294.07</v>
      </c>
      <c r="D21" s="246">
        <f t="shared" si="8"/>
        <v>-1243957.086</v>
      </c>
      <c r="E21" s="246">
        <f t="shared" si="8"/>
        <v>790954.2701</v>
      </c>
      <c r="F21" s="246">
        <f t="shared" si="8"/>
        <v>-223360.565</v>
      </c>
      <c r="G21" s="246">
        <f t="shared" si="8"/>
        <v>-3486349.284</v>
      </c>
      <c r="H21" s="246">
        <f t="shared" si="8"/>
        <v>249396.6457</v>
      </c>
      <c r="I21" s="246">
        <f t="shared" si="8"/>
        <v>-2911619.141</v>
      </c>
      <c r="J21" s="246">
        <f t="shared" si="8"/>
        <v>-2336888.998</v>
      </c>
      <c r="K21" s="246">
        <f t="shared" si="8"/>
        <v>1398856.932</v>
      </c>
      <c r="L21" s="246">
        <f t="shared" si="8"/>
        <v>4416190.183</v>
      </c>
      <c r="M21" s="246">
        <f t="shared" si="8"/>
        <v>5709333.005</v>
      </c>
      <c r="N21" s="246">
        <f t="shared" si="8"/>
        <v>7433523.434</v>
      </c>
      <c r="O21" s="246">
        <f>sum(C21:N21)</f>
        <v>4582785.326</v>
      </c>
    </row>
    <row r="22"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</row>
    <row r="23"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</row>
    <row r="24"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</row>
    <row r="25"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</row>
    <row r="26"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</row>
    <row r="27"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</row>
    <row r="28"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</row>
    <row r="29"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</row>
    <row r="30"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</row>
    <row r="31"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</row>
    <row r="32"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</row>
    <row r="33"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</row>
    <row r="34"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</row>
    <row r="35">
      <c r="C35" s="227"/>
      <c r="D35" s="227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</row>
    <row r="36"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</row>
    <row r="37"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</row>
    <row r="38"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</row>
    <row r="39"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</row>
    <row r="40"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</row>
    <row r="41"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</row>
    <row r="42"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</row>
    <row r="43"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</row>
    <row r="44"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</row>
    <row r="45"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</row>
  </sheetData>
  <mergeCells count="1">
    <mergeCell ref="A16:A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75"/>
  <cols>
    <col customWidth="1" min="2" max="2" width="20.0"/>
  </cols>
  <sheetData>
    <row r="1">
      <c r="A1" s="247" t="s">
        <v>2012</v>
      </c>
      <c r="B1" s="248">
        <f>'CF BEST'!D2</f>
        <v>2384618.933</v>
      </c>
      <c r="C1" s="249" t="s">
        <v>2013</v>
      </c>
      <c r="D1" s="250">
        <f>SUM(D3:D21)</f>
        <v>22791897</v>
      </c>
      <c r="E1" s="250"/>
    </row>
    <row r="2">
      <c r="D2" s="227"/>
      <c r="E2" s="227"/>
    </row>
    <row r="3">
      <c r="A3" s="251" t="s">
        <v>2014</v>
      </c>
      <c r="B3" s="252"/>
      <c r="C3" s="253"/>
      <c r="D3" s="254"/>
      <c r="E3" s="255">
        <f>SUM(D3:D9)</f>
        <v>20841897</v>
      </c>
    </row>
    <row r="4">
      <c r="B4" s="252" t="s">
        <v>2015</v>
      </c>
      <c r="C4" s="253"/>
      <c r="D4" s="254"/>
    </row>
    <row r="5">
      <c r="B5" s="252" t="s">
        <v>2016</v>
      </c>
      <c r="C5" s="253">
        <v>46152.0</v>
      </c>
      <c r="D5" s="254">
        <f>18936650+690480</f>
        <v>19627130</v>
      </c>
    </row>
    <row r="6">
      <c r="B6" s="252" t="s">
        <v>2017</v>
      </c>
      <c r="C6" s="256">
        <v>46084.0</v>
      </c>
      <c r="D6" s="254">
        <v>1214767.0</v>
      </c>
    </row>
    <row r="7">
      <c r="B7" s="252" t="s">
        <v>236</v>
      </c>
      <c r="C7" s="253"/>
      <c r="D7" s="254"/>
    </row>
    <row r="8">
      <c r="B8" s="252" t="s">
        <v>2018</v>
      </c>
      <c r="C8" s="253"/>
      <c r="D8" s="254"/>
    </row>
    <row r="9">
      <c r="B9" s="252"/>
      <c r="C9" s="253"/>
      <c r="D9" s="254"/>
    </row>
    <row r="10">
      <c r="A10" s="251" t="s">
        <v>2019</v>
      </c>
      <c r="B10" s="257" t="s">
        <v>2020</v>
      </c>
      <c r="C10" s="258">
        <v>46091.0</v>
      </c>
      <c r="D10" s="259">
        <v>1950000.0</v>
      </c>
      <c r="E10" s="260">
        <f>SUM(D10:D14)</f>
        <v>1950000</v>
      </c>
    </row>
    <row r="11">
      <c r="B11" s="257" t="s">
        <v>2021</v>
      </c>
      <c r="C11" s="261"/>
      <c r="D11" s="259"/>
    </row>
    <row r="12">
      <c r="B12" s="257" t="s">
        <v>2011</v>
      </c>
      <c r="C12" s="258"/>
      <c r="D12" s="259"/>
    </row>
    <row r="13">
      <c r="B13" s="257" t="s">
        <v>2022</v>
      </c>
      <c r="C13" s="262"/>
      <c r="D13" s="259"/>
    </row>
    <row r="14">
      <c r="B14" s="257"/>
      <c r="C14" s="262"/>
      <c r="D14" s="259"/>
    </row>
    <row r="15">
      <c r="A15" s="251" t="s">
        <v>2023</v>
      </c>
      <c r="B15" s="249"/>
      <c r="C15" s="263"/>
      <c r="D15" s="264"/>
      <c r="E15" s="255">
        <f>SUM(D15:D18)</f>
        <v>0</v>
      </c>
    </row>
    <row r="16">
      <c r="B16" s="249"/>
      <c r="C16" s="263"/>
      <c r="D16" s="264"/>
    </row>
    <row r="17">
      <c r="B17" s="249"/>
      <c r="C17" s="263"/>
      <c r="D17" s="264"/>
    </row>
    <row r="18">
      <c r="B18" s="249"/>
      <c r="C18" s="263"/>
      <c r="D18" s="264"/>
    </row>
    <row r="19">
      <c r="D19" s="265"/>
      <c r="E19" s="227"/>
    </row>
    <row r="20">
      <c r="D20" s="227"/>
      <c r="E20" s="227"/>
    </row>
  </sheetData>
  <mergeCells count="6">
    <mergeCell ref="A3:A9"/>
    <mergeCell ref="E3:E9"/>
    <mergeCell ref="A10:A14"/>
    <mergeCell ref="E10:E14"/>
    <mergeCell ref="A15:A18"/>
    <mergeCell ref="E15:E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B2" s="227"/>
    </row>
    <row r="3">
      <c r="B3" s="227"/>
    </row>
    <row r="4">
      <c r="B4" s="265">
        <v>3300000.0</v>
      </c>
    </row>
    <row r="5">
      <c r="B5" s="227">
        <f>B4*0.36</f>
        <v>1188000</v>
      </c>
    </row>
    <row r="6">
      <c r="B6" s="265">
        <v>550000.0</v>
      </c>
    </row>
    <row r="7">
      <c r="B7" s="265">
        <v>290000.0</v>
      </c>
    </row>
    <row r="8">
      <c r="B8" s="265">
        <v>360000.0</v>
      </c>
    </row>
    <row r="9">
      <c r="B9" s="227">
        <f>SUM(B4:B8)</f>
        <v>5688000</v>
      </c>
    </row>
    <row r="10">
      <c r="B10" s="227"/>
    </row>
    <row r="11">
      <c r="B11" s="227">
        <f>B9/0.23</f>
        <v>24730434.78</v>
      </c>
    </row>
    <row r="12">
      <c r="B12" s="22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14.86"/>
    <col customWidth="1" min="3" max="8" width="29.57"/>
    <col customWidth="1" min="9" max="9" width="18.29"/>
  </cols>
  <sheetData>
    <row r="3">
      <c r="A3" s="5"/>
      <c r="B3" s="5"/>
      <c r="C3" s="5" t="s">
        <v>2024</v>
      </c>
      <c r="D3" s="266" t="s">
        <v>2025</v>
      </c>
      <c r="E3" s="266" t="s">
        <v>14</v>
      </c>
      <c r="F3" s="5" t="s">
        <v>2026</v>
      </c>
      <c r="G3" s="5" t="s">
        <v>2027</v>
      </c>
      <c r="H3" s="267" t="s">
        <v>2028</v>
      </c>
      <c r="I3" s="268"/>
    </row>
    <row r="4">
      <c r="A4" s="269"/>
      <c r="B4" s="269"/>
      <c r="C4" s="269" t="s">
        <v>2029</v>
      </c>
      <c r="D4" s="270"/>
      <c r="E4" s="270">
        <f t="shared" ref="E4:F4" si="1">SUM(E5:E2200)</f>
        <v>398582792.6</v>
      </c>
      <c r="F4" s="270">
        <f t="shared" si="1"/>
        <v>395624546.2</v>
      </c>
      <c r="G4" s="270">
        <f t="shared" ref="G4:G22" si="2">E4-F4</f>
        <v>2958246.394</v>
      </c>
      <c r="H4" s="270"/>
      <c r="I4" s="268"/>
    </row>
    <row r="5">
      <c r="A5" s="271">
        <v>45108.0</v>
      </c>
      <c r="B5" s="271">
        <v>45138.0</v>
      </c>
      <c r="C5" s="267" t="s">
        <v>2030</v>
      </c>
      <c r="D5" s="267"/>
      <c r="E5" s="267">
        <f>SUMIF('CF OLD'!$A$8:$A$11965,"&gt;="&amp;A5,'CF OLD'!$C$8:$C$11965)-SUMIF('CF OLD'!$A$8:$A$11965,"&gt;"&amp;B5,'CF OLD'!$C$8:$C$11965)</f>
        <v>0</v>
      </c>
      <c r="F5" s="272">
        <f>SUMIF('CF OLD'!$A$8:$A$11965,"&gt;="&amp;A5,'CF OLD'!$D$8:$D$11965)-SUMIF('CF OLD'!$A$8:$A$11965,"&gt;"&amp;B5,'CF OLD'!$D$8:$D$11965)</f>
        <v>20970</v>
      </c>
      <c r="G5" s="267">
        <f t="shared" si="2"/>
        <v>-20970</v>
      </c>
      <c r="H5" s="267"/>
    </row>
    <row r="6">
      <c r="A6" s="271">
        <v>45139.0</v>
      </c>
      <c r="B6" s="271">
        <v>45169.0</v>
      </c>
      <c r="C6" s="267" t="s">
        <v>2031</v>
      </c>
      <c r="D6" s="267"/>
      <c r="E6" s="267">
        <f>SUMIF('CF OLD'!$A$8:$A$11965,"&gt;="&amp;A6,'CF OLD'!$C$8:$C$11965)-SUMIF('CF OLD'!$A$8:$A$11965,"&gt;"&amp;B6,'CF OLD'!$C$8:$C$11965)</f>
        <v>1497672</v>
      </c>
      <c r="F6" s="272">
        <f>SUMIF('CF OLD'!$A$8:$A$11965,"&gt;="&amp;A6,'CF OLD'!$D$8:$D$11965)-SUMIF('CF OLD'!$A$8:$A$11965,"&gt;"&amp;B6,'CF OLD'!$D$8:$D$11965)</f>
        <v>0</v>
      </c>
      <c r="G6" s="267">
        <f t="shared" si="2"/>
        <v>1497672</v>
      </c>
      <c r="H6" s="267"/>
    </row>
    <row r="7">
      <c r="A7" s="271">
        <v>45170.0</v>
      </c>
      <c r="B7" s="271">
        <v>45199.0</v>
      </c>
      <c r="C7" s="267" t="s">
        <v>2032</v>
      </c>
      <c r="D7" s="267"/>
      <c r="E7" s="267">
        <f>SUMIF('CF OLD'!$A$8:$A$11965,"&gt;="&amp;A7,'CF OLD'!$C$8:$C$11965)-SUMIF('CF OLD'!$A$8:$A$11965,"&gt;"&amp;B7,'CF OLD'!$C$8:$C$11965)</f>
        <v>1176000</v>
      </c>
      <c r="F7" s="272">
        <f>SUMIF('CF OLD'!$A$8:$A$11965,"&gt;="&amp;A7,'CF OLD'!$D$8:$D$11965)-SUMIF('CF OLD'!$A$8:$A$11965,"&gt;"&amp;B7,'CF OLD'!$D$8:$D$11965)</f>
        <v>875010</v>
      </c>
      <c r="G7" s="267">
        <f t="shared" si="2"/>
        <v>300990</v>
      </c>
      <c r="H7" s="267"/>
    </row>
    <row r="8">
      <c r="A8" s="271">
        <v>45200.0</v>
      </c>
      <c r="B8" s="271">
        <v>45230.0</v>
      </c>
      <c r="C8" s="267" t="s">
        <v>2033</v>
      </c>
      <c r="D8" s="267"/>
      <c r="E8" s="267">
        <f>SUMIF('CF OLD'!$A$8:$A$11965,"&gt;="&amp;A8,'CF OLD'!$C$8:$C$11965)-SUMIF('CF OLD'!$A$8:$A$11965,"&gt;"&amp;B8,'CF OLD'!$C$8:$C$11965)</f>
        <v>402821.1</v>
      </c>
      <c r="F8" s="272">
        <f>SUMIF('CF OLD'!$A$8:$A$11965,"&gt;="&amp;A8,'CF OLD'!$D$8:$D$11965)-SUMIF('CF OLD'!$A$8:$A$11965,"&gt;"&amp;B8,'CF OLD'!$D$8:$D$11965)</f>
        <v>1288096.989</v>
      </c>
      <c r="G8" s="267">
        <f t="shared" si="2"/>
        <v>-885275.8889</v>
      </c>
      <c r="H8" s="267"/>
    </row>
    <row r="9">
      <c r="A9" s="271">
        <v>45231.0</v>
      </c>
      <c r="B9" s="271">
        <v>45260.0</v>
      </c>
      <c r="C9" s="267" t="s">
        <v>565</v>
      </c>
      <c r="D9" s="267"/>
      <c r="E9" s="267">
        <f>SUMIF('CF OLD'!$A$8:$A$11965,"&gt;="&amp;A9,'CF OLD'!$C$8:$C$11965)-SUMIF('CF OLD'!$A$8:$A$11965,"&gt;"&amp;B9,'CF OLD'!$C$8:$C$11965)</f>
        <v>1643503.02</v>
      </c>
      <c r="F9" s="272">
        <f>SUMIF('CF OLD'!$A$8:$A$11965,"&gt;="&amp;A9,'CF OLD'!$D$8:$D$11965)-SUMIF('CF OLD'!$A$8:$A$11965,"&gt;"&amp;B9,'CF OLD'!$D$8:$D$11965)</f>
        <v>1797925.015</v>
      </c>
      <c r="G9" s="267">
        <f t="shared" si="2"/>
        <v>-154421.9953</v>
      </c>
      <c r="H9" s="267"/>
    </row>
    <row r="10">
      <c r="A10" s="271">
        <v>45261.0</v>
      </c>
      <c r="B10" s="271">
        <v>45291.0</v>
      </c>
      <c r="C10" s="267" t="s">
        <v>2034</v>
      </c>
      <c r="D10" s="267"/>
      <c r="E10" s="267">
        <f>SUMIF('CF OLD'!$A$8:$A$11965,"&gt;="&amp;A10,'CF OLD'!$C$8:$C$11965)-SUMIF('CF OLD'!$A$8:$A$11965,"&gt;"&amp;B10,'CF OLD'!$C$8:$C$11965)</f>
        <v>1914946.08</v>
      </c>
      <c r="F10" s="272">
        <f>SUMIF('CF OLD'!$A$8:$A$11965,"&gt;="&amp;A10,'CF OLD'!$D$8:$D$11965)-SUMIF('CF OLD'!$A$8:$A$11965,"&gt;"&amp;B10,'CF OLD'!$D$8:$D$11965)</f>
        <v>3447990.699</v>
      </c>
      <c r="G10" s="267">
        <f t="shared" si="2"/>
        <v>-1533044.619</v>
      </c>
      <c r="H10" s="267"/>
    </row>
    <row r="11">
      <c r="A11" s="273">
        <v>45292.0</v>
      </c>
      <c r="B11" s="273">
        <v>45322.0</v>
      </c>
      <c r="C11" s="274" t="s">
        <v>2035</v>
      </c>
      <c r="D11" s="275">
        <v>2665037.5099999905</v>
      </c>
      <c r="E11" s="274">
        <f>SUMIF('CF OLD'!$A$8:$A$11965,"&gt;="&amp;A11,'CF OLD'!$C$8:$C$11965)-SUMIF('CF OLD'!$A$8:$A$11965,"&gt;"&amp;B11,'CF OLD'!$C$8:$C$11965)</f>
        <v>2037269.95</v>
      </c>
      <c r="F11" s="276">
        <f>SUMIF('CF OLD'!$A$8:$A$11965,"&gt;="&amp;A11,'CF OLD'!$D$8:$D$11965)-SUMIF('CF OLD'!$A$8:$A$11965,"&gt;"&amp;B11,'CF OLD'!$D$8:$D$11965)</f>
        <v>1068530.24</v>
      </c>
      <c r="G11" s="277">
        <f t="shared" si="2"/>
        <v>968739.71</v>
      </c>
      <c r="H11" s="277">
        <f t="shared" ref="H11:H22" si="3">D11-F11</f>
        <v>1596507.27</v>
      </c>
      <c r="J11" s="227"/>
    </row>
    <row r="12">
      <c r="A12" s="273">
        <v>45323.0</v>
      </c>
      <c r="B12" s="273">
        <v>45350.0</v>
      </c>
      <c r="C12" s="274" t="s">
        <v>2036</v>
      </c>
      <c r="D12" s="275">
        <v>3214565.819999993</v>
      </c>
      <c r="E12" s="274">
        <f>SUMIF('CF OLD'!$A$8:$A$11965,"&gt;="&amp;A12,'CF OLD'!$C$8:$C$11965)-SUMIF('CF OLD'!$A$8:$A$11965,"&gt;"&amp;B12,'CF OLD'!$C$8:$C$11965)</f>
        <v>2802016.27</v>
      </c>
      <c r="F12" s="276">
        <f>SUMIF('CF OLD'!$A$8:$A$11965,"&gt;="&amp;A12,'CF OLD'!$D$8:$D$11965)-SUMIF('CF OLD'!$A$8:$A$11965,"&gt;"&amp;B12,'CF OLD'!$D$8:$D$11965)</f>
        <v>3688752.67</v>
      </c>
      <c r="G12" s="277">
        <f t="shared" si="2"/>
        <v>-886736.4004</v>
      </c>
      <c r="H12" s="277">
        <f t="shared" si="3"/>
        <v>-474186.8504</v>
      </c>
      <c r="J12" s="227"/>
    </row>
    <row r="13">
      <c r="A13" s="273">
        <v>45352.0</v>
      </c>
      <c r="B13" s="273">
        <v>45382.0</v>
      </c>
      <c r="C13" s="274" t="s">
        <v>2037</v>
      </c>
      <c r="D13" s="275">
        <v>9734074.370000005</v>
      </c>
      <c r="E13" s="274">
        <f>SUMIF('CF OLD'!$A$8:$A$11965,"&gt;="&amp;A13,'CF OLD'!$C$8:$C$11965)-SUMIF('CF OLD'!$A$8:$A$11965,"&gt;"&amp;B13,'CF OLD'!$C$8:$C$11965)</f>
        <v>2482770.27</v>
      </c>
      <c r="F13" s="276">
        <f>SUMIF('CF OLD'!$A$8:$A$11965,"&gt;="&amp;A13,'CF OLD'!$D$8:$D$11965)-SUMIF('CF OLD'!$A$8:$A$11965,"&gt;"&amp;B13,'CF OLD'!$D$8:$D$11965)</f>
        <v>2229788.28</v>
      </c>
      <c r="G13" s="277">
        <f t="shared" si="2"/>
        <v>252981.99</v>
      </c>
      <c r="H13" s="277">
        <f t="shared" si="3"/>
        <v>7504286.09</v>
      </c>
      <c r="J13" s="227"/>
    </row>
    <row r="14">
      <c r="A14" s="273">
        <v>45383.0</v>
      </c>
      <c r="B14" s="273">
        <v>45412.0</v>
      </c>
      <c r="C14" s="274" t="s">
        <v>2038</v>
      </c>
      <c r="D14" s="275">
        <v>7550425.289999962</v>
      </c>
      <c r="E14" s="274">
        <f>SUMIF('CF OLD'!$A$8:$A$11965,"&gt;="&amp;A14,'CF OLD'!$C$8:$C$11965)-SUMIF('CF OLD'!$A$8:$A$11965,"&gt;"&amp;B14,'CF OLD'!$C$8:$C$11965)</f>
        <v>4143055.64</v>
      </c>
      <c r="F14" s="276">
        <f>SUMIF('CF OLD'!$A$8:$A$11965,"&gt;="&amp;A14,'CF OLD'!$D$8:$D$11965)-SUMIF('CF OLD'!$A$8:$A$11965,"&gt;"&amp;B14,'CF OLD'!$D$8:$D$11965)</f>
        <v>2286895.92</v>
      </c>
      <c r="G14" s="277">
        <f t="shared" si="2"/>
        <v>1856159.72</v>
      </c>
      <c r="H14" s="277">
        <f t="shared" si="3"/>
        <v>5263529.37</v>
      </c>
      <c r="J14" s="227"/>
    </row>
    <row r="15">
      <c r="A15" s="273">
        <v>45413.0</v>
      </c>
      <c r="B15" s="273">
        <v>45443.0</v>
      </c>
      <c r="C15" s="274" t="s">
        <v>2039</v>
      </c>
      <c r="D15" s="275">
        <v>6578988.800000012</v>
      </c>
      <c r="E15" s="274">
        <f>SUMIF('CF OLD'!$A$8:$A$11965,"&gt;="&amp;A15,'CF OLD'!$C$8:$C$11965)-SUMIF('CF OLD'!$A$8:$A$11965,"&gt;"&amp;B15,'CF OLD'!$C$8:$C$11965)</f>
        <v>8465561.68</v>
      </c>
      <c r="F15" s="276">
        <f>SUMIF('CF OLD'!$A$8:$A$11965,"&gt;="&amp;A15,'CF OLD'!$D$8:$D$11965)-SUMIF('CF OLD'!$A$8:$A$11965,"&gt;"&amp;B15,'CF OLD'!$D$8:$D$11965)</f>
        <v>8064839.614</v>
      </c>
      <c r="G15" s="277">
        <f t="shared" si="2"/>
        <v>400722.0656</v>
      </c>
      <c r="H15" s="277">
        <f t="shared" si="3"/>
        <v>-1485850.814</v>
      </c>
      <c r="J15" s="227"/>
    </row>
    <row r="16">
      <c r="A16" s="273">
        <v>45444.0</v>
      </c>
      <c r="B16" s="273">
        <v>45473.0</v>
      </c>
      <c r="C16" s="274" t="s">
        <v>955</v>
      </c>
      <c r="D16" s="275">
        <v>6458213.0200000405</v>
      </c>
      <c r="E16" s="274">
        <f>SUMIF('CF OLD'!$A$8:$A$11965,"&gt;="&amp;A16,'CF OLD'!$C$8:$C$11965)-SUMIF('CF OLD'!$A$8:$A$11965,"&gt;"&amp;B16,'CF OLD'!$C$8:$C$11965)</f>
        <v>2311940.77</v>
      </c>
      <c r="F16" s="276">
        <f>SUMIF('CF OLD'!$A$8:$A$11965,"&gt;="&amp;A16,'CF OLD'!$D$8:$D$11965)-SUMIF('CF OLD'!$A$8:$A$11965,"&gt;"&amp;B16,'CF OLD'!$D$8:$D$11965)</f>
        <v>6312403.583</v>
      </c>
      <c r="G16" s="277">
        <f t="shared" si="2"/>
        <v>-4000462.813</v>
      </c>
      <c r="H16" s="277">
        <f t="shared" si="3"/>
        <v>145809.4373</v>
      </c>
      <c r="J16" s="227"/>
    </row>
    <row r="17">
      <c r="A17" s="273">
        <v>45474.0</v>
      </c>
      <c r="B17" s="273">
        <v>45504.0</v>
      </c>
      <c r="C17" s="274" t="s">
        <v>2030</v>
      </c>
      <c r="D17" s="275">
        <v>1.4875301580000043E7</v>
      </c>
      <c r="E17" s="274">
        <f>SUMIF('CF OLD'!$A$8:$A$11965,"&gt;="&amp;A17,'CF OLD'!$C$8:$C$11965)-SUMIF('CF OLD'!$A$8:$A$11965,"&gt;"&amp;B17,'CF OLD'!$C$8:$C$11965)</f>
        <v>7479323.69</v>
      </c>
      <c r="F17" s="276">
        <f>SUMIF('CF OLD'!$A$8:$A$11965,"&gt;="&amp;A17,'CF OLD'!$D$8:$D$11965)-SUMIF('CF OLD'!$A$8:$A$11965,"&gt;"&amp;B17,'CF OLD'!$D$8:$D$11965)</f>
        <v>4044078.628</v>
      </c>
      <c r="G17" s="277">
        <f t="shared" si="2"/>
        <v>3435245.062</v>
      </c>
      <c r="H17" s="277">
        <f t="shared" si="3"/>
        <v>10831222.95</v>
      </c>
      <c r="J17" s="227"/>
    </row>
    <row r="18">
      <c r="A18" s="273">
        <v>45505.0</v>
      </c>
      <c r="B18" s="273">
        <v>45535.0</v>
      </c>
      <c r="C18" s="274" t="s">
        <v>2031</v>
      </c>
      <c r="D18" s="275">
        <v>2.120394496000004E7</v>
      </c>
      <c r="E18" s="274">
        <f>SUMIF('CF OLD'!$A$8:$A$11965,"&gt;="&amp;A18,'CF OLD'!$C$8:$C$11965)-SUMIF('CF OLD'!$A$8:$A$11965,"&gt;"&amp;B18,'CF OLD'!$C$8:$C$11965)</f>
        <v>9866987.1</v>
      </c>
      <c r="F18" s="276">
        <f>SUMIF('CF OLD'!$A$8:$A$11965,"&gt;="&amp;A18,'CF OLD'!$D$8:$D$11965)-SUMIF('CF OLD'!$A$8:$A$11965,"&gt;"&amp;B18,'CF OLD'!$D$8:$D$11965)</f>
        <v>6537516.46</v>
      </c>
      <c r="G18" s="277">
        <f t="shared" si="2"/>
        <v>3329470.64</v>
      </c>
      <c r="H18" s="277">
        <f t="shared" si="3"/>
        <v>14666428.5</v>
      </c>
      <c r="J18" s="227"/>
    </row>
    <row r="19">
      <c r="A19" s="273">
        <v>45536.0</v>
      </c>
      <c r="B19" s="273">
        <v>45565.0</v>
      </c>
      <c r="C19" s="274" t="s">
        <v>2032</v>
      </c>
      <c r="D19" s="275">
        <v>2.0144644360000014E7</v>
      </c>
      <c r="E19" s="274">
        <f>SUMIF('CF OLD'!$A$8:$A$11965,"&gt;="&amp;A19,'CF OLD'!$C$8:$C$11965)-SUMIF('CF OLD'!$A$8:$A$11965,"&gt;"&amp;B19,'CF OLD'!$C$8:$C$11965)</f>
        <v>5474580.46</v>
      </c>
      <c r="F19" s="276">
        <f>SUMIF('CF OLD'!$A$8:$A$11965,"&gt;="&amp;A19,'CF OLD'!$D$8:$D$11965)-SUMIF('CF OLD'!$A$8:$A$11965,"&gt;"&amp;B19,'CF OLD'!$D$8:$D$11965)</f>
        <v>8221441.359</v>
      </c>
      <c r="G19" s="277">
        <f t="shared" si="2"/>
        <v>-2746860.899</v>
      </c>
      <c r="H19" s="277">
        <f t="shared" si="3"/>
        <v>11923203</v>
      </c>
      <c r="J19" s="227"/>
    </row>
    <row r="20">
      <c r="A20" s="273">
        <v>45566.0</v>
      </c>
      <c r="B20" s="273">
        <v>45596.0</v>
      </c>
      <c r="C20" s="274" t="s">
        <v>2033</v>
      </c>
      <c r="D20" s="275">
        <v>2.4822497640000194E7</v>
      </c>
      <c r="E20" s="274">
        <f>SUMIF('CF OLD'!$A$8:$A$11965,"&gt;="&amp;A20,'CF OLD'!$C$8:$C$11965)-SUMIF('CF OLD'!$A$8:$A$11965,"&gt;"&amp;B20,'CF OLD'!$C$8:$C$11965)</f>
        <v>16187936.27</v>
      </c>
      <c r="F20" s="276">
        <f>SUMIF('CF OLD'!$A$8:$A$11965,"&gt;="&amp;A20,'CF OLD'!$D$8:$D$11965)-SUMIF('CF OLD'!$A$8:$A$11965,"&gt;"&amp;B20,'CF OLD'!$D$8:$D$11965)</f>
        <v>15087415.11</v>
      </c>
      <c r="G20" s="277">
        <f t="shared" si="2"/>
        <v>1100521.16</v>
      </c>
      <c r="H20" s="277">
        <f t="shared" si="3"/>
        <v>9735082.53</v>
      </c>
      <c r="J20" s="227"/>
    </row>
    <row r="21">
      <c r="A21" s="273">
        <v>45597.0</v>
      </c>
      <c r="B21" s="273">
        <v>45626.0</v>
      </c>
      <c r="C21" s="274" t="s">
        <v>565</v>
      </c>
      <c r="D21" s="275">
        <v>3.85829732700001E7</v>
      </c>
      <c r="E21" s="274">
        <f>SUMIF('CF OLD'!$A$8:$A$11965,"&gt;="&amp;A21,'CF OLD'!$C$8:$C$11965)-SUMIF('CF OLD'!$A$8:$A$11965,"&gt;"&amp;B21,'CF OLD'!$C$8:$C$11965)</f>
        <v>34509983.77</v>
      </c>
      <c r="F21" s="276">
        <f>SUMIF('CF OLD'!$A$8:$A$11965,"&gt;="&amp;A21,'CF OLD'!$D$8:$D$11965)-SUMIF('CF OLD'!$A$8:$A$11965,"&gt;"&amp;B21,'CF OLD'!$D$8:$D$11965)</f>
        <v>16049826.74</v>
      </c>
      <c r="G21" s="277">
        <f t="shared" si="2"/>
        <v>18460157.03</v>
      </c>
      <c r="H21" s="277">
        <f t="shared" si="3"/>
        <v>22533146.53</v>
      </c>
      <c r="J21" s="227"/>
    </row>
    <row r="22">
      <c r="A22" s="273">
        <v>45627.0</v>
      </c>
      <c r="B22" s="273">
        <v>45657.0</v>
      </c>
      <c r="C22" s="274" t="s">
        <v>2034</v>
      </c>
      <c r="D22" s="275">
        <v>3.2847587560000032E7</v>
      </c>
      <c r="E22" s="274">
        <f>SUMIF('CF OLD'!$A$8:$A$11965,"&gt;="&amp;A22,'CF OLD'!$C$8:$C$11965)-SUMIF('CF OLD'!$A$8:$A$11965,"&gt;"&amp;B22,'CF OLD'!$C$8:$C$11965)</f>
        <v>20130069.49</v>
      </c>
      <c r="F22" s="276">
        <f>SUMIF('CF OLD'!$A$8:$A$11965,"&gt;="&amp;A22,'CF OLD'!$D$8:$D$11965)-SUMIF('CF OLD'!$A$8:$A$11965,"&gt;"&amp;B22,'CF OLD'!$D$8:$D$11965)</f>
        <v>28987216.32</v>
      </c>
      <c r="G22" s="277">
        <f t="shared" si="2"/>
        <v>-8857146.827</v>
      </c>
      <c r="H22" s="277">
        <f t="shared" si="3"/>
        <v>3860371.243</v>
      </c>
      <c r="J22" s="227"/>
    </row>
    <row r="23">
      <c r="A23" s="278"/>
      <c r="B23" s="278"/>
      <c r="C23" s="228">
        <v>2025.0</v>
      </c>
      <c r="E23" s="274"/>
      <c r="F23" s="276"/>
      <c r="G23" s="277"/>
      <c r="H23" s="277"/>
      <c r="J23" s="227"/>
    </row>
    <row r="24">
      <c r="A24" s="273">
        <v>45658.0</v>
      </c>
      <c r="B24" s="273">
        <v>45688.0</v>
      </c>
      <c r="C24" s="274" t="s">
        <v>2035</v>
      </c>
      <c r="D24" s="275">
        <f>SUMIF('CF OLD'!$O$9:$O$9958,"&gt;="&amp;A25,'CF OLD'!$C$9:$C$9958)-SUMIF('CF OLD'!$O$9:$O$9958,"&gt;"&amp;B25,'CF OLD'!$C$9:$C$9958)</f>
        <v>17033526.6</v>
      </c>
      <c r="E24" s="274">
        <f>SUMIF('CF OLD'!$A$8:$A$11965,"&gt;="&amp;A24,'CF OLD'!$C$8:$C$11965)-SUMIF('CF OLD'!$A$8:$A$11965,"&gt;"&amp;B24,'CF OLD'!$C$8:$C$11965)</f>
        <v>27984137.56</v>
      </c>
      <c r="F24" s="276">
        <f>SUMIF('CF OLD'!$A$8:$A$11965,"&gt;="&amp;A24,'CF OLD'!$D$8:$D$11965)-SUMIF('CF OLD'!$A$8:$A$11965,"&gt;"&amp;B24,'CF OLD'!$D$8:$D$11965)</f>
        <v>22399343.22</v>
      </c>
      <c r="G24" s="277">
        <f t="shared" ref="G24:G35" si="4">E24-F24</f>
        <v>5584794.336</v>
      </c>
      <c r="H24" s="277">
        <f t="shared" ref="H24:H35" si="5">D24-F24</f>
        <v>-5365816.624</v>
      </c>
      <c r="J24" s="227"/>
    </row>
    <row r="25">
      <c r="A25" s="273">
        <v>45689.0</v>
      </c>
      <c r="B25" s="273">
        <v>45716.0</v>
      </c>
      <c r="C25" s="274" t="s">
        <v>2036</v>
      </c>
      <c r="D25" s="275">
        <f>SUMIF('CF OLD'!$O$9:$O$9958,"&gt;="&amp;A26,'CF OLD'!$C$9:$C$9958)-SUMIF('CF OLD'!$O$9:$O$9958,"&gt;"&amp;B26,'CF OLD'!$C$9:$C$9958)</f>
        <v>28283015.53</v>
      </c>
      <c r="E25" s="274">
        <f>SUMIF('CF OLD'!$A$8:$A$11965,"&gt;="&amp;A25,'CF OLD'!$C$8:$C$11965)-SUMIF('CF OLD'!$A$8:$A$11965,"&gt;"&amp;B25,'CF OLD'!$C$8:$C$11965)</f>
        <v>33658878.66</v>
      </c>
      <c r="F25" s="276">
        <f>SUMIF('CF OLD'!$A$8:$A$11965,"&gt;="&amp;A25,'CF OLD'!$D$8:$D$11965)-SUMIF('CF OLD'!$A$8:$A$11965,"&gt;"&amp;B25,'CF OLD'!$D$8:$D$11965)</f>
        <v>30380855.04</v>
      </c>
      <c r="G25" s="277">
        <f t="shared" si="4"/>
        <v>3278023.62</v>
      </c>
      <c r="H25" s="277">
        <f t="shared" si="5"/>
        <v>-2097839.51</v>
      </c>
      <c r="J25" s="227"/>
    </row>
    <row r="26">
      <c r="A26" s="273">
        <v>45717.0</v>
      </c>
      <c r="B26" s="273">
        <v>45747.0</v>
      </c>
      <c r="C26" s="274" t="s">
        <v>2037</v>
      </c>
      <c r="D26" s="275">
        <f>SUMIF('CF OLD'!$O$9:$O$9958,"&gt;="&amp;A27,'CF OLD'!$C$9:$C$9958)-SUMIF('CF OLD'!$O$9:$O$9958,"&gt;"&amp;B27,'CF OLD'!$C$9:$C$9958)</f>
        <v>35132672.58</v>
      </c>
      <c r="E26" s="274">
        <f>SUMIF('CF OLD'!$A$8:$A$11965,"&gt;="&amp;A26,'CF OLD'!$C$8:$C$11965)-SUMIF('CF OLD'!$A$8:$A$11965,"&gt;"&amp;B26,'CF OLD'!$C$8:$C$11965)</f>
        <v>15633670.25</v>
      </c>
      <c r="F26" s="276">
        <f>SUMIF('CF OLD'!$A$8:$A$11965,"&gt;="&amp;A26,'CF OLD'!$D$8:$D$11965)-SUMIF('CF OLD'!$A$8:$A$11965,"&gt;"&amp;B26,'CF OLD'!$D$8:$D$11965)</f>
        <v>25976643.93</v>
      </c>
      <c r="G26" s="277">
        <f t="shared" si="4"/>
        <v>-10342973.68</v>
      </c>
      <c r="H26" s="277">
        <f t="shared" si="5"/>
        <v>9156028.646</v>
      </c>
      <c r="J26" s="227"/>
    </row>
    <row r="27">
      <c r="A27" s="273">
        <v>45748.0</v>
      </c>
      <c r="B27" s="273">
        <v>45777.0</v>
      </c>
      <c r="C27" s="274" t="s">
        <v>2038</v>
      </c>
      <c r="D27" s="275">
        <f>SUMIF('CF OLD'!$O$9:$O$9958,"&gt;="&amp;A28,'CF OLD'!$C$9:$C$9958)-SUMIF('CF OLD'!$O$9:$O$9958,"&gt;"&amp;B28,'CF OLD'!$C$9:$C$9958)</f>
        <v>35991873.29</v>
      </c>
      <c r="E27" s="274">
        <f>SUMIF('CF OLD'!$A$8:$A$11965,"&gt;="&amp;A27,'CF OLD'!$C$8:$C$11965)-SUMIF('CF OLD'!$A$8:$A$11965,"&gt;"&amp;B27,'CF OLD'!$C$8:$C$11965)</f>
        <v>27630396.85</v>
      </c>
      <c r="F27" s="276">
        <f>SUMIF('CF OLD'!$A$8:$A$11965,"&gt;="&amp;A27,'CF OLD'!$D$8:$D$11965)-SUMIF('CF OLD'!$A$8:$A$11965,"&gt;"&amp;B27,'CF OLD'!$D$8:$D$11965)</f>
        <v>29693311.76</v>
      </c>
      <c r="G27" s="277">
        <f t="shared" si="4"/>
        <v>-2062914.91</v>
      </c>
      <c r="H27" s="277">
        <f t="shared" si="5"/>
        <v>6298561.53</v>
      </c>
      <c r="J27" s="227"/>
    </row>
    <row r="28">
      <c r="A28" s="273">
        <v>45778.0</v>
      </c>
      <c r="B28" s="273">
        <v>45808.0</v>
      </c>
      <c r="C28" s="274" t="s">
        <v>2039</v>
      </c>
      <c r="D28" s="275">
        <f>SUMIF('CF OLD'!$O$9:$O$9958,"&gt;="&amp;A29,'CF OLD'!$C$9:$C$9958)-SUMIF('CF OLD'!$O$9:$O$9958,"&gt;"&amp;B29,'CF OLD'!$C$9:$C$9958)</f>
        <v>24952626.59</v>
      </c>
      <c r="E28" s="274">
        <f>SUMIF('CF OLD'!$A$8:$A$11965,"&gt;="&amp;A28,'CF OLD'!$C$8:$C$11965)-SUMIF('CF OLD'!$A$8:$A$11965,"&gt;"&amp;B28,'CF OLD'!$C$8:$C$11965)</f>
        <v>39644082.44</v>
      </c>
      <c r="F28" s="276">
        <f>SUMIF('CF OLD'!$A$8:$A$11965,"&gt;="&amp;A28,'CF OLD'!$D$8:$D$11965)-SUMIF('CF OLD'!$A$8:$A$11965,"&gt;"&amp;B28,'CF OLD'!$D$8:$D$11965)</f>
        <v>27773670.95</v>
      </c>
      <c r="G28" s="277">
        <f t="shared" si="4"/>
        <v>11870411.49</v>
      </c>
      <c r="H28" s="277">
        <f t="shared" si="5"/>
        <v>-2821044.36</v>
      </c>
      <c r="J28" s="227"/>
    </row>
    <row r="29">
      <c r="A29" s="273">
        <v>45809.0</v>
      </c>
      <c r="B29" s="273">
        <v>45838.0</v>
      </c>
      <c r="C29" s="274" t="s">
        <v>955</v>
      </c>
      <c r="D29" s="275">
        <f>SUMIF('CF OLD'!$O$9:$O$9958,"&gt;="&amp;A30,'CF OLD'!$C$9:$C$9958)-SUMIF('CF OLD'!$O$9:$O$9958,"&gt;"&amp;B30,'CF OLD'!$C$9:$C$9958)</f>
        <v>21889691.01</v>
      </c>
      <c r="E29" s="274">
        <f>SUMIF('CF OLD'!$A$8:$A$11965,"&gt;="&amp;A29,'CF OLD'!$C$8:$C$11965)-SUMIF('CF OLD'!$A$8:$A$11965,"&gt;"&amp;B29,'CF OLD'!$C$8:$C$11965)</f>
        <v>19140582.64</v>
      </c>
      <c r="F29" s="276">
        <f>SUMIF('CF OLD'!$A$8:$A$11965,"&gt;="&amp;A29,'CF OLD'!$D$8:$D$11965)-SUMIF('CF OLD'!$A$8:$A$11965,"&gt;"&amp;B29,'CF OLD'!$D$8:$D$11965)</f>
        <v>31797672.28</v>
      </c>
      <c r="G29" s="277">
        <f t="shared" si="4"/>
        <v>-12657089.64</v>
      </c>
      <c r="H29" s="277">
        <f t="shared" si="5"/>
        <v>-9907981.27</v>
      </c>
      <c r="J29" s="227"/>
    </row>
    <row r="30">
      <c r="A30" s="273">
        <v>45839.0</v>
      </c>
      <c r="B30" s="273">
        <v>45869.0</v>
      </c>
      <c r="C30" s="274" t="s">
        <v>2030</v>
      </c>
      <c r="D30" s="275">
        <f>SUMIF('CF OLD'!$O$9:$O$9958,"&gt;="&amp;A31,'CF OLD'!$C$9:$C$9958)-SUMIF('CF OLD'!$O$9:$O$9958,"&gt;"&amp;B31,'CF OLD'!$C$9:$C$9958)</f>
        <v>15416325.7</v>
      </c>
      <c r="E30" s="274">
        <f>SUMIF('CF OLD'!$A$8:$A$11965,"&gt;="&amp;A30,'CF OLD'!$C$8:$C$11965)-SUMIF('CF OLD'!$A$8:$A$11965,"&gt;"&amp;B30,'CF OLD'!$C$8:$C$11965)</f>
        <v>13081339.79</v>
      </c>
      <c r="F30" s="276">
        <f>SUMIF('CF OLD'!$A$8:$A$11965,"&gt;="&amp;A30,'CF OLD'!$D$8:$D$11965)-SUMIF('CF OLD'!$A$8:$A$11965,"&gt;"&amp;B30,'CF OLD'!$D$8:$D$11965)</f>
        <v>13559424.24</v>
      </c>
      <c r="G30" s="277">
        <f t="shared" si="4"/>
        <v>-478084.45</v>
      </c>
      <c r="H30" s="277">
        <f t="shared" si="5"/>
        <v>1856901.46</v>
      </c>
      <c r="J30" s="227"/>
    </row>
    <row r="31">
      <c r="A31" s="273">
        <v>45870.0</v>
      </c>
      <c r="B31" s="273">
        <v>45900.0</v>
      </c>
      <c r="C31" s="274" t="s">
        <v>2031</v>
      </c>
      <c r="D31" s="275">
        <f>SUMIF('CF OLD'!$O$9:$O$9958,"&gt;="&amp;A32,'CF OLD'!$C$9:$C$9958)-SUMIF('CF OLD'!$O$9:$O$9958,"&gt;"&amp;B32,'CF OLD'!$C$9:$C$9958)</f>
        <v>15490267.19</v>
      </c>
      <c r="E31" s="274">
        <f>SUMIF('CF OLD'!$A$8:$A$11965,"&gt;="&amp;A31,'CF OLD'!$C$8:$C$11965)-SUMIF('CF OLD'!$A$8:$A$11965,"&gt;"&amp;B31,'CF OLD'!$C$8:$C$11965)</f>
        <v>20087001.72</v>
      </c>
      <c r="F31" s="276">
        <f>SUMIF('CF OLD'!$A$8:$A$11965,"&gt;="&amp;A31,'CF OLD'!$D$8:$D$11965)-SUMIF('CF OLD'!$A$8:$A$11965,"&gt;"&amp;B31,'CF OLD'!$D$8:$D$11965)</f>
        <v>21262357.48</v>
      </c>
      <c r="G31" s="277">
        <f t="shared" si="4"/>
        <v>-1175355.763</v>
      </c>
      <c r="H31" s="277">
        <f t="shared" si="5"/>
        <v>-5772090.293</v>
      </c>
      <c r="J31" s="227"/>
    </row>
    <row r="32">
      <c r="A32" s="273">
        <v>45901.0</v>
      </c>
      <c r="B32" s="273">
        <v>45930.0</v>
      </c>
      <c r="C32" s="274" t="s">
        <v>2032</v>
      </c>
      <c r="D32" s="275">
        <f>SUMIF('CF OLD'!$O$9:$O$9958,"&gt;="&amp;A33,'CF OLD'!$C$9:$C$9958)-SUMIF('CF OLD'!$O$9:$O$9958,"&gt;"&amp;B33,'CF OLD'!$C$9:$C$9958)</f>
        <v>23936397.48</v>
      </c>
      <c r="E32" s="274">
        <f>SUMIF('CF OLD'!$A$8:$A$11965,"&gt;="&amp;A32,'CF OLD'!$C$8:$C$11965)-SUMIF('CF OLD'!$A$8:$A$11965,"&gt;"&amp;B32,'CF OLD'!$C$8:$C$11965)</f>
        <v>19225992.27</v>
      </c>
      <c r="F32" s="276">
        <f>SUMIF('CF OLD'!$A$8:$A$11965,"&gt;="&amp;A32,'CF OLD'!$D$8:$D$11965)-SUMIF('CF OLD'!$A$8:$A$11965,"&gt;"&amp;B32,'CF OLD'!$D$8:$D$11965)</f>
        <v>25827484.28</v>
      </c>
      <c r="G32" s="277">
        <f t="shared" si="4"/>
        <v>-6601492.01</v>
      </c>
      <c r="H32" s="277">
        <f t="shared" si="5"/>
        <v>-1891086.8</v>
      </c>
      <c r="J32" s="227"/>
    </row>
    <row r="33">
      <c r="A33" s="273">
        <v>45931.0</v>
      </c>
      <c r="B33" s="273">
        <v>45961.0</v>
      </c>
      <c r="C33" s="274" t="s">
        <v>2033</v>
      </c>
      <c r="D33" s="275">
        <f>SUMIF('CF OLD'!$O$9:$O$9958,"&gt;="&amp;A34,'CF OLD'!$C$9:$C$9958)-SUMIF('CF OLD'!$O$9:$O$9958,"&gt;"&amp;B34,'CF OLD'!$C$9:$C$9958)</f>
        <v>35912593.87</v>
      </c>
      <c r="E33" s="274">
        <f>SUMIF('CF OLD'!$A$8:$A$11965,"&gt;="&amp;A33,'CF OLD'!$C$8:$C$11965)-SUMIF('CF OLD'!$A$8:$A$11965,"&gt;"&amp;B33,'CF OLD'!$C$8:$C$11965)</f>
        <v>29609662.12</v>
      </c>
      <c r="F33" s="276">
        <f>SUMIF('CF OLD'!$A$8:$A$11965,"&gt;="&amp;A33,'CF OLD'!$D$8:$D$11965)-SUMIF('CF OLD'!$A$8:$A$11965,"&gt;"&amp;B33,'CF OLD'!$D$8:$D$11965)</f>
        <v>16413554.08</v>
      </c>
      <c r="G33" s="277">
        <f t="shared" si="4"/>
        <v>13196108.04</v>
      </c>
      <c r="H33" s="277">
        <f t="shared" si="5"/>
        <v>19499039.79</v>
      </c>
      <c r="J33" s="227"/>
    </row>
    <row r="34">
      <c r="A34" s="273">
        <v>45962.0</v>
      </c>
      <c r="B34" s="273">
        <v>45991.0</v>
      </c>
      <c r="C34" s="274" t="s">
        <v>565</v>
      </c>
      <c r="D34" s="275">
        <f>SUMIF('CF OLD'!$O$9:$O$9958,"&gt;="&amp;A35,'CF OLD'!$C$9:$C$9958)-SUMIF('CF OLD'!$O$9:$O$9958,"&gt;"&amp;B35,'CF OLD'!$C$9:$C$9958)</f>
        <v>28337759.69</v>
      </c>
      <c r="E34" s="274">
        <f>SUMIF('CF OLD'!$A$8:$A$11965,"&gt;="&amp;A34,'CF OLD'!$C$8:$C$11965)-SUMIF('CF OLD'!$A$8:$A$11965,"&gt;"&amp;B34,'CF OLD'!$C$8:$C$11965)</f>
        <v>20598527.23</v>
      </c>
      <c r="F34" s="276">
        <f>SUMIF('CF OLD'!$A$8:$A$11965,"&gt;="&amp;A34,'CF OLD'!$D$8:$D$11965)-SUMIF('CF OLD'!$A$8:$A$11965,"&gt;"&amp;B34,'CF OLD'!$D$8:$D$11965)</f>
        <v>24472843.84</v>
      </c>
      <c r="G34" s="277">
        <f t="shared" si="4"/>
        <v>-3874316.61</v>
      </c>
      <c r="H34" s="277">
        <f t="shared" si="5"/>
        <v>3864915.85</v>
      </c>
      <c r="J34" s="227"/>
    </row>
    <row r="35">
      <c r="A35" s="273">
        <v>45992.0</v>
      </c>
      <c r="B35" s="273">
        <v>46022.0</v>
      </c>
      <c r="C35" s="274" t="s">
        <v>2034</v>
      </c>
      <c r="D35" s="275">
        <f>SUMIF('CF OLD'!$O$9:$O$9958,"&gt;="&amp;A36,'CF OLD'!$C$9:$C$9958)-SUMIF('CF OLD'!$O$9:$O$9958,"&gt;"&amp;B36,'CF OLD'!$C$9:$C$9958)</f>
        <v>0</v>
      </c>
      <c r="E35" s="274">
        <f>SUMIF('CF OLD'!$A$8:$A$11965,"&gt;="&amp;A35,'CF OLD'!$C$8:$C$11965)-SUMIF('CF OLD'!$A$8:$A$11965,"&gt;"&amp;B35,'CF OLD'!$C$8:$C$11965)</f>
        <v>9762083.54</v>
      </c>
      <c r="F35" s="276">
        <f>SUMIF('CF OLD'!$A$8:$A$11965,"&gt;="&amp;A35,'CF OLD'!$D$8:$D$11965)-SUMIF('CF OLD'!$A$8:$A$11965,"&gt;"&amp;B35,'CF OLD'!$D$8:$D$11965)</f>
        <v>16058687.5</v>
      </c>
      <c r="G35" s="277">
        <f t="shared" si="4"/>
        <v>-6296603.96</v>
      </c>
      <c r="H35" s="277">
        <f t="shared" si="5"/>
        <v>-16058687.5</v>
      </c>
      <c r="J35" s="227"/>
    </row>
    <row r="36">
      <c r="J36" s="227"/>
    </row>
  </sheetData>
  <conditionalFormatting sqref="G5:H35">
    <cfRule type="cellIs" dxfId="6" priority="1" operator="greaterThan">
      <formula>0</formula>
    </cfRule>
  </conditionalFormatting>
  <conditionalFormatting sqref="G5:H35">
    <cfRule type="cellIs" dxfId="7" priority="2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47.43"/>
    <col customWidth="1" min="2" max="6" width="0.86"/>
    <col customWidth="1" min="7" max="7" width="14.57"/>
    <col customWidth="1" min="8" max="13" width="21.57"/>
    <col customWidth="1" min="14" max="14" width="26.14"/>
    <col customWidth="1" min="15" max="26" width="8.71"/>
  </cols>
  <sheetData>
    <row r="1">
      <c r="B1" s="279">
        <v>45292.0</v>
      </c>
      <c r="C1" s="279">
        <v>45323.0</v>
      </c>
      <c r="D1" s="279">
        <v>45352.0</v>
      </c>
      <c r="E1" s="279">
        <v>45383.0</v>
      </c>
      <c r="F1" s="279">
        <v>45413.0</v>
      </c>
      <c r="G1" s="279">
        <v>45444.0</v>
      </c>
      <c r="H1" s="280">
        <v>45474.0</v>
      </c>
      <c r="I1" s="281">
        <v>45505.0</v>
      </c>
      <c r="J1" s="279">
        <v>45536.0</v>
      </c>
      <c r="K1" s="279">
        <v>45566.0</v>
      </c>
      <c r="L1" s="279">
        <v>45597.0</v>
      </c>
      <c r="M1" s="279">
        <v>45627.0</v>
      </c>
      <c r="N1" s="282" t="s">
        <v>2040</v>
      </c>
    </row>
    <row r="2">
      <c r="A2" s="283" t="s">
        <v>2041</v>
      </c>
      <c r="B2" s="284">
        <f t="shared" ref="B2:M2" si="1">SUM(B3:B13)*1.2</f>
        <v>2668635.6</v>
      </c>
      <c r="C2" s="284">
        <f t="shared" si="1"/>
        <v>3814564.8</v>
      </c>
      <c r="D2" s="284">
        <f t="shared" si="1"/>
        <v>8046072</v>
      </c>
      <c r="E2" s="284">
        <f t="shared" si="1"/>
        <v>6758688</v>
      </c>
      <c r="F2" s="284">
        <f t="shared" si="1"/>
        <v>7800987.6</v>
      </c>
      <c r="G2" s="285">
        <f t="shared" si="1"/>
        <v>7301718</v>
      </c>
      <c r="H2" s="286">
        <f t="shared" si="1"/>
        <v>18038642.4</v>
      </c>
      <c r="I2" s="287">
        <f t="shared" si="1"/>
        <v>24307567.2</v>
      </c>
      <c r="J2" s="288">
        <f t="shared" si="1"/>
        <v>19041160.48</v>
      </c>
      <c r="K2" s="284">
        <f t="shared" si="1"/>
        <v>26647411.2</v>
      </c>
      <c r="L2" s="284">
        <f t="shared" si="1"/>
        <v>38064872.4</v>
      </c>
      <c r="M2" s="284">
        <f t="shared" si="1"/>
        <v>28473967.96</v>
      </c>
      <c r="N2" s="289">
        <f t="shared" ref="N2:N4" si="2">SUM(B2:M2)</f>
        <v>190964287.6</v>
      </c>
    </row>
    <row r="3">
      <c r="A3" s="290" t="s">
        <v>2042</v>
      </c>
      <c r="B3" s="291">
        <v>0.0</v>
      </c>
      <c r="C3" s="291">
        <v>0.0</v>
      </c>
      <c r="D3" s="291">
        <v>824989.0</v>
      </c>
      <c r="E3" s="291">
        <v>1674989.0</v>
      </c>
      <c r="F3" s="291">
        <f>500000*1.2</f>
        <v>600000</v>
      </c>
      <c r="G3" s="291">
        <v>0.0</v>
      </c>
      <c r="H3" s="292">
        <v>0.0</v>
      </c>
      <c r="I3" s="293">
        <v>537000.0</v>
      </c>
      <c r="J3" s="294">
        <v>915085.73</v>
      </c>
      <c r="K3" s="294">
        <v>823048.0</v>
      </c>
      <c r="L3" s="294">
        <v>831000.0</v>
      </c>
      <c r="M3" s="294">
        <v>1563807.13</v>
      </c>
      <c r="N3" s="295">
        <f t="shared" si="2"/>
        <v>7769918.86</v>
      </c>
    </row>
    <row r="4">
      <c r="A4" s="296" t="s">
        <v>2043</v>
      </c>
      <c r="B4" s="291">
        <v>1357789.0</v>
      </c>
      <c r="C4" s="291">
        <v>2173496.0</v>
      </c>
      <c r="D4" s="291">
        <v>3357874.0</v>
      </c>
      <c r="E4" s="291">
        <v>2915771.0</v>
      </c>
      <c r="F4" s="291">
        <v>4560172.0</v>
      </c>
      <c r="G4" s="291">
        <v>823269.0</v>
      </c>
      <c r="H4" s="292">
        <v>1436677.0</v>
      </c>
      <c r="I4" s="293">
        <v>1733101.0</v>
      </c>
      <c r="J4" s="297">
        <v>1872676.0</v>
      </c>
      <c r="K4" s="297">
        <v>262520.0</v>
      </c>
      <c r="L4" s="297">
        <v>714451.0</v>
      </c>
      <c r="M4" s="297">
        <v>1130829.5</v>
      </c>
      <c r="N4" s="295">
        <f t="shared" si="2"/>
        <v>22338625.5</v>
      </c>
    </row>
    <row r="5">
      <c r="A5" s="296" t="s">
        <v>2044</v>
      </c>
      <c r="B5" s="291">
        <v>866074.0</v>
      </c>
      <c r="C5" s="291">
        <v>1005308.0</v>
      </c>
      <c r="D5" s="291">
        <v>2162197.0</v>
      </c>
      <c r="E5" s="291">
        <v>1041480.0</v>
      </c>
      <c r="F5" s="291">
        <v>980651.0</v>
      </c>
      <c r="G5" s="291">
        <v>188496.0</v>
      </c>
      <c r="H5" s="292"/>
      <c r="I5" s="298"/>
      <c r="J5" s="299"/>
      <c r="K5" s="299"/>
      <c r="L5" s="299"/>
      <c r="M5" s="299"/>
      <c r="N5" s="295"/>
    </row>
    <row r="6">
      <c r="A6" s="300" t="s">
        <v>2045</v>
      </c>
      <c r="B6" s="291">
        <v>0.0</v>
      </c>
      <c r="C6" s="291">
        <v>0.0</v>
      </c>
      <c r="D6" s="301">
        <v>360000.0</v>
      </c>
      <c r="E6" s="291">
        <v>0.0</v>
      </c>
      <c r="F6" s="291">
        <v>360000.0</v>
      </c>
      <c r="G6" s="291">
        <v>2973000.0</v>
      </c>
      <c r="H6" s="292">
        <v>2987525.0</v>
      </c>
      <c r="I6" s="293">
        <v>3949775.0</v>
      </c>
      <c r="J6" s="294">
        <v>9685828.0</v>
      </c>
      <c r="K6" s="294">
        <f>6734230+(350000*5)</f>
        <v>8484230</v>
      </c>
      <c r="L6" s="294">
        <v>1.4218681E7</v>
      </c>
      <c r="M6" s="294">
        <v>1.0848643E7</v>
      </c>
      <c r="N6" s="295">
        <f>SUM(B6:M6)</f>
        <v>53867682</v>
      </c>
    </row>
    <row r="7">
      <c r="A7" s="296" t="s">
        <v>2046</v>
      </c>
      <c r="B7" s="291"/>
      <c r="C7" s="291"/>
      <c r="D7" s="291"/>
      <c r="E7" s="291"/>
      <c r="F7" s="291"/>
      <c r="G7" s="291"/>
      <c r="H7" s="292">
        <v>1000000.0</v>
      </c>
      <c r="I7" s="298"/>
      <c r="J7" s="291"/>
      <c r="K7" s="291"/>
      <c r="L7" s="291"/>
      <c r="M7" s="291"/>
      <c r="N7" s="295"/>
    </row>
    <row r="8">
      <c r="A8" s="296" t="s">
        <v>2047</v>
      </c>
      <c r="B8" s="291">
        <v>0.0</v>
      </c>
      <c r="C8" s="291">
        <v>0.0</v>
      </c>
      <c r="D8" s="291">
        <v>0.0</v>
      </c>
      <c r="E8" s="291">
        <v>0.0</v>
      </c>
      <c r="F8" s="291">
        <v>0.0</v>
      </c>
      <c r="G8" s="291">
        <f>2520000-2520000*20/120</f>
        <v>2100000</v>
      </c>
      <c r="H8" s="292">
        <f>2100000+7508000</f>
        <v>9608000</v>
      </c>
      <c r="I8" s="298">
        <f>3150000+10886430</f>
        <v>14036430</v>
      </c>
      <c r="J8" s="294">
        <v>2961537.0</v>
      </c>
      <c r="K8" s="294">
        <f>6734230+1750000</f>
        <v>8484230</v>
      </c>
      <c r="L8" s="294">
        <f>8286730+(350000*6)</f>
        <v>10386730</v>
      </c>
      <c r="M8" s="291">
        <f>4517500+1050000</f>
        <v>5567500</v>
      </c>
      <c r="N8" s="295">
        <f t="shared" ref="N8:N9" si="3">SUM(B8:M8)</f>
        <v>53144427</v>
      </c>
      <c r="Q8" s="294"/>
      <c r="R8" s="291"/>
    </row>
    <row r="9">
      <c r="A9" s="300" t="s">
        <v>2048</v>
      </c>
      <c r="B9" s="291">
        <v>0.0</v>
      </c>
      <c r="C9" s="291">
        <v>0.0</v>
      </c>
      <c r="D9" s="291">
        <v>0.0</v>
      </c>
      <c r="E9" s="291">
        <v>0.0</v>
      </c>
      <c r="F9" s="291">
        <v>0.0</v>
      </c>
      <c r="G9" s="291">
        <v>0.0</v>
      </c>
      <c r="H9" s="292">
        <v>0.0</v>
      </c>
      <c r="I9" s="302"/>
      <c r="J9" s="299"/>
      <c r="K9" s="297">
        <v>525000.0</v>
      </c>
      <c r="L9" s="297">
        <v>1004850.0</v>
      </c>
      <c r="M9" s="297">
        <v>525000.0</v>
      </c>
      <c r="N9" s="295">
        <f t="shared" si="3"/>
        <v>2054850</v>
      </c>
    </row>
    <row r="10">
      <c r="A10" s="300" t="s">
        <v>2049</v>
      </c>
      <c r="B10" s="291"/>
      <c r="C10" s="291"/>
      <c r="D10" s="291"/>
      <c r="E10" s="291"/>
      <c r="F10" s="291"/>
      <c r="G10" s="291"/>
      <c r="H10" s="292"/>
      <c r="I10" s="302"/>
      <c r="J10" s="299"/>
      <c r="K10" s="297">
        <v>1500000.0</v>
      </c>
      <c r="L10" s="297">
        <v>3500000.0</v>
      </c>
      <c r="M10" s="297">
        <v>3000020.0</v>
      </c>
      <c r="N10" s="295"/>
    </row>
    <row r="11">
      <c r="A11" s="300" t="s">
        <v>2050</v>
      </c>
      <c r="B11" s="291"/>
      <c r="C11" s="291"/>
      <c r="D11" s="291"/>
      <c r="E11" s="291"/>
      <c r="F11" s="291"/>
      <c r="G11" s="291"/>
      <c r="H11" s="292"/>
      <c r="I11" s="302"/>
      <c r="J11" s="297">
        <v>432507.0</v>
      </c>
      <c r="K11" s="297">
        <v>2127148.0</v>
      </c>
      <c r="L11" s="297">
        <v>865015.0</v>
      </c>
      <c r="M11" s="297">
        <v>892507.0</v>
      </c>
      <c r="N11" s="295"/>
    </row>
    <row r="12">
      <c r="A12" s="300" t="s">
        <v>2051</v>
      </c>
      <c r="B12" s="291"/>
      <c r="C12" s="291"/>
      <c r="D12" s="291"/>
      <c r="E12" s="291"/>
      <c r="F12" s="291"/>
      <c r="G12" s="291"/>
      <c r="H12" s="292"/>
      <c r="I12" s="302"/>
      <c r="J12" s="299"/>
      <c r="K12" s="297"/>
      <c r="L12" s="297">
        <v>200000.0</v>
      </c>
      <c r="M12" s="297">
        <v>200000.0</v>
      </c>
      <c r="N12" s="295"/>
    </row>
    <row r="13">
      <c r="A13" s="303" t="s">
        <v>2052</v>
      </c>
      <c r="B13" s="304">
        <v>0.0</v>
      </c>
      <c r="C13" s="304">
        <v>0.0</v>
      </c>
      <c r="D13" s="304">
        <v>0.0</v>
      </c>
      <c r="E13" s="304"/>
      <c r="F13" s="304"/>
      <c r="G13" s="304"/>
      <c r="H13" s="292"/>
      <c r="I13" s="305"/>
      <c r="J13" s="306"/>
      <c r="K13" s="306"/>
      <c r="L13" s="306"/>
      <c r="M13" s="306"/>
      <c r="N13" s="307">
        <f>SUM(B13:M13)</f>
        <v>0</v>
      </c>
    </row>
    <row r="14">
      <c r="H14" s="308"/>
      <c r="I14" s="309"/>
      <c r="N14" s="310"/>
    </row>
    <row r="15">
      <c r="A15" s="311" t="s">
        <v>2053</v>
      </c>
      <c r="B15" s="312">
        <f t="shared" ref="B15:M15" si="4">(B2-B16)-(B2-B16)*20/120</f>
        <v>812408.23</v>
      </c>
      <c r="C15" s="312">
        <f t="shared" si="4"/>
        <v>1146138.38</v>
      </c>
      <c r="D15" s="312">
        <f t="shared" si="4"/>
        <v>2272364.745</v>
      </c>
      <c r="E15" s="312">
        <f t="shared" si="4"/>
        <v>1748159.34</v>
      </c>
      <c r="F15" s="312">
        <f t="shared" si="4"/>
        <v>2157622.135</v>
      </c>
      <c r="G15" s="313">
        <f t="shared" si="4"/>
        <v>1309502.34</v>
      </c>
      <c r="H15" s="314">
        <f t="shared" si="4"/>
        <v>2710518.2</v>
      </c>
      <c r="I15" s="315">
        <f t="shared" si="4"/>
        <v>3105072.1</v>
      </c>
      <c r="J15" s="316">
        <f t="shared" si="4"/>
        <v>3607965.286</v>
      </c>
      <c r="K15" s="317">
        <f t="shared" si="4"/>
        <v>4027229.86</v>
      </c>
      <c r="L15" s="317">
        <f t="shared" si="4"/>
        <v>6514469.9</v>
      </c>
      <c r="M15" s="317">
        <f t="shared" si="4"/>
        <v>5240068.941</v>
      </c>
      <c r="N15" s="318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</row>
    <row r="16">
      <c r="A16" s="320" t="s">
        <v>2054</v>
      </c>
      <c r="B16" s="321">
        <f t="shared" ref="B16:M16" si="5">SUM(B17:B27)*1.2</f>
        <v>1693745.724</v>
      </c>
      <c r="C16" s="321">
        <f t="shared" si="5"/>
        <v>2439198.744</v>
      </c>
      <c r="D16" s="321">
        <f t="shared" si="5"/>
        <v>5319234.306</v>
      </c>
      <c r="E16" s="321">
        <f t="shared" si="5"/>
        <v>4660896.792</v>
      </c>
      <c r="F16" s="321">
        <f t="shared" si="5"/>
        <v>5211841.038</v>
      </c>
      <c r="G16" s="322">
        <f t="shared" si="5"/>
        <v>5730315.192</v>
      </c>
      <c r="H16" s="323">
        <f t="shared" si="5"/>
        <v>14786020.56</v>
      </c>
      <c r="I16" s="324">
        <f t="shared" si="5"/>
        <v>20581480.68</v>
      </c>
      <c r="J16" s="325">
        <f t="shared" si="5"/>
        <v>14711602.13</v>
      </c>
      <c r="K16" s="321">
        <f t="shared" si="5"/>
        <v>21814735.37</v>
      </c>
      <c r="L16" s="321">
        <f t="shared" si="5"/>
        <v>30247508.52</v>
      </c>
      <c r="M16" s="321">
        <f t="shared" si="5"/>
        <v>22185885.23</v>
      </c>
      <c r="N16" s="326">
        <f t="shared" ref="N16:N18" si="7">SUM(B16:M16)</f>
        <v>149382464.3</v>
      </c>
    </row>
    <row r="17">
      <c r="A17" s="290" t="s">
        <v>2042</v>
      </c>
      <c r="B17" s="291">
        <f t="shared" ref="B17:M17" si="6">B3*0.8</f>
        <v>0</v>
      </c>
      <c r="C17" s="291">
        <f t="shared" si="6"/>
        <v>0</v>
      </c>
      <c r="D17" s="291">
        <f t="shared" si="6"/>
        <v>659991.2</v>
      </c>
      <c r="E17" s="291">
        <f t="shared" si="6"/>
        <v>1339991.2</v>
      </c>
      <c r="F17" s="291">
        <f t="shared" si="6"/>
        <v>480000</v>
      </c>
      <c r="G17" s="291">
        <f t="shared" si="6"/>
        <v>0</v>
      </c>
      <c r="H17" s="292">
        <f t="shared" si="6"/>
        <v>0</v>
      </c>
      <c r="I17" s="298">
        <f t="shared" si="6"/>
        <v>429600</v>
      </c>
      <c r="J17" s="291">
        <f t="shared" si="6"/>
        <v>732068.584</v>
      </c>
      <c r="K17" s="291">
        <f t="shared" si="6"/>
        <v>658438.4</v>
      </c>
      <c r="L17" s="291">
        <f t="shared" si="6"/>
        <v>664800</v>
      </c>
      <c r="M17" s="291">
        <f t="shared" si="6"/>
        <v>1251045.704</v>
      </c>
      <c r="N17" s="295">
        <f t="shared" si="7"/>
        <v>6215935.088</v>
      </c>
    </row>
    <row r="18">
      <c r="A18" s="296" t="s">
        <v>2055</v>
      </c>
      <c r="B18" s="291">
        <f t="shared" ref="B18:G18" si="8">B4*0.66</f>
        <v>896140.74</v>
      </c>
      <c r="C18" s="291">
        <f t="shared" si="8"/>
        <v>1434507.36</v>
      </c>
      <c r="D18" s="291">
        <f t="shared" si="8"/>
        <v>2216196.84</v>
      </c>
      <c r="E18" s="291">
        <f t="shared" si="8"/>
        <v>1924408.86</v>
      </c>
      <c r="F18" s="291">
        <f t="shared" si="8"/>
        <v>3009713.52</v>
      </c>
      <c r="G18" s="291">
        <f t="shared" si="8"/>
        <v>543357.54</v>
      </c>
      <c r="H18" s="292">
        <f t="shared" ref="H18:M18" si="9">H4*0.65</f>
        <v>933840.05</v>
      </c>
      <c r="I18" s="298">
        <f t="shared" si="9"/>
        <v>1126515.65</v>
      </c>
      <c r="J18" s="291">
        <f t="shared" si="9"/>
        <v>1217239.4</v>
      </c>
      <c r="K18" s="291">
        <f t="shared" si="9"/>
        <v>170638</v>
      </c>
      <c r="L18" s="291">
        <f t="shared" si="9"/>
        <v>464393.15</v>
      </c>
      <c r="M18" s="291">
        <f t="shared" si="9"/>
        <v>735039.175</v>
      </c>
      <c r="N18" s="295">
        <f t="shared" si="7"/>
        <v>14671990.29</v>
      </c>
    </row>
    <row r="19">
      <c r="A19" s="296" t="s">
        <v>2044</v>
      </c>
      <c r="B19" s="291">
        <f t="shared" ref="B19:M19" si="10">B5*0.595</f>
        <v>515314.03</v>
      </c>
      <c r="C19" s="291">
        <f t="shared" si="10"/>
        <v>598158.26</v>
      </c>
      <c r="D19" s="291">
        <f t="shared" si="10"/>
        <v>1286507.215</v>
      </c>
      <c r="E19" s="291">
        <f t="shared" si="10"/>
        <v>619680.6</v>
      </c>
      <c r="F19" s="291">
        <f t="shared" si="10"/>
        <v>583487.345</v>
      </c>
      <c r="G19" s="291">
        <f t="shared" si="10"/>
        <v>112155.12</v>
      </c>
      <c r="H19" s="292">
        <f t="shared" si="10"/>
        <v>0</v>
      </c>
      <c r="I19" s="298">
        <f t="shared" si="10"/>
        <v>0</v>
      </c>
      <c r="J19" s="291">
        <f t="shared" si="10"/>
        <v>0</v>
      </c>
      <c r="K19" s="291">
        <f t="shared" si="10"/>
        <v>0</v>
      </c>
      <c r="L19" s="291">
        <f t="shared" si="10"/>
        <v>0</v>
      </c>
      <c r="M19" s="291">
        <f t="shared" si="10"/>
        <v>0</v>
      </c>
      <c r="N19" s="295"/>
    </row>
    <row r="20">
      <c r="A20" s="296" t="s">
        <v>2056</v>
      </c>
      <c r="B20" s="291">
        <f t="shared" ref="B20:M20" si="11">B6*0.75</f>
        <v>0</v>
      </c>
      <c r="C20" s="291">
        <f t="shared" si="11"/>
        <v>0</v>
      </c>
      <c r="D20" s="291">
        <f t="shared" si="11"/>
        <v>270000</v>
      </c>
      <c r="E20" s="291">
        <f t="shared" si="11"/>
        <v>0</v>
      </c>
      <c r="F20" s="291">
        <f t="shared" si="11"/>
        <v>270000</v>
      </c>
      <c r="G20" s="291">
        <f t="shared" si="11"/>
        <v>2229750</v>
      </c>
      <c r="H20" s="292">
        <f t="shared" si="11"/>
        <v>2240643.75</v>
      </c>
      <c r="I20" s="298">
        <f t="shared" si="11"/>
        <v>2962331.25</v>
      </c>
      <c r="J20" s="291">
        <f t="shared" si="11"/>
        <v>7264371</v>
      </c>
      <c r="K20" s="291">
        <f t="shared" si="11"/>
        <v>6363172.5</v>
      </c>
      <c r="L20" s="291">
        <f t="shared" si="11"/>
        <v>10664010.75</v>
      </c>
      <c r="M20" s="291">
        <f t="shared" si="11"/>
        <v>8136482.25</v>
      </c>
      <c r="N20" s="295">
        <f>SUM(B20:M20)</f>
        <v>40400761.5</v>
      </c>
    </row>
    <row r="21">
      <c r="A21" s="296" t="s">
        <v>2046</v>
      </c>
      <c r="B21" s="291"/>
      <c r="C21" s="291"/>
      <c r="D21" s="291"/>
      <c r="E21" s="291"/>
      <c r="F21" s="291"/>
      <c r="G21" s="291"/>
      <c r="H21" s="292">
        <f t="shared" ref="H21:M21" si="12">H7*0.5</f>
        <v>500000</v>
      </c>
      <c r="I21" s="298">
        <f t="shared" si="12"/>
        <v>0</v>
      </c>
      <c r="J21" s="291">
        <f t="shared" si="12"/>
        <v>0</v>
      </c>
      <c r="K21" s="291">
        <f t="shared" si="12"/>
        <v>0</v>
      </c>
      <c r="L21" s="291">
        <f t="shared" si="12"/>
        <v>0</v>
      </c>
      <c r="M21" s="291">
        <f t="shared" si="12"/>
        <v>0</v>
      </c>
      <c r="N21" s="295"/>
    </row>
    <row r="22">
      <c r="A22" s="296" t="s">
        <v>2047</v>
      </c>
      <c r="B22" s="291"/>
      <c r="C22" s="291"/>
      <c r="D22" s="291"/>
      <c r="E22" s="291"/>
      <c r="F22" s="291"/>
      <c r="G22" s="291">
        <f t="shared" ref="G22:M22" si="13">G8*0.9</f>
        <v>1890000</v>
      </c>
      <c r="H22" s="292">
        <f t="shared" si="13"/>
        <v>8647200</v>
      </c>
      <c r="I22" s="298">
        <f t="shared" si="13"/>
        <v>12632787</v>
      </c>
      <c r="J22" s="291">
        <f t="shared" si="13"/>
        <v>2665383.3</v>
      </c>
      <c r="K22" s="291">
        <f t="shared" si="13"/>
        <v>7635807</v>
      </c>
      <c r="L22" s="291">
        <f t="shared" si="13"/>
        <v>9348057</v>
      </c>
      <c r="M22" s="291">
        <f t="shared" si="13"/>
        <v>5010750</v>
      </c>
      <c r="N22" s="295">
        <f t="shared" ref="N22:N23" si="16">SUM(B22:M22)</f>
        <v>47829984.3</v>
      </c>
    </row>
    <row r="23">
      <c r="A23" s="300" t="s">
        <v>2048</v>
      </c>
      <c r="B23" s="291">
        <v>0.0</v>
      </c>
      <c r="C23" s="291">
        <v>0.0</v>
      </c>
      <c r="D23" s="291">
        <v>0.0</v>
      </c>
      <c r="E23" s="291">
        <v>0.0</v>
      </c>
      <c r="F23" s="291">
        <v>0.0</v>
      </c>
      <c r="G23" s="291">
        <f>G9*0.45</f>
        <v>0</v>
      </c>
      <c r="H23" s="292">
        <f t="shared" ref="H23:K23" si="14">H9*0.76</f>
        <v>0</v>
      </c>
      <c r="I23" s="298">
        <f t="shared" si="14"/>
        <v>0</v>
      </c>
      <c r="J23" s="291">
        <f t="shared" si="14"/>
        <v>0</v>
      </c>
      <c r="K23" s="291">
        <f t="shared" si="14"/>
        <v>399000</v>
      </c>
      <c r="L23" s="291">
        <f t="shared" ref="L23:M23" si="15">L9*0.78</f>
        <v>783783</v>
      </c>
      <c r="M23" s="291">
        <f t="shared" si="15"/>
        <v>409500</v>
      </c>
      <c r="N23" s="295">
        <f t="shared" si="16"/>
        <v>1592283</v>
      </c>
    </row>
    <row r="24">
      <c r="A24" s="300" t="s">
        <v>2049</v>
      </c>
      <c r="B24" s="291"/>
      <c r="C24" s="291"/>
      <c r="D24" s="291"/>
      <c r="E24" s="291"/>
      <c r="F24" s="291"/>
      <c r="G24" s="291"/>
      <c r="H24" s="292"/>
      <c r="I24" s="298"/>
      <c r="J24" s="291">
        <f t="shared" ref="J24:M24" si="17">J10*0.72</f>
        <v>0</v>
      </c>
      <c r="K24" s="291">
        <f t="shared" si="17"/>
        <v>1080000</v>
      </c>
      <c r="L24" s="291">
        <f t="shared" si="17"/>
        <v>2520000</v>
      </c>
      <c r="M24" s="291">
        <f t="shared" si="17"/>
        <v>2160014.4</v>
      </c>
      <c r="N24" s="295"/>
    </row>
    <row r="25">
      <c r="A25" s="300" t="s">
        <v>2050</v>
      </c>
      <c r="B25" s="291"/>
      <c r="C25" s="291"/>
      <c r="D25" s="291"/>
      <c r="E25" s="291"/>
      <c r="F25" s="291"/>
      <c r="G25" s="291"/>
      <c r="H25" s="292"/>
      <c r="I25" s="298"/>
      <c r="J25" s="291">
        <f t="shared" ref="J25:M25" si="18">J11*0.88</f>
        <v>380606.16</v>
      </c>
      <c r="K25" s="291">
        <f t="shared" si="18"/>
        <v>1871890.24</v>
      </c>
      <c r="L25" s="291">
        <f t="shared" si="18"/>
        <v>761213.2</v>
      </c>
      <c r="M25" s="291">
        <f t="shared" si="18"/>
        <v>785406.16</v>
      </c>
      <c r="N25" s="295"/>
    </row>
    <row r="26">
      <c r="A26" s="300" t="s">
        <v>2051</v>
      </c>
      <c r="B26" s="291"/>
      <c r="C26" s="291"/>
      <c r="D26" s="291"/>
      <c r="E26" s="291"/>
      <c r="F26" s="291"/>
      <c r="G26" s="291"/>
      <c r="H26" s="292"/>
      <c r="I26" s="298"/>
      <c r="J26" s="291"/>
      <c r="K26" s="291"/>
      <c r="L26" s="291">
        <f t="shared" ref="L26:M26" si="19">L12*0</f>
        <v>0</v>
      </c>
      <c r="M26" s="291">
        <f t="shared" si="19"/>
        <v>0</v>
      </c>
      <c r="N26" s="295"/>
    </row>
    <row r="27">
      <c r="A27" s="327" t="s">
        <v>2052</v>
      </c>
      <c r="B27" s="328">
        <f t="shared" ref="B27:E27" si="20">B13*0.75</f>
        <v>0</v>
      </c>
      <c r="C27" s="328">
        <f t="shared" si="20"/>
        <v>0</v>
      </c>
      <c r="D27" s="328">
        <f t="shared" si="20"/>
        <v>0</v>
      </c>
      <c r="E27" s="328">
        <f t="shared" si="20"/>
        <v>0</v>
      </c>
      <c r="F27" s="328">
        <f t="shared" ref="F27:M27" si="21">F13*0.8</f>
        <v>0</v>
      </c>
      <c r="G27" s="329">
        <f t="shared" si="21"/>
        <v>0</v>
      </c>
      <c r="H27" s="330">
        <f t="shared" si="21"/>
        <v>0</v>
      </c>
      <c r="I27" s="331">
        <f t="shared" si="21"/>
        <v>0</v>
      </c>
      <c r="J27" s="332">
        <f t="shared" si="21"/>
        <v>0</v>
      </c>
      <c r="K27" s="328">
        <f t="shared" si="21"/>
        <v>0</v>
      </c>
      <c r="L27" s="328">
        <f t="shared" si="21"/>
        <v>0</v>
      </c>
      <c r="M27" s="328">
        <f t="shared" si="21"/>
        <v>0</v>
      </c>
      <c r="N27" s="295">
        <f>SUM(B27:M27)</f>
        <v>0</v>
      </c>
    </row>
    <row r="28">
      <c r="H28" s="308"/>
      <c r="I28" s="309"/>
      <c r="N28" s="310"/>
    </row>
    <row r="29">
      <c r="A29" s="333" t="s">
        <v>2057</v>
      </c>
      <c r="B29" s="334">
        <f t="shared" ref="B29:M29" si="22">SUM(B30:B47)</f>
        <v>425000</v>
      </c>
      <c r="C29" s="334">
        <f t="shared" si="22"/>
        <v>665000</v>
      </c>
      <c r="D29" s="334">
        <f t="shared" si="22"/>
        <v>715000</v>
      </c>
      <c r="E29" s="334">
        <f t="shared" si="22"/>
        <v>1042000</v>
      </c>
      <c r="F29" s="334">
        <f t="shared" si="22"/>
        <v>975000</v>
      </c>
      <c r="G29" s="335">
        <f t="shared" si="22"/>
        <v>1095000</v>
      </c>
      <c r="H29" s="336">
        <f t="shared" si="22"/>
        <v>1405000</v>
      </c>
      <c r="I29" s="337">
        <f t="shared" si="22"/>
        <v>1335000</v>
      </c>
      <c r="J29" s="338">
        <f t="shared" si="22"/>
        <v>1365000</v>
      </c>
      <c r="K29" s="334">
        <f t="shared" si="22"/>
        <v>1435000</v>
      </c>
      <c r="L29" s="334">
        <f t="shared" si="22"/>
        <v>1610000</v>
      </c>
      <c r="M29" s="334">
        <f t="shared" si="22"/>
        <v>1745000</v>
      </c>
      <c r="N29" s="339">
        <f t="shared" ref="N29:N35" si="23">SUM(B29:M29)</f>
        <v>13812000</v>
      </c>
    </row>
    <row r="30">
      <c r="A30" s="340" t="s">
        <v>2058</v>
      </c>
      <c r="B30" s="291">
        <v>0.0</v>
      </c>
      <c r="C30" s="291">
        <v>0.0</v>
      </c>
      <c r="D30" s="291">
        <v>0.0</v>
      </c>
      <c r="E30" s="291">
        <v>0.0</v>
      </c>
      <c r="F30" s="291">
        <v>0.0</v>
      </c>
      <c r="G30" s="291">
        <v>0.0</v>
      </c>
      <c r="H30" s="341">
        <v>200000.0</v>
      </c>
      <c r="I30" s="293">
        <v>200000.0</v>
      </c>
      <c r="J30" s="294">
        <v>200000.0</v>
      </c>
      <c r="K30" s="294">
        <v>200000.0</v>
      </c>
      <c r="L30" s="294">
        <v>200000.0</v>
      </c>
      <c r="M30" s="294">
        <v>200000.0</v>
      </c>
      <c r="N30" s="295">
        <f t="shared" si="23"/>
        <v>1200000</v>
      </c>
    </row>
    <row r="31">
      <c r="A31" s="340" t="s">
        <v>2059</v>
      </c>
      <c r="B31" s="291">
        <v>100000.0</v>
      </c>
      <c r="C31" s="291">
        <v>300000.0</v>
      </c>
      <c r="D31" s="291">
        <v>300000.0</v>
      </c>
      <c r="E31" s="291">
        <v>300000.0</v>
      </c>
      <c r="F31" s="291">
        <v>300000.0</v>
      </c>
      <c r="G31" s="291">
        <v>300000.0</v>
      </c>
      <c r="H31" s="292">
        <v>300000.0</v>
      </c>
      <c r="I31" s="298">
        <v>300000.0</v>
      </c>
      <c r="J31" s="291">
        <v>300000.0</v>
      </c>
      <c r="K31" s="291">
        <v>300000.0</v>
      </c>
      <c r="L31" s="291">
        <v>300000.0</v>
      </c>
      <c r="M31" s="291">
        <v>300000.0</v>
      </c>
      <c r="N31" s="295">
        <f t="shared" si="23"/>
        <v>3400000</v>
      </c>
    </row>
    <row r="32">
      <c r="A32" s="340" t="s">
        <v>2060</v>
      </c>
      <c r="B32" s="291">
        <v>0.0</v>
      </c>
      <c r="C32" s="291">
        <v>0.0</v>
      </c>
      <c r="D32" s="291">
        <v>0.0</v>
      </c>
      <c r="E32" s="291">
        <v>0.0</v>
      </c>
      <c r="F32" s="291">
        <v>0.0</v>
      </c>
      <c r="G32" s="291">
        <v>0.0</v>
      </c>
      <c r="H32" s="292">
        <v>0.0</v>
      </c>
      <c r="I32" s="298">
        <v>0.0</v>
      </c>
      <c r="J32" s="291"/>
      <c r="K32" s="291"/>
      <c r="L32" s="291"/>
      <c r="M32" s="291"/>
      <c r="N32" s="295">
        <f t="shared" si="23"/>
        <v>0</v>
      </c>
    </row>
    <row r="33">
      <c r="A33" s="340" t="s">
        <v>2061</v>
      </c>
      <c r="B33" s="291">
        <v>130000.0</v>
      </c>
      <c r="C33" s="291">
        <v>130000.0</v>
      </c>
      <c r="D33" s="291">
        <v>130000.0</v>
      </c>
      <c r="E33" s="291">
        <v>230000.0</v>
      </c>
      <c r="F33" s="291">
        <v>130000.0</v>
      </c>
      <c r="G33" s="291">
        <v>130000.0</v>
      </c>
      <c r="H33" s="292">
        <v>200000.0</v>
      </c>
      <c r="I33" s="298">
        <v>200000.0</v>
      </c>
      <c r="J33" s="291">
        <v>200000.0</v>
      </c>
      <c r="K33" s="291">
        <v>200000.0</v>
      </c>
      <c r="L33" s="291">
        <v>200000.0</v>
      </c>
      <c r="M33" s="291">
        <v>200000.0</v>
      </c>
      <c r="N33" s="295">
        <f t="shared" si="23"/>
        <v>2080000</v>
      </c>
    </row>
    <row r="34">
      <c r="A34" s="296" t="s">
        <v>2062</v>
      </c>
      <c r="B34" s="291">
        <v>0.0</v>
      </c>
      <c r="C34" s="291">
        <v>0.0</v>
      </c>
      <c r="D34" s="291">
        <v>0.0</v>
      </c>
      <c r="E34" s="291">
        <v>50000.0</v>
      </c>
      <c r="F34" s="291">
        <v>50000.0</v>
      </c>
      <c r="G34" s="291">
        <v>50000.0</v>
      </c>
      <c r="H34" s="292"/>
      <c r="I34" s="298"/>
      <c r="J34" s="291"/>
      <c r="K34" s="294">
        <v>40000.0</v>
      </c>
      <c r="L34" s="294">
        <v>65000.0</v>
      </c>
      <c r="M34" s="294"/>
      <c r="N34" s="295">
        <f t="shared" si="23"/>
        <v>255000</v>
      </c>
    </row>
    <row r="35">
      <c r="A35" s="296" t="s">
        <v>2062</v>
      </c>
      <c r="B35" s="291">
        <v>0.0</v>
      </c>
      <c r="C35" s="291">
        <v>0.0</v>
      </c>
      <c r="D35" s="291">
        <v>0.0</v>
      </c>
      <c r="E35" s="291">
        <v>0.0</v>
      </c>
      <c r="F35" s="291">
        <v>100000.0</v>
      </c>
      <c r="G35" s="291">
        <v>100000.0</v>
      </c>
      <c r="H35" s="292">
        <v>100000.0</v>
      </c>
      <c r="I35" s="298">
        <v>100000.0</v>
      </c>
      <c r="J35" s="294">
        <v>130000.0</v>
      </c>
      <c r="K35" s="294">
        <v>130000.0</v>
      </c>
      <c r="L35" s="294">
        <v>130000.0</v>
      </c>
      <c r="M35" s="294">
        <v>130000.0</v>
      </c>
      <c r="N35" s="295">
        <f t="shared" si="23"/>
        <v>920000</v>
      </c>
    </row>
    <row r="36">
      <c r="A36" s="300" t="s">
        <v>2063</v>
      </c>
      <c r="B36" s="291"/>
      <c r="C36" s="291"/>
      <c r="D36" s="291"/>
      <c r="E36" s="291"/>
      <c r="F36" s="291"/>
      <c r="G36" s="291"/>
      <c r="H36" s="292"/>
      <c r="I36" s="298"/>
      <c r="J36" s="294"/>
      <c r="K36" s="294"/>
      <c r="L36" s="294">
        <v>50000.0</v>
      </c>
      <c r="M36" s="294">
        <v>50000.0</v>
      </c>
      <c r="N36" s="295"/>
    </row>
    <row r="37">
      <c r="A37" s="300" t="s">
        <v>2064</v>
      </c>
      <c r="B37" s="291"/>
      <c r="C37" s="291"/>
      <c r="D37" s="291"/>
      <c r="E37" s="291"/>
      <c r="F37" s="291"/>
      <c r="G37" s="291"/>
      <c r="H37" s="292"/>
      <c r="I37" s="298"/>
      <c r="J37" s="294"/>
      <c r="K37" s="294"/>
      <c r="L37" s="294">
        <v>30000.0</v>
      </c>
      <c r="M37" s="294">
        <v>30000.0</v>
      </c>
      <c r="N37" s="295"/>
    </row>
    <row r="38">
      <c r="A38" s="340" t="s">
        <v>2065</v>
      </c>
      <c r="B38" s="291">
        <v>170000.0</v>
      </c>
      <c r="C38" s="291">
        <v>170000.0</v>
      </c>
      <c r="D38" s="291">
        <v>170000.0</v>
      </c>
      <c r="E38" s="291">
        <v>170000.0</v>
      </c>
      <c r="F38" s="291">
        <v>170000.0</v>
      </c>
      <c r="G38" s="291">
        <v>100000.0</v>
      </c>
      <c r="H38" s="292">
        <v>170000.0</v>
      </c>
      <c r="I38" s="298">
        <v>170000.0</v>
      </c>
      <c r="J38" s="291">
        <v>170000.0</v>
      </c>
      <c r="K38" s="291">
        <v>170000.0</v>
      </c>
      <c r="L38" s="291">
        <v>170000.0</v>
      </c>
      <c r="M38" s="291">
        <v>170000.0</v>
      </c>
      <c r="N38" s="295">
        <f>SUM(B38:M38)</f>
        <v>1970000</v>
      </c>
    </row>
    <row r="39">
      <c r="A39" s="342" t="s">
        <v>2066</v>
      </c>
      <c r="B39" s="291"/>
      <c r="C39" s="291"/>
      <c r="D39" s="291"/>
      <c r="E39" s="291"/>
      <c r="F39" s="291"/>
      <c r="G39" s="291"/>
      <c r="H39" s="292"/>
      <c r="I39" s="298"/>
      <c r="J39" s="291"/>
      <c r="K39" s="291"/>
      <c r="L39" s="294">
        <v>50000.0</v>
      </c>
      <c r="M39" s="294">
        <v>250000.0</v>
      </c>
      <c r="N39" s="295"/>
    </row>
    <row r="40">
      <c r="A40" s="296" t="s">
        <v>2067</v>
      </c>
      <c r="B40" s="291">
        <v>0.0</v>
      </c>
      <c r="C40" s="291">
        <v>0.0</v>
      </c>
      <c r="D40" s="291">
        <v>0.0</v>
      </c>
      <c r="E40" s="291">
        <v>70000.0</v>
      </c>
      <c r="F40" s="291">
        <v>70000.0</v>
      </c>
      <c r="G40" s="291">
        <v>70000.0</v>
      </c>
      <c r="H40" s="292">
        <v>70000.0</v>
      </c>
      <c r="I40" s="298">
        <v>0.0</v>
      </c>
      <c r="J40" s="291">
        <v>0.0</v>
      </c>
      <c r="K40" s="291">
        <v>0.0</v>
      </c>
      <c r="L40" s="291">
        <v>0.0</v>
      </c>
      <c r="M40" s="291">
        <v>0.0</v>
      </c>
      <c r="N40" s="295">
        <f t="shared" ref="N40:N47" si="24">SUM(B40:M40)</f>
        <v>280000</v>
      </c>
    </row>
    <row r="41">
      <c r="A41" s="296" t="s">
        <v>2067</v>
      </c>
      <c r="B41" s="291">
        <v>0.0</v>
      </c>
      <c r="C41" s="291">
        <v>0.0</v>
      </c>
      <c r="D41" s="291">
        <v>0.0</v>
      </c>
      <c r="E41" s="291">
        <v>0.0</v>
      </c>
      <c r="F41" s="291">
        <v>0.0</v>
      </c>
      <c r="G41" s="291">
        <v>0.0</v>
      </c>
      <c r="H41" s="292">
        <v>0.0</v>
      </c>
      <c r="I41" s="298">
        <v>0.0</v>
      </c>
      <c r="J41" s="291">
        <v>0.0</v>
      </c>
      <c r="K41" s="291">
        <v>0.0</v>
      </c>
      <c r="L41" s="291">
        <v>0.0</v>
      </c>
      <c r="M41" s="291">
        <v>0.0</v>
      </c>
      <c r="N41" s="295">
        <f t="shared" si="24"/>
        <v>0</v>
      </c>
    </row>
    <row r="42">
      <c r="A42" s="340" t="s">
        <v>2068</v>
      </c>
      <c r="B42" s="291">
        <v>0.0</v>
      </c>
      <c r="C42" s="291">
        <v>0.0</v>
      </c>
      <c r="D42" s="291">
        <v>40000.0</v>
      </c>
      <c r="E42" s="291">
        <v>120000.0</v>
      </c>
      <c r="F42" s="291">
        <v>120000.0</v>
      </c>
      <c r="G42" s="291">
        <v>120000.0</v>
      </c>
      <c r="H42" s="292">
        <v>120000.0</v>
      </c>
      <c r="I42" s="298">
        <v>120000.0</v>
      </c>
      <c r="J42" s="291">
        <v>120000.0</v>
      </c>
      <c r="K42" s="294">
        <v>140000.0</v>
      </c>
      <c r="L42" s="294">
        <v>140000.0</v>
      </c>
      <c r="M42" s="294">
        <v>140000.0</v>
      </c>
      <c r="N42" s="295">
        <f t="shared" si="24"/>
        <v>1180000</v>
      </c>
    </row>
    <row r="43">
      <c r="A43" s="296" t="s">
        <v>2069</v>
      </c>
      <c r="B43" s="291">
        <v>0.0</v>
      </c>
      <c r="C43" s="291">
        <v>40000.0</v>
      </c>
      <c r="D43" s="291">
        <v>40000.0</v>
      </c>
      <c r="E43" s="291">
        <v>67000.0</v>
      </c>
      <c r="F43" s="291">
        <v>0.0</v>
      </c>
      <c r="G43" s="291">
        <v>140000.0</v>
      </c>
      <c r="H43" s="292">
        <v>140000.0</v>
      </c>
      <c r="I43" s="298">
        <v>140000.0</v>
      </c>
      <c r="J43" s="291">
        <v>140000.0</v>
      </c>
      <c r="K43" s="291">
        <v>140000.0</v>
      </c>
      <c r="L43" s="291">
        <v>140000.0</v>
      </c>
      <c r="M43" s="291">
        <v>140000.0</v>
      </c>
      <c r="N43" s="295">
        <f t="shared" si="24"/>
        <v>1127000</v>
      </c>
    </row>
    <row r="44">
      <c r="A44" s="296" t="s">
        <v>2069</v>
      </c>
      <c r="B44" s="291">
        <v>0.0</v>
      </c>
      <c r="C44" s="291">
        <v>0.0</v>
      </c>
      <c r="D44" s="291">
        <v>0.0</v>
      </c>
      <c r="E44" s="291">
        <v>0.0</v>
      </c>
      <c r="F44" s="291">
        <v>0.0</v>
      </c>
      <c r="G44" s="291">
        <v>0.0</v>
      </c>
      <c r="H44" s="292">
        <v>0.0</v>
      </c>
      <c r="I44" s="298"/>
      <c r="J44" s="291"/>
      <c r="K44" s="291"/>
      <c r="L44" s="291"/>
      <c r="M44" s="291"/>
      <c r="N44" s="295">
        <f t="shared" si="24"/>
        <v>0</v>
      </c>
    </row>
    <row r="45">
      <c r="A45" s="296" t="s">
        <v>2070</v>
      </c>
      <c r="B45" s="291">
        <v>25000.0</v>
      </c>
      <c r="C45" s="291">
        <v>25000.0</v>
      </c>
      <c r="D45" s="291">
        <v>35000.0</v>
      </c>
      <c r="E45" s="291">
        <v>35000.0</v>
      </c>
      <c r="F45" s="291">
        <v>35000.0</v>
      </c>
      <c r="G45" s="291">
        <v>35000.0</v>
      </c>
      <c r="H45" s="292">
        <v>55000.0</v>
      </c>
      <c r="I45" s="298">
        <v>55000.0</v>
      </c>
      <c r="J45" s="291">
        <v>55000.0</v>
      </c>
      <c r="K45" s="291">
        <v>55000.0</v>
      </c>
      <c r="L45" s="291">
        <v>55000.0</v>
      </c>
      <c r="M45" s="291">
        <v>55000.0</v>
      </c>
      <c r="N45" s="295">
        <f t="shared" si="24"/>
        <v>520000</v>
      </c>
    </row>
    <row r="46">
      <c r="A46" s="296" t="s">
        <v>2071</v>
      </c>
      <c r="B46" s="291">
        <v>0.0</v>
      </c>
      <c r="C46" s="291">
        <v>0.0</v>
      </c>
      <c r="D46" s="291">
        <v>0.0</v>
      </c>
      <c r="E46" s="291">
        <v>0.0</v>
      </c>
      <c r="F46" s="291">
        <v>0.0</v>
      </c>
      <c r="G46" s="291">
        <v>50000.0</v>
      </c>
      <c r="H46" s="292">
        <v>50000.0</v>
      </c>
      <c r="I46" s="298">
        <v>50000.0</v>
      </c>
      <c r="J46" s="291">
        <v>50000.0</v>
      </c>
      <c r="K46" s="294">
        <v>60000.0</v>
      </c>
      <c r="L46" s="294">
        <v>80000.0</v>
      </c>
      <c r="M46" s="294">
        <v>80000.0</v>
      </c>
      <c r="N46" s="295">
        <f t="shared" si="24"/>
        <v>420000</v>
      </c>
    </row>
    <row r="47">
      <c r="A47" s="303" t="s">
        <v>2072</v>
      </c>
      <c r="B47" s="304"/>
      <c r="C47" s="304"/>
      <c r="D47" s="304"/>
      <c r="E47" s="304"/>
      <c r="F47" s="304"/>
      <c r="G47" s="304"/>
      <c r="H47" s="343"/>
      <c r="I47" s="344"/>
      <c r="J47" s="304"/>
      <c r="K47" s="304"/>
      <c r="L47" s="304"/>
      <c r="M47" s="304"/>
      <c r="N47" s="307">
        <f t="shared" si="24"/>
        <v>0</v>
      </c>
    </row>
    <row r="48">
      <c r="A48" s="296"/>
      <c r="B48" s="291"/>
      <c r="C48" s="291"/>
      <c r="D48" s="291"/>
      <c r="E48" s="291"/>
      <c r="F48" s="291"/>
      <c r="G48" s="291"/>
      <c r="H48" s="292"/>
      <c r="I48" s="298"/>
      <c r="J48" s="291"/>
      <c r="K48" s="291"/>
      <c r="L48" s="291"/>
      <c r="M48" s="291"/>
      <c r="N48" s="310"/>
    </row>
    <row r="49">
      <c r="A49" s="333" t="s">
        <v>2073</v>
      </c>
      <c r="B49" s="334">
        <f t="shared" ref="B49:H49" si="25">B50/0.72+B51/0.72+B54+B55+B58+B56</f>
        <v>53372.712</v>
      </c>
      <c r="C49" s="334">
        <f t="shared" si="25"/>
        <v>76291.296</v>
      </c>
      <c r="D49" s="334">
        <f t="shared" si="25"/>
        <v>527588.1067</v>
      </c>
      <c r="E49" s="334">
        <f t="shared" si="25"/>
        <v>585173.76</v>
      </c>
      <c r="F49" s="334">
        <f t="shared" si="25"/>
        <v>558797.5298</v>
      </c>
      <c r="G49" s="335">
        <f t="shared" si="25"/>
        <v>730756.5822</v>
      </c>
      <c r="H49" s="336">
        <f t="shared" si="25"/>
        <v>582319.4444</v>
      </c>
      <c r="I49" s="337">
        <f>I50/0.72+I51/0.72+I54+I55+I58+I56+I57</f>
        <v>556352.7778</v>
      </c>
      <c r="J49" s="338">
        <f t="shared" ref="J49:M49" si="26">J50/0.72+J51/0.72+sum(J52:J58)</f>
        <v>926180.5556</v>
      </c>
      <c r="K49" s="334">
        <f t="shared" si="26"/>
        <v>505000</v>
      </c>
      <c r="L49" s="334">
        <f t="shared" si="26"/>
        <v>958055.5556</v>
      </c>
      <c r="M49" s="334">
        <f t="shared" si="26"/>
        <v>1261805.556</v>
      </c>
      <c r="N49" s="339">
        <f t="shared" ref="N49:N51" si="27">SUM(B49:M49)</f>
        <v>7321693.876</v>
      </c>
    </row>
    <row r="50">
      <c r="A50" s="290" t="s">
        <v>2074</v>
      </c>
      <c r="B50" s="291"/>
      <c r="C50" s="291"/>
      <c r="D50" s="291"/>
      <c r="E50" s="291"/>
      <c r="F50" s="291">
        <v>50000.0</v>
      </c>
      <c r="G50" s="291">
        <v>50000.0</v>
      </c>
      <c r="H50" s="292">
        <v>50000.0</v>
      </c>
      <c r="I50" s="298">
        <v>50000.0</v>
      </c>
      <c r="J50" s="291"/>
      <c r="K50" s="291"/>
      <c r="L50" s="291"/>
      <c r="M50" s="291"/>
      <c r="N50" s="295">
        <f t="shared" si="27"/>
        <v>200000</v>
      </c>
    </row>
    <row r="51">
      <c r="A51" s="290" t="s">
        <v>160</v>
      </c>
      <c r="B51" s="291"/>
      <c r="C51" s="291"/>
      <c r="D51" s="291">
        <f>220000*1.2</f>
        <v>264000</v>
      </c>
      <c r="E51" s="291">
        <f>220000*1.2+60000</f>
        <v>324000</v>
      </c>
      <c r="F51" s="291">
        <v>240000.0</v>
      </c>
      <c r="G51" s="291">
        <v>371000.0</v>
      </c>
      <c r="H51" s="345">
        <v>369270.0</v>
      </c>
      <c r="I51" s="346">
        <v>350574.0</v>
      </c>
      <c r="J51" s="294">
        <v>76450.0</v>
      </c>
      <c r="K51" s="291"/>
      <c r="L51" s="294">
        <v>175000.0</v>
      </c>
      <c r="M51" s="294">
        <v>98500.0</v>
      </c>
      <c r="N51" s="295">
        <f t="shared" si="27"/>
        <v>2268794</v>
      </c>
    </row>
    <row r="52">
      <c r="A52" s="300" t="s">
        <v>382</v>
      </c>
      <c r="B52" s="291"/>
      <c r="C52" s="291"/>
      <c r="D52" s="291"/>
      <c r="E52" s="291"/>
      <c r="F52" s="291"/>
      <c r="G52" s="291"/>
      <c r="H52" s="292"/>
      <c r="I52" s="298"/>
      <c r="J52" s="294">
        <v>795000.0</v>
      </c>
      <c r="K52" s="291"/>
      <c r="L52" s="291"/>
      <c r="M52" s="291"/>
      <c r="N52" s="295"/>
    </row>
    <row r="53">
      <c r="A53" s="300" t="s">
        <v>2075</v>
      </c>
      <c r="B53" s="291"/>
      <c r="C53" s="291"/>
      <c r="D53" s="291"/>
      <c r="E53" s="291"/>
      <c r="F53" s="291"/>
      <c r="G53" s="291"/>
      <c r="H53" s="292"/>
      <c r="I53" s="298"/>
      <c r="J53" s="294"/>
      <c r="K53" s="291"/>
      <c r="L53" s="294">
        <v>315000.0</v>
      </c>
      <c r="M53" s="291"/>
      <c r="N53" s="295"/>
    </row>
    <row r="54">
      <c r="A54" s="296" t="s">
        <v>2076</v>
      </c>
      <c r="B54" s="291"/>
      <c r="C54" s="291"/>
      <c r="D54" s="291"/>
      <c r="E54" s="291"/>
      <c r="F54" s="291"/>
      <c r="G54" s="291"/>
      <c r="H54" s="292"/>
      <c r="I54" s="298"/>
      <c r="J54" s="291"/>
      <c r="K54" s="291"/>
      <c r="L54" s="291"/>
      <c r="M54" s="291"/>
      <c r="N54" s="295">
        <f t="shared" ref="N54:N56" si="28">SUM(B54:M54)</f>
        <v>0</v>
      </c>
    </row>
    <row r="55">
      <c r="A55" s="296" t="s">
        <v>2077</v>
      </c>
      <c r="B55" s="291"/>
      <c r="C55" s="291"/>
      <c r="D55" s="291"/>
      <c r="E55" s="291"/>
      <c r="F55" s="291"/>
      <c r="G55" s="291"/>
      <c r="H55" s="292"/>
      <c r="I55" s="298"/>
      <c r="J55" s="291"/>
      <c r="K55" s="294">
        <v>480000.0</v>
      </c>
      <c r="L55" s="291"/>
      <c r="M55" s="291"/>
      <c r="N55" s="295">
        <f t="shared" si="28"/>
        <v>480000</v>
      </c>
    </row>
    <row r="56">
      <c r="A56" s="296" t="s">
        <v>2078</v>
      </c>
      <c r="B56" s="291"/>
      <c r="C56" s="291"/>
      <c r="D56" s="291"/>
      <c r="E56" s="291"/>
      <c r="F56" s="291"/>
      <c r="G56" s="291"/>
      <c r="H56" s="292"/>
      <c r="I56" s="298"/>
      <c r="J56" s="291"/>
      <c r="K56" s="294"/>
      <c r="L56" s="294">
        <v>25000.0</v>
      </c>
      <c r="M56" s="294">
        <v>100000.0</v>
      </c>
      <c r="N56" s="295">
        <f t="shared" si="28"/>
        <v>125000</v>
      </c>
    </row>
    <row r="57">
      <c r="A57" s="296" t="s">
        <v>2079</v>
      </c>
      <c r="B57" s="291"/>
      <c r="C57" s="291"/>
      <c r="D57" s="291"/>
      <c r="E57" s="291"/>
      <c r="F57" s="291"/>
      <c r="G57" s="291"/>
      <c r="H57" s="292"/>
      <c r="I57" s="298"/>
      <c r="J57" s="291"/>
      <c r="K57" s="291"/>
      <c r="L57" s="294">
        <v>350000.0</v>
      </c>
      <c r="M57" s="294">
        <v>1000000.0</v>
      </c>
      <c r="N57" s="295"/>
    </row>
    <row r="58">
      <c r="A58" s="290" t="s">
        <v>2080</v>
      </c>
      <c r="B58" s="291">
        <f t="shared" ref="B58:G58" si="29">B2*0.02</f>
        <v>53372.712</v>
      </c>
      <c r="C58" s="291">
        <f t="shared" si="29"/>
        <v>76291.296</v>
      </c>
      <c r="D58" s="291">
        <f t="shared" si="29"/>
        <v>160921.44</v>
      </c>
      <c r="E58" s="291">
        <f t="shared" si="29"/>
        <v>135173.76</v>
      </c>
      <c r="F58" s="291">
        <f t="shared" si="29"/>
        <v>156019.752</v>
      </c>
      <c r="G58" s="291">
        <f t="shared" si="29"/>
        <v>146034.36</v>
      </c>
      <c r="H58" s="292"/>
      <c r="I58" s="298"/>
      <c r="J58" s="291">
        <v>25000.0</v>
      </c>
      <c r="K58" s="291">
        <v>25000.0</v>
      </c>
      <c r="L58" s="291">
        <v>25000.0</v>
      </c>
      <c r="M58" s="291">
        <v>25000.0</v>
      </c>
      <c r="N58" s="295">
        <f>SUM(B58:M58)</f>
        <v>827813.32</v>
      </c>
    </row>
    <row r="59">
      <c r="A59" s="296"/>
      <c r="B59" s="291"/>
      <c r="C59" s="291"/>
      <c r="D59" s="291"/>
      <c r="E59" s="291"/>
      <c r="F59" s="291"/>
      <c r="G59" s="291"/>
      <c r="H59" s="292"/>
      <c r="I59" s="298"/>
      <c r="J59" s="291"/>
      <c r="K59" s="291"/>
      <c r="L59" s="291"/>
      <c r="M59" s="291"/>
      <c r="N59" s="310"/>
    </row>
    <row r="60">
      <c r="A60" s="347" t="s">
        <v>2081</v>
      </c>
      <c r="B60" s="348">
        <f t="shared" ref="B60:N60" si="30">B2-B16-B29-B49-B61-B62-B63</f>
        <v>86570.98496</v>
      </c>
      <c r="C60" s="348">
        <f t="shared" si="30"/>
        <v>44047.8464</v>
      </c>
      <c r="D60" s="348">
        <f t="shared" si="30"/>
        <v>560959.7359</v>
      </c>
      <c r="E60" s="348">
        <f t="shared" si="30"/>
        <v>-265652.8333</v>
      </c>
      <c r="F60" s="348">
        <f t="shared" si="30"/>
        <v>145023.3806</v>
      </c>
      <c r="G60" s="349">
        <f t="shared" si="30"/>
        <v>-758466.4155</v>
      </c>
      <c r="H60" s="350">
        <f t="shared" si="30"/>
        <v>45473.53316</v>
      </c>
      <c r="I60" s="351">
        <f t="shared" si="30"/>
        <v>447989.595</v>
      </c>
      <c r="J60" s="352">
        <f t="shared" si="30"/>
        <v>562001.7841</v>
      </c>
      <c r="K60" s="348">
        <f t="shared" si="30"/>
        <v>1070672.532</v>
      </c>
      <c r="L60" s="348">
        <f t="shared" si="30"/>
        <v>2483717.328</v>
      </c>
      <c r="M60" s="348">
        <f t="shared" si="30"/>
        <v>1150737.391</v>
      </c>
      <c r="N60" s="353">
        <f t="shared" si="30"/>
        <v>5573074.863</v>
      </c>
    </row>
    <row r="61">
      <c r="A61" s="290" t="s">
        <v>2082</v>
      </c>
      <c r="B61" s="291">
        <f t="shared" ref="B61:M61" si="31">B29*0.48</f>
        <v>204000</v>
      </c>
      <c r="C61" s="291">
        <f t="shared" si="31"/>
        <v>319200</v>
      </c>
      <c r="D61" s="291">
        <f t="shared" si="31"/>
        <v>343200</v>
      </c>
      <c r="E61" s="291">
        <f t="shared" si="31"/>
        <v>500160</v>
      </c>
      <c r="F61" s="291">
        <f t="shared" si="31"/>
        <v>468000</v>
      </c>
      <c r="G61" s="291">
        <f t="shared" si="31"/>
        <v>525600</v>
      </c>
      <c r="H61" s="292">
        <f t="shared" si="31"/>
        <v>674400</v>
      </c>
      <c r="I61" s="298">
        <f t="shared" si="31"/>
        <v>640800</v>
      </c>
      <c r="J61" s="291">
        <f t="shared" si="31"/>
        <v>655200</v>
      </c>
      <c r="K61" s="291">
        <f t="shared" si="31"/>
        <v>688800</v>
      </c>
      <c r="L61" s="291">
        <f t="shared" si="31"/>
        <v>772800</v>
      </c>
      <c r="M61" s="291">
        <f t="shared" si="31"/>
        <v>837600</v>
      </c>
      <c r="N61" s="295">
        <f t="shared" ref="N61:N63" si="33">SUM(B61:M61)</f>
        <v>6629760</v>
      </c>
    </row>
    <row r="62">
      <c r="A62" s="296" t="s">
        <v>18</v>
      </c>
      <c r="B62" s="291">
        <f t="shared" ref="B62:M62" si="32">(B2-B16-B49)*0.2</f>
        <v>184303.4328</v>
      </c>
      <c r="C62" s="291">
        <f t="shared" si="32"/>
        <v>259814.952</v>
      </c>
      <c r="D62" s="291">
        <f t="shared" si="32"/>
        <v>439849.9175</v>
      </c>
      <c r="E62" s="291">
        <f t="shared" si="32"/>
        <v>302523.4896</v>
      </c>
      <c r="F62" s="291">
        <f t="shared" si="32"/>
        <v>406069.8064</v>
      </c>
      <c r="G62" s="291">
        <f t="shared" si="32"/>
        <v>168129.2452</v>
      </c>
      <c r="H62" s="292">
        <f t="shared" si="32"/>
        <v>534060.4791</v>
      </c>
      <c r="I62" s="298">
        <f t="shared" si="32"/>
        <v>633946.7484</v>
      </c>
      <c r="J62" s="291">
        <f t="shared" si="32"/>
        <v>680675.5575</v>
      </c>
      <c r="K62" s="291">
        <f t="shared" si="32"/>
        <v>865535.1664</v>
      </c>
      <c r="L62" s="291">
        <f t="shared" si="32"/>
        <v>1371861.665</v>
      </c>
      <c r="M62" s="291">
        <f t="shared" si="32"/>
        <v>1005255.435</v>
      </c>
      <c r="N62" s="295">
        <f t="shared" si="33"/>
        <v>6852025.895</v>
      </c>
    </row>
    <row r="63">
      <c r="A63" s="296" t="s">
        <v>2083</v>
      </c>
      <c r="B63" s="291">
        <f t="shared" ref="B63:M63" si="34">(B2-B16-B29-B61-B49-B62)*0.2</f>
        <v>21642.74624</v>
      </c>
      <c r="C63" s="291">
        <f t="shared" si="34"/>
        <v>11011.9616</v>
      </c>
      <c r="D63" s="291">
        <f t="shared" si="34"/>
        <v>140239.934</v>
      </c>
      <c r="E63" s="291">
        <f t="shared" si="34"/>
        <v>-66413.20832</v>
      </c>
      <c r="F63" s="291">
        <f t="shared" si="34"/>
        <v>36255.84516</v>
      </c>
      <c r="G63" s="291">
        <f t="shared" si="34"/>
        <v>-189616.6039</v>
      </c>
      <c r="H63" s="292">
        <f t="shared" si="34"/>
        <v>11368.38329</v>
      </c>
      <c r="I63" s="298">
        <f t="shared" si="34"/>
        <v>111997.3988</v>
      </c>
      <c r="J63" s="291">
        <f t="shared" si="34"/>
        <v>140500.446</v>
      </c>
      <c r="K63" s="291">
        <f t="shared" si="34"/>
        <v>267668.1331</v>
      </c>
      <c r="L63" s="291">
        <f t="shared" si="34"/>
        <v>620929.3319</v>
      </c>
      <c r="M63" s="291">
        <f t="shared" si="34"/>
        <v>287684.3478</v>
      </c>
      <c r="N63" s="295">
        <f t="shared" si="33"/>
        <v>1393268.716</v>
      </c>
    </row>
    <row r="64">
      <c r="A64" s="296"/>
      <c r="B64" s="291"/>
      <c r="C64" s="291"/>
      <c r="D64" s="291"/>
      <c r="E64" s="291"/>
      <c r="F64" s="291"/>
      <c r="G64" s="291"/>
      <c r="H64" s="292"/>
      <c r="I64" s="298"/>
      <c r="J64" s="291"/>
      <c r="K64" s="291"/>
      <c r="L64" s="291"/>
      <c r="M64" s="291"/>
      <c r="N64" s="295"/>
    </row>
    <row r="65">
      <c r="A65" s="354" t="s">
        <v>2084</v>
      </c>
      <c r="B65" s="355"/>
      <c r="C65" s="355"/>
      <c r="D65" s="355"/>
      <c r="E65" s="355"/>
      <c r="F65" s="355"/>
      <c r="G65" s="356"/>
      <c r="H65" s="357"/>
      <c r="I65" s="358"/>
      <c r="J65" s="359"/>
      <c r="K65" s="355"/>
      <c r="L65" s="355"/>
      <c r="M65" s="355"/>
      <c r="N65" s="360"/>
    </row>
    <row r="66">
      <c r="A66" s="296" t="s">
        <v>2085</v>
      </c>
      <c r="B66" s="361">
        <f t="shared" ref="B66:N66" si="35">B16/B2</f>
        <v>0.6346860261</v>
      </c>
      <c r="C66" s="361">
        <f t="shared" si="35"/>
        <v>0.6394435203</v>
      </c>
      <c r="D66" s="361">
        <f t="shared" si="35"/>
        <v>0.6610970305</v>
      </c>
      <c r="E66" s="361">
        <f t="shared" si="35"/>
        <v>0.6896156165</v>
      </c>
      <c r="F66" s="361">
        <f t="shared" si="35"/>
        <v>0.6681001567</v>
      </c>
      <c r="G66" s="361">
        <f t="shared" si="35"/>
        <v>0.7847899894</v>
      </c>
      <c r="H66" s="362">
        <f t="shared" si="35"/>
        <v>0.819685885</v>
      </c>
      <c r="I66" s="363">
        <f t="shared" si="35"/>
        <v>0.8467108416</v>
      </c>
      <c r="J66" s="361">
        <f t="shared" si="35"/>
        <v>0.7726210885</v>
      </c>
      <c r="K66" s="361">
        <f t="shared" si="35"/>
        <v>0.8186437025</v>
      </c>
      <c r="L66" s="361">
        <f t="shared" si="35"/>
        <v>0.7946304982</v>
      </c>
      <c r="M66" s="361">
        <f t="shared" si="35"/>
        <v>0.7791638054</v>
      </c>
      <c r="N66" s="364">
        <f t="shared" si="35"/>
        <v>0.7822534053</v>
      </c>
    </row>
    <row r="67">
      <c r="A67" s="365" t="s">
        <v>2086</v>
      </c>
      <c r="B67" s="366">
        <f t="shared" ref="B67:N67" si="36">(B29+B61)/B2</f>
        <v>0.2357009702</v>
      </c>
      <c r="C67" s="366">
        <f t="shared" si="36"/>
        <v>0.2580110843</v>
      </c>
      <c r="D67" s="366">
        <f t="shared" si="36"/>
        <v>0.1315175902</v>
      </c>
      <c r="E67" s="366">
        <f t="shared" si="36"/>
        <v>0.2281744623</v>
      </c>
      <c r="F67" s="366">
        <f t="shared" si="36"/>
        <v>0.1849765791</v>
      </c>
      <c r="G67" s="366">
        <f t="shared" si="36"/>
        <v>0.2219477663</v>
      </c>
      <c r="H67" s="367">
        <f t="shared" si="36"/>
        <v>0.1152747504</v>
      </c>
      <c r="I67" s="368">
        <f t="shared" si="36"/>
        <v>0.08128332974</v>
      </c>
      <c r="J67" s="366">
        <f t="shared" si="36"/>
        <v>0.1060964747</v>
      </c>
      <c r="K67" s="366">
        <f t="shared" si="36"/>
        <v>0.07970004981</v>
      </c>
      <c r="L67" s="366">
        <f t="shared" si="36"/>
        <v>0.06259839715</v>
      </c>
      <c r="M67" s="366">
        <f t="shared" si="36"/>
        <v>0.09070039005</v>
      </c>
      <c r="N67" s="369">
        <f t="shared" si="36"/>
        <v>0.1070449363</v>
      </c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>
      <c r="A68" s="296" t="s">
        <v>2087</v>
      </c>
      <c r="B68" s="361">
        <f t="shared" ref="B68:N68" si="37">B49/B2</f>
        <v>0.02</v>
      </c>
      <c r="C68" s="361">
        <f t="shared" si="37"/>
        <v>0.02</v>
      </c>
      <c r="D68" s="361">
        <f t="shared" si="37"/>
        <v>0.06557089057</v>
      </c>
      <c r="E68" s="361">
        <f t="shared" si="37"/>
        <v>0.08658096956</v>
      </c>
      <c r="F68" s="361">
        <f t="shared" si="37"/>
        <v>0.07163163928</v>
      </c>
      <c r="G68" s="361">
        <f t="shared" si="37"/>
        <v>0.1000800883</v>
      </c>
      <c r="H68" s="362">
        <f t="shared" si="37"/>
        <v>0.03228177773</v>
      </c>
      <c r="I68" s="363">
        <f t="shared" si="37"/>
        <v>0.02288804853</v>
      </c>
      <c r="J68" s="361">
        <f t="shared" si="37"/>
        <v>0.0486409721</v>
      </c>
      <c r="K68" s="361">
        <f t="shared" si="37"/>
        <v>0.01895118427</v>
      </c>
      <c r="L68" s="361">
        <f t="shared" si="37"/>
        <v>0.02516902055</v>
      </c>
      <c r="M68" s="361">
        <f t="shared" si="37"/>
        <v>0.0443143561</v>
      </c>
      <c r="N68" s="364">
        <f t="shared" si="37"/>
        <v>0.03834064456</v>
      </c>
    </row>
    <row r="69">
      <c r="A69" s="296" t="s">
        <v>2088</v>
      </c>
      <c r="B69" s="361">
        <f t="shared" ref="B69:N69" si="38">SUM(B61:B63)/B2</f>
        <v>0.1536163945</v>
      </c>
      <c r="C69" s="361">
        <f t="shared" si="38"/>
        <v>0.1546773864</v>
      </c>
      <c r="D69" s="361">
        <f t="shared" si="38"/>
        <v>0.114750384</v>
      </c>
      <c r="E69" s="361">
        <f t="shared" si="38"/>
        <v>0.1089368649</v>
      </c>
      <c r="F69" s="361">
        <f t="shared" si="38"/>
        <v>0.1166936417</v>
      </c>
      <c r="G69" s="361">
        <f t="shared" si="38"/>
        <v>0.06904027809</v>
      </c>
      <c r="H69" s="362">
        <f t="shared" si="38"/>
        <v>0.06762309687</v>
      </c>
      <c r="I69" s="363">
        <f t="shared" si="38"/>
        <v>0.05704989462</v>
      </c>
      <c r="J69" s="361">
        <f t="shared" si="38"/>
        <v>0.07753603072</v>
      </c>
      <c r="K69" s="361">
        <f t="shared" si="38"/>
        <v>0.06837449559</v>
      </c>
      <c r="L69" s="361">
        <f t="shared" si="38"/>
        <v>0.07265467667</v>
      </c>
      <c r="M69" s="361">
        <f t="shared" si="38"/>
        <v>0.07482412658</v>
      </c>
      <c r="N69" s="364">
        <f t="shared" si="38"/>
        <v>0.07789443144</v>
      </c>
    </row>
    <row r="70">
      <c r="A70" s="296" t="s">
        <v>2089</v>
      </c>
      <c r="B70" s="361">
        <f t="shared" ref="B70:N70" si="39">B60/B2</f>
        <v>0.03244016716</v>
      </c>
      <c r="C70" s="361">
        <f t="shared" si="39"/>
        <v>0.01154727963</v>
      </c>
      <c r="D70" s="361">
        <f t="shared" si="39"/>
        <v>0.06971845838</v>
      </c>
      <c r="E70" s="361">
        <f t="shared" si="39"/>
        <v>-0.0393053849</v>
      </c>
      <c r="F70" s="361">
        <f t="shared" si="39"/>
        <v>0.01859038728</v>
      </c>
      <c r="G70" s="361">
        <f t="shared" si="39"/>
        <v>-0.1038750628</v>
      </c>
      <c r="H70" s="362">
        <f t="shared" si="39"/>
        <v>0.002520895539</v>
      </c>
      <c r="I70" s="363">
        <f t="shared" si="39"/>
        <v>0.01843004655</v>
      </c>
      <c r="J70" s="361">
        <f t="shared" si="39"/>
        <v>0.0295151015</v>
      </c>
      <c r="K70" s="361">
        <f t="shared" si="39"/>
        <v>0.04017923259</v>
      </c>
      <c r="L70" s="361">
        <f t="shared" si="39"/>
        <v>0.06524959027</v>
      </c>
      <c r="M70" s="361">
        <f t="shared" si="39"/>
        <v>0.04041366461</v>
      </c>
      <c r="N70" s="364">
        <f t="shared" si="39"/>
        <v>0.0291838591</v>
      </c>
    </row>
    <row r="71">
      <c r="H71" s="308"/>
      <c r="I71" s="309"/>
      <c r="N71" s="310"/>
    </row>
    <row r="72">
      <c r="H72" s="308"/>
      <c r="I72" s="309"/>
      <c r="N72" s="310"/>
    </row>
    <row r="73">
      <c r="A73" s="371" t="s">
        <v>2090</v>
      </c>
      <c r="B73" s="372">
        <f>N60*0.85</f>
        <v>4737113.633</v>
      </c>
      <c r="H73" s="308"/>
      <c r="I73" s="309"/>
      <c r="N73" s="310"/>
    </row>
    <row r="74">
      <c r="B74" s="291"/>
      <c r="H74" s="308"/>
      <c r="I74" s="309"/>
      <c r="N74" s="310"/>
    </row>
    <row r="75">
      <c r="H75" s="308"/>
      <c r="I75" s="309"/>
      <c r="N75" s="310"/>
    </row>
    <row r="76">
      <c r="H76" s="308"/>
      <c r="I76" s="309"/>
      <c r="N76" s="310"/>
    </row>
    <row r="77">
      <c r="H77" s="308"/>
      <c r="I77" s="309"/>
      <c r="N77" s="310"/>
    </row>
    <row r="78">
      <c r="H78" s="308"/>
      <c r="I78" s="309"/>
      <c r="N78" s="310"/>
    </row>
    <row r="79">
      <c r="H79" s="308"/>
      <c r="I79" s="309"/>
      <c r="N79" s="310"/>
    </row>
    <row r="80">
      <c r="H80" s="308"/>
      <c r="I80" s="309"/>
      <c r="N80" s="310"/>
    </row>
    <row r="81">
      <c r="H81" s="308"/>
      <c r="I81" s="309"/>
      <c r="N81" s="310"/>
    </row>
    <row r="82">
      <c r="H82" s="308"/>
      <c r="I82" s="309"/>
      <c r="N82" s="310"/>
    </row>
    <row r="83">
      <c r="H83" s="308"/>
      <c r="I83" s="309"/>
      <c r="N83" s="310"/>
    </row>
    <row r="84">
      <c r="H84" s="308"/>
      <c r="I84" s="309"/>
      <c r="N84" s="310"/>
    </row>
    <row r="85">
      <c r="H85" s="308"/>
      <c r="I85" s="309"/>
      <c r="N85" s="310"/>
    </row>
    <row r="86">
      <c r="H86" s="308"/>
      <c r="I86" s="309"/>
      <c r="N86" s="310"/>
    </row>
    <row r="87">
      <c r="H87" s="308"/>
      <c r="I87" s="309"/>
      <c r="N87" s="310"/>
    </row>
    <row r="88">
      <c r="H88" s="308"/>
      <c r="I88" s="309"/>
      <c r="N88" s="310"/>
    </row>
    <row r="89">
      <c r="H89" s="308"/>
      <c r="I89" s="309"/>
      <c r="N89" s="310"/>
    </row>
    <row r="90">
      <c r="H90" s="308"/>
      <c r="I90" s="309"/>
      <c r="N90" s="310"/>
    </row>
    <row r="91">
      <c r="H91" s="308"/>
      <c r="I91" s="309"/>
      <c r="N91" s="310"/>
    </row>
    <row r="92">
      <c r="H92" s="308"/>
      <c r="I92" s="309"/>
      <c r="N92" s="310"/>
    </row>
    <row r="93">
      <c r="H93" s="308"/>
      <c r="I93" s="309"/>
      <c r="N93" s="310"/>
    </row>
    <row r="94">
      <c r="H94" s="308"/>
      <c r="I94" s="309"/>
      <c r="N94" s="310"/>
    </row>
    <row r="95">
      <c r="H95" s="308"/>
      <c r="I95" s="309"/>
      <c r="N95" s="310"/>
    </row>
    <row r="96">
      <c r="H96" s="308"/>
      <c r="I96" s="309"/>
      <c r="N96" s="310"/>
    </row>
    <row r="97">
      <c r="H97" s="308"/>
      <c r="I97" s="309"/>
      <c r="N97" s="310"/>
    </row>
    <row r="98">
      <c r="H98" s="308"/>
      <c r="I98" s="309"/>
      <c r="N98" s="310"/>
    </row>
    <row r="99">
      <c r="H99" s="308"/>
      <c r="I99" s="309"/>
      <c r="N99" s="310"/>
    </row>
    <row r="100">
      <c r="H100" s="308"/>
      <c r="I100" s="309"/>
      <c r="N100" s="310"/>
    </row>
    <row r="101">
      <c r="H101" s="308"/>
      <c r="I101" s="309"/>
      <c r="N101" s="310"/>
    </row>
    <row r="102">
      <c r="H102" s="308"/>
      <c r="I102" s="309"/>
      <c r="N102" s="310"/>
    </row>
    <row r="103">
      <c r="H103" s="308"/>
      <c r="I103" s="309"/>
      <c r="N103" s="310"/>
    </row>
    <row r="104">
      <c r="H104" s="308"/>
      <c r="I104" s="309"/>
      <c r="N104" s="310"/>
    </row>
    <row r="105">
      <c r="H105" s="308"/>
      <c r="I105" s="309"/>
      <c r="N105" s="310"/>
    </row>
    <row r="106">
      <c r="H106" s="308"/>
      <c r="I106" s="309"/>
      <c r="N106" s="310"/>
    </row>
    <row r="107">
      <c r="H107" s="308"/>
      <c r="I107" s="309"/>
      <c r="N107" s="310"/>
    </row>
    <row r="108">
      <c r="H108" s="308"/>
      <c r="I108" s="309"/>
      <c r="N108" s="310"/>
    </row>
    <row r="109">
      <c r="H109" s="308"/>
      <c r="I109" s="309"/>
      <c r="N109" s="310"/>
    </row>
    <row r="110">
      <c r="H110" s="308"/>
      <c r="I110" s="309"/>
      <c r="N110" s="310"/>
    </row>
    <row r="111">
      <c r="H111" s="308"/>
      <c r="I111" s="309"/>
      <c r="N111" s="310"/>
    </row>
    <row r="112">
      <c r="H112" s="308"/>
      <c r="I112" s="309"/>
      <c r="N112" s="310"/>
    </row>
    <row r="113">
      <c r="H113" s="308"/>
      <c r="I113" s="309"/>
      <c r="N113" s="310"/>
    </row>
    <row r="114">
      <c r="H114" s="308"/>
      <c r="I114" s="309"/>
      <c r="N114" s="310"/>
    </row>
    <row r="115">
      <c r="H115" s="308"/>
      <c r="I115" s="309"/>
      <c r="N115" s="310"/>
    </row>
    <row r="116">
      <c r="H116" s="308"/>
      <c r="I116" s="309"/>
      <c r="N116" s="310"/>
    </row>
    <row r="117">
      <c r="H117" s="308"/>
      <c r="I117" s="309"/>
      <c r="N117" s="310"/>
    </row>
    <row r="118">
      <c r="H118" s="308"/>
      <c r="I118" s="309"/>
      <c r="N118" s="310"/>
    </row>
    <row r="119">
      <c r="H119" s="308"/>
      <c r="I119" s="309"/>
      <c r="N119" s="310"/>
    </row>
    <row r="120">
      <c r="H120" s="308"/>
      <c r="I120" s="309"/>
      <c r="N120" s="310"/>
    </row>
    <row r="121">
      <c r="H121" s="308"/>
      <c r="I121" s="309"/>
      <c r="N121" s="310"/>
    </row>
    <row r="122">
      <c r="H122" s="308"/>
      <c r="I122" s="309"/>
      <c r="N122" s="310"/>
    </row>
    <row r="123">
      <c r="H123" s="308"/>
      <c r="I123" s="309"/>
      <c r="N123" s="310"/>
    </row>
    <row r="124">
      <c r="H124" s="308"/>
      <c r="I124" s="309"/>
      <c r="N124" s="310"/>
    </row>
    <row r="125">
      <c r="H125" s="308"/>
      <c r="I125" s="309"/>
      <c r="N125" s="310"/>
    </row>
    <row r="126">
      <c r="H126" s="308"/>
      <c r="I126" s="309"/>
      <c r="N126" s="310"/>
    </row>
    <row r="127">
      <c r="H127" s="308"/>
      <c r="I127" s="309"/>
      <c r="N127" s="310"/>
    </row>
    <row r="128">
      <c r="H128" s="308"/>
      <c r="I128" s="309"/>
      <c r="N128" s="310"/>
    </row>
    <row r="129">
      <c r="H129" s="308"/>
      <c r="I129" s="309"/>
      <c r="N129" s="310"/>
    </row>
    <row r="130">
      <c r="H130" s="308"/>
      <c r="I130" s="309"/>
      <c r="N130" s="310"/>
    </row>
    <row r="131">
      <c r="H131" s="308"/>
      <c r="I131" s="309"/>
      <c r="N131" s="310"/>
    </row>
    <row r="132">
      <c r="H132" s="308"/>
      <c r="I132" s="309"/>
      <c r="N132" s="310"/>
    </row>
    <row r="133">
      <c r="H133" s="308"/>
      <c r="I133" s="309"/>
      <c r="N133" s="310"/>
    </row>
    <row r="134">
      <c r="H134" s="308"/>
      <c r="I134" s="309"/>
      <c r="N134" s="310"/>
    </row>
    <row r="135">
      <c r="H135" s="308"/>
      <c r="I135" s="309"/>
      <c r="N135" s="310"/>
    </row>
    <row r="136">
      <c r="H136" s="308"/>
      <c r="I136" s="309"/>
      <c r="N136" s="310"/>
    </row>
    <row r="137">
      <c r="H137" s="308"/>
      <c r="I137" s="309"/>
      <c r="N137" s="310"/>
    </row>
    <row r="138">
      <c r="H138" s="308"/>
      <c r="I138" s="309"/>
      <c r="N138" s="310"/>
    </row>
    <row r="139">
      <c r="H139" s="308"/>
      <c r="I139" s="309"/>
      <c r="N139" s="310"/>
    </row>
    <row r="140">
      <c r="H140" s="308"/>
      <c r="I140" s="309"/>
      <c r="N140" s="310"/>
    </row>
    <row r="141">
      <c r="H141" s="308"/>
      <c r="I141" s="309"/>
      <c r="N141" s="310"/>
    </row>
    <row r="142">
      <c r="H142" s="308"/>
      <c r="I142" s="309"/>
      <c r="N142" s="310"/>
    </row>
    <row r="143">
      <c r="H143" s="308"/>
      <c r="I143" s="309"/>
      <c r="N143" s="310"/>
    </row>
    <row r="144">
      <c r="H144" s="308"/>
      <c r="I144" s="309"/>
      <c r="N144" s="310"/>
    </row>
    <row r="145">
      <c r="H145" s="308"/>
      <c r="I145" s="309"/>
      <c r="N145" s="310"/>
    </row>
    <row r="146">
      <c r="H146" s="308"/>
      <c r="I146" s="309"/>
      <c r="N146" s="310"/>
    </row>
    <row r="147">
      <c r="H147" s="308"/>
      <c r="I147" s="309"/>
      <c r="N147" s="310"/>
    </row>
    <row r="148">
      <c r="H148" s="308"/>
      <c r="I148" s="309"/>
      <c r="N148" s="310"/>
    </row>
    <row r="149">
      <c r="H149" s="308"/>
      <c r="I149" s="309"/>
      <c r="N149" s="310"/>
    </row>
    <row r="150">
      <c r="H150" s="308"/>
      <c r="I150" s="309"/>
      <c r="N150" s="310"/>
    </row>
    <row r="151">
      <c r="H151" s="308"/>
      <c r="I151" s="309"/>
      <c r="N151" s="310"/>
    </row>
    <row r="152">
      <c r="H152" s="308"/>
      <c r="I152" s="309"/>
      <c r="N152" s="310"/>
    </row>
    <row r="153">
      <c r="H153" s="308"/>
      <c r="I153" s="309"/>
      <c r="N153" s="310"/>
    </row>
    <row r="154">
      <c r="H154" s="308"/>
      <c r="I154" s="309"/>
      <c r="N154" s="310"/>
    </row>
    <row r="155">
      <c r="H155" s="308"/>
      <c r="I155" s="309"/>
      <c r="N155" s="310"/>
    </row>
    <row r="156">
      <c r="H156" s="308"/>
      <c r="I156" s="309"/>
      <c r="N156" s="310"/>
    </row>
    <row r="157">
      <c r="H157" s="308"/>
      <c r="I157" s="309"/>
      <c r="N157" s="310"/>
    </row>
    <row r="158">
      <c r="H158" s="308"/>
      <c r="I158" s="309"/>
      <c r="N158" s="310"/>
    </row>
    <row r="159">
      <c r="H159" s="308"/>
      <c r="I159" s="309"/>
      <c r="N159" s="310"/>
    </row>
    <row r="160">
      <c r="H160" s="308"/>
      <c r="I160" s="309"/>
      <c r="N160" s="310"/>
    </row>
    <row r="161">
      <c r="H161" s="308"/>
      <c r="I161" s="309"/>
      <c r="N161" s="310"/>
    </row>
    <row r="162">
      <c r="H162" s="308"/>
      <c r="I162" s="309"/>
      <c r="N162" s="310"/>
    </row>
    <row r="163">
      <c r="H163" s="308"/>
      <c r="I163" s="309"/>
      <c r="N163" s="310"/>
    </row>
    <row r="164">
      <c r="H164" s="308"/>
      <c r="I164" s="309"/>
      <c r="N164" s="310"/>
    </row>
    <row r="165">
      <c r="H165" s="308"/>
      <c r="I165" s="309"/>
      <c r="N165" s="310"/>
    </row>
    <row r="166">
      <c r="H166" s="308"/>
      <c r="I166" s="309"/>
      <c r="N166" s="310"/>
    </row>
    <row r="167">
      <c r="H167" s="308"/>
      <c r="I167" s="309"/>
      <c r="N167" s="310"/>
    </row>
    <row r="168">
      <c r="H168" s="308"/>
      <c r="I168" s="309"/>
      <c r="N168" s="310"/>
    </row>
    <row r="169">
      <c r="H169" s="308"/>
      <c r="I169" s="309"/>
      <c r="N169" s="310"/>
    </row>
    <row r="170">
      <c r="H170" s="308"/>
      <c r="I170" s="309"/>
      <c r="N170" s="310"/>
    </row>
    <row r="171">
      <c r="H171" s="308"/>
      <c r="I171" s="309"/>
      <c r="N171" s="310"/>
    </row>
    <row r="172">
      <c r="H172" s="308"/>
      <c r="I172" s="309"/>
      <c r="N172" s="310"/>
    </row>
    <row r="173">
      <c r="H173" s="308"/>
      <c r="I173" s="309"/>
      <c r="N173" s="310"/>
    </row>
    <row r="174">
      <c r="H174" s="308"/>
      <c r="I174" s="309"/>
      <c r="N174" s="310"/>
    </row>
    <row r="175">
      <c r="H175" s="308"/>
      <c r="I175" s="309"/>
      <c r="N175" s="310"/>
    </row>
    <row r="176">
      <c r="H176" s="308"/>
      <c r="I176" s="309"/>
      <c r="N176" s="310"/>
    </row>
    <row r="177">
      <c r="H177" s="308"/>
      <c r="I177" s="309"/>
      <c r="N177" s="310"/>
    </row>
    <row r="178">
      <c r="H178" s="308"/>
      <c r="I178" s="309"/>
      <c r="N178" s="310"/>
    </row>
    <row r="179">
      <c r="H179" s="308"/>
      <c r="I179" s="309"/>
      <c r="N179" s="310"/>
    </row>
    <row r="180">
      <c r="H180" s="308"/>
      <c r="I180" s="309"/>
      <c r="N180" s="310"/>
    </row>
    <row r="181">
      <c r="H181" s="308"/>
      <c r="I181" s="309"/>
      <c r="N181" s="310"/>
    </row>
    <row r="182">
      <c r="H182" s="308"/>
      <c r="I182" s="309"/>
      <c r="N182" s="310"/>
    </row>
    <row r="183">
      <c r="H183" s="308"/>
      <c r="I183" s="309"/>
      <c r="N183" s="310"/>
    </row>
    <row r="184">
      <c r="H184" s="308"/>
      <c r="I184" s="309"/>
      <c r="N184" s="310"/>
    </row>
    <row r="185">
      <c r="H185" s="308"/>
      <c r="I185" s="309"/>
      <c r="N185" s="310"/>
    </row>
    <row r="186">
      <c r="H186" s="308"/>
      <c r="I186" s="309"/>
      <c r="N186" s="310"/>
    </row>
    <row r="187">
      <c r="H187" s="308"/>
      <c r="I187" s="309"/>
      <c r="N187" s="310"/>
    </row>
    <row r="188">
      <c r="H188" s="308"/>
      <c r="I188" s="309"/>
      <c r="N188" s="310"/>
    </row>
    <row r="189">
      <c r="H189" s="308"/>
      <c r="I189" s="309"/>
      <c r="N189" s="310"/>
    </row>
    <row r="190">
      <c r="H190" s="308"/>
      <c r="I190" s="309"/>
      <c r="N190" s="310"/>
    </row>
    <row r="191">
      <c r="H191" s="308"/>
      <c r="I191" s="309"/>
      <c r="N191" s="310"/>
    </row>
    <row r="192">
      <c r="H192" s="308"/>
      <c r="I192" s="309"/>
      <c r="N192" s="310"/>
    </row>
    <row r="193">
      <c r="H193" s="308"/>
      <c r="I193" s="309"/>
      <c r="N193" s="310"/>
    </row>
    <row r="194">
      <c r="H194" s="308"/>
      <c r="I194" s="309"/>
      <c r="N194" s="310"/>
    </row>
    <row r="195">
      <c r="H195" s="308"/>
      <c r="I195" s="309"/>
      <c r="N195" s="310"/>
    </row>
    <row r="196">
      <c r="H196" s="308"/>
      <c r="I196" s="309"/>
      <c r="N196" s="310"/>
    </row>
    <row r="197">
      <c r="H197" s="308"/>
      <c r="I197" s="309"/>
      <c r="N197" s="310"/>
    </row>
    <row r="198">
      <c r="H198" s="308"/>
      <c r="I198" s="309"/>
      <c r="N198" s="310"/>
    </row>
    <row r="199">
      <c r="H199" s="308"/>
      <c r="I199" s="309"/>
      <c r="N199" s="310"/>
    </row>
    <row r="200">
      <c r="H200" s="308"/>
      <c r="I200" s="309"/>
      <c r="N200" s="310"/>
    </row>
    <row r="201">
      <c r="H201" s="308"/>
      <c r="I201" s="309"/>
      <c r="N201" s="310"/>
    </row>
    <row r="202">
      <c r="H202" s="308"/>
      <c r="I202" s="309"/>
      <c r="N202" s="310"/>
    </row>
    <row r="203">
      <c r="H203" s="308"/>
      <c r="I203" s="309"/>
      <c r="N203" s="310"/>
    </row>
    <row r="204">
      <c r="H204" s="308"/>
      <c r="I204" s="309"/>
      <c r="N204" s="310"/>
    </row>
    <row r="205">
      <c r="H205" s="308"/>
      <c r="I205" s="309"/>
      <c r="N205" s="310"/>
    </row>
    <row r="206">
      <c r="H206" s="308"/>
      <c r="I206" s="309"/>
      <c r="N206" s="310"/>
    </row>
    <row r="207">
      <c r="H207" s="308"/>
      <c r="I207" s="309"/>
      <c r="N207" s="310"/>
    </row>
    <row r="208">
      <c r="H208" s="308"/>
      <c r="I208" s="309"/>
      <c r="N208" s="310"/>
    </row>
    <row r="209">
      <c r="H209" s="308"/>
      <c r="I209" s="309"/>
      <c r="N209" s="310"/>
    </row>
    <row r="210">
      <c r="H210" s="308"/>
      <c r="I210" s="309"/>
      <c r="N210" s="310"/>
    </row>
    <row r="211">
      <c r="H211" s="308"/>
      <c r="I211" s="309"/>
      <c r="N211" s="310"/>
    </row>
    <row r="212">
      <c r="H212" s="308"/>
      <c r="I212" s="309"/>
      <c r="N212" s="310"/>
    </row>
    <row r="213">
      <c r="H213" s="308"/>
      <c r="I213" s="309"/>
      <c r="N213" s="310"/>
    </row>
    <row r="214">
      <c r="H214" s="308"/>
      <c r="I214" s="309"/>
      <c r="N214" s="310"/>
    </row>
    <row r="215">
      <c r="H215" s="308"/>
      <c r="I215" s="309"/>
      <c r="N215" s="310"/>
    </row>
    <row r="216">
      <c r="H216" s="308"/>
      <c r="I216" s="309"/>
      <c r="N216" s="310"/>
    </row>
    <row r="217">
      <c r="H217" s="308"/>
      <c r="I217" s="309"/>
      <c r="N217" s="310"/>
    </row>
    <row r="218">
      <c r="H218" s="308"/>
      <c r="I218" s="309"/>
      <c r="N218" s="310"/>
    </row>
    <row r="219">
      <c r="H219" s="308"/>
      <c r="I219" s="309"/>
      <c r="N219" s="310"/>
    </row>
    <row r="220">
      <c r="H220" s="308"/>
      <c r="I220" s="309"/>
      <c r="N220" s="310"/>
    </row>
    <row r="221">
      <c r="H221" s="308"/>
      <c r="I221" s="309"/>
      <c r="N221" s="310"/>
    </row>
    <row r="222">
      <c r="H222" s="308"/>
      <c r="I222" s="309"/>
      <c r="N222" s="310"/>
    </row>
    <row r="223">
      <c r="H223" s="308"/>
      <c r="I223" s="309"/>
      <c r="N223" s="310"/>
    </row>
    <row r="224">
      <c r="H224" s="308"/>
      <c r="I224" s="309"/>
      <c r="N224" s="310"/>
    </row>
    <row r="225">
      <c r="H225" s="308"/>
      <c r="I225" s="309"/>
      <c r="N225" s="310"/>
    </row>
    <row r="226">
      <c r="H226" s="308"/>
      <c r="I226" s="309"/>
      <c r="N226" s="310"/>
    </row>
    <row r="227">
      <c r="H227" s="308"/>
      <c r="I227" s="309"/>
      <c r="N227" s="310"/>
    </row>
    <row r="228">
      <c r="H228" s="308"/>
      <c r="I228" s="309"/>
      <c r="N228" s="310"/>
    </row>
    <row r="229">
      <c r="H229" s="308"/>
      <c r="I229" s="309"/>
      <c r="N229" s="310"/>
    </row>
    <row r="230">
      <c r="H230" s="308"/>
      <c r="I230" s="309"/>
      <c r="N230" s="310"/>
    </row>
    <row r="231">
      <c r="H231" s="308"/>
      <c r="I231" s="309"/>
      <c r="N231" s="310"/>
    </row>
    <row r="232">
      <c r="H232" s="308"/>
      <c r="I232" s="309"/>
      <c r="N232" s="310"/>
    </row>
    <row r="233">
      <c r="H233" s="308"/>
      <c r="I233" s="309"/>
      <c r="N233" s="310"/>
    </row>
    <row r="234">
      <c r="H234" s="308"/>
      <c r="I234" s="309"/>
      <c r="N234" s="310"/>
    </row>
    <row r="235">
      <c r="H235" s="308"/>
      <c r="I235" s="309"/>
      <c r="N235" s="310"/>
    </row>
    <row r="236">
      <c r="H236" s="308"/>
      <c r="I236" s="309"/>
      <c r="N236" s="310"/>
    </row>
    <row r="237">
      <c r="H237" s="308"/>
      <c r="I237" s="309"/>
      <c r="N237" s="310"/>
    </row>
    <row r="238">
      <c r="H238" s="308"/>
      <c r="I238" s="309"/>
      <c r="N238" s="310"/>
    </row>
    <row r="239">
      <c r="H239" s="308"/>
      <c r="I239" s="309"/>
      <c r="N239" s="310"/>
    </row>
    <row r="240">
      <c r="H240" s="308"/>
      <c r="I240" s="309"/>
      <c r="N240" s="310"/>
    </row>
    <row r="241">
      <c r="H241" s="308"/>
      <c r="I241" s="309"/>
      <c r="N241" s="310"/>
    </row>
    <row r="242">
      <c r="H242" s="308"/>
      <c r="I242" s="309"/>
      <c r="N242" s="310"/>
    </row>
    <row r="243">
      <c r="H243" s="308"/>
      <c r="I243" s="309"/>
      <c r="N243" s="310"/>
    </row>
    <row r="244">
      <c r="H244" s="308"/>
      <c r="I244" s="309"/>
      <c r="N244" s="310"/>
    </row>
    <row r="245">
      <c r="H245" s="308"/>
      <c r="I245" s="309"/>
      <c r="N245" s="310"/>
    </row>
    <row r="246">
      <c r="H246" s="308"/>
      <c r="I246" s="309"/>
      <c r="N246" s="310"/>
    </row>
    <row r="247">
      <c r="H247" s="308"/>
      <c r="I247" s="309"/>
      <c r="N247" s="310"/>
    </row>
    <row r="248">
      <c r="H248" s="308"/>
      <c r="I248" s="309"/>
      <c r="N248" s="310"/>
    </row>
    <row r="249">
      <c r="H249" s="308"/>
      <c r="I249" s="309"/>
      <c r="N249" s="310"/>
    </row>
    <row r="250">
      <c r="H250" s="308"/>
      <c r="I250" s="309"/>
      <c r="N250" s="310"/>
    </row>
    <row r="251">
      <c r="H251" s="308"/>
      <c r="I251" s="309"/>
      <c r="N251" s="310"/>
    </row>
    <row r="252">
      <c r="H252" s="308"/>
      <c r="I252" s="309"/>
      <c r="N252" s="310"/>
    </row>
    <row r="253">
      <c r="H253" s="308"/>
      <c r="I253" s="309"/>
      <c r="N253" s="310"/>
    </row>
    <row r="254">
      <c r="H254" s="308"/>
      <c r="I254" s="309"/>
      <c r="N254" s="310"/>
    </row>
    <row r="255">
      <c r="H255" s="308"/>
      <c r="I255" s="309"/>
      <c r="N255" s="310"/>
    </row>
    <row r="256">
      <c r="H256" s="308"/>
      <c r="I256" s="309"/>
      <c r="N256" s="310"/>
    </row>
    <row r="257">
      <c r="H257" s="308"/>
      <c r="I257" s="309"/>
      <c r="N257" s="310"/>
    </row>
    <row r="258">
      <c r="H258" s="308"/>
      <c r="I258" s="309"/>
      <c r="N258" s="310"/>
    </row>
    <row r="259">
      <c r="H259" s="308"/>
      <c r="I259" s="309"/>
      <c r="N259" s="310"/>
    </row>
    <row r="260">
      <c r="H260" s="308"/>
      <c r="I260" s="309"/>
      <c r="N260" s="310"/>
    </row>
    <row r="261">
      <c r="H261" s="308"/>
      <c r="I261" s="309"/>
      <c r="N261" s="310"/>
    </row>
    <row r="262">
      <c r="H262" s="308"/>
      <c r="I262" s="309"/>
      <c r="N262" s="310"/>
    </row>
    <row r="263">
      <c r="H263" s="308"/>
      <c r="I263" s="309"/>
      <c r="N263" s="310"/>
    </row>
    <row r="264">
      <c r="H264" s="308"/>
      <c r="I264" s="309"/>
      <c r="N264" s="310"/>
    </row>
    <row r="265">
      <c r="H265" s="308"/>
      <c r="I265" s="309"/>
      <c r="N265" s="310"/>
    </row>
    <row r="266">
      <c r="H266" s="308"/>
      <c r="I266" s="309"/>
      <c r="N266" s="310"/>
    </row>
    <row r="267">
      <c r="H267" s="308"/>
      <c r="I267" s="309"/>
      <c r="N267" s="310"/>
    </row>
    <row r="268">
      <c r="H268" s="308"/>
      <c r="I268" s="309"/>
      <c r="N268" s="310"/>
    </row>
    <row r="269">
      <c r="H269" s="308"/>
      <c r="I269" s="309"/>
      <c r="N269" s="310"/>
    </row>
    <row r="270">
      <c r="H270" s="308"/>
      <c r="I270" s="309"/>
      <c r="N270" s="310"/>
    </row>
    <row r="271">
      <c r="H271" s="308"/>
      <c r="I271" s="309"/>
      <c r="N271" s="310"/>
    </row>
    <row r="272">
      <c r="H272" s="308"/>
      <c r="I272" s="309"/>
      <c r="N272" s="310"/>
    </row>
    <row r="273">
      <c r="H273" s="308"/>
      <c r="I273" s="309"/>
      <c r="N273" s="310"/>
    </row>
    <row r="274">
      <c r="H274" s="308"/>
      <c r="I274" s="309"/>
      <c r="N274" s="310"/>
    </row>
    <row r="275">
      <c r="H275" s="308"/>
      <c r="I275" s="309"/>
      <c r="N275" s="310"/>
    </row>
    <row r="276">
      <c r="H276" s="308"/>
      <c r="I276" s="309"/>
      <c r="N276" s="310"/>
    </row>
    <row r="277">
      <c r="H277" s="308"/>
      <c r="I277" s="309"/>
      <c r="N277" s="310"/>
    </row>
    <row r="278">
      <c r="H278" s="308"/>
      <c r="I278" s="309"/>
      <c r="N278" s="310"/>
    </row>
    <row r="279">
      <c r="H279" s="308"/>
      <c r="I279" s="309"/>
      <c r="N279" s="310"/>
    </row>
    <row r="280">
      <c r="H280" s="308"/>
      <c r="I280" s="309"/>
      <c r="N280" s="310"/>
    </row>
    <row r="281">
      <c r="H281" s="308"/>
      <c r="I281" s="309"/>
      <c r="N281" s="310"/>
    </row>
    <row r="282">
      <c r="H282" s="308"/>
      <c r="I282" s="309"/>
      <c r="N282" s="310"/>
    </row>
    <row r="283">
      <c r="H283" s="308"/>
      <c r="I283" s="309"/>
      <c r="N283" s="310"/>
    </row>
    <row r="284">
      <c r="H284" s="308"/>
      <c r="I284" s="309"/>
      <c r="N284" s="310"/>
    </row>
    <row r="285">
      <c r="H285" s="308"/>
      <c r="I285" s="309"/>
      <c r="N285" s="310"/>
    </row>
    <row r="286">
      <c r="H286" s="308"/>
      <c r="I286" s="309"/>
      <c r="N286" s="310"/>
    </row>
    <row r="287">
      <c r="H287" s="308"/>
      <c r="I287" s="309"/>
      <c r="N287" s="310"/>
    </row>
    <row r="288">
      <c r="H288" s="308"/>
      <c r="I288" s="309"/>
      <c r="N288" s="310"/>
    </row>
    <row r="289">
      <c r="H289" s="308"/>
      <c r="I289" s="309"/>
      <c r="N289" s="310"/>
    </row>
    <row r="290">
      <c r="H290" s="308"/>
      <c r="I290" s="309"/>
      <c r="N290" s="310"/>
    </row>
    <row r="291">
      <c r="H291" s="308"/>
      <c r="I291" s="309"/>
      <c r="N291" s="310"/>
    </row>
    <row r="292">
      <c r="H292" s="308"/>
      <c r="I292" s="309"/>
      <c r="N292" s="310"/>
    </row>
    <row r="293">
      <c r="H293" s="308"/>
      <c r="I293" s="309"/>
      <c r="N293" s="310"/>
    </row>
    <row r="294">
      <c r="H294" s="308"/>
      <c r="I294" s="309"/>
      <c r="N294" s="310"/>
    </row>
    <row r="295">
      <c r="H295" s="308"/>
      <c r="I295" s="309"/>
      <c r="N295" s="310"/>
    </row>
    <row r="296">
      <c r="H296" s="308"/>
      <c r="I296" s="309"/>
      <c r="N296" s="310"/>
    </row>
    <row r="297">
      <c r="H297" s="308"/>
      <c r="I297" s="309"/>
      <c r="N297" s="310"/>
    </row>
    <row r="298">
      <c r="H298" s="308"/>
      <c r="I298" s="309"/>
      <c r="N298" s="310"/>
    </row>
    <row r="299">
      <c r="H299" s="308"/>
      <c r="I299" s="309"/>
      <c r="N299" s="310"/>
    </row>
    <row r="300">
      <c r="H300" s="308"/>
      <c r="I300" s="309"/>
      <c r="N300" s="310"/>
    </row>
    <row r="301">
      <c r="H301" s="308"/>
      <c r="I301" s="309"/>
      <c r="N301" s="310"/>
    </row>
    <row r="302">
      <c r="H302" s="308"/>
      <c r="I302" s="309"/>
      <c r="N302" s="310"/>
    </row>
    <row r="303">
      <c r="H303" s="308"/>
      <c r="I303" s="309"/>
      <c r="N303" s="310"/>
    </row>
    <row r="304">
      <c r="H304" s="308"/>
      <c r="I304" s="309"/>
      <c r="N304" s="310"/>
    </row>
    <row r="305">
      <c r="H305" s="308"/>
      <c r="I305" s="309"/>
      <c r="N305" s="310"/>
    </row>
    <row r="306">
      <c r="H306" s="308"/>
      <c r="I306" s="309"/>
      <c r="N306" s="310"/>
    </row>
    <row r="307">
      <c r="H307" s="308"/>
      <c r="I307" s="309"/>
      <c r="N307" s="310"/>
    </row>
    <row r="308">
      <c r="H308" s="308"/>
      <c r="I308" s="309"/>
      <c r="N308" s="310"/>
    </row>
    <row r="309">
      <c r="H309" s="308"/>
      <c r="I309" s="309"/>
      <c r="N309" s="310"/>
    </row>
    <row r="310">
      <c r="H310" s="308"/>
      <c r="I310" s="309"/>
      <c r="N310" s="310"/>
    </row>
    <row r="311">
      <c r="H311" s="308"/>
      <c r="I311" s="309"/>
      <c r="N311" s="310"/>
    </row>
    <row r="312">
      <c r="H312" s="308"/>
      <c r="I312" s="309"/>
      <c r="N312" s="310"/>
    </row>
    <row r="313">
      <c r="H313" s="308"/>
      <c r="I313" s="309"/>
      <c r="N313" s="310"/>
    </row>
    <row r="314">
      <c r="H314" s="308"/>
      <c r="I314" s="309"/>
      <c r="N314" s="310"/>
    </row>
    <row r="315">
      <c r="H315" s="308"/>
      <c r="I315" s="309"/>
      <c r="N315" s="310"/>
    </row>
    <row r="316">
      <c r="H316" s="308"/>
      <c r="I316" s="309"/>
      <c r="N316" s="310"/>
    </row>
    <row r="317">
      <c r="H317" s="308"/>
      <c r="I317" s="309"/>
      <c r="N317" s="310"/>
    </row>
    <row r="318">
      <c r="H318" s="308"/>
      <c r="I318" s="309"/>
      <c r="N318" s="310"/>
    </row>
    <row r="319">
      <c r="H319" s="308"/>
      <c r="I319" s="309"/>
      <c r="N319" s="310"/>
    </row>
    <row r="320">
      <c r="H320" s="308"/>
      <c r="I320" s="309"/>
      <c r="N320" s="310"/>
    </row>
    <row r="321">
      <c r="H321" s="308"/>
      <c r="I321" s="309"/>
      <c r="N321" s="310"/>
    </row>
    <row r="322">
      <c r="H322" s="308"/>
      <c r="I322" s="309"/>
      <c r="N322" s="310"/>
    </row>
    <row r="323">
      <c r="H323" s="308"/>
      <c r="I323" s="309"/>
      <c r="N323" s="310"/>
    </row>
    <row r="324">
      <c r="H324" s="308"/>
      <c r="I324" s="309"/>
      <c r="N324" s="310"/>
    </row>
    <row r="325">
      <c r="H325" s="308"/>
      <c r="I325" s="309"/>
      <c r="N325" s="310"/>
    </row>
    <row r="326">
      <c r="H326" s="308"/>
      <c r="I326" s="309"/>
      <c r="N326" s="310"/>
    </row>
    <row r="327">
      <c r="H327" s="308"/>
      <c r="I327" s="309"/>
      <c r="N327" s="310"/>
    </row>
    <row r="328">
      <c r="H328" s="308"/>
      <c r="I328" s="309"/>
      <c r="N328" s="310"/>
    </row>
    <row r="329">
      <c r="H329" s="308"/>
      <c r="I329" s="309"/>
      <c r="N329" s="310"/>
    </row>
    <row r="330">
      <c r="H330" s="308"/>
      <c r="I330" s="309"/>
      <c r="N330" s="310"/>
    </row>
    <row r="331">
      <c r="H331" s="308"/>
      <c r="I331" s="309"/>
      <c r="N331" s="310"/>
    </row>
    <row r="332">
      <c r="H332" s="308"/>
      <c r="I332" s="309"/>
      <c r="N332" s="310"/>
    </row>
    <row r="333">
      <c r="H333" s="308"/>
      <c r="I333" s="309"/>
      <c r="N333" s="310"/>
    </row>
    <row r="334">
      <c r="H334" s="308"/>
      <c r="I334" s="309"/>
      <c r="N334" s="310"/>
    </row>
    <row r="335">
      <c r="H335" s="308"/>
      <c r="I335" s="309"/>
      <c r="N335" s="310"/>
    </row>
    <row r="336">
      <c r="H336" s="308"/>
      <c r="I336" s="309"/>
      <c r="N336" s="310"/>
    </row>
    <row r="337">
      <c r="H337" s="308"/>
      <c r="I337" s="309"/>
      <c r="N337" s="310"/>
    </row>
    <row r="338">
      <c r="H338" s="308"/>
      <c r="I338" s="309"/>
      <c r="N338" s="310"/>
    </row>
    <row r="339">
      <c r="H339" s="308"/>
      <c r="I339" s="309"/>
      <c r="N339" s="310"/>
    </row>
    <row r="340">
      <c r="H340" s="308"/>
      <c r="I340" s="309"/>
      <c r="N340" s="310"/>
    </row>
    <row r="341">
      <c r="H341" s="308"/>
      <c r="I341" s="309"/>
      <c r="N341" s="310"/>
    </row>
    <row r="342">
      <c r="H342" s="308"/>
      <c r="I342" s="309"/>
      <c r="N342" s="310"/>
    </row>
    <row r="343">
      <c r="H343" s="308"/>
      <c r="I343" s="309"/>
      <c r="N343" s="310"/>
    </row>
    <row r="344">
      <c r="H344" s="308"/>
      <c r="I344" s="309"/>
      <c r="N344" s="310"/>
    </row>
    <row r="345">
      <c r="H345" s="308"/>
      <c r="I345" s="309"/>
      <c r="N345" s="310"/>
    </row>
    <row r="346">
      <c r="H346" s="308"/>
      <c r="I346" s="309"/>
      <c r="N346" s="310"/>
    </row>
    <row r="347">
      <c r="H347" s="308"/>
      <c r="I347" s="309"/>
      <c r="N347" s="310"/>
    </row>
    <row r="348">
      <c r="H348" s="308"/>
      <c r="I348" s="309"/>
      <c r="N348" s="310"/>
    </row>
    <row r="349">
      <c r="H349" s="308"/>
      <c r="I349" s="309"/>
      <c r="N349" s="310"/>
    </row>
    <row r="350">
      <c r="H350" s="308"/>
      <c r="I350" s="309"/>
      <c r="N350" s="310"/>
    </row>
    <row r="351">
      <c r="H351" s="308"/>
      <c r="I351" s="309"/>
      <c r="N351" s="310"/>
    </row>
    <row r="352">
      <c r="H352" s="308"/>
      <c r="I352" s="309"/>
      <c r="N352" s="310"/>
    </row>
    <row r="353">
      <c r="H353" s="308"/>
      <c r="I353" s="309"/>
      <c r="N353" s="310"/>
    </row>
    <row r="354">
      <c r="H354" s="308"/>
      <c r="I354" s="309"/>
      <c r="N354" s="310"/>
    </row>
    <row r="355">
      <c r="H355" s="308"/>
      <c r="I355" s="309"/>
      <c r="N355" s="310"/>
    </row>
    <row r="356">
      <c r="H356" s="308"/>
      <c r="I356" s="309"/>
      <c r="N356" s="310"/>
    </row>
    <row r="357">
      <c r="H357" s="308"/>
      <c r="I357" s="309"/>
      <c r="N357" s="310"/>
    </row>
    <row r="358">
      <c r="H358" s="308"/>
      <c r="I358" s="309"/>
      <c r="N358" s="310"/>
    </row>
    <row r="359">
      <c r="H359" s="308"/>
      <c r="I359" s="309"/>
      <c r="N359" s="310"/>
    </row>
    <row r="360">
      <c r="H360" s="308"/>
      <c r="I360" s="309"/>
      <c r="N360" s="310"/>
    </row>
    <row r="361">
      <c r="H361" s="308"/>
      <c r="I361" s="309"/>
      <c r="N361" s="310"/>
    </row>
    <row r="362">
      <c r="H362" s="308"/>
      <c r="I362" s="309"/>
      <c r="N362" s="310"/>
    </row>
    <row r="363">
      <c r="H363" s="308"/>
      <c r="I363" s="309"/>
      <c r="N363" s="310"/>
    </row>
    <row r="364">
      <c r="H364" s="308"/>
      <c r="I364" s="309"/>
      <c r="N364" s="310"/>
    </row>
    <row r="365">
      <c r="H365" s="308"/>
      <c r="I365" s="309"/>
      <c r="N365" s="310"/>
    </row>
    <row r="366">
      <c r="H366" s="308"/>
      <c r="I366" s="309"/>
      <c r="N366" s="310"/>
    </row>
    <row r="367">
      <c r="H367" s="308"/>
      <c r="I367" s="309"/>
      <c r="N367" s="310"/>
    </row>
    <row r="368">
      <c r="H368" s="308"/>
      <c r="I368" s="309"/>
      <c r="N368" s="310"/>
    </row>
    <row r="369">
      <c r="H369" s="308"/>
      <c r="I369" s="309"/>
      <c r="N369" s="310"/>
    </row>
    <row r="370">
      <c r="H370" s="308"/>
      <c r="I370" s="309"/>
      <c r="N370" s="310"/>
    </row>
    <row r="371">
      <c r="H371" s="308"/>
      <c r="I371" s="309"/>
      <c r="N371" s="310"/>
    </row>
    <row r="372">
      <c r="H372" s="308"/>
      <c r="I372" s="309"/>
      <c r="N372" s="310"/>
    </row>
    <row r="373">
      <c r="H373" s="308"/>
      <c r="I373" s="309"/>
      <c r="N373" s="310"/>
    </row>
    <row r="374">
      <c r="H374" s="308"/>
      <c r="I374" s="309"/>
      <c r="N374" s="310"/>
    </row>
    <row r="375">
      <c r="H375" s="308"/>
      <c r="I375" s="309"/>
      <c r="N375" s="310"/>
    </row>
    <row r="376">
      <c r="H376" s="308"/>
      <c r="I376" s="309"/>
      <c r="N376" s="310"/>
    </row>
    <row r="377">
      <c r="H377" s="308"/>
      <c r="I377" s="309"/>
      <c r="N377" s="310"/>
    </row>
    <row r="378">
      <c r="H378" s="308"/>
      <c r="I378" s="309"/>
      <c r="N378" s="310"/>
    </row>
    <row r="379">
      <c r="H379" s="308"/>
      <c r="I379" s="309"/>
      <c r="N379" s="310"/>
    </row>
    <row r="380">
      <c r="H380" s="308"/>
      <c r="I380" s="309"/>
      <c r="N380" s="310"/>
    </row>
    <row r="381">
      <c r="H381" s="308"/>
      <c r="I381" s="309"/>
      <c r="N381" s="310"/>
    </row>
    <row r="382">
      <c r="H382" s="308"/>
      <c r="I382" s="309"/>
      <c r="N382" s="310"/>
    </row>
    <row r="383">
      <c r="H383" s="308"/>
      <c r="I383" s="309"/>
      <c r="N383" s="310"/>
    </row>
    <row r="384">
      <c r="H384" s="308"/>
      <c r="I384" s="309"/>
      <c r="N384" s="310"/>
    </row>
    <row r="385">
      <c r="H385" s="308"/>
      <c r="I385" s="309"/>
      <c r="N385" s="310"/>
    </row>
    <row r="386">
      <c r="H386" s="308"/>
      <c r="I386" s="309"/>
      <c r="N386" s="310"/>
    </row>
    <row r="387">
      <c r="H387" s="308"/>
      <c r="I387" s="309"/>
      <c r="N387" s="310"/>
    </row>
    <row r="388">
      <c r="H388" s="308"/>
      <c r="I388" s="309"/>
      <c r="N388" s="310"/>
    </row>
    <row r="389">
      <c r="H389" s="308"/>
      <c r="I389" s="309"/>
      <c r="N389" s="310"/>
    </row>
    <row r="390">
      <c r="H390" s="308"/>
      <c r="I390" s="309"/>
      <c r="N390" s="310"/>
    </row>
    <row r="391">
      <c r="H391" s="308"/>
      <c r="I391" s="309"/>
      <c r="N391" s="310"/>
    </row>
    <row r="392">
      <c r="H392" s="308"/>
      <c r="I392" s="309"/>
      <c r="N392" s="310"/>
    </row>
    <row r="393">
      <c r="H393" s="308"/>
      <c r="I393" s="309"/>
      <c r="N393" s="310"/>
    </row>
    <row r="394">
      <c r="H394" s="308"/>
      <c r="I394" s="309"/>
      <c r="N394" s="310"/>
    </row>
    <row r="395">
      <c r="H395" s="308"/>
      <c r="I395" s="309"/>
      <c r="N395" s="310"/>
    </row>
    <row r="396">
      <c r="H396" s="308"/>
      <c r="I396" s="309"/>
      <c r="N396" s="310"/>
    </row>
    <row r="397">
      <c r="H397" s="308"/>
      <c r="I397" s="309"/>
      <c r="N397" s="310"/>
    </row>
    <row r="398">
      <c r="H398" s="308"/>
      <c r="I398" s="309"/>
      <c r="N398" s="310"/>
    </row>
    <row r="399">
      <c r="H399" s="308"/>
      <c r="I399" s="309"/>
      <c r="N399" s="310"/>
    </row>
    <row r="400">
      <c r="H400" s="308"/>
      <c r="I400" s="309"/>
      <c r="N400" s="310"/>
    </row>
    <row r="401">
      <c r="H401" s="308"/>
      <c r="I401" s="309"/>
      <c r="N401" s="310"/>
    </row>
    <row r="402">
      <c r="H402" s="308"/>
      <c r="I402" s="309"/>
      <c r="N402" s="310"/>
    </row>
    <row r="403">
      <c r="H403" s="308"/>
      <c r="I403" s="309"/>
      <c r="N403" s="310"/>
    </row>
    <row r="404">
      <c r="H404" s="308"/>
      <c r="I404" s="309"/>
      <c r="N404" s="310"/>
    </row>
    <row r="405">
      <c r="H405" s="308"/>
      <c r="I405" s="309"/>
      <c r="N405" s="310"/>
    </row>
    <row r="406">
      <c r="H406" s="308"/>
      <c r="I406" s="309"/>
      <c r="N406" s="310"/>
    </row>
    <row r="407">
      <c r="H407" s="308"/>
      <c r="I407" s="309"/>
      <c r="N407" s="310"/>
    </row>
    <row r="408">
      <c r="H408" s="308"/>
      <c r="I408" s="309"/>
      <c r="N408" s="310"/>
    </row>
    <row r="409">
      <c r="H409" s="308"/>
      <c r="I409" s="309"/>
      <c r="N409" s="310"/>
    </row>
    <row r="410">
      <c r="H410" s="308"/>
      <c r="I410" s="309"/>
      <c r="N410" s="310"/>
    </row>
    <row r="411">
      <c r="H411" s="308"/>
      <c r="I411" s="309"/>
      <c r="N411" s="310"/>
    </row>
    <row r="412">
      <c r="H412" s="308"/>
      <c r="I412" s="309"/>
      <c r="N412" s="310"/>
    </row>
    <row r="413">
      <c r="H413" s="308"/>
      <c r="I413" s="309"/>
      <c r="N413" s="310"/>
    </row>
    <row r="414">
      <c r="H414" s="308"/>
      <c r="I414" s="309"/>
      <c r="N414" s="310"/>
    </row>
    <row r="415">
      <c r="H415" s="308"/>
      <c r="I415" s="309"/>
      <c r="N415" s="310"/>
    </row>
    <row r="416">
      <c r="H416" s="308"/>
      <c r="I416" s="309"/>
      <c r="N416" s="310"/>
    </row>
    <row r="417">
      <c r="H417" s="308"/>
      <c r="I417" s="309"/>
      <c r="N417" s="310"/>
    </row>
    <row r="418">
      <c r="H418" s="308"/>
      <c r="I418" s="309"/>
      <c r="N418" s="310"/>
    </row>
    <row r="419">
      <c r="H419" s="308"/>
      <c r="I419" s="309"/>
      <c r="N419" s="310"/>
    </row>
    <row r="420">
      <c r="H420" s="308"/>
      <c r="I420" s="309"/>
      <c r="N420" s="310"/>
    </row>
    <row r="421">
      <c r="H421" s="308"/>
      <c r="I421" s="309"/>
      <c r="N421" s="310"/>
    </row>
    <row r="422">
      <c r="H422" s="308"/>
      <c r="I422" s="309"/>
      <c r="N422" s="310"/>
    </row>
    <row r="423">
      <c r="H423" s="308"/>
      <c r="I423" s="309"/>
      <c r="N423" s="310"/>
    </row>
    <row r="424">
      <c r="H424" s="308"/>
      <c r="I424" s="309"/>
      <c r="N424" s="310"/>
    </row>
    <row r="425">
      <c r="H425" s="308"/>
      <c r="I425" s="309"/>
      <c r="N425" s="310"/>
    </row>
    <row r="426">
      <c r="H426" s="308"/>
      <c r="I426" s="309"/>
      <c r="N426" s="310"/>
    </row>
    <row r="427">
      <c r="H427" s="308"/>
      <c r="I427" s="309"/>
      <c r="N427" s="310"/>
    </row>
    <row r="428">
      <c r="H428" s="308"/>
      <c r="I428" s="309"/>
      <c r="N428" s="310"/>
    </row>
    <row r="429">
      <c r="H429" s="308"/>
      <c r="I429" s="309"/>
      <c r="N429" s="310"/>
    </row>
    <row r="430">
      <c r="H430" s="308"/>
      <c r="I430" s="309"/>
      <c r="N430" s="310"/>
    </row>
    <row r="431">
      <c r="H431" s="308"/>
      <c r="I431" s="309"/>
      <c r="N431" s="310"/>
    </row>
    <row r="432">
      <c r="H432" s="308"/>
      <c r="I432" s="309"/>
      <c r="N432" s="310"/>
    </row>
    <row r="433">
      <c r="H433" s="308"/>
      <c r="I433" s="309"/>
      <c r="N433" s="310"/>
    </row>
    <row r="434">
      <c r="H434" s="308"/>
      <c r="I434" s="309"/>
      <c r="N434" s="310"/>
    </row>
    <row r="435">
      <c r="H435" s="308"/>
      <c r="I435" s="309"/>
      <c r="N435" s="310"/>
    </row>
    <row r="436">
      <c r="H436" s="308"/>
      <c r="I436" s="309"/>
      <c r="N436" s="310"/>
    </row>
    <row r="437">
      <c r="H437" s="308"/>
      <c r="I437" s="309"/>
      <c r="N437" s="310"/>
    </row>
    <row r="438">
      <c r="H438" s="308"/>
      <c r="I438" s="309"/>
      <c r="N438" s="310"/>
    </row>
    <row r="439">
      <c r="H439" s="308"/>
      <c r="I439" s="309"/>
      <c r="N439" s="310"/>
    </row>
    <row r="440">
      <c r="H440" s="308"/>
      <c r="I440" s="309"/>
      <c r="N440" s="310"/>
    </row>
    <row r="441">
      <c r="H441" s="308"/>
      <c r="I441" s="309"/>
      <c r="N441" s="310"/>
    </row>
    <row r="442">
      <c r="H442" s="308"/>
      <c r="I442" s="309"/>
      <c r="N442" s="310"/>
    </row>
    <row r="443">
      <c r="H443" s="308"/>
      <c r="I443" s="309"/>
      <c r="N443" s="310"/>
    </row>
    <row r="444">
      <c r="H444" s="308"/>
      <c r="I444" s="309"/>
      <c r="N444" s="310"/>
    </row>
    <row r="445">
      <c r="H445" s="308"/>
      <c r="I445" s="309"/>
      <c r="N445" s="310"/>
    </row>
    <row r="446">
      <c r="H446" s="308"/>
      <c r="I446" s="309"/>
      <c r="N446" s="310"/>
    </row>
    <row r="447">
      <c r="H447" s="308"/>
      <c r="I447" s="309"/>
      <c r="N447" s="310"/>
    </row>
    <row r="448">
      <c r="H448" s="308"/>
      <c r="I448" s="309"/>
      <c r="N448" s="310"/>
    </row>
    <row r="449">
      <c r="H449" s="308"/>
      <c r="I449" s="309"/>
      <c r="N449" s="310"/>
    </row>
    <row r="450">
      <c r="H450" s="308"/>
      <c r="I450" s="309"/>
      <c r="N450" s="310"/>
    </row>
    <row r="451">
      <c r="H451" s="308"/>
      <c r="I451" s="309"/>
      <c r="N451" s="310"/>
    </row>
    <row r="452">
      <c r="H452" s="308"/>
      <c r="I452" s="309"/>
      <c r="N452" s="310"/>
    </row>
    <row r="453">
      <c r="H453" s="308"/>
      <c r="I453" s="309"/>
      <c r="N453" s="310"/>
    </row>
    <row r="454">
      <c r="H454" s="308"/>
      <c r="I454" s="309"/>
      <c r="N454" s="310"/>
    </row>
    <row r="455">
      <c r="H455" s="308"/>
      <c r="I455" s="309"/>
      <c r="N455" s="310"/>
    </row>
    <row r="456">
      <c r="H456" s="308"/>
      <c r="I456" s="309"/>
      <c r="N456" s="310"/>
    </row>
    <row r="457">
      <c r="H457" s="308"/>
      <c r="I457" s="309"/>
      <c r="N457" s="310"/>
    </row>
    <row r="458">
      <c r="H458" s="308"/>
      <c r="I458" s="309"/>
      <c r="N458" s="310"/>
    </row>
    <row r="459">
      <c r="H459" s="308"/>
      <c r="I459" s="309"/>
      <c r="N459" s="310"/>
    </row>
    <row r="460">
      <c r="H460" s="308"/>
      <c r="I460" s="309"/>
      <c r="N460" s="310"/>
    </row>
    <row r="461">
      <c r="H461" s="308"/>
      <c r="I461" s="309"/>
      <c r="N461" s="310"/>
    </row>
    <row r="462">
      <c r="H462" s="308"/>
      <c r="I462" s="309"/>
      <c r="N462" s="310"/>
    </row>
    <row r="463">
      <c r="H463" s="308"/>
      <c r="I463" s="309"/>
      <c r="N463" s="310"/>
    </row>
    <row r="464">
      <c r="H464" s="308"/>
      <c r="I464" s="309"/>
      <c r="N464" s="310"/>
    </row>
    <row r="465">
      <c r="H465" s="308"/>
      <c r="I465" s="309"/>
      <c r="N465" s="310"/>
    </row>
    <row r="466">
      <c r="H466" s="308"/>
      <c r="I466" s="309"/>
      <c r="N466" s="310"/>
    </row>
    <row r="467">
      <c r="H467" s="308"/>
      <c r="I467" s="309"/>
      <c r="N467" s="310"/>
    </row>
    <row r="468">
      <c r="H468" s="308"/>
      <c r="I468" s="309"/>
      <c r="N468" s="310"/>
    </row>
    <row r="469">
      <c r="H469" s="308"/>
      <c r="I469" s="309"/>
      <c r="N469" s="310"/>
    </row>
    <row r="470">
      <c r="H470" s="308"/>
      <c r="I470" s="309"/>
      <c r="N470" s="310"/>
    </row>
    <row r="471">
      <c r="H471" s="308"/>
      <c r="I471" s="309"/>
      <c r="N471" s="310"/>
    </row>
    <row r="472">
      <c r="H472" s="308"/>
      <c r="I472" s="309"/>
      <c r="N472" s="310"/>
    </row>
    <row r="473">
      <c r="H473" s="308"/>
      <c r="I473" s="309"/>
      <c r="N473" s="310"/>
    </row>
    <row r="474">
      <c r="H474" s="308"/>
      <c r="I474" s="309"/>
      <c r="N474" s="310"/>
    </row>
    <row r="475">
      <c r="H475" s="308"/>
      <c r="I475" s="309"/>
      <c r="N475" s="310"/>
    </row>
    <row r="476">
      <c r="H476" s="308"/>
      <c r="I476" s="309"/>
      <c r="N476" s="310"/>
    </row>
    <row r="477">
      <c r="H477" s="308"/>
      <c r="I477" s="309"/>
      <c r="N477" s="310"/>
    </row>
    <row r="478">
      <c r="H478" s="308"/>
      <c r="I478" s="309"/>
      <c r="N478" s="310"/>
    </row>
    <row r="479">
      <c r="H479" s="308"/>
      <c r="I479" s="309"/>
      <c r="N479" s="310"/>
    </row>
    <row r="480">
      <c r="H480" s="308"/>
      <c r="I480" s="309"/>
      <c r="N480" s="310"/>
    </row>
    <row r="481">
      <c r="H481" s="308"/>
      <c r="I481" s="309"/>
      <c r="N481" s="310"/>
    </row>
    <row r="482">
      <c r="H482" s="308"/>
      <c r="I482" s="309"/>
      <c r="N482" s="310"/>
    </row>
    <row r="483">
      <c r="H483" s="308"/>
      <c r="I483" s="309"/>
      <c r="N483" s="310"/>
    </row>
    <row r="484">
      <c r="H484" s="308"/>
      <c r="I484" s="309"/>
      <c r="N484" s="310"/>
    </row>
    <row r="485">
      <c r="H485" s="308"/>
      <c r="I485" s="309"/>
      <c r="N485" s="310"/>
    </row>
    <row r="486">
      <c r="H486" s="308"/>
      <c r="I486" s="309"/>
      <c r="N486" s="310"/>
    </row>
    <row r="487">
      <c r="H487" s="308"/>
      <c r="I487" s="309"/>
      <c r="N487" s="310"/>
    </row>
    <row r="488">
      <c r="H488" s="308"/>
      <c r="I488" s="309"/>
      <c r="N488" s="310"/>
    </row>
    <row r="489">
      <c r="H489" s="308"/>
      <c r="I489" s="309"/>
      <c r="N489" s="310"/>
    </row>
    <row r="490">
      <c r="H490" s="308"/>
      <c r="I490" s="309"/>
      <c r="N490" s="310"/>
    </row>
    <row r="491">
      <c r="H491" s="308"/>
      <c r="I491" s="309"/>
      <c r="N491" s="310"/>
    </row>
    <row r="492">
      <c r="H492" s="308"/>
      <c r="I492" s="309"/>
      <c r="N492" s="310"/>
    </row>
    <row r="493">
      <c r="H493" s="308"/>
      <c r="I493" s="309"/>
      <c r="N493" s="310"/>
    </row>
    <row r="494">
      <c r="H494" s="308"/>
      <c r="I494" s="309"/>
      <c r="N494" s="310"/>
    </row>
    <row r="495">
      <c r="H495" s="308"/>
      <c r="I495" s="309"/>
      <c r="N495" s="310"/>
    </row>
    <row r="496">
      <c r="H496" s="308"/>
      <c r="I496" s="309"/>
      <c r="N496" s="310"/>
    </row>
    <row r="497">
      <c r="H497" s="308"/>
      <c r="I497" s="309"/>
      <c r="N497" s="310"/>
    </row>
    <row r="498">
      <c r="H498" s="308"/>
      <c r="I498" s="309"/>
      <c r="N498" s="310"/>
    </row>
    <row r="499">
      <c r="H499" s="308"/>
      <c r="I499" s="309"/>
      <c r="N499" s="310"/>
    </row>
    <row r="500">
      <c r="H500" s="308"/>
      <c r="I500" s="309"/>
      <c r="N500" s="310"/>
    </row>
    <row r="501">
      <c r="H501" s="308"/>
      <c r="I501" s="309"/>
      <c r="N501" s="310"/>
    </row>
    <row r="502">
      <c r="H502" s="308"/>
      <c r="I502" s="309"/>
      <c r="N502" s="310"/>
    </row>
    <row r="503">
      <c r="H503" s="308"/>
      <c r="I503" s="309"/>
      <c r="N503" s="310"/>
    </row>
    <row r="504">
      <c r="H504" s="308"/>
      <c r="I504" s="309"/>
      <c r="N504" s="310"/>
    </row>
    <row r="505">
      <c r="H505" s="308"/>
      <c r="I505" s="309"/>
      <c r="N505" s="310"/>
    </row>
    <row r="506">
      <c r="H506" s="308"/>
      <c r="I506" s="309"/>
      <c r="N506" s="310"/>
    </row>
    <row r="507">
      <c r="H507" s="308"/>
      <c r="I507" s="309"/>
      <c r="N507" s="310"/>
    </row>
    <row r="508">
      <c r="H508" s="308"/>
      <c r="I508" s="309"/>
      <c r="N508" s="310"/>
    </row>
    <row r="509">
      <c r="H509" s="308"/>
      <c r="I509" s="309"/>
      <c r="N509" s="310"/>
    </row>
    <row r="510">
      <c r="H510" s="308"/>
      <c r="I510" s="309"/>
      <c r="N510" s="310"/>
    </row>
    <row r="511">
      <c r="H511" s="308"/>
      <c r="I511" s="309"/>
      <c r="N511" s="310"/>
    </row>
    <row r="512">
      <c r="H512" s="308"/>
      <c r="I512" s="309"/>
      <c r="N512" s="310"/>
    </row>
    <row r="513">
      <c r="H513" s="308"/>
      <c r="I513" s="309"/>
      <c r="N513" s="310"/>
    </row>
    <row r="514">
      <c r="H514" s="308"/>
      <c r="I514" s="309"/>
      <c r="N514" s="310"/>
    </row>
    <row r="515">
      <c r="H515" s="308"/>
      <c r="I515" s="309"/>
      <c r="N515" s="310"/>
    </row>
    <row r="516">
      <c r="H516" s="308"/>
      <c r="I516" s="309"/>
      <c r="N516" s="310"/>
    </row>
    <row r="517">
      <c r="H517" s="308"/>
      <c r="I517" s="309"/>
      <c r="N517" s="310"/>
    </row>
    <row r="518">
      <c r="H518" s="308"/>
      <c r="I518" s="309"/>
      <c r="N518" s="310"/>
    </row>
    <row r="519">
      <c r="H519" s="308"/>
      <c r="I519" s="309"/>
      <c r="N519" s="310"/>
    </row>
    <row r="520">
      <c r="H520" s="308"/>
      <c r="I520" s="309"/>
      <c r="N520" s="310"/>
    </row>
    <row r="521">
      <c r="H521" s="308"/>
      <c r="I521" s="309"/>
      <c r="N521" s="310"/>
    </row>
    <row r="522">
      <c r="H522" s="308"/>
      <c r="I522" s="309"/>
      <c r="N522" s="310"/>
    </row>
    <row r="523">
      <c r="H523" s="308"/>
      <c r="I523" s="309"/>
      <c r="N523" s="310"/>
    </row>
    <row r="524">
      <c r="H524" s="308"/>
      <c r="I524" s="309"/>
      <c r="N524" s="310"/>
    </row>
    <row r="525">
      <c r="H525" s="308"/>
      <c r="I525" s="309"/>
      <c r="N525" s="310"/>
    </row>
    <row r="526">
      <c r="H526" s="308"/>
      <c r="I526" s="309"/>
      <c r="N526" s="310"/>
    </row>
    <row r="527">
      <c r="H527" s="308"/>
      <c r="I527" s="309"/>
      <c r="N527" s="310"/>
    </row>
    <row r="528">
      <c r="H528" s="308"/>
      <c r="I528" s="309"/>
      <c r="N528" s="310"/>
    </row>
    <row r="529">
      <c r="H529" s="308"/>
      <c r="I529" s="309"/>
      <c r="N529" s="310"/>
    </row>
    <row r="530">
      <c r="H530" s="308"/>
      <c r="I530" s="309"/>
      <c r="N530" s="310"/>
    </row>
    <row r="531">
      <c r="H531" s="308"/>
      <c r="I531" s="309"/>
      <c r="N531" s="310"/>
    </row>
    <row r="532">
      <c r="H532" s="308"/>
      <c r="I532" s="309"/>
      <c r="N532" s="310"/>
    </row>
    <row r="533">
      <c r="H533" s="308"/>
      <c r="I533" s="309"/>
      <c r="N533" s="310"/>
    </row>
    <row r="534">
      <c r="H534" s="308"/>
      <c r="I534" s="309"/>
      <c r="N534" s="310"/>
    </row>
    <row r="535">
      <c r="H535" s="308"/>
      <c r="I535" s="309"/>
      <c r="N535" s="310"/>
    </row>
    <row r="536">
      <c r="H536" s="308"/>
      <c r="I536" s="309"/>
      <c r="N536" s="310"/>
    </row>
    <row r="537">
      <c r="H537" s="308"/>
      <c r="I537" s="309"/>
      <c r="N537" s="310"/>
    </row>
    <row r="538">
      <c r="H538" s="308"/>
      <c r="I538" s="309"/>
      <c r="N538" s="310"/>
    </row>
    <row r="539">
      <c r="H539" s="308"/>
      <c r="I539" s="309"/>
      <c r="N539" s="310"/>
    </row>
    <row r="540">
      <c r="H540" s="308"/>
      <c r="I540" s="309"/>
      <c r="N540" s="310"/>
    </row>
    <row r="541">
      <c r="H541" s="308"/>
      <c r="I541" s="309"/>
      <c r="N541" s="310"/>
    </row>
    <row r="542">
      <c r="H542" s="308"/>
      <c r="I542" s="309"/>
      <c r="N542" s="310"/>
    </row>
    <row r="543">
      <c r="H543" s="308"/>
      <c r="I543" s="309"/>
      <c r="N543" s="310"/>
    </row>
    <row r="544">
      <c r="H544" s="308"/>
      <c r="I544" s="309"/>
      <c r="N544" s="310"/>
    </row>
    <row r="545">
      <c r="H545" s="308"/>
      <c r="I545" s="309"/>
      <c r="N545" s="310"/>
    </row>
    <row r="546">
      <c r="H546" s="308"/>
      <c r="I546" s="309"/>
      <c r="N546" s="310"/>
    </row>
    <row r="547">
      <c r="H547" s="308"/>
      <c r="I547" s="309"/>
      <c r="N547" s="310"/>
    </row>
    <row r="548">
      <c r="H548" s="308"/>
      <c r="I548" s="309"/>
      <c r="N548" s="310"/>
    </row>
    <row r="549">
      <c r="H549" s="308"/>
      <c r="I549" s="309"/>
      <c r="N549" s="310"/>
    </row>
    <row r="550">
      <c r="H550" s="308"/>
      <c r="I550" s="309"/>
      <c r="N550" s="310"/>
    </row>
    <row r="551">
      <c r="H551" s="308"/>
      <c r="I551" s="309"/>
      <c r="N551" s="310"/>
    </row>
    <row r="552">
      <c r="H552" s="308"/>
      <c r="I552" s="309"/>
      <c r="N552" s="310"/>
    </row>
    <row r="553">
      <c r="H553" s="308"/>
      <c r="I553" s="309"/>
      <c r="N553" s="310"/>
    </row>
    <row r="554">
      <c r="H554" s="308"/>
      <c r="I554" s="309"/>
      <c r="N554" s="310"/>
    </row>
    <row r="555">
      <c r="H555" s="308"/>
      <c r="I555" s="309"/>
      <c r="N555" s="310"/>
    </row>
    <row r="556">
      <c r="H556" s="308"/>
      <c r="I556" s="309"/>
      <c r="N556" s="310"/>
    </row>
    <row r="557">
      <c r="H557" s="308"/>
      <c r="I557" s="309"/>
      <c r="N557" s="310"/>
    </row>
    <row r="558">
      <c r="H558" s="308"/>
      <c r="I558" s="309"/>
      <c r="N558" s="310"/>
    </row>
    <row r="559">
      <c r="H559" s="308"/>
      <c r="I559" s="309"/>
      <c r="N559" s="310"/>
    </row>
    <row r="560">
      <c r="H560" s="308"/>
      <c r="I560" s="309"/>
      <c r="N560" s="310"/>
    </row>
    <row r="561">
      <c r="H561" s="308"/>
      <c r="I561" s="309"/>
      <c r="N561" s="310"/>
    </row>
    <row r="562">
      <c r="H562" s="308"/>
      <c r="I562" s="309"/>
      <c r="N562" s="310"/>
    </row>
    <row r="563">
      <c r="H563" s="308"/>
      <c r="I563" s="309"/>
      <c r="N563" s="310"/>
    </row>
    <row r="564">
      <c r="H564" s="308"/>
      <c r="I564" s="309"/>
      <c r="N564" s="310"/>
    </row>
    <row r="565">
      <c r="H565" s="308"/>
      <c r="I565" s="309"/>
      <c r="N565" s="310"/>
    </row>
    <row r="566">
      <c r="H566" s="308"/>
      <c r="I566" s="309"/>
      <c r="N566" s="310"/>
    </row>
    <row r="567">
      <c r="H567" s="308"/>
      <c r="I567" s="309"/>
      <c r="N567" s="310"/>
    </row>
    <row r="568">
      <c r="H568" s="308"/>
      <c r="I568" s="309"/>
      <c r="N568" s="310"/>
    </row>
    <row r="569">
      <c r="H569" s="308"/>
      <c r="I569" s="309"/>
      <c r="N569" s="310"/>
    </row>
    <row r="570">
      <c r="H570" s="308"/>
      <c r="I570" s="309"/>
      <c r="N570" s="310"/>
    </row>
    <row r="571">
      <c r="H571" s="308"/>
      <c r="I571" s="309"/>
      <c r="N571" s="310"/>
    </row>
    <row r="572">
      <c r="H572" s="308"/>
      <c r="I572" s="309"/>
      <c r="N572" s="310"/>
    </row>
    <row r="573">
      <c r="H573" s="308"/>
      <c r="I573" s="309"/>
      <c r="N573" s="310"/>
    </row>
    <row r="574">
      <c r="H574" s="308"/>
      <c r="I574" s="309"/>
      <c r="N574" s="310"/>
    </row>
    <row r="575">
      <c r="H575" s="308"/>
      <c r="I575" s="309"/>
      <c r="N575" s="310"/>
    </row>
    <row r="576">
      <c r="H576" s="308"/>
      <c r="I576" s="309"/>
      <c r="N576" s="310"/>
    </row>
    <row r="577">
      <c r="H577" s="308"/>
      <c r="I577" s="309"/>
      <c r="N577" s="310"/>
    </row>
    <row r="578">
      <c r="H578" s="308"/>
      <c r="I578" s="309"/>
      <c r="N578" s="310"/>
    </row>
    <row r="579">
      <c r="H579" s="308"/>
      <c r="I579" s="309"/>
      <c r="N579" s="310"/>
    </row>
    <row r="580">
      <c r="H580" s="308"/>
      <c r="I580" s="309"/>
      <c r="N580" s="310"/>
    </row>
    <row r="581">
      <c r="H581" s="308"/>
      <c r="I581" s="309"/>
      <c r="N581" s="310"/>
    </row>
    <row r="582">
      <c r="H582" s="308"/>
      <c r="I582" s="309"/>
      <c r="N582" s="310"/>
    </row>
    <row r="583">
      <c r="H583" s="308"/>
      <c r="I583" s="309"/>
      <c r="N583" s="310"/>
    </row>
    <row r="584">
      <c r="H584" s="308"/>
      <c r="I584" s="309"/>
      <c r="N584" s="310"/>
    </row>
    <row r="585">
      <c r="H585" s="308"/>
      <c r="I585" s="309"/>
      <c r="N585" s="310"/>
    </row>
    <row r="586">
      <c r="H586" s="308"/>
      <c r="I586" s="309"/>
      <c r="N586" s="310"/>
    </row>
    <row r="587">
      <c r="H587" s="308"/>
      <c r="I587" s="309"/>
      <c r="N587" s="310"/>
    </row>
    <row r="588">
      <c r="H588" s="308"/>
      <c r="I588" s="309"/>
      <c r="N588" s="310"/>
    </row>
    <row r="589">
      <c r="H589" s="308"/>
      <c r="I589" s="309"/>
      <c r="N589" s="310"/>
    </row>
    <row r="590">
      <c r="H590" s="308"/>
      <c r="I590" s="309"/>
      <c r="N590" s="310"/>
    </row>
    <row r="591">
      <c r="H591" s="308"/>
      <c r="I591" s="309"/>
      <c r="N591" s="310"/>
    </row>
    <row r="592">
      <c r="H592" s="308"/>
      <c r="I592" s="309"/>
      <c r="N592" s="310"/>
    </row>
    <row r="593">
      <c r="H593" s="308"/>
      <c r="I593" s="309"/>
      <c r="N593" s="310"/>
    </row>
    <row r="594">
      <c r="H594" s="308"/>
      <c r="I594" s="309"/>
      <c r="N594" s="310"/>
    </row>
    <row r="595">
      <c r="H595" s="308"/>
      <c r="I595" s="309"/>
      <c r="N595" s="310"/>
    </row>
    <row r="596">
      <c r="H596" s="308"/>
      <c r="I596" s="309"/>
      <c r="N596" s="310"/>
    </row>
    <row r="597">
      <c r="H597" s="308"/>
      <c r="I597" s="309"/>
      <c r="N597" s="310"/>
    </row>
    <row r="598">
      <c r="H598" s="308"/>
      <c r="I598" s="309"/>
      <c r="N598" s="310"/>
    </row>
    <row r="599">
      <c r="H599" s="308"/>
      <c r="I599" s="309"/>
      <c r="N599" s="310"/>
    </row>
    <row r="600">
      <c r="H600" s="308"/>
      <c r="I600" s="309"/>
      <c r="N600" s="310"/>
    </row>
    <row r="601">
      <c r="H601" s="308"/>
      <c r="I601" s="309"/>
      <c r="N601" s="310"/>
    </row>
    <row r="602">
      <c r="H602" s="308"/>
      <c r="I602" s="309"/>
      <c r="N602" s="310"/>
    </row>
    <row r="603">
      <c r="H603" s="308"/>
      <c r="I603" s="309"/>
      <c r="N603" s="310"/>
    </row>
    <row r="604">
      <c r="H604" s="308"/>
      <c r="I604" s="309"/>
      <c r="N604" s="310"/>
    </row>
    <row r="605">
      <c r="H605" s="308"/>
      <c r="I605" s="309"/>
      <c r="N605" s="310"/>
    </row>
    <row r="606">
      <c r="H606" s="308"/>
      <c r="I606" s="309"/>
      <c r="N606" s="310"/>
    </row>
    <row r="607">
      <c r="H607" s="308"/>
      <c r="I607" s="309"/>
      <c r="N607" s="310"/>
    </row>
    <row r="608">
      <c r="H608" s="308"/>
      <c r="I608" s="309"/>
      <c r="N608" s="310"/>
    </row>
    <row r="609">
      <c r="H609" s="308"/>
      <c r="I609" s="309"/>
      <c r="N609" s="310"/>
    </row>
    <row r="610">
      <c r="H610" s="308"/>
      <c r="I610" s="309"/>
      <c r="N610" s="310"/>
    </row>
    <row r="611">
      <c r="H611" s="308"/>
      <c r="I611" s="309"/>
      <c r="N611" s="310"/>
    </row>
    <row r="612">
      <c r="H612" s="308"/>
      <c r="I612" s="309"/>
      <c r="N612" s="310"/>
    </row>
    <row r="613">
      <c r="H613" s="308"/>
      <c r="I613" s="309"/>
      <c r="N613" s="310"/>
    </row>
    <row r="614">
      <c r="H614" s="308"/>
      <c r="I614" s="309"/>
      <c r="N614" s="310"/>
    </row>
    <row r="615">
      <c r="H615" s="308"/>
      <c r="I615" s="309"/>
      <c r="N615" s="310"/>
    </row>
    <row r="616">
      <c r="H616" s="308"/>
      <c r="I616" s="309"/>
      <c r="N616" s="310"/>
    </row>
    <row r="617">
      <c r="H617" s="308"/>
      <c r="I617" s="309"/>
      <c r="N617" s="310"/>
    </row>
    <row r="618">
      <c r="H618" s="308"/>
      <c r="I618" s="309"/>
      <c r="N618" s="310"/>
    </row>
    <row r="619">
      <c r="H619" s="308"/>
      <c r="I619" s="309"/>
      <c r="N619" s="310"/>
    </row>
    <row r="620">
      <c r="H620" s="308"/>
      <c r="I620" s="309"/>
      <c r="N620" s="310"/>
    </row>
    <row r="621">
      <c r="H621" s="308"/>
      <c r="I621" s="309"/>
      <c r="N621" s="310"/>
    </row>
    <row r="622">
      <c r="H622" s="308"/>
      <c r="I622" s="309"/>
      <c r="N622" s="310"/>
    </row>
    <row r="623">
      <c r="H623" s="308"/>
      <c r="I623" s="309"/>
      <c r="N623" s="310"/>
    </row>
    <row r="624">
      <c r="H624" s="308"/>
      <c r="I624" s="309"/>
      <c r="N624" s="310"/>
    </row>
    <row r="625">
      <c r="H625" s="308"/>
      <c r="I625" s="309"/>
      <c r="N625" s="310"/>
    </row>
    <row r="626">
      <c r="H626" s="308"/>
      <c r="I626" s="309"/>
      <c r="N626" s="310"/>
    </row>
    <row r="627">
      <c r="H627" s="308"/>
      <c r="I627" s="309"/>
      <c r="N627" s="310"/>
    </row>
    <row r="628">
      <c r="H628" s="308"/>
      <c r="I628" s="309"/>
      <c r="N628" s="310"/>
    </row>
    <row r="629">
      <c r="H629" s="308"/>
      <c r="I629" s="309"/>
      <c r="N629" s="310"/>
    </row>
    <row r="630">
      <c r="H630" s="308"/>
      <c r="I630" s="309"/>
      <c r="N630" s="310"/>
    </row>
    <row r="631">
      <c r="H631" s="308"/>
      <c r="I631" s="309"/>
      <c r="N631" s="310"/>
    </row>
    <row r="632">
      <c r="H632" s="308"/>
      <c r="I632" s="309"/>
      <c r="N632" s="310"/>
    </row>
    <row r="633">
      <c r="H633" s="308"/>
      <c r="I633" s="309"/>
      <c r="N633" s="310"/>
    </row>
    <row r="634">
      <c r="H634" s="308"/>
      <c r="I634" s="309"/>
      <c r="N634" s="310"/>
    </row>
    <row r="635">
      <c r="H635" s="308"/>
      <c r="I635" s="309"/>
      <c r="N635" s="310"/>
    </row>
    <row r="636">
      <c r="H636" s="308"/>
      <c r="I636" s="309"/>
      <c r="N636" s="310"/>
    </row>
    <row r="637">
      <c r="H637" s="308"/>
      <c r="I637" s="309"/>
      <c r="N637" s="310"/>
    </row>
    <row r="638">
      <c r="H638" s="308"/>
      <c r="I638" s="309"/>
      <c r="N638" s="310"/>
    </row>
    <row r="639">
      <c r="H639" s="308"/>
      <c r="I639" s="309"/>
      <c r="N639" s="310"/>
    </row>
    <row r="640">
      <c r="H640" s="308"/>
      <c r="I640" s="309"/>
      <c r="N640" s="310"/>
    </row>
    <row r="641">
      <c r="H641" s="308"/>
      <c r="I641" s="309"/>
      <c r="N641" s="310"/>
    </row>
    <row r="642">
      <c r="H642" s="308"/>
      <c r="I642" s="309"/>
      <c r="N642" s="310"/>
    </row>
    <row r="643">
      <c r="H643" s="308"/>
      <c r="I643" s="309"/>
      <c r="N643" s="310"/>
    </row>
    <row r="644">
      <c r="H644" s="308"/>
      <c r="I644" s="309"/>
      <c r="N644" s="310"/>
    </row>
    <row r="645">
      <c r="H645" s="308"/>
      <c r="I645" s="309"/>
      <c r="N645" s="310"/>
    </row>
    <row r="646">
      <c r="H646" s="308"/>
      <c r="I646" s="309"/>
      <c r="N646" s="310"/>
    </row>
    <row r="647">
      <c r="H647" s="308"/>
      <c r="I647" s="309"/>
      <c r="N647" s="310"/>
    </row>
    <row r="648">
      <c r="H648" s="308"/>
      <c r="I648" s="309"/>
      <c r="N648" s="310"/>
    </row>
    <row r="649">
      <c r="H649" s="308"/>
      <c r="I649" s="309"/>
      <c r="N649" s="310"/>
    </row>
    <row r="650">
      <c r="H650" s="308"/>
      <c r="I650" s="309"/>
      <c r="N650" s="310"/>
    </row>
    <row r="651">
      <c r="H651" s="308"/>
      <c r="I651" s="309"/>
      <c r="N651" s="310"/>
    </row>
    <row r="652">
      <c r="H652" s="308"/>
      <c r="I652" s="309"/>
      <c r="N652" s="310"/>
    </row>
    <row r="653">
      <c r="H653" s="308"/>
      <c r="I653" s="309"/>
      <c r="N653" s="310"/>
    </row>
    <row r="654">
      <c r="H654" s="308"/>
      <c r="I654" s="309"/>
      <c r="N654" s="310"/>
    </row>
    <row r="655">
      <c r="H655" s="308"/>
      <c r="I655" s="309"/>
      <c r="N655" s="310"/>
    </row>
    <row r="656">
      <c r="H656" s="308"/>
      <c r="I656" s="309"/>
      <c r="N656" s="310"/>
    </row>
    <row r="657">
      <c r="H657" s="308"/>
      <c r="I657" s="309"/>
      <c r="N657" s="310"/>
    </row>
    <row r="658">
      <c r="H658" s="308"/>
      <c r="I658" s="309"/>
      <c r="N658" s="310"/>
    </row>
    <row r="659">
      <c r="H659" s="308"/>
      <c r="I659" s="309"/>
      <c r="N659" s="310"/>
    </row>
    <row r="660">
      <c r="H660" s="308"/>
      <c r="I660" s="309"/>
      <c r="N660" s="310"/>
    </row>
    <row r="661">
      <c r="H661" s="308"/>
      <c r="I661" s="309"/>
      <c r="N661" s="310"/>
    </row>
    <row r="662">
      <c r="H662" s="308"/>
      <c r="I662" s="309"/>
      <c r="N662" s="310"/>
    </row>
    <row r="663">
      <c r="H663" s="308"/>
      <c r="I663" s="309"/>
      <c r="N663" s="310"/>
    </row>
    <row r="664">
      <c r="H664" s="308"/>
      <c r="I664" s="309"/>
      <c r="N664" s="310"/>
    </row>
    <row r="665">
      <c r="H665" s="308"/>
      <c r="I665" s="309"/>
      <c r="N665" s="310"/>
    </row>
    <row r="666">
      <c r="H666" s="308"/>
      <c r="I666" s="309"/>
      <c r="N666" s="310"/>
    </row>
    <row r="667">
      <c r="H667" s="308"/>
      <c r="I667" s="309"/>
      <c r="N667" s="310"/>
    </row>
    <row r="668">
      <c r="H668" s="308"/>
      <c r="I668" s="309"/>
      <c r="N668" s="310"/>
    </row>
    <row r="669">
      <c r="H669" s="308"/>
      <c r="I669" s="309"/>
      <c r="N669" s="310"/>
    </row>
    <row r="670">
      <c r="H670" s="308"/>
      <c r="I670" s="309"/>
      <c r="N670" s="310"/>
    </row>
    <row r="671">
      <c r="H671" s="308"/>
      <c r="I671" s="309"/>
      <c r="N671" s="310"/>
    </row>
    <row r="672">
      <c r="H672" s="308"/>
      <c r="I672" s="309"/>
      <c r="N672" s="310"/>
    </row>
    <row r="673">
      <c r="H673" s="308"/>
      <c r="I673" s="309"/>
      <c r="N673" s="310"/>
    </row>
    <row r="674">
      <c r="H674" s="308"/>
      <c r="I674" s="309"/>
      <c r="N674" s="310"/>
    </row>
    <row r="675">
      <c r="H675" s="308"/>
      <c r="I675" s="309"/>
      <c r="N675" s="310"/>
    </row>
    <row r="676">
      <c r="H676" s="308"/>
      <c r="I676" s="309"/>
      <c r="N676" s="310"/>
    </row>
    <row r="677">
      <c r="H677" s="308"/>
      <c r="I677" s="309"/>
      <c r="N677" s="310"/>
    </row>
    <row r="678">
      <c r="H678" s="308"/>
      <c r="I678" s="309"/>
      <c r="N678" s="310"/>
    </row>
    <row r="679">
      <c r="H679" s="308"/>
      <c r="I679" s="309"/>
      <c r="N679" s="310"/>
    </row>
    <row r="680">
      <c r="H680" s="308"/>
      <c r="I680" s="309"/>
      <c r="N680" s="310"/>
    </row>
    <row r="681">
      <c r="H681" s="308"/>
      <c r="I681" s="309"/>
      <c r="N681" s="310"/>
    </row>
    <row r="682">
      <c r="H682" s="308"/>
      <c r="I682" s="309"/>
      <c r="N682" s="310"/>
    </row>
    <row r="683">
      <c r="H683" s="308"/>
      <c r="I683" s="309"/>
      <c r="N683" s="310"/>
    </row>
    <row r="684">
      <c r="H684" s="308"/>
      <c r="I684" s="309"/>
      <c r="N684" s="310"/>
    </row>
    <row r="685">
      <c r="H685" s="308"/>
      <c r="I685" s="309"/>
      <c r="N685" s="310"/>
    </row>
    <row r="686">
      <c r="H686" s="308"/>
      <c r="I686" s="309"/>
      <c r="N686" s="310"/>
    </row>
    <row r="687">
      <c r="H687" s="308"/>
      <c r="I687" s="309"/>
      <c r="N687" s="310"/>
    </row>
    <row r="688">
      <c r="H688" s="308"/>
      <c r="I688" s="309"/>
      <c r="N688" s="310"/>
    </row>
    <row r="689">
      <c r="H689" s="308"/>
      <c r="I689" s="309"/>
      <c r="N689" s="310"/>
    </row>
    <row r="690">
      <c r="H690" s="308"/>
      <c r="I690" s="309"/>
      <c r="N690" s="310"/>
    </row>
    <row r="691">
      <c r="H691" s="308"/>
      <c r="I691" s="309"/>
      <c r="N691" s="310"/>
    </row>
    <row r="692">
      <c r="H692" s="308"/>
      <c r="I692" s="309"/>
      <c r="N692" s="310"/>
    </row>
    <row r="693">
      <c r="H693" s="308"/>
      <c r="I693" s="309"/>
      <c r="N693" s="310"/>
    </row>
    <row r="694">
      <c r="H694" s="308"/>
      <c r="I694" s="309"/>
      <c r="N694" s="310"/>
    </row>
    <row r="695">
      <c r="H695" s="308"/>
      <c r="I695" s="309"/>
      <c r="N695" s="310"/>
    </row>
    <row r="696">
      <c r="H696" s="308"/>
      <c r="I696" s="309"/>
      <c r="N696" s="310"/>
    </row>
    <row r="697">
      <c r="H697" s="308"/>
      <c r="I697" s="309"/>
      <c r="N697" s="310"/>
    </row>
    <row r="698">
      <c r="H698" s="308"/>
      <c r="I698" s="309"/>
      <c r="N698" s="310"/>
    </row>
    <row r="699">
      <c r="H699" s="308"/>
      <c r="I699" s="309"/>
      <c r="N699" s="310"/>
    </row>
    <row r="700">
      <c r="H700" s="308"/>
      <c r="I700" s="309"/>
      <c r="N700" s="310"/>
    </row>
    <row r="701">
      <c r="H701" s="308"/>
      <c r="I701" s="309"/>
      <c r="N701" s="310"/>
    </row>
    <row r="702">
      <c r="H702" s="308"/>
      <c r="I702" s="309"/>
      <c r="N702" s="310"/>
    </row>
    <row r="703">
      <c r="H703" s="308"/>
      <c r="I703" s="309"/>
      <c r="N703" s="310"/>
    </row>
    <row r="704">
      <c r="H704" s="308"/>
      <c r="I704" s="309"/>
      <c r="N704" s="310"/>
    </row>
    <row r="705">
      <c r="H705" s="308"/>
      <c r="I705" s="309"/>
      <c r="N705" s="310"/>
    </row>
    <row r="706">
      <c r="H706" s="308"/>
      <c r="I706" s="309"/>
      <c r="N706" s="310"/>
    </row>
    <row r="707">
      <c r="H707" s="308"/>
      <c r="I707" s="309"/>
      <c r="N707" s="310"/>
    </row>
    <row r="708">
      <c r="H708" s="308"/>
      <c r="I708" s="309"/>
      <c r="N708" s="310"/>
    </row>
    <row r="709">
      <c r="H709" s="308"/>
      <c r="I709" s="309"/>
      <c r="N709" s="310"/>
    </row>
    <row r="710">
      <c r="H710" s="308"/>
      <c r="I710" s="309"/>
      <c r="N710" s="310"/>
    </row>
    <row r="711">
      <c r="H711" s="308"/>
      <c r="I711" s="309"/>
      <c r="N711" s="310"/>
    </row>
    <row r="712">
      <c r="H712" s="308"/>
      <c r="I712" s="309"/>
      <c r="N712" s="310"/>
    </row>
    <row r="713">
      <c r="H713" s="308"/>
      <c r="I713" s="309"/>
      <c r="N713" s="310"/>
    </row>
    <row r="714">
      <c r="H714" s="308"/>
      <c r="I714" s="309"/>
      <c r="N714" s="310"/>
    </row>
    <row r="715">
      <c r="H715" s="308"/>
      <c r="I715" s="309"/>
      <c r="N715" s="310"/>
    </row>
    <row r="716">
      <c r="H716" s="308"/>
      <c r="I716" s="309"/>
      <c r="N716" s="310"/>
    </row>
    <row r="717">
      <c r="H717" s="308"/>
      <c r="I717" s="309"/>
      <c r="N717" s="310"/>
    </row>
    <row r="718">
      <c r="H718" s="308"/>
      <c r="I718" s="309"/>
      <c r="N718" s="310"/>
    </row>
    <row r="719">
      <c r="H719" s="308"/>
      <c r="I719" s="309"/>
      <c r="N719" s="310"/>
    </row>
    <row r="720">
      <c r="H720" s="308"/>
      <c r="I720" s="309"/>
      <c r="N720" s="310"/>
    </row>
    <row r="721">
      <c r="H721" s="308"/>
      <c r="I721" s="309"/>
      <c r="N721" s="310"/>
    </row>
    <row r="722">
      <c r="H722" s="308"/>
      <c r="I722" s="309"/>
      <c r="N722" s="310"/>
    </row>
    <row r="723">
      <c r="H723" s="308"/>
      <c r="I723" s="309"/>
      <c r="N723" s="310"/>
    </row>
    <row r="724">
      <c r="H724" s="308"/>
      <c r="I724" s="309"/>
      <c r="N724" s="310"/>
    </row>
    <row r="725">
      <c r="H725" s="308"/>
      <c r="I725" s="309"/>
      <c r="N725" s="310"/>
    </row>
    <row r="726">
      <c r="H726" s="308"/>
      <c r="I726" s="309"/>
      <c r="N726" s="310"/>
    </row>
    <row r="727">
      <c r="H727" s="308"/>
      <c r="I727" s="309"/>
      <c r="N727" s="310"/>
    </row>
    <row r="728">
      <c r="H728" s="308"/>
      <c r="I728" s="309"/>
      <c r="N728" s="310"/>
    </row>
    <row r="729">
      <c r="H729" s="308"/>
      <c r="I729" s="309"/>
      <c r="N729" s="310"/>
    </row>
    <row r="730">
      <c r="H730" s="308"/>
      <c r="I730" s="309"/>
      <c r="N730" s="310"/>
    </row>
    <row r="731">
      <c r="H731" s="308"/>
      <c r="I731" s="309"/>
      <c r="N731" s="310"/>
    </row>
    <row r="732">
      <c r="H732" s="308"/>
      <c r="I732" s="309"/>
      <c r="N732" s="310"/>
    </row>
    <row r="733">
      <c r="H733" s="308"/>
      <c r="I733" s="309"/>
      <c r="N733" s="310"/>
    </row>
    <row r="734">
      <c r="H734" s="308"/>
      <c r="I734" s="309"/>
      <c r="N734" s="310"/>
    </row>
    <row r="735">
      <c r="H735" s="308"/>
      <c r="I735" s="309"/>
      <c r="N735" s="310"/>
    </row>
    <row r="736">
      <c r="H736" s="308"/>
      <c r="I736" s="309"/>
      <c r="N736" s="310"/>
    </row>
    <row r="737">
      <c r="H737" s="308"/>
      <c r="I737" s="309"/>
      <c r="N737" s="310"/>
    </row>
    <row r="738">
      <c r="H738" s="308"/>
      <c r="I738" s="309"/>
      <c r="N738" s="310"/>
    </row>
    <row r="739">
      <c r="H739" s="308"/>
      <c r="I739" s="309"/>
      <c r="N739" s="310"/>
    </row>
    <row r="740">
      <c r="H740" s="308"/>
      <c r="I740" s="309"/>
      <c r="N740" s="310"/>
    </row>
    <row r="741">
      <c r="H741" s="308"/>
      <c r="I741" s="309"/>
      <c r="N741" s="310"/>
    </row>
    <row r="742">
      <c r="H742" s="308"/>
      <c r="I742" s="309"/>
      <c r="N742" s="310"/>
    </row>
    <row r="743">
      <c r="H743" s="308"/>
      <c r="I743" s="309"/>
      <c r="N743" s="310"/>
    </row>
    <row r="744">
      <c r="H744" s="308"/>
      <c r="I744" s="309"/>
      <c r="N744" s="310"/>
    </row>
    <row r="745">
      <c r="H745" s="308"/>
      <c r="I745" s="309"/>
      <c r="N745" s="310"/>
    </row>
    <row r="746">
      <c r="H746" s="308"/>
      <c r="I746" s="309"/>
      <c r="N746" s="310"/>
    </row>
    <row r="747">
      <c r="H747" s="308"/>
      <c r="I747" s="309"/>
      <c r="N747" s="310"/>
    </row>
    <row r="748">
      <c r="H748" s="308"/>
      <c r="I748" s="309"/>
      <c r="N748" s="310"/>
    </row>
    <row r="749">
      <c r="H749" s="308"/>
      <c r="I749" s="309"/>
      <c r="N749" s="310"/>
    </row>
    <row r="750">
      <c r="H750" s="308"/>
      <c r="I750" s="309"/>
      <c r="N750" s="310"/>
    </row>
    <row r="751">
      <c r="H751" s="308"/>
      <c r="I751" s="309"/>
      <c r="N751" s="310"/>
    </row>
    <row r="752">
      <c r="H752" s="308"/>
      <c r="I752" s="309"/>
      <c r="N752" s="310"/>
    </row>
    <row r="753">
      <c r="H753" s="308"/>
      <c r="I753" s="309"/>
      <c r="N753" s="310"/>
    </row>
    <row r="754">
      <c r="H754" s="308"/>
      <c r="I754" s="309"/>
      <c r="N754" s="310"/>
    </row>
    <row r="755">
      <c r="H755" s="308"/>
      <c r="I755" s="309"/>
      <c r="N755" s="310"/>
    </row>
    <row r="756">
      <c r="H756" s="308"/>
      <c r="I756" s="309"/>
      <c r="N756" s="310"/>
    </row>
    <row r="757">
      <c r="H757" s="308"/>
      <c r="I757" s="309"/>
      <c r="N757" s="310"/>
    </row>
    <row r="758">
      <c r="H758" s="308"/>
      <c r="I758" s="309"/>
      <c r="N758" s="310"/>
    </row>
    <row r="759">
      <c r="H759" s="308"/>
      <c r="I759" s="309"/>
      <c r="N759" s="310"/>
    </row>
    <row r="760">
      <c r="H760" s="308"/>
      <c r="I760" s="309"/>
      <c r="N760" s="310"/>
    </row>
    <row r="761">
      <c r="H761" s="308"/>
      <c r="I761" s="309"/>
      <c r="N761" s="310"/>
    </row>
    <row r="762">
      <c r="H762" s="308"/>
      <c r="I762" s="309"/>
      <c r="N762" s="310"/>
    </row>
    <row r="763">
      <c r="H763" s="308"/>
      <c r="I763" s="309"/>
      <c r="N763" s="310"/>
    </row>
    <row r="764">
      <c r="H764" s="308"/>
      <c r="I764" s="309"/>
      <c r="N764" s="310"/>
    </row>
    <row r="765">
      <c r="H765" s="308"/>
      <c r="I765" s="309"/>
      <c r="N765" s="310"/>
    </row>
    <row r="766">
      <c r="H766" s="308"/>
      <c r="I766" s="309"/>
      <c r="N766" s="310"/>
    </row>
    <row r="767">
      <c r="H767" s="308"/>
      <c r="I767" s="309"/>
      <c r="N767" s="310"/>
    </row>
    <row r="768">
      <c r="H768" s="308"/>
      <c r="I768" s="309"/>
      <c r="N768" s="310"/>
    </row>
    <row r="769">
      <c r="H769" s="308"/>
      <c r="I769" s="309"/>
      <c r="N769" s="310"/>
    </row>
    <row r="770">
      <c r="H770" s="308"/>
      <c r="I770" s="309"/>
      <c r="N770" s="310"/>
    </row>
    <row r="771">
      <c r="H771" s="308"/>
      <c r="I771" s="309"/>
      <c r="N771" s="310"/>
    </row>
    <row r="772">
      <c r="H772" s="308"/>
      <c r="I772" s="309"/>
      <c r="N772" s="310"/>
    </row>
    <row r="773">
      <c r="H773" s="308"/>
      <c r="I773" s="309"/>
      <c r="N773" s="310"/>
    </row>
    <row r="774">
      <c r="H774" s="308"/>
      <c r="I774" s="309"/>
      <c r="N774" s="310"/>
    </row>
    <row r="775">
      <c r="H775" s="308"/>
      <c r="I775" s="309"/>
      <c r="N775" s="310"/>
    </row>
    <row r="776">
      <c r="H776" s="308"/>
      <c r="I776" s="309"/>
      <c r="N776" s="310"/>
    </row>
    <row r="777">
      <c r="H777" s="308"/>
      <c r="I777" s="309"/>
      <c r="N777" s="310"/>
    </row>
    <row r="778">
      <c r="H778" s="308"/>
      <c r="I778" s="309"/>
      <c r="N778" s="310"/>
    </row>
    <row r="779">
      <c r="H779" s="308"/>
      <c r="I779" s="309"/>
      <c r="N779" s="310"/>
    </row>
    <row r="780">
      <c r="H780" s="308"/>
      <c r="I780" s="309"/>
      <c r="N780" s="310"/>
    </row>
    <row r="781">
      <c r="H781" s="308"/>
      <c r="I781" s="309"/>
      <c r="N781" s="310"/>
    </row>
    <row r="782">
      <c r="H782" s="308"/>
      <c r="I782" s="309"/>
      <c r="N782" s="310"/>
    </row>
    <row r="783">
      <c r="H783" s="308"/>
      <c r="I783" s="309"/>
      <c r="N783" s="310"/>
    </row>
    <row r="784">
      <c r="H784" s="308"/>
      <c r="I784" s="309"/>
      <c r="N784" s="310"/>
    </row>
    <row r="785">
      <c r="H785" s="308"/>
      <c r="I785" s="309"/>
      <c r="N785" s="310"/>
    </row>
    <row r="786">
      <c r="H786" s="308"/>
      <c r="I786" s="309"/>
      <c r="N786" s="310"/>
    </row>
    <row r="787">
      <c r="H787" s="308"/>
      <c r="I787" s="309"/>
      <c r="N787" s="310"/>
    </row>
    <row r="788">
      <c r="H788" s="308"/>
      <c r="I788" s="309"/>
      <c r="N788" s="310"/>
    </row>
    <row r="789">
      <c r="H789" s="308"/>
      <c r="I789" s="309"/>
      <c r="N789" s="310"/>
    </row>
    <row r="790">
      <c r="H790" s="308"/>
      <c r="I790" s="309"/>
      <c r="N790" s="310"/>
    </row>
    <row r="791">
      <c r="H791" s="308"/>
      <c r="I791" s="309"/>
      <c r="N791" s="310"/>
    </row>
    <row r="792">
      <c r="H792" s="308"/>
      <c r="I792" s="309"/>
      <c r="N792" s="310"/>
    </row>
    <row r="793">
      <c r="H793" s="308"/>
      <c r="I793" s="309"/>
      <c r="N793" s="310"/>
    </row>
    <row r="794">
      <c r="H794" s="308"/>
      <c r="I794" s="309"/>
      <c r="N794" s="310"/>
    </row>
    <row r="795">
      <c r="H795" s="308"/>
      <c r="I795" s="309"/>
      <c r="N795" s="310"/>
    </row>
    <row r="796">
      <c r="H796" s="308"/>
      <c r="I796" s="309"/>
      <c r="N796" s="310"/>
    </row>
    <row r="797">
      <c r="H797" s="308"/>
      <c r="I797" s="309"/>
      <c r="N797" s="310"/>
    </row>
    <row r="798">
      <c r="H798" s="308"/>
      <c r="I798" s="309"/>
      <c r="N798" s="310"/>
    </row>
    <row r="799">
      <c r="H799" s="308"/>
      <c r="I799" s="309"/>
      <c r="N799" s="310"/>
    </row>
    <row r="800">
      <c r="H800" s="308"/>
      <c r="I800" s="309"/>
      <c r="N800" s="310"/>
    </row>
    <row r="801">
      <c r="H801" s="308"/>
      <c r="I801" s="309"/>
      <c r="N801" s="310"/>
    </row>
    <row r="802">
      <c r="H802" s="308"/>
      <c r="I802" s="309"/>
      <c r="N802" s="310"/>
    </row>
    <row r="803">
      <c r="H803" s="308"/>
      <c r="I803" s="309"/>
      <c r="N803" s="310"/>
    </row>
    <row r="804">
      <c r="H804" s="308"/>
      <c r="I804" s="309"/>
      <c r="N804" s="310"/>
    </row>
    <row r="805">
      <c r="H805" s="308"/>
      <c r="I805" s="309"/>
      <c r="N805" s="310"/>
    </row>
    <row r="806">
      <c r="H806" s="308"/>
      <c r="I806" s="309"/>
      <c r="N806" s="310"/>
    </row>
    <row r="807">
      <c r="H807" s="308"/>
      <c r="I807" s="309"/>
      <c r="N807" s="310"/>
    </row>
    <row r="808">
      <c r="H808" s="308"/>
      <c r="I808" s="309"/>
      <c r="N808" s="310"/>
    </row>
    <row r="809">
      <c r="H809" s="308"/>
      <c r="I809" s="309"/>
      <c r="N809" s="310"/>
    </row>
    <row r="810">
      <c r="H810" s="308"/>
      <c r="I810" s="309"/>
      <c r="N810" s="310"/>
    </row>
    <row r="811">
      <c r="H811" s="308"/>
      <c r="I811" s="309"/>
      <c r="N811" s="310"/>
    </row>
    <row r="812">
      <c r="H812" s="308"/>
      <c r="I812" s="309"/>
      <c r="N812" s="310"/>
    </row>
    <row r="813">
      <c r="H813" s="308"/>
      <c r="I813" s="309"/>
      <c r="N813" s="310"/>
    </row>
    <row r="814">
      <c r="H814" s="308"/>
      <c r="I814" s="309"/>
      <c r="N814" s="310"/>
    </row>
    <row r="815">
      <c r="H815" s="308"/>
      <c r="I815" s="309"/>
      <c r="N815" s="310"/>
    </row>
    <row r="816">
      <c r="H816" s="308"/>
      <c r="I816" s="309"/>
      <c r="N816" s="310"/>
    </row>
    <row r="817">
      <c r="H817" s="308"/>
      <c r="I817" s="309"/>
      <c r="N817" s="310"/>
    </row>
    <row r="818">
      <c r="H818" s="308"/>
      <c r="I818" s="309"/>
      <c r="N818" s="310"/>
    </row>
    <row r="819">
      <c r="H819" s="308"/>
      <c r="I819" s="309"/>
      <c r="N819" s="310"/>
    </row>
    <row r="820">
      <c r="H820" s="308"/>
      <c r="I820" s="309"/>
      <c r="N820" s="310"/>
    </row>
    <row r="821">
      <c r="H821" s="308"/>
      <c r="I821" s="309"/>
      <c r="N821" s="310"/>
    </row>
    <row r="822">
      <c r="H822" s="308"/>
      <c r="I822" s="309"/>
      <c r="N822" s="310"/>
    </row>
    <row r="823">
      <c r="H823" s="308"/>
      <c r="I823" s="309"/>
      <c r="N823" s="310"/>
    </row>
    <row r="824">
      <c r="H824" s="308"/>
      <c r="I824" s="309"/>
      <c r="N824" s="310"/>
    </row>
    <row r="825">
      <c r="H825" s="308"/>
      <c r="I825" s="309"/>
      <c r="N825" s="310"/>
    </row>
    <row r="826">
      <c r="H826" s="308"/>
      <c r="I826" s="309"/>
      <c r="N826" s="310"/>
    </row>
    <row r="827">
      <c r="H827" s="308"/>
      <c r="I827" s="309"/>
      <c r="N827" s="310"/>
    </row>
    <row r="828">
      <c r="H828" s="308"/>
      <c r="I828" s="309"/>
      <c r="N828" s="310"/>
    </row>
    <row r="829">
      <c r="H829" s="308"/>
      <c r="I829" s="309"/>
      <c r="N829" s="310"/>
    </row>
    <row r="830">
      <c r="H830" s="308"/>
      <c r="I830" s="309"/>
      <c r="N830" s="310"/>
    </row>
    <row r="831">
      <c r="H831" s="308"/>
      <c r="I831" s="309"/>
      <c r="N831" s="310"/>
    </row>
    <row r="832">
      <c r="H832" s="308"/>
      <c r="I832" s="309"/>
      <c r="N832" s="310"/>
    </row>
    <row r="833">
      <c r="H833" s="308"/>
      <c r="I833" s="309"/>
      <c r="N833" s="310"/>
    </row>
    <row r="834">
      <c r="H834" s="308"/>
      <c r="I834" s="309"/>
      <c r="N834" s="310"/>
    </row>
    <row r="835">
      <c r="H835" s="308"/>
      <c r="I835" s="309"/>
      <c r="N835" s="310"/>
    </row>
    <row r="836">
      <c r="H836" s="308"/>
      <c r="I836" s="309"/>
      <c r="N836" s="310"/>
    </row>
    <row r="837">
      <c r="H837" s="308"/>
      <c r="I837" s="309"/>
      <c r="N837" s="310"/>
    </row>
    <row r="838">
      <c r="H838" s="308"/>
      <c r="I838" s="309"/>
      <c r="N838" s="310"/>
    </row>
    <row r="839">
      <c r="H839" s="308"/>
      <c r="I839" s="309"/>
      <c r="N839" s="310"/>
    </row>
    <row r="840">
      <c r="H840" s="308"/>
      <c r="I840" s="309"/>
      <c r="N840" s="310"/>
    </row>
    <row r="841">
      <c r="H841" s="308"/>
      <c r="I841" s="309"/>
      <c r="N841" s="310"/>
    </row>
    <row r="842">
      <c r="H842" s="308"/>
      <c r="I842" s="309"/>
      <c r="N842" s="310"/>
    </row>
    <row r="843">
      <c r="H843" s="308"/>
      <c r="I843" s="309"/>
      <c r="N843" s="310"/>
    </row>
    <row r="844">
      <c r="H844" s="308"/>
      <c r="I844" s="309"/>
      <c r="N844" s="310"/>
    </row>
    <row r="845">
      <c r="H845" s="308"/>
      <c r="I845" s="309"/>
      <c r="N845" s="310"/>
    </row>
    <row r="846">
      <c r="H846" s="308"/>
      <c r="I846" s="309"/>
      <c r="N846" s="310"/>
    </row>
    <row r="847">
      <c r="H847" s="308"/>
      <c r="I847" s="309"/>
      <c r="N847" s="310"/>
    </row>
    <row r="848">
      <c r="H848" s="308"/>
      <c r="I848" s="309"/>
      <c r="N848" s="310"/>
    </row>
    <row r="849">
      <c r="H849" s="308"/>
      <c r="I849" s="309"/>
      <c r="N849" s="310"/>
    </row>
    <row r="850">
      <c r="H850" s="308"/>
      <c r="I850" s="309"/>
      <c r="N850" s="310"/>
    </row>
    <row r="851">
      <c r="H851" s="308"/>
      <c r="I851" s="309"/>
      <c r="N851" s="310"/>
    </row>
    <row r="852">
      <c r="H852" s="308"/>
      <c r="I852" s="309"/>
      <c r="N852" s="310"/>
    </row>
    <row r="853">
      <c r="H853" s="308"/>
      <c r="I853" s="309"/>
      <c r="N853" s="310"/>
    </row>
    <row r="854">
      <c r="H854" s="308"/>
      <c r="I854" s="309"/>
      <c r="N854" s="310"/>
    </row>
    <row r="855">
      <c r="H855" s="308"/>
      <c r="I855" s="309"/>
      <c r="N855" s="310"/>
    </row>
    <row r="856">
      <c r="H856" s="308"/>
      <c r="I856" s="309"/>
      <c r="N856" s="310"/>
    </row>
    <row r="857">
      <c r="H857" s="308"/>
      <c r="I857" s="309"/>
      <c r="N857" s="310"/>
    </row>
    <row r="858">
      <c r="H858" s="308"/>
      <c r="I858" s="309"/>
      <c r="N858" s="310"/>
    </row>
    <row r="859">
      <c r="H859" s="308"/>
      <c r="I859" s="309"/>
      <c r="N859" s="310"/>
    </row>
    <row r="860">
      <c r="H860" s="308"/>
      <c r="I860" s="309"/>
      <c r="N860" s="310"/>
    </row>
    <row r="861">
      <c r="H861" s="308"/>
      <c r="I861" s="309"/>
      <c r="N861" s="310"/>
    </row>
    <row r="862">
      <c r="H862" s="308"/>
      <c r="I862" s="309"/>
      <c r="N862" s="310"/>
    </row>
    <row r="863">
      <c r="H863" s="308"/>
      <c r="I863" s="309"/>
      <c r="N863" s="310"/>
    </row>
    <row r="864">
      <c r="H864" s="308"/>
      <c r="I864" s="309"/>
      <c r="N864" s="310"/>
    </row>
    <row r="865">
      <c r="H865" s="308"/>
      <c r="I865" s="309"/>
      <c r="N865" s="310"/>
    </row>
    <row r="866">
      <c r="H866" s="308"/>
      <c r="I866" s="309"/>
      <c r="N866" s="310"/>
    </row>
    <row r="867">
      <c r="H867" s="308"/>
      <c r="I867" s="309"/>
      <c r="N867" s="310"/>
    </row>
    <row r="868">
      <c r="H868" s="308"/>
      <c r="I868" s="309"/>
      <c r="N868" s="310"/>
    </row>
    <row r="869">
      <c r="H869" s="308"/>
      <c r="I869" s="309"/>
      <c r="N869" s="310"/>
    </row>
    <row r="870">
      <c r="H870" s="308"/>
      <c r="I870" s="309"/>
      <c r="N870" s="310"/>
    </row>
    <row r="871">
      <c r="H871" s="308"/>
      <c r="I871" s="309"/>
      <c r="N871" s="310"/>
    </row>
    <row r="872">
      <c r="H872" s="308"/>
      <c r="I872" s="309"/>
      <c r="N872" s="310"/>
    </row>
    <row r="873">
      <c r="H873" s="308"/>
      <c r="I873" s="309"/>
      <c r="N873" s="310"/>
    </row>
    <row r="874">
      <c r="H874" s="308"/>
      <c r="I874" s="309"/>
      <c r="N874" s="310"/>
    </row>
    <row r="875">
      <c r="H875" s="308"/>
      <c r="I875" s="309"/>
      <c r="N875" s="310"/>
    </row>
    <row r="876">
      <c r="H876" s="308"/>
      <c r="I876" s="309"/>
      <c r="N876" s="310"/>
    </row>
    <row r="877">
      <c r="H877" s="308"/>
      <c r="I877" s="309"/>
      <c r="N877" s="310"/>
    </row>
    <row r="878">
      <c r="H878" s="308"/>
      <c r="I878" s="309"/>
      <c r="N878" s="310"/>
    </row>
    <row r="879">
      <c r="H879" s="308"/>
      <c r="I879" s="309"/>
      <c r="N879" s="310"/>
    </row>
    <row r="880">
      <c r="H880" s="308"/>
      <c r="I880" s="309"/>
      <c r="N880" s="310"/>
    </row>
    <row r="881">
      <c r="H881" s="308"/>
      <c r="I881" s="309"/>
      <c r="N881" s="310"/>
    </row>
    <row r="882">
      <c r="H882" s="308"/>
      <c r="I882" s="309"/>
      <c r="N882" s="310"/>
    </row>
    <row r="883">
      <c r="H883" s="308"/>
      <c r="I883" s="309"/>
      <c r="N883" s="310"/>
    </row>
    <row r="884">
      <c r="H884" s="308"/>
      <c r="I884" s="309"/>
      <c r="N884" s="310"/>
    </row>
    <row r="885">
      <c r="H885" s="308"/>
      <c r="I885" s="309"/>
      <c r="N885" s="310"/>
    </row>
    <row r="886">
      <c r="H886" s="308"/>
      <c r="I886" s="309"/>
      <c r="N886" s="310"/>
    </row>
    <row r="887">
      <c r="H887" s="308"/>
      <c r="I887" s="309"/>
      <c r="N887" s="310"/>
    </row>
    <row r="888">
      <c r="H888" s="308"/>
      <c r="I888" s="309"/>
      <c r="N888" s="310"/>
    </row>
    <row r="889">
      <c r="H889" s="308"/>
      <c r="I889" s="309"/>
      <c r="N889" s="310"/>
    </row>
    <row r="890">
      <c r="H890" s="308"/>
      <c r="I890" s="309"/>
      <c r="N890" s="310"/>
    </row>
    <row r="891">
      <c r="H891" s="308"/>
      <c r="I891" s="309"/>
      <c r="N891" s="310"/>
    </row>
    <row r="892">
      <c r="H892" s="308"/>
      <c r="I892" s="309"/>
      <c r="N892" s="310"/>
    </row>
    <row r="893">
      <c r="H893" s="308"/>
      <c r="I893" s="309"/>
      <c r="N893" s="310"/>
    </row>
    <row r="894">
      <c r="H894" s="308"/>
      <c r="I894" s="309"/>
      <c r="N894" s="310"/>
    </row>
    <row r="895">
      <c r="H895" s="308"/>
      <c r="I895" s="309"/>
      <c r="N895" s="310"/>
    </row>
    <row r="896">
      <c r="H896" s="308"/>
      <c r="I896" s="309"/>
      <c r="N896" s="310"/>
    </row>
    <row r="897">
      <c r="H897" s="308"/>
      <c r="I897" s="309"/>
      <c r="N897" s="310"/>
    </row>
    <row r="898">
      <c r="H898" s="308"/>
      <c r="I898" s="309"/>
      <c r="N898" s="310"/>
    </row>
    <row r="899">
      <c r="H899" s="308"/>
      <c r="I899" s="309"/>
      <c r="N899" s="310"/>
    </row>
    <row r="900">
      <c r="H900" s="308"/>
      <c r="I900" s="309"/>
      <c r="N900" s="310"/>
    </row>
    <row r="901">
      <c r="H901" s="308"/>
      <c r="I901" s="309"/>
      <c r="N901" s="310"/>
    </row>
    <row r="902">
      <c r="H902" s="308"/>
      <c r="I902" s="309"/>
      <c r="N902" s="310"/>
    </row>
    <row r="903">
      <c r="H903" s="308"/>
      <c r="I903" s="309"/>
      <c r="N903" s="310"/>
    </row>
    <row r="904">
      <c r="H904" s="308"/>
      <c r="I904" s="309"/>
      <c r="N904" s="310"/>
    </row>
    <row r="905">
      <c r="H905" s="308"/>
      <c r="I905" s="309"/>
      <c r="N905" s="310"/>
    </row>
    <row r="906">
      <c r="H906" s="308"/>
      <c r="I906" s="309"/>
      <c r="N906" s="310"/>
    </row>
    <row r="907">
      <c r="H907" s="308"/>
      <c r="I907" s="309"/>
      <c r="N907" s="310"/>
    </row>
    <row r="908">
      <c r="H908" s="308"/>
      <c r="I908" s="309"/>
      <c r="N908" s="310"/>
    </row>
    <row r="909">
      <c r="H909" s="308"/>
      <c r="I909" s="309"/>
      <c r="N909" s="310"/>
    </row>
    <row r="910">
      <c r="H910" s="308"/>
      <c r="I910" s="309"/>
      <c r="N910" s="310"/>
    </row>
    <row r="911">
      <c r="H911" s="308"/>
      <c r="I911" s="309"/>
      <c r="N911" s="310"/>
    </row>
    <row r="912">
      <c r="H912" s="308"/>
      <c r="I912" s="309"/>
      <c r="N912" s="310"/>
    </row>
    <row r="913">
      <c r="H913" s="308"/>
      <c r="I913" s="309"/>
      <c r="N913" s="310"/>
    </row>
    <row r="914">
      <c r="H914" s="308"/>
      <c r="I914" s="309"/>
      <c r="N914" s="310"/>
    </row>
    <row r="915">
      <c r="H915" s="308"/>
      <c r="I915" s="309"/>
      <c r="N915" s="310"/>
    </row>
    <row r="916">
      <c r="H916" s="308"/>
      <c r="I916" s="309"/>
      <c r="N916" s="310"/>
    </row>
    <row r="917">
      <c r="H917" s="308"/>
      <c r="I917" s="309"/>
      <c r="N917" s="310"/>
    </row>
    <row r="918">
      <c r="H918" s="308"/>
      <c r="I918" s="309"/>
      <c r="N918" s="310"/>
    </row>
    <row r="919">
      <c r="H919" s="308"/>
      <c r="I919" s="309"/>
      <c r="N919" s="310"/>
    </row>
    <row r="920">
      <c r="H920" s="308"/>
      <c r="I920" s="309"/>
      <c r="N920" s="310"/>
    </row>
    <row r="921">
      <c r="H921" s="308"/>
      <c r="I921" s="309"/>
      <c r="N921" s="310"/>
    </row>
    <row r="922">
      <c r="H922" s="308"/>
      <c r="I922" s="309"/>
      <c r="N922" s="310"/>
    </row>
    <row r="923">
      <c r="H923" s="308"/>
      <c r="I923" s="309"/>
      <c r="N923" s="310"/>
    </row>
    <row r="924">
      <c r="H924" s="308"/>
      <c r="I924" s="309"/>
      <c r="N924" s="310"/>
    </row>
    <row r="925">
      <c r="H925" s="308"/>
      <c r="I925" s="309"/>
      <c r="N925" s="310"/>
    </row>
    <row r="926">
      <c r="H926" s="308"/>
      <c r="I926" s="309"/>
      <c r="N926" s="310"/>
    </row>
    <row r="927">
      <c r="H927" s="308"/>
      <c r="I927" s="309"/>
      <c r="N927" s="310"/>
    </row>
    <row r="928">
      <c r="H928" s="308"/>
      <c r="I928" s="309"/>
      <c r="N928" s="310"/>
    </row>
    <row r="929">
      <c r="H929" s="308"/>
      <c r="I929" s="309"/>
      <c r="N929" s="310"/>
    </row>
    <row r="930">
      <c r="H930" s="308"/>
      <c r="I930" s="309"/>
      <c r="N930" s="310"/>
    </row>
    <row r="931">
      <c r="H931" s="308"/>
      <c r="I931" s="309"/>
      <c r="N931" s="310"/>
    </row>
    <row r="932">
      <c r="H932" s="308"/>
      <c r="I932" s="309"/>
      <c r="N932" s="310"/>
    </row>
    <row r="933">
      <c r="H933" s="308"/>
      <c r="I933" s="309"/>
      <c r="N933" s="310"/>
    </row>
    <row r="934">
      <c r="H934" s="308"/>
      <c r="I934" s="309"/>
      <c r="N934" s="310"/>
    </row>
    <row r="935">
      <c r="H935" s="308"/>
      <c r="I935" s="309"/>
      <c r="N935" s="310"/>
    </row>
    <row r="936">
      <c r="H936" s="308"/>
      <c r="I936" s="309"/>
      <c r="N936" s="310"/>
    </row>
    <row r="937">
      <c r="H937" s="308"/>
      <c r="I937" s="309"/>
      <c r="N937" s="310"/>
    </row>
    <row r="938">
      <c r="H938" s="308"/>
      <c r="I938" s="309"/>
      <c r="N938" s="310"/>
    </row>
    <row r="939">
      <c r="H939" s="308"/>
      <c r="I939" s="309"/>
      <c r="N939" s="310"/>
    </row>
    <row r="940">
      <c r="H940" s="308"/>
      <c r="I940" s="309"/>
      <c r="N940" s="310"/>
    </row>
    <row r="941">
      <c r="H941" s="308"/>
      <c r="I941" s="309"/>
      <c r="N941" s="310"/>
    </row>
    <row r="942">
      <c r="H942" s="308"/>
      <c r="I942" s="309"/>
      <c r="N942" s="310"/>
    </row>
    <row r="943">
      <c r="H943" s="308"/>
      <c r="I943" s="309"/>
      <c r="N943" s="310"/>
    </row>
    <row r="944">
      <c r="H944" s="308"/>
      <c r="I944" s="309"/>
      <c r="N944" s="310"/>
    </row>
    <row r="945">
      <c r="H945" s="308"/>
      <c r="I945" s="309"/>
      <c r="N945" s="310"/>
    </row>
    <row r="946">
      <c r="H946" s="308"/>
      <c r="I946" s="309"/>
      <c r="N946" s="310"/>
    </row>
    <row r="947">
      <c r="H947" s="308"/>
      <c r="I947" s="309"/>
      <c r="N947" s="310"/>
    </row>
    <row r="948">
      <c r="H948" s="308"/>
      <c r="I948" s="309"/>
      <c r="N948" s="310"/>
    </row>
    <row r="949">
      <c r="H949" s="308"/>
      <c r="I949" s="309"/>
      <c r="N949" s="310"/>
    </row>
    <row r="950">
      <c r="H950" s="308"/>
      <c r="I950" s="309"/>
      <c r="N950" s="310"/>
    </row>
    <row r="951">
      <c r="H951" s="308"/>
      <c r="I951" s="309"/>
      <c r="N951" s="310"/>
    </row>
    <row r="952">
      <c r="H952" s="308"/>
      <c r="I952" s="309"/>
      <c r="N952" s="310"/>
    </row>
    <row r="953">
      <c r="H953" s="308"/>
      <c r="I953" s="309"/>
      <c r="N953" s="310"/>
    </row>
    <row r="954">
      <c r="H954" s="308"/>
      <c r="I954" s="309"/>
      <c r="N954" s="310"/>
    </row>
    <row r="955">
      <c r="H955" s="308"/>
      <c r="I955" s="309"/>
      <c r="N955" s="310"/>
    </row>
    <row r="956">
      <c r="H956" s="308"/>
      <c r="I956" s="309"/>
      <c r="N956" s="310"/>
    </row>
    <row r="957">
      <c r="H957" s="308"/>
      <c r="I957" s="309"/>
      <c r="N957" s="310"/>
    </row>
    <row r="958">
      <c r="H958" s="308"/>
      <c r="I958" s="309"/>
      <c r="N958" s="310"/>
    </row>
    <row r="959">
      <c r="H959" s="308"/>
      <c r="I959" s="309"/>
      <c r="N959" s="310"/>
    </row>
    <row r="960">
      <c r="H960" s="308"/>
      <c r="I960" s="309"/>
      <c r="N960" s="310"/>
    </row>
    <row r="961">
      <c r="H961" s="308"/>
      <c r="I961" s="309"/>
      <c r="N961" s="310"/>
    </row>
    <row r="962">
      <c r="H962" s="308"/>
      <c r="I962" s="309"/>
      <c r="N962" s="310"/>
    </row>
    <row r="963">
      <c r="H963" s="308"/>
      <c r="I963" s="309"/>
      <c r="N963" s="310"/>
    </row>
    <row r="964">
      <c r="H964" s="308"/>
      <c r="I964" s="309"/>
      <c r="N964" s="310"/>
    </row>
    <row r="965">
      <c r="H965" s="308"/>
      <c r="I965" s="309"/>
      <c r="N965" s="310"/>
    </row>
    <row r="966">
      <c r="H966" s="308"/>
      <c r="I966" s="309"/>
      <c r="N966" s="310"/>
    </row>
    <row r="967">
      <c r="H967" s="308"/>
      <c r="I967" s="309"/>
      <c r="N967" s="310"/>
    </row>
    <row r="968">
      <c r="H968" s="308"/>
      <c r="I968" s="309"/>
      <c r="N968" s="310"/>
    </row>
    <row r="969">
      <c r="H969" s="308"/>
      <c r="I969" s="309"/>
      <c r="N969" s="310"/>
    </row>
    <row r="970">
      <c r="H970" s="308"/>
      <c r="I970" s="309"/>
      <c r="N970" s="310"/>
    </row>
    <row r="971">
      <c r="H971" s="308"/>
      <c r="I971" s="309"/>
      <c r="N971" s="310"/>
    </row>
    <row r="972">
      <c r="H972" s="308"/>
      <c r="I972" s="309"/>
      <c r="N972" s="310"/>
    </row>
    <row r="973">
      <c r="H973" s="308"/>
      <c r="I973" s="309"/>
      <c r="N973" s="310"/>
    </row>
    <row r="974">
      <c r="H974" s="308"/>
      <c r="I974" s="309"/>
      <c r="N974" s="310"/>
    </row>
    <row r="975">
      <c r="H975" s="308"/>
      <c r="I975" s="309"/>
      <c r="N975" s="310"/>
    </row>
    <row r="976">
      <c r="H976" s="308"/>
      <c r="I976" s="309"/>
      <c r="N976" s="310"/>
    </row>
    <row r="977">
      <c r="H977" s="308"/>
      <c r="I977" s="309"/>
      <c r="N977" s="310"/>
    </row>
    <row r="978">
      <c r="H978" s="308"/>
      <c r="I978" s="309"/>
      <c r="N978" s="310"/>
    </row>
    <row r="979">
      <c r="H979" s="308"/>
      <c r="I979" s="309"/>
      <c r="N979" s="310"/>
    </row>
    <row r="980">
      <c r="H980" s="308"/>
      <c r="I980" s="309"/>
      <c r="N980" s="310"/>
    </row>
    <row r="981">
      <c r="H981" s="308"/>
      <c r="I981" s="309"/>
      <c r="N981" s="310"/>
    </row>
    <row r="982">
      <c r="H982" s="308"/>
      <c r="I982" s="309"/>
      <c r="N982" s="310"/>
    </row>
    <row r="983">
      <c r="H983" s="308"/>
      <c r="I983" s="309"/>
      <c r="N983" s="310"/>
    </row>
    <row r="984">
      <c r="H984" s="308"/>
      <c r="I984" s="309"/>
      <c r="N984" s="310"/>
    </row>
    <row r="985">
      <c r="H985" s="308"/>
      <c r="I985" s="309"/>
      <c r="N985" s="310"/>
    </row>
    <row r="986">
      <c r="H986" s="308"/>
      <c r="I986" s="309"/>
      <c r="N986" s="310"/>
    </row>
    <row r="987">
      <c r="H987" s="308"/>
      <c r="I987" s="309"/>
      <c r="N987" s="310"/>
    </row>
    <row r="988">
      <c r="H988" s="308"/>
      <c r="I988" s="309"/>
      <c r="N988" s="310"/>
    </row>
    <row r="989">
      <c r="H989" s="308"/>
      <c r="I989" s="309"/>
      <c r="N989" s="310"/>
    </row>
    <row r="990">
      <c r="H990" s="308"/>
      <c r="I990" s="309"/>
      <c r="N990" s="310"/>
    </row>
    <row r="991">
      <c r="H991" s="308"/>
      <c r="I991" s="309"/>
      <c r="N991" s="310"/>
    </row>
    <row r="992">
      <c r="H992" s="308"/>
      <c r="I992" s="309"/>
      <c r="N992" s="310"/>
    </row>
    <row r="993">
      <c r="H993" s="308"/>
      <c r="I993" s="309"/>
      <c r="N993" s="310"/>
    </row>
    <row r="994">
      <c r="H994" s="308"/>
      <c r="I994" s="309"/>
      <c r="N994" s="310"/>
    </row>
    <row r="995">
      <c r="H995" s="308"/>
      <c r="I995" s="309"/>
      <c r="N995" s="310"/>
    </row>
    <row r="996">
      <c r="H996" s="308"/>
      <c r="I996" s="309"/>
      <c r="N996" s="310"/>
    </row>
    <row r="997">
      <c r="H997" s="308"/>
      <c r="I997" s="309"/>
      <c r="N997" s="310"/>
    </row>
    <row r="998">
      <c r="H998" s="308"/>
      <c r="I998" s="309"/>
      <c r="N998" s="310"/>
    </row>
    <row r="999">
      <c r="H999" s="308"/>
      <c r="I999" s="309"/>
      <c r="N999" s="310"/>
    </row>
    <row r="1000">
      <c r="H1000" s="308"/>
      <c r="I1000" s="309"/>
      <c r="N1000" s="310"/>
    </row>
    <row r="1001">
      <c r="H1001" s="308"/>
      <c r="I1001" s="309"/>
      <c r="N1001" s="310"/>
    </row>
    <row r="1002">
      <c r="H1002" s="308"/>
      <c r="I1002" s="309"/>
      <c r="N1002" s="310"/>
    </row>
    <row r="1003">
      <c r="H1003" s="308"/>
      <c r="I1003" s="309"/>
      <c r="N1003" s="310"/>
    </row>
    <row r="1004">
      <c r="H1004" s="308"/>
      <c r="I1004" s="309"/>
      <c r="N1004" s="310"/>
    </row>
    <row r="1005">
      <c r="H1005" s="308"/>
      <c r="I1005" s="309"/>
      <c r="N1005" s="310"/>
    </row>
    <row r="1006">
      <c r="H1006" s="308"/>
      <c r="I1006" s="309"/>
      <c r="N1006" s="310"/>
    </row>
    <row r="1007">
      <c r="H1007" s="308"/>
      <c r="I1007" s="309"/>
      <c r="N1007" s="310"/>
    </row>
    <row r="1008">
      <c r="H1008" s="308"/>
      <c r="I1008" s="309"/>
      <c r="N1008" s="310"/>
    </row>
    <row r="1009">
      <c r="H1009" s="308"/>
      <c r="I1009" s="309"/>
      <c r="N1009" s="310"/>
    </row>
    <row r="1010">
      <c r="H1010" s="308"/>
      <c r="I1010" s="309"/>
      <c r="N1010" s="310"/>
    </row>
    <row r="1011">
      <c r="H1011" s="373"/>
      <c r="I1011" s="374"/>
      <c r="N1011" s="310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6.86"/>
    <col customWidth="1" min="2" max="2" width="54.0"/>
    <col customWidth="1" min="3" max="15" width="27.71"/>
    <col customWidth="1" min="16" max="27" width="8.71"/>
  </cols>
  <sheetData>
    <row r="1">
      <c r="A1" s="375"/>
      <c r="B1" s="376" t="s">
        <v>2091</v>
      </c>
      <c r="C1" s="377">
        <f t="shared" ref="C1:N1" si="1">(C7-C20)-(C7-C20)*20/120</f>
        <v>4925000</v>
      </c>
      <c r="D1" s="377">
        <f t="shared" si="1"/>
        <v>6800000</v>
      </c>
      <c r="E1" s="377">
        <f t="shared" si="1"/>
        <v>6800000</v>
      </c>
      <c r="F1" s="378">
        <f t="shared" si="1"/>
        <v>6800000</v>
      </c>
      <c r="G1" s="377">
        <f t="shared" si="1"/>
        <v>6800000</v>
      </c>
      <c r="H1" s="377">
        <f t="shared" si="1"/>
        <v>6800000</v>
      </c>
      <c r="I1" s="378">
        <f t="shared" si="1"/>
        <v>6800000</v>
      </c>
      <c r="J1" s="377">
        <f t="shared" si="1"/>
        <v>6800000</v>
      </c>
      <c r="K1" s="377">
        <f t="shared" si="1"/>
        <v>6800000</v>
      </c>
      <c r="L1" s="378">
        <f t="shared" si="1"/>
        <v>6800000</v>
      </c>
      <c r="M1" s="377">
        <f t="shared" si="1"/>
        <v>6800000</v>
      </c>
      <c r="N1" s="377">
        <f t="shared" si="1"/>
        <v>6800000</v>
      </c>
      <c r="O1" s="379">
        <f>SUM(C1:N1)</f>
        <v>79725000</v>
      </c>
      <c r="P1" s="380"/>
      <c r="Q1" s="380"/>
      <c r="R1" s="380"/>
      <c r="S1" s="380"/>
      <c r="T1" s="380"/>
      <c r="U1" s="380"/>
      <c r="V1" s="380"/>
      <c r="W1" s="380"/>
      <c r="X1" s="380"/>
      <c r="Y1" s="380"/>
      <c r="Z1" s="380"/>
      <c r="AA1" s="380"/>
    </row>
    <row r="2" ht="12.0" customHeight="1">
      <c r="A2" s="381"/>
      <c r="B2" s="382"/>
      <c r="C2" s="383">
        <f t="shared" ref="C2:O2" si="2">C1/C7</f>
        <v>0.1731715893</v>
      </c>
      <c r="D2" s="383">
        <f t="shared" si="2"/>
        <v>0.1907968575</v>
      </c>
      <c r="E2" s="383">
        <f t="shared" si="2"/>
        <v>0.1907968575</v>
      </c>
      <c r="F2" s="384">
        <f t="shared" si="2"/>
        <v>0.1907968575</v>
      </c>
      <c r="G2" s="383">
        <f t="shared" si="2"/>
        <v>0.1907968575</v>
      </c>
      <c r="H2" s="383">
        <f t="shared" si="2"/>
        <v>0.1907968575</v>
      </c>
      <c r="I2" s="384">
        <f t="shared" si="2"/>
        <v>0.1907968575</v>
      </c>
      <c r="J2" s="383">
        <f t="shared" si="2"/>
        <v>0.1907968575</v>
      </c>
      <c r="K2" s="383">
        <f t="shared" si="2"/>
        <v>0.1907968575</v>
      </c>
      <c r="L2" s="384">
        <f t="shared" si="2"/>
        <v>0.1907968575</v>
      </c>
      <c r="M2" s="383">
        <f t="shared" si="2"/>
        <v>0.1907968575</v>
      </c>
      <c r="N2" s="383">
        <f t="shared" si="2"/>
        <v>0.1907968575</v>
      </c>
      <c r="O2" s="385">
        <f t="shared" si="2"/>
        <v>0.1896047374</v>
      </c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</row>
    <row r="3">
      <c r="A3" s="386"/>
      <c r="B3" s="387" t="s">
        <v>222</v>
      </c>
      <c r="C3" s="388">
        <f t="shared" ref="C3:N3" si="3">C7-C20-C33*(1-$A$74)-C53-C64-C72-C79</f>
        <v>1432192.895</v>
      </c>
      <c r="D3" s="388">
        <f t="shared" si="3"/>
        <v>2422295.526</v>
      </c>
      <c r="E3" s="388">
        <f t="shared" si="3"/>
        <v>2201242.895</v>
      </c>
      <c r="F3" s="389">
        <f t="shared" si="3"/>
        <v>2201242.895</v>
      </c>
      <c r="G3" s="388">
        <f t="shared" si="3"/>
        <v>2359137.632</v>
      </c>
      <c r="H3" s="388">
        <f t="shared" si="3"/>
        <v>2359137.632</v>
      </c>
      <c r="I3" s="389">
        <f t="shared" si="3"/>
        <v>2359137.632</v>
      </c>
      <c r="J3" s="388">
        <f t="shared" si="3"/>
        <v>2359137.632</v>
      </c>
      <c r="K3" s="388">
        <f t="shared" si="3"/>
        <v>2359137.632</v>
      </c>
      <c r="L3" s="389">
        <f t="shared" si="3"/>
        <v>2359137.632</v>
      </c>
      <c r="M3" s="388">
        <f t="shared" si="3"/>
        <v>2359137.632</v>
      </c>
      <c r="N3" s="388">
        <f t="shared" si="3"/>
        <v>2359137.632</v>
      </c>
      <c r="O3" s="390">
        <f>SUM(C3:N3)</f>
        <v>27130075.26</v>
      </c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6"/>
      <c r="AA3" s="386"/>
    </row>
    <row r="4" ht="12.75" customHeight="1">
      <c r="A4" s="381"/>
      <c r="B4" s="382"/>
      <c r="C4" s="391">
        <f t="shared" ref="C4:O4" si="4">C3/C7</f>
        <v>0.05035839996</v>
      </c>
      <c r="D4" s="391">
        <f t="shared" si="4"/>
        <v>0.06796564327</v>
      </c>
      <c r="E4" s="391">
        <f t="shared" si="4"/>
        <v>0.06176326865</v>
      </c>
      <c r="F4" s="392">
        <f t="shared" si="4"/>
        <v>0.06176326865</v>
      </c>
      <c r="G4" s="391">
        <f t="shared" si="4"/>
        <v>0.06619353624</v>
      </c>
      <c r="H4" s="391">
        <f t="shared" si="4"/>
        <v>0.06619353624</v>
      </c>
      <c r="I4" s="392">
        <f t="shared" si="4"/>
        <v>0.06619353624</v>
      </c>
      <c r="J4" s="391">
        <f t="shared" si="4"/>
        <v>0.06619353624</v>
      </c>
      <c r="K4" s="391">
        <f t="shared" si="4"/>
        <v>0.06619353624</v>
      </c>
      <c r="L4" s="392">
        <f t="shared" si="4"/>
        <v>0.06619353624</v>
      </c>
      <c r="M4" s="391">
        <f t="shared" si="4"/>
        <v>0.06619353624</v>
      </c>
      <c r="N4" s="391">
        <f t="shared" si="4"/>
        <v>0.06619353624</v>
      </c>
      <c r="O4" s="393">
        <f t="shared" si="4"/>
        <v>0.06452167823</v>
      </c>
      <c r="P4" s="381"/>
      <c r="Q4" s="381"/>
      <c r="R4" s="381"/>
      <c r="S4" s="381"/>
      <c r="T4" s="381"/>
      <c r="U4" s="381"/>
      <c r="V4" s="381"/>
      <c r="W4" s="381"/>
      <c r="X4" s="381"/>
      <c r="Y4" s="381"/>
      <c r="Z4" s="381"/>
      <c r="AA4" s="381"/>
    </row>
    <row r="5">
      <c r="A5" s="380"/>
      <c r="B5" s="380"/>
      <c r="C5" s="394"/>
      <c r="D5" s="394"/>
      <c r="E5" s="394"/>
      <c r="F5" s="395"/>
      <c r="G5" s="394"/>
      <c r="H5" s="394"/>
      <c r="I5" s="395"/>
      <c r="J5" s="394"/>
      <c r="K5" s="394"/>
      <c r="L5" s="395"/>
      <c r="M5" s="394"/>
      <c r="N5" s="394"/>
      <c r="O5" s="396"/>
      <c r="P5" s="380"/>
      <c r="Q5" s="380"/>
      <c r="R5" s="380"/>
      <c r="S5" s="380"/>
      <c r="T5" s="380"/>
      <c r="U5" s="380"/>
      <c r="V5" s="380"/>
      <c r="W5" s="380"/>
      <c r="X5" s="380"/>
      <c r="Y5" s="380"/>
      <c r="Z5" s="380"/>
      <c r="AA5" s="380"/>
    </row>
    <row r="6">
      <c r="A6" s="380"/>
      <c r="B6" s="380"/>
      <c r="C6" s="394">
        <v>45658.0</v>
      </c>
      <c r="D6" s="394">
        <v>45689.0</v>
      </c>
      <c r="E6" s="394">
        <v>45717.0</v>
      </c>
      <c r="F6" s="395">
        <v>45748.0</v>
      </c>
      <c r="G6" s="394">
        <v>45778.0</v>
      </c>
      <c r="H6" s="394">
        <v>45809.0</v>
      </c>
      <c r="I6" s="395">
        <v>45839.0</v>
      </c>
      <c r="J6" s="394">
        <v>45870.0</v>
      </c>
      <c r="K6" s="394">
        <v>45901.0</v>
      </c>
      <c r="L6" s="395">
        <v>45931.0</v>
      </c>
      <c r="M6" s="394">
        <v>45962.0</v>
      </c>
      <c r="N6" s="394">
        <v>45992.0</v>
      </c>
      <c r="O6" s="397" t="s">
        <v>2040</v>
      </c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380"/>
      <c r="AA6" s="380"/>
    </row>
    <row r="7">
      <c r="A7" s="398"/>
      <c r="B7" s="399" t="s">
        <v>2041</v>
      </c>
      <c r="C7" s="400">
        <f t="shared" ref="C7:N7" si="5">SUM(C8:C18)*1.2</f>
        <v>28440000</v>
      </c>
      <c r="D7" s="400">
        <f t="shared" si="5"/>
        <v>35640000</v>
      </c>
      <c r="E7" s="401">
        <f t="shared" si="5"/>
        <v>35640000</v>
      </c>
      <c r="F7" s="402">
        <f t="shared" si="5"/>
        <v>35640000</v>
      </c>
      <c r="G7" s="400">
        <f t="shared" si="5"/>
        <v>35640000</v>
      </c>
      <c r="H7" s="401">
        <f t="shared" si="5"/>
        <v>35640000</v>
      </c>
      <c r="I7" s="402">
        <f t="shared" si="5"/>
        <v>35640000</v>
      </c>
      <c r="J7" s="403">
        <f t="shared" si="5"/>
        <v>35640000</v>
      </c>
      <c r="K7" s="404">
        <f t="shared" si="5"/>
        <v>35640000</v>
      </c>
      <c r="L7" s="402">
        <f t="shared" si="5"/>
        <v>35640000</v>
      </c>
      <c r="M7" s="400">
        <f t="shared" si="5"/>
        <v>35640000</v>
      </c>
      <c r="N7" s="401">
        <f t="shared" si="5"/>
        <v>35640000</v>
      </c>
      <c r="O7" s="405">
        <f t="shared" ref="O7:O18" si="6">SUM(C7:N7)</f>
        <v>420480000</v>
      </c>
      <c r="P7" s="380">
        <f>O7*20/120</f>
        <v>70080000</v>
      </c>
      <c r="Q7" s="380">
        <f>O7-P7</f>
        <v>350400000</v>
      </c>
      <c r="R7" s="380"/>
      <c r="S7" s="380"/>
      <c r="T7" s="380"/>
      <c r="U7" s="380"/>
      <c r="V7" s="380"/>
      <c r="W7" s="380"/>
      <c r="X7" s="380"/>
      <c r="Y7" s="380"/>
      <c r="Z7" s="380"/>
      <c r="AA7" s="380"/>
    </row>
    <row r="8">
      <c r="A8" s="406"/>
      <c r="B8" s="406" t="s">
        <v>2042</v>
      </c>
      <c r="C8" s="407">
        <v>0.0</v>
      </c>
      <c r="D8" s="407">
        <v>0.0</v>
      </c>
      <c r="E8" s="407">
        <v>0.0</v>
      </c>
      <c r="F8" s="407">
        <v>0.0</v>
      </c>
      <c r="G8" s="407">
        <v>0.0</v>
      </c>
      <c r="H8" s="407">
        <v>0.0</v>
      </c>
      <c r="I8" s="407">
        <v>0.0</v>
      </c>
      <c r="J8" s="407">
        <v>0.0</v>
      </c>
      <c r="K8" s="407">
        <v>0.0</v>
      </c>
      <c r="L8" s="407">
        <v>0.0</v>
      </c>
      <c r="M8" s="407">
        <v>0.0</v>
      </c>
      <c r="N8" s="407">
        <v>0.0</v>
      </c>
      <c r="O8" s="396">
        <f t="shared" si="6"/>
        <v>0</v>
      </c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  <c r="AA8" s="380"/>
    </row>
    <row r="9">
      <c r="A9" s="408"/>
      <c r="B9" s="408" t="s">
        <v>2043</v>
      </c>
      <c r="C9" s="407">
        <v>0.0</v>
      </c>
      <c r="D9" s="407">
        <v>0.0</v>
      </c>
      <c r="E9" s="407">
        <v>0.0</v>
      </c>
      <c r="F9" s="407">
        <v>0.0</v>
      </c>
      <c r="G9" s="407">
        <v>0.0</v>
      </c>
      <c r="H9" s="407">
        <v>0.0</v>
      </c>
      <c r="I9" s="407">
        <v>0.0</v>
      </c>
      <c r="J9" s="407">
        <v>0.0</v>
      </c>
      <c r="K9" s="407">
        <v>0.0</v>
      </c>
      <c r="L9" s="407">
        <v>0.0</v>
      </c>
      <c r="M9" s="407">
        <v>0.0</v>
      </c>
      <c r="N9" s="407">
        <v>0.0</v>
      </c>
      <c r="O9" s="396">
        <f t="shared" si="6"/>
        <v>0</v>
      </c>
      <c r="P9" s="380"/>
      <c r="Q9" s="380"/>
      <c r="R9" s="380"/>
      <c r="S9" s="380"/>
      <c r="T9" s="380"/>
      <c r="U9" s="380"/>
      <c r="V9" s="380"/>
      <c r="W9" s="380"/>
      <c r="X9" s="380"/>
      <c r="Y9" s="380"/>
      <c r="Z9" s="380"/>
      <c r="AA9" s="380"/>
    </row>
    <row r="10">
      <c r="A10" s="408"/>
      <c r="B10" s="409" t="s">
        <v>2092</v>
      </c>
      <c r="C10" s="394">
        <v>8700000.0</v>
      </c>
      <c r="D10" s="394">
        <v>8700000.0</v>
      </c>
      <c r="E10" s="394">
        <v>8700000.0</v>
      </c>
      <c r="F10" s="394">
        <v>8700000.0</v>
      </c>
      <c r="G10" s="394">
        <v>8700000.0</v>
      </c>
      <c r="H10" s="394">
        <v>8700000.0</v>
      </c>
      <c r="I10" s="394">
        <v>8700000.0</v>
      </c>
      <c r="J10" s="394">
        <v>8700000.0</v>
      </c>
      <c r="K10" s="394">
        <v>8700000.0</v>
      </c>
      <c r="L10" s="394">
        <v>8700000.0</v>
      </c>
      <c r="M10" s="394">
        <v>8700000.0</v>
      </c>
      <c r="N10" s="394">
        <v>8700000.0</v>
      </c>
      <c r="O10" s="396">
        <f t="shared" si="6"/>
        <v>104400000</v>
      </c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  <c r="AA10" s="380"/>
    </row>
    <row r="11">
      <c r="A11" s="409"/>
      <c r="B11" s="409" t="s">
        <v>2045</v>
      </c>
      <c r="C11" s="410">
        <v>0.0</v>
      </c>
      <c r="D11" s="410">
        <v>4500000.0</v>
      </c>
      <c r="E11" s="410">
        <v>4500000.0</v>
      </c>
      <c r="F11" s="410">
        <v>4500000.0</v>
      </c>
      <c r="G11" s="410">
        <v>4500000.0</v>
      </c>
      <c r="H11" s="410">
        <v>4500000.0</v>
      </c>
      <c r="I11" s="410">
        <v>4500000.0</v>
      </c>
      <c r="J11" s="410">
        <v>4500000.0</v>
      </c>
      <c r="K11" s="410">
        <v>4500000.0</v>
      </c>
      <c r="L11" s="410">
        <v>4500000.0</v>
      </c>
      <c r="M11" s="410">
        <v>4500000.0</v>
      </c>
      <c r="N11" s="410">
        <v>4500000.0</v>
      </c>
      <c r="O11" s="396">
        <f t="shared" si="6"/>
        <v>49500000</v>
      </c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</row>
    <row r="12">
      <c r="A12" s="408"/>
      <c r="B12" s="408" t="s">
        <v>2046</v>
      </c>
      <c r="C12" s="410">
        <v>0.0</v>
      </c>
      <c r="D12" s="410">
        <v>1500000.0</v>
      </c>
      <c r="E12" s="410">
        <v>1500000.0</v>
      </c>
      <c r="F12" s="410">
        <v>1500000.0</v>
      </c>
      <c r="G12" s="410">
        <v>1500000.0</v>
      </c>
      <c r="H12" s="410">
        <v>1500000.0</v>
      </c>
      <c r="I12" s="410">
        <v>1500000.0</v>
      </c>
      <c r="J12" s="410">
        <v>1500000.0</v>
      </c>
      <c r="K12" s="410">
        <v>1500000.0</v>
      </c>
      <c r="L12" s="410">
        <v>1500000.0</v>
      </c>
      <c r="M12" s="410">
        <v>1500000.0</v>
      </c>
      <c r="N12" s="410">
        <v>1500000.0</v>
      </c>
      <c r="O12" s="396">
        <f t="shared" si="6"/>
        <v>16500000</v>
      </c>
      <c r="P12" s="380"/>
      <c r="Q12" s="380"/>
      <c r="R12" s="380"/>
      <c r="S12" s="380"/>
      <c r="T12" s="380"/>
      <c r="U12" s="380"/>
      <c r="V12" s="380"/>
      <c r="W12" s="380"/>
      <c r="X12" s="380"/>
      <c r="Y12" s="380"/>
      <c r="Z12" s="380"/>
      <c r="AA12" s="380"/>
    </row>
    <row r="13">
      <c r="A13" s="408"/>
      <c r="B13" s="408" t="s">
        <v>2047</v>
      </c>
      <c r="C13" s="394">
        <v>4000000.0</v>
      </c>
      <c r="D13" s="394">
        <v>4000000.0</v>
      </c>
      <c r="E13" s="394">
        <v>4000000.0</v>
      </c>
      <c r="F13" s="394">
        <v>4000000.0</v>
      </c>
      <c r="G13" s="394">
        <v>4000000.0</v>
      </c>
      <c r="H13" s="394">
        <v>4000000.0</v>
      </c>
      <c r="I13" s="394">
        <v>4000000.0</v>
      </c>
      <c r="J13" s="394">
        <v>4000000.0</v>
      </c>
      <c r="K13" s="394">
        <v>4000000.0</v>
      </c>
      <c r="L13" s="394">
        <v>4000000.0</v>
      </c>
      <c r="M13" s="394">
        <v>4000000.0</v>
      </c>
      <c r="N13" s="394">
        <v>4000000.0</v>
      </c>
      <c r="O13" s="396">
        <f t="shared" si="6"/>
        <v>48000000</v>
      </c>
      <c r="P13" s="380"/>
      <c r="Q13" s="380"/>
      <c r="R13" s="407"/>
      <c r="S13" s="411"/>
      <c r="T13" s="380"/>
      <c r="U13" s="380"/>
      <c r="V13" s="380"/>
      <c r="W13" s="380"/>
      <c r="X13" s="380"/>
      <c r="Y13" s="380"/>
      <c r="Z13" s="380"/>
      <c r="AA13" s="380"/>
    </row>
    <row r="14">
      <c r="A14" s="409"/>
      <c r="B14" s="409" t="s">
        <v>2048</v>
      </c>
      <c r="C14" s="394">
        <v>9000000.0</v>
      </c>
      <c r="D14" s="394">
        <v>9000000.0</v>
      </c>
      <c r="E14" s="394">
        <v>9000000.0</v>
      </c>
      <c r="F14" s="394">
        <v>9000000.0</v>
      </c>
      <c r="G14" s="394">
        <v>9000000.0</v>
      </c>
      <c r="H14" s="394">
        <v>9000000.0</v>
      </c>
      <c r="I14" s="394">
        <v>9000000.0</v>
      </c>
      <c r="J14" s="394">
        <v>9000000.0</v>
      </c>
      <c r="K14" s="394">
        <v>9000000.0</v>
      </c>
      <c r="L14" s="394">
        <v>9000000.0</v>
      </c>
      <c r="M14" s="394">
        <v>9000000.0</v>
      </c>
      <c r="N14" s="394">
        <v>9000000.0</v>
      </c>
      <c r="O14" s="396">
        <f t="shared" si="6"/>
        <v>108000000</v>
      </c>
      <c r="P14" s="380"/>
      <c r="Q14" s="380"/>
      <c r="R14" s="380"/>
      <c r="S14" s="380"/>
      <c r="T14" s="380"/>
      <c r="U14" s="380"/>
      <c r="V14" s="380"/>
      <c r="W14" s="380"/>
      <c r="X14" s="380"/>
      <c r="Y14" s="380"/>
      <c r="Z14" s="380"/>
      <c r="AA14" s="380"/>
    </row>
    <row r="15">
      <c r="A15" s="409"/>
      <c r="B15" s="409" t="s">
        <v>2049</v>
      </c>
      <c r="C15" s="407">
        <v>0.0</v>
      </c>
      <c r="D15" s="407">
        <v>0.0</v>
      </c>
      <c r="E15" s="407">
        <v>0.0</v>
      </c>
      <c r="F15" s="407">
        <v>0.0</v>
      </c>
      <c r="G15" s="407">
        <v>0.0</v>
      </c>
      <c r="H15" s="407">
        <v>0.0</v>
      </c>
      <c r="I15" s="407">
        <v>0.0</v>
      </c>
      <c r="J15" s="407">
        <v>0.0</v>
      </c>
      <c r="K15" s="407">
        <v>0.0</v>
      </c>
      <c r="L15" s="407">
        <v>0.0</v>
      </c>
      <c r="M15" s="407">
        <v>0.0</v>
      </c>
      <c r="N15" s="407">
        <v>0.0</v>
      </c>
      <c r="O15" s="396">
        <f t="shared" si="6"/>
        <v>0</v>
      </c>
      <c r="P15" s="380"/>
      <c r="Q15" s="380"/>
      <c r="R15" s="380"/>
      <c r="S15" s="380"/>
      <c r="T15" s="380"/>
      <c r="U15" s="380"/>
      <c r="V15" s="380"/>
      <c r="W15" s="380"/>
      <c r="X15" s="380"/>
      <c r="Y15" s="380"/>
      <c r="Z15" s="380"/>
      <c r="AA15" s="380"/>
    </row>
    <row r="16">
      <c r="A16" s="409"/>
      <c r="B16" s="409" t="s">
        <v>2050</v>
      </c>
      <c r="C16" s="407">
        <v>0.0</v>
      </c>
      <c r="D16" s="407">
        <v>0.0</v>
      </c>
      <c r="E16" s="407">
        <v>0.0</v>
      </c>
      <c r="F16" s="407">
        <v>0.0</v>
      </c>
      <c r="G16" s="407">
        <v>0.0</v>
      </c>
      <c r="H16" s="407">
        <v>0.0</v>
      </c>
      <c r="I16" s="407">
        <v>0.0</v>
      </c>
      <c r="J16" s="407">
        <v>0.0</v>
      </c>
      <c r="K16" s="407">
        <v>0.0</v>
      </c>
      <c r="L16" s="407">
        <v>0.0</v>
      </c>
      <c r="M16" s="407">
        <v>0.0</v>
      </c>
      <c r="N16" s="407">
        <v>0.0</v>
      </c>
      <c r="O16" s="396">
        <f t="shared" si="6"/>
        <v>0</v>
      </c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Z16" s="380"/>
      <c r="AA16" s="380"/>
    </row>
    <row r="17">
      <c r="A17" s="409"/>
      <c r="B17" s="409" t="s">
        <v>2051</v>
      </c>
      <c r="C17" s="394">
        <v>2000000.0</v>
      </c>
      <c r="D17" s="394">
        <v>2000000.0</v>
      </c>
      <c r="E17" s="394">
        <v>2000000.0</v>
      </c>
      <c r="F17" s="394">
        <v>2000000.0</v>
      </c>
      <c r="G17" s="394">
        <v>2000000.0</v>
      </c>
      <c r="H17" s="394">
        <v>2000000.0</v>
      </c>
      <c r="I17" s="394">
        <v>2000000.0</v>
      </c>
      <c r="J17" s="394">
        <v>2000000.0</v>
      </c>
      <c r="K17" s="394">
        <v>2000000.0</v>
      </c>
      <c r="L17" s="394">
        <v>2000000.0</v>
      </c>
      <c r="M17" s="394">
        <v>2000000.0</v>
      </c>
      <c r="N17" s="394">
        <v>2000000.0</v>
      </c>
      <c r="O17" s="396">
        <f t="shared" si="6"/>
        <v>24000000</v>
      </c>
      <c r="P17" s="380"/>
      <c r="Q17" s="380"/>
      <c r="R17" s="380"/>
      <c r="S17" s="380"/>
      <c r="T17" s="380"/>
      <c r="U17" s="380"/>
      <c r="V17" s="380"/>
      <c r="W17" s="380"/>
      <c r="X17" s="380"/>
      <c r="Y17" s="380"/>
      <c r="Z17" s="380"/>
      <c r="AA17" s="380"/>
    </row>
    <row r="18">
      <c r="A18" s="412"/>
      <c r="B18" s="412" t="s">
        <v>2052</v>
      </c>
      <c r="C18" s="407"/>
      <c r="D18" s="413"/>
      <c r="E18" s="413"/>
      <c r="F18" s="413"/>
      <c r="G18" s="413"/>
      <c r="H18" s="413"/>
      <c r="I18" s="413"/>
      <c r="J18" s="413"/>
      <c r="K18" s="413"/>
      <c r="L18" s="413"/>
      <c r="M18" s="413"/>
      <c r="N18" s="413"/>
      <c r="O18" s="414">
        <f t="shared" si="6"/>
        <v>0</v>
      </c>
      <c r="P18" s="380"/>
      <c r="Q18" s="380"/>
      <c r="R18" s="380"/>
      <c r="S18" s="380"/>
      <c r="T18" s="380"/>
      <c r="U18" s="380"/>
      <c r="V18" s="380"/>
      <c r="W18" s="380"/>
      <c r="X18" s="380"/>
      <c r="Y18" s="380"/>
      <c r="Z18" s="380"/>
      <c r="AA18" s="380"/>
    </row>
    <row r="19">
      <c r="A19" s="380"/>
      <c r="B19" s="380"/>
      <c r="C19" s="380"/>
      <c r="D19" s="380"/>
      <c r="E19" s="380"/>
      <c r="F19" s="415"/>
      <c r="G19" s="380"/>
      <c r="H19" s="380"/>
      <c r="I19" s="415"/>
      <c r="J19" s="380"/>
      <c r="K19" s="380"/>
      <c r="L19" s="415"/>
      <c r="M19" s="380"/>
      <c r="N19" s="380"/>
      <c r="O19" s="416"/>
      <c r="P19" s="380"/>
      <c r="Q19" s="380"/>
      <c r="R19" s="380"/>
      <c r="S19" s="380"/>
      <c r="T19" s="380"/>
      <c r="U19" s="380"/>
      <c r="V19" s="380"/>
      <c r="W19" s="380"/>
      <c r="X19" s="380"/>
      <c r="Y19" s="380"/>
      <c r="Z19" s="380"/>
      <c r="AA19" s="380"/>
    </row>
    <row r="20">
      <c r="A20" s="417"/>
      <c r="B20" s="418" t="s">
        <v>2054</v>
      </c>
      <c r="C20" s="419">
        <f t="shared" ref="C20:N20" si="7">SUM(C21:C31)*1.2</f>
        <v>22530000</v>
      </c>
      <c r="D20" s="419">
        <f t="shared" si="7"/>
        <v>27480000</v>
      </c>
      <c r="E20" s="420">
        <f t="shared" si="7"/>
        <v>27480000</v>
      </c>
      <c r="F20" s="421">
        <f t="shared" si="7"/>
        <v>27480000</v>
      </c>
      <c r="G20" s="419">
        <f t="shared" si="7"/>
        <v>27480000</v>
      </c>
      <c r="H20" s="420">
        <f t="shared" si="7"/>
        <v>27480000</v>
      </c>
      <c r="I20" s="421">
        <f t="shared" si="7"/>
        <v>27480000</v>
      </c>
      <c r="J20" s="422">
        <f t="shared" si="7"/>
        <v>27480000</v>
      </c>
      <c r="K20" s="423">
        <f t="shared" si="7"/>
        <v>27480000</v>
      </c>
      <c r="L20" s="421">
        <f t="shared" si="7"/>
        <v>27480000</v>
      </c>
      <c r="M20" s="419">
        <f t="shared" si="7"/>
        <v>27480000</v>
      </c>
      <c r="N20" s="420">
        <f t="shared" si="7"/>
        <v>27480000</v>
      </c>
      <c r="O20" s="424">
        <f t="shared" ref="O20:O31" si="9">SUM(C20:N20)</f>
        <v>324810000</v>
      </c>
      <c r="P20" s="380"/>
      <c r="Q20" s="380"/>
      <c r="R20" s="380"/>
      <c r="S20" s="380"/>
      <c r="T20" s="380"/>
      <c r="U20" s="380"/>
      <c r="V20" s="380"/>
      <c r="W20" s="380"/>
      <c r="X20" s="380"/>
      <c r="Y20" s="380"/>
      <c r="Z20" s="380"/>
      <c r="AA20" s="380"/>
    </row>
    <row r="21">
      <c r="A21" s="425">
        <v>0.8</v>
      </c>
      <c r="B21" s="406" t="s">
        <v>2042</v>
      </c>
      <c r="C21" s="411">
        <f t="shared" ref="C21:N21" si="8">C8*$A$21</f>
        <v>0</v>
      </c>
      <c r="D21" s="411">
        <f t="shared" si="8"/>
        <v>0</v>
      </c>
      <c r="E21" s="411">
        <f t="shared" si="8"/>
        <v>0</v>
      </c>
      <c r="F21" s="411">
        <f t="shared" si="8"/>
        <v>0</v>
      </c>
      <c r="G21" s="411">
        <f t="shared" si="8"/>
        <v>0</v>
      </c>
      <c r="H21" s="411">
        <f t="shared" si="8"/>
        <v>0</v>
      </c>
      <c r="I21" s="411">
        <f t="shared" si="8"/>
        <v>0</v>
      </c>
      <c r="J21" s="411">
        <f t="shared" si="8"/>
        <v>0</v>
      </c>
      <c r="K21" s="411">
        <f t="shared" si="8"/>
        <v>0</v>
      </c>
      <c r="L21" s="411">
        <f t="shared" si="8"/>
        <v>0</v>
      </c>
      <c r="M21" s="411">
        <f t="shared" si="8"/>
        <v>0</v>
      </c>
      <c r="N21" s="411">
        <f t="shared" si="8"/>
        <v>0</v>
      </c>
      <c r="O21" s="396">
        <f t="shared" si="9"/>
        <v>0</v>
      </c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  <c r="AA21" s="380"/>
    </row>
    <row r="22">
      <c r="A22" s="409">
        <v>0.66</v>
      </c>
      <c r="B22" s="408" t="s">
        <v>2043</v>
      </c>
      <c r="C22" s="411">
        <f t="shared" ref="C22:N22" si="10">C9*$A$22</f>
        <v>0</v>
      </c>
      <c r="D22" s="411">
        <f t="shared" si="10"/>
        <v>0</v>
      </c>
      <c r="E22" s="411">
        <f t="shared" si="10"/>
        <v>0</v>
      </c>
      <c r="F22" s="411">
        <f t="shared" si="10"/>
        <v>0</v>
      </c>
      <c r="G22" s="411">
        <f t="shared" si="10"/>
        <v>0</v>
      </c>
      <c r="H22" s="411">
        <f t="shared" si="10"/>
        <v>0</v>
      </c>
      <c r="I22" s="411">
        <f t="shared" si="10"/>
        <v>0</v>
      </c>
      <c r="J22" s="411">
        <f t="shared" si="10"/>
        <v>0</v>
      </c>
      <c r="K22" s="411">
        <f t="shared" si="10"/>
        <v>0</v>
      </c>
      <c r="L22" s="411">
        <f t="shared" si="10"/>
        <v>0</v>
      </c>
      <c r="M22" s="411">
        <f t="shared" si="10"/>
        <v>0</v>
      </c>
      <c r="N22" s="411">
        <f t="shared" si="10"/>
        <v>0</v>
      </c>
      <c r="O22" s="396">
        <f t="shared" si="9"/>
        <v>0</v>
      </c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  <c r="AA22" s="380"/>
    </row>
    <row r="23">
      <c r="A23" s="409">
        <v>0.75</v>
      </c>
      <c r="B23" s="409" t="s">
        <v>2092</v>
      </c>
      <c r="C23" s="411">
        <f t="shared" ref="C23:N23" si="11">C10*$A$23</f>
        <v>6525000</v>
      </c>
      <c r="D23" s="411">
        <f t="shared" si="11"/>
        <v>6525000</v>
      </c>
      <c r="E23" s="411">
        <f t="shared" si="11"/>
        <v>6525000</v>
      </c>
      <c r="F23" s="411">
        <f t="shared" si="11"/>
        <v>6525000</v>
      </c>
      <c r="G23" s="411">
        <f t="shared" si="11"/>
        <v>6525000</v>
      </c>
      <c r="H23" s="411">
        <f t="shared" si="11"/>
        <v>6525000</v>
      </c>
      <c r="I23" s="411">
        <f t="shared" si="11"/>
        <v>6525000</v>
      </c>
      <c r="J23" s="411">
        <f t="shared" si="11"/>
        <v>6525000</v>
      </c>
      <c r="K23" s="411">
        <f t="shared" si="11"/>
        <v>6525000</v>
      </c>
      <c r="L23" s="411">
        <f t="shared" si="11"/>
        <v>6525000</v>
      </c>
      <c r="M23" s="411">
        <f t="shared" si="11"/>
        <v>6525000</v>
      </c>
      <c r="N23" s="411">
        <f t="shared" si="11"/>
        <v>6525000</v>
      </c>
      <c r="O23" s="396">
        <f t="shared" si="9"/>
        <v>78300000</v>
      </c>
      <c r="P23" s="380"/>
      <c r="Q23" s="380"/>
      <c r="R23" s="380"/>
      <c r="S23" s="380"/>
      <c r="T23" s="380"/>
      <c r="U23" s="380"/>
      <c r="V23" s="380"/>
      <c r="W23" s="380"/>
      <c r="X23" s="380"/>
      <c r="Y23" s="380"/>
      <c r="Z23" s="380"/>
      <c r="AA23" s="380"/>
    </row>
    <row r="24">
      <c r="A24" s="409">
        <v>0.75</v>
      </c>
      <c r="B24" s="409" t="s">
        <v>2045</v>
      </c>
      <c r="C24" s="411">
        <f t="shared" ref="C24:N24" si="12">C11*$A$24</f>
        <v>0</v>
      </c>
      <c r="D24" s="411">
        <f t="shared" si="12"/>
        <v>3375000</v>
      </c>
      <c r="E24" s="411">
        <f t="shared" si="12"/>
        <v>3375000</v>
      </c>
      <c r="F24" s="411">
        <f t="shared" si="12"/>
        <v>3375000</v>
      </c>
      <c r="G24" s="411">
        <f t="shared" si="12"/>
        <v>3375000</v>
      </c>
      <c r="H24" s="411">
        <f t="shared" si="12"/>
        <v>3375000</v>
      </c>
      <c r="I24" s="411">
        <f t="shared" si="12"/>
        <v>3375000</v>
      </c>
      <c r="J24" s="411">
        <f t="shared" si="12"/>
        <v>3375000</v>
      </c>
      <c r="K24" s="411">
        <f t="shared" si="12"/>
        <v>3375000</v>
      </c>
      <c r="L24" s="411">
        <f t="shared" si="12"/>
        <v>3375000</v>
      </c>
      <c r="M24" s="411">
        <f t="shared" si="12"/>
        <v>3375000</v>
      </c>
      <c r="N24" s="411">
        <f t="shared" si="12"/>
        <v>3375000</v>
      </c>
      <c r="O24" s="396">
        <f t="shared" si="9"/>
        <v>37125000</v>
      </c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</row>
    <row r="25">
      <c r="A25" s="409">
        <v>0.5</v>
      </c>
      <c r="B25" s="408" t="s">
        <v>2046</v>
      </c>
      <c r="C25" s="411">
        <f t="shared" ref="C25:N25" si="13">C12*$A$25</f>
        <v>0</v>
      </c>
      <c r="D25" s="411">
        <f t="shared" si="13"/>
        <v>750000</v>
      </c>
      <c r="E25" s="411">
        <f t="shared" si="13"/>
        <v>750000</v>
      </c>
      <c r="F25" s="411">
        <f t="shared" si="13"/>
        <v>750000</v>
      </c>
      <c r="G25" s="411">
        <f t="shared" si="13"/>
        <v>750000</v>
      </c>
      <c r="H25" s="411">
        <f t="shared" si="13"/>
        <v>750000</v>
      </c>
      <c r="I25" s="411">
        <f t="shared" si="13"/>
        <v>750000</v>
      </c>
      <c r="J25" s="411">
        <f t="shared" si="13"/>
        <v>750000</v>
      </c>
      <c r="K25" s="411">
        <f t="shared" si="13"/>
        <v>750000</v>
      </c>
      <c r="L25" s="411">
        <f t="shared" si="13"/>
        <v>750000</v>
      </c>
      <c r="M25" s="411">
        <f t="shared" si="13"/>
        <v>750000</v>
      </c>
      <c r="N25" s="411">
        <f t="shared" si="13"/>
        <v>750000</v>
      </c>
      <c r="O25" s="396">
        <f t="shared" si="9"/>
        <v>8250000</v>
      </c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</row>
    <row r="26">
      <c r="A26" s="409">
        <v>0.9</v>
      </c>
      <c r="B26" s="408" t="s">
        <v>2047</v>
      </c>
      <c r="C26" s="411">
        <f t="shared" ref="C26:N26" si="14">C13*$A$26</f>
        <v>3600000</v>
      </c>
      <c r="D26" s="411">
        <f t="shared" si="14"/>
        <v>3600000</v>
      </c>
      <c r="E26" s="411">
        <f t="shared" si="14"/>
        <v>3600000</v>
      </c>
      <c r="F26" s="411">
        <f t="shared" si="14"/>
        <v>3600000</v>
      </c>
      <c r="G26" s="411">
        <f t="shared" si="14"/>
        <v>3600000</v>
      </c>
      <c r="H26" s="411">
        <f t="shared" si="14"/>
        <v>3600000</v>
      </c>
      <c r="I26" s="411">
        <f t="shared" si="14"/>
        <v>3600000</v>
      </c>
      <c r="J26" s="411">
        <f t="shared" si="14"/>
        <v>3600000</v>
      </c>
      <c r="K26" s="411">
        <f t="shared" si="14"/>
        <v>3600000</v>
      </c>
      <c r="L26" s="411">
        <f t="shared" si="14"/>
        <v>3600000</v>
      </c>
      <c r="M26" s="411">
        <f t="shared" si="14"/>
        <v>3600000</v>
      </c>
      <c r="N26" s="411">
        <f t="shared" si="14"/>
        <v>3600000</v>
      </c>
      <c r="O26" s="396">
        <f t="shared" si="9"/>
        <v>43200000</v>
      </c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</row>
    <row r="27">
      <c r="A27" s="409">
        <v>0.75</v>
      </c>
      <c r="B27" s="409" t="s">
        <v>2048</v>
      </c>
      <c r="C27" s="411">
        <f t="shared" ref="C27:N27" si="15">C14*$A$27</f>
        <v>6750000</v>
      </c>
      <c r="D27" s="411">
        <f t="shared" si="15"/>
        <v>6750000</v>
      </c>
      <c r="E27" s="411">
        <f t="shared" si="15"/>
        <v>6750000</v>
      </c>
      <c r="F27" s="411">
        <f t="shared" si="15"/>
        <v>6750000</v>
      </c>
      <c r="G27" s="411">
        <f t="shared" si="15"/>
        <v>6750000</v>
      </c>
      <c r="H27" s="411">
        <f t="shared" si="15"/>
        <v>6750000</v>
      </c>
      <c r="I27" s="411">
        <f t="shared" si="15"/>
        <v>6750000</v>
      </c>
      <c r="J27" s="411">
        <f t="shared" si="15"/>
        <v>6750000</v>
      </c>
      <c r="K27" s="411">
        <f t="shared" si="15"/>
        <v>6750000</v>
      </c>
      <c r="L27" s="411">
        <f t="shared" si="15"/>
        <v>6750000</v>
      </c>
      <c r="M27" s="411">
        <f t="shared" si="15"/>
        <v>6750000</v>
      </c>
      <c r="N27" s="411">
        <f t="shared" si="15"/>
        <v>6750000</v>
      </c>
      <c r="O27" s="396">
        <f t="shared" si="9"/>
        <v>81000000</v>
      </c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/>
    </row>
    <row r="28">
      <c r="A28" s="409">
        <v>0.72</v>
      </c>
      <c r="B28" s="409" t="s">
        <v>2049</v>
      </c>
      <c r="C28" s="411">
        <f t="shared" ref="C28:N28" si="16">C15*$A$28</f>
        <v>0</v>
      </c>
      <c r="D28" s="411">
        <f t="shared" si="16"/>
        <v>0</v>
      </c>
      <c r="E28" s="411">
        <f t="shared" si="16"/>
        <v>0</v>
      </c>
      <c r="F28" s="411">
        <f t="shared" si="16"/>
        <v>0</v>
      </c>
      <c r="G28" s="411">
        <f t="shared" si="16"/>
        <v>0</v>
      </c>
      <c r="H28" s="411">
        <f t="shared" si="16"/>
        <v>0</v>
      </c>
      <c r="I28" s="411">
        <f t="shared" si="16"/>
        <v>0</v>
      </c>
      <c r="J28" s="411">
        <f t="shared" si="16"/>
        <v>0</v>
      </c>
      <c r="K28" s="411">
        <f t="shared" si="16"/>
        <v>0</v>
      </c>
      <c r="L28" s="411">
        <f t="shared" si="16"/>
        <v>0</v>
      </c>
      <c r="M28" s="411">
        <f t="shared" si="16"/>
        <v>0</v>
      </c>
      <c r="N28" s="411">
        <f t="shared" si="16"/>
        <v>0</v>
      </c>
      <c r="O28" s="396">
        <f t="shared" si="9"/>
        <v>0</v>
      </c>
      <c r="P28" s="380"/>
      <c r="Q28" s="380"/>
      <c r="R28" s="380"/>
      <c r="S28" s="380"/>
      <c r="T28" s="380"/>
      <c r="U28" s="380"/>
      <c r="V28" s="380"/>
      <c r="W28" s="380"/>
      <c r="X28" s="380"/>
      <c r="Y28" s="380"/>
      <c r="Z28" s="380"/>
      <c r="AA28" s="380"/>
    </row>
    <row r="29">
      <c r="A29" s="409">
        <v>0.88</v>
      </c>
      <c r="B29" s="409" t="s">
        <v>2050</v>
      </c>
      <c r="C29" s="411">
        <f t="shared" ref="C29:N29" si="17">C16*$A$29</f>
        <v>0</v>
      </c>
      <c r="D29" s="411">
        <f t="shared" si="17"/>
        <v>0</v>
      </c>
      <c r="E29" s="411">
        <f t="shared" si="17"/>
        <v>0</v>
      </c>
      <c r="F29" s="411">
        <f t="shared" si="17"/>
        <v>0</v>
      </c>
      <c r="G29" s="411">
        <f t="shared" si="17"/>
        <v>0</v>
      </c>
      <c r="H29" s="411">
        <f t="shared" si="17"/>
        <v>0</v>
      </c>
      <c r="I29" s="411">
        <f t="shared" si="17"/>
        <v>0</v>
      </c>
      <c r="J29" s="411">
        <f t="shared" si="17"/>
        <v>0</v>
      </c>
      <c r="K29" s="411">
        <f t="shared" si="17"/>
        <v>0</v>
      </c>
      <c r="L29" s="411">
        <f t="shared" si="17"/>
        <v>0</v>
      </c>
      <c r="M29" s="411">
        <f t="shared" si="17"/>
        <v>0</v>
      </c>
      <c r="N29" s="411">
        <f t="shared" si="17"/>
        <v>0</v>
      </c>
      <c r="O29" s="396">
        <f t="shared" si="9"/>
        <v>0</v>
      </c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0"/>
      <c r="AA29" s="380"/>
    </row>
    <row r="30">
      <c r="A30" s="409">
        <v>0.95</v>
      </c>
      <c r="B30" s="409" t="s">
        <v>2051</v>
      </c>
      <c r="C30" s="411">
        <f t="shared" ref="C30:N30" si="18">C17*$A$30</f>
        <v>1900000</v>
      </c>
      <c r="D30" s="411">
        <f t="shared" si="18"/>
        <v>1900000</v>
      </c>
      <c r="E30" s="411">
        <f t="shared" si="18"/>
        <v>1900000</v>
      </c>
      <c r="F30" s="411">
        <f t="shared" si="18"/>
        <v>1900000</v>
      </c>
      <c r="G30" s="411">
        <f t="shared" si="18"/>
        <v>1900000</v>
      </c>
      <c r="H30" s="411">
        <f t="shared" si="18"/>
        <v>1900000</v>
      </c>
      <c r="I30" s="411">
        <f t="shared" si="18"/>
        <v>1900000</v>
      </c>
      <c r="J30" s="411">
        <f t="shared" si="18"/>
        <v>1900000</v>
      </c>
      <c r="K30" s="411">
        <f t="shared" si="18"/>
        <v>1900000</v>
      </c>
      <c r="L30" s="411">
        <f t="shared" si="18"/>
        <v>1900000</v>
      </c>
      <c r="M30" s="411">
        <f t="shared" si="18"/>
        <v>1900000</v>
      </c>
      <c r="N30" s="411">
        <f t="shared" si="18"/>
        <v>1900000</v>
      </c>
      <c r="O30" s="396">
        <f t="shared" si="9"/>
        <v>22800000</v>
      </c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Z30" s="380"/>
      <c r="AA30" s="380"/>
    </row>
    <row r="31">
      <c r="A31" s="426">
        <v>0.75</v>
      </c>
      <c r="B31" s="427" t="s">
        <v>2052</v>
      </c>
      <c r="C31" s="411">
        <f t="shared" ref="C31:N31" si="19">C18*$A$31</f>
        <v>0</v>
      </c>
      <c r="D31" s="411">
        <f t="shared" si="19"/>
        <v>0</v>
      </c>
      <c r="E31" s="411">
        <f t="shared" si="19"/>
        <v>0</v>
      </c>
      <c r="F31" s="411">
        <f t="shared" si="19"/>
        <v>0</v>
      </c>
      <c r="G31" s="411">
        <f t="shared" si="19"/>
        <v>0</v>
      </c>
      <c r="H31" s="411">
        <f t="shared" si="19"/>
        <v>0</v>
      </c>
      <c r="I31" s="411">
        <f t="shared" si="19"/>
        <v>0</v>
      </c>
      <c r="J31" s="411">
        <f t="shared" si="19"/>
        <v>0</v>
      </c>
      <c r="K31" s="411">
        <f t="shared" si="19"/>
        <v>0</v>
      </c>
      <c r="L31" s="411">
        <f t="shared" si="19"/>
        <v>0</v>
      </c>
      <c r="M31" s="411">
        <f t="shared" si="19"/>
        <v>0</v>
      </c>
      <c r="N31" s="411">
        <f t="shared" si="19"/>
        <v>0</v>
      </c>
      <c r="O31" s="396">
        <f t="shared" si="9"/>
        <v>0</v>
      </c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</row>
    <row r="32">
      <c r="A32" s="380"/>
      <c r="B32" s="380"/>
      <c r="C32" s="380"/>
      <c r="D32" s="380"/>
      <c r="E32" s="380"/>
      <c r="F32" s="415"/>
      <c r="G32" s="380"/>
      <c r="H32" s="380"/>
      <c r="I32" s="428"/>
      <c r="J32" s="429"/>
      <c r="K32" s="380"/>
      <c r="L32" s="415"/>
      <c r="M32" s="380"/>
      <c r="N32" s="380"/>
      <c r="O32" s="430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Z32" s="380"/>
      <c r="AA32" s="380"/>
    </row>
    <row r="33">
      <c r="A33" s="431"/>
      <c r="B33" s="432" t="s">
        <v>2057</v>
      </c>
      <c r="C33" s="433">
        <f t="shared" ref="C33:N33" si="20">SUM(C34:C51)</f>
        <v>1900000</v>
      </c>
      <c r="D33" s="433">
        <f t="shared" si="20"/>
        <v>1900000</v>
      </c>
      <c r="E33" s="434">
        <f t="shared" si="20"/>
        <v>1900000</v>
      </c>
      <c r="F33" s="435">
        <f t="shared" si="20"/>
        <v>1900000</v>
      </c>
      <c r="G33" s="433">
        <f t="shared" si="20"/>
        <v>1900000</v>
      </c>
      <c r="H33" s="434">
        <f t="shared" si="20"/>
        <v>1900000</v>
      </c>
      <c r="I33" s="435">
        <f t="shared" si="20"/>
        <v>1900000</v>
      </c>
      <c r="J33" s="436">
        <f t="shared" si="20"/>
        <v>1900000</v>
      </c>
      <c r="K33" s="437">
        <f t="shared" si="20"/>
        <v>1900000</v>
      </c>
      <c r="L33" s="435">
        <f t="shared" si="20"/>
        <v>1900000</v>
      </c>
      <c r="M33" s="433">
        <f t="shared" si="20"/>
        <v>1900000</v>
      </c>
      <c r="N33" s="434">
        <f t="shared" si="20"/>
        <v>1900000</v>
      </c>
      <c r="O33" s="438">
        <f t="shared" ref="O33:O51" si="21">SUM(C33:N33)</f>
        <v>22800000</v>
      </c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</row>
    <row r="34">
      <c r="A34" s="439"/>
      <c r="B34" s="439" t="s">
        <v>2058</v>
      </c>
      <c r="C34" s="407">
        <v>200000.0</v>
      </c>
      <c r="D34" s="407">
        <v>200000.0</v>
      </c>
      <c r="E34" s="407">
        <v>200000.0</v>
      </c>
      <c r="F34" s="407">
        <v>200000.0</v>
      </c>
      <c r="G34" s="407">
        <v>200000.0</v>
      </c>
      <c r="H34" s="407">
        <v>200000.0</v>
      </c>
      <c r="I34" s="407">
        <v>200000.0</v>
      </c>
      <c r="J34" s="407">
        <v>200000.0</v>
      </c>
      <c r="K34" s="407">
        <v>200000.0</v>
      </c>
      <c r="L34" s="407">
        <v>200000.0</v>
      </c>
      <c r="M34" s="407">
        <v>200000.0</v>
      </c>
      <c r="N34" s="407">
        <v>200000.0</v>
      </c>
      <c r="O34" s="396">
        <f t="shared" si="21"/>
        <v>2400000</v>
      </c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</row>
    <row r="35">
      <c r="A35" s="439"/>
      <c r="B35" s="439" t="s">
        <v>2059</v>
      </c>
      <c r="C35" s="411">
        <v>300000.0</v>
      </c>
      <c r="D35" s="411">
        <v>300000.0</v>
      </c>
      <c r="E35" s="411">
        <v>300000.0</v>
      </c>
      <c r="F35" s="411">
        <v>300000.0</v>
      </c>
      <c r="G35" s="411">
        <v>300000.0</v>
      </c>
      <c r="H35" s="411">
        <v>300000.0</v>
      </c>
      <c r="I35" s="411">
        <v>300000.0</v>
      </c>
      <c r="J35" s="411">
        <v>300000.0</v>
      </c>
      <c r="K35" s="411">
        <v>300000.0</v>
      </c>
      <c r="L35" s="411">
        <v>300000.0</v>
      </c>
      <c r="M35" s="411">
        <v>300000.0</v>
      </c>
      <c r="N35" s="411">
        <v>300000.0</v>
      </c>
      <c r="O35" s="396">
        <f t="shared" si="21"/>
        <v>3600000</v>
      </c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</row>
    <row r="36">
      <c r="A36" s="439"/>
      <c r="B36" s="440" t="s">
        <v>2093</v>
      </c>
      <c r="C36" s="411">
        <v>200000.0</v>
      </c>
      <c r="D36" s="411">
        <v>200000.0</v>
      </c>
      <c r="E36" s="411">
        <v>200000.0</v>
      </c>
      <c r="F36" s="411">
        <v>200000.0</v>
      </c>
      <c r="G36" s="411">
        <v>200000.0</v>
      </c>
      <c r="H36" s="411">
        <v>200000.0</v>
      </c>
      <c r="I36" s="411">
        <v>200000.0</v>
      </c>
      <c r="J36" s="411">
        <v>200000.0</v>
      </c>
      <c r="K36" s="411">
        <v>200000.0</v>
      </c>
      <c r="L36" s="411">
        <v>200000.0</v>
      </c>
      <c r="M36" s="411">
        <v>200000.0</v>
      </c>
      <c r="N36" s="411">
        <v>200000.0</v>
      </c>
      <c r="O36" s="396">
        <f t="shared" si="21"/>
        <v>2400000</v>
      </c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</row>
    <row r="37">
      <c r="A37" s="408"/>
      <c r="B37" s="409" t="s">
        <v>2094</v>
      </c>
      <c r="C37" s="407">
        <v>130000.0</v>
      </c>
      <c r="D37" s="407">
        <v>130000.0</v>
      </c>
      <c r="E37" s="407">
        <v>130000.0</v>
      </c>
      <c r="F37" s="407">
        <v>130000.0</v>
      </c>
      <c r="G37" s="407">
        <v>130000.0</v>
      </c>
      <c r="H37" s="407">
        <v>130000.0</v>
      </c>
      <c r="I37" s="407">
        <v>130000.0</v>
      </c>
      <c r="J37" s="407">
        <v>130000.0</v>
      </c>
      <c r="K37" s="407">
        <v>130000.0</v>
      </c>
      <c r="L37" s="407">
        <v>130000.0</v>
      </c>
      <c r="M37" s="407">
        <v>130000.0</v>
      </c>
      <c r="N37" s="407">
        <v>130000.0</v>
      </c>
      <c r="O37" s="396">
        <f t="shared" si="21"/>
        <v>1560000</v>
      </c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</row>
    <row r="38">
      <c r="A38" s="408"/>
      <c r="B38" s="409" t="s">
        <v>2094</v>
      </c>
      <c r="C38" s="407">
        <v>100000.0</v>
      </c>
      <c r="D38" s="407">
        <v>100000.0</v>
      </c>
      <c r="E38" s="407">
        <v>100000.0</v>
      </c>
      <c r="F38" s="407">
        <v>100000.0</v>
      </c>
      <c r="G38" s="407">
        <v>100000.0</v>
      </c>
      <c r="H38" s="407">
        <v>100000.0</v>
      </c>
      <c r="I38" s="407">
        <v>100000.0</v>
      </c>
      <c r="J38" s="407">
        <v>100000.0</v>
      </c>
      <c r="K38" s="407">
        <v>100000.0</v>
      </c>
      <c r="L38" s="407">
        <v>100000.0</v>
      </c>
      <c r="M38" s="407">
        <v>100000.0</v>
      </c>
      <c r="N38" s="407">
        <v>100000.0</v>
      </c>
      <c r="O38" s="396">
        <f t="shared" si="21"/>
        <v>1200000</v>
      </c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</row>
    <row r="39">
      <c r="A39" s="409"/>
      <c r="B39" s="409" t="s">
        <v>2063</v>
      </c>
      <c r="C39" s="407">
        <v>50000.0</v>
      </c>
      <c r="D39" s="407">
        <v>50000.0</v>
      </c>
      <c r="E39" s="407">
        <v>50000.0</v>
      </c>
      <c r="F39" s="407">
        <v>50000.0</v>
      </c>
      <c r="G39" s="407">
        <v>50000.0</v>
      </c>
      <c r="H39" s="407">
        <v>50000.0</v>
      </c>
      <c r="I39" s="407">
        <v>50000.0</v>
      </c>
      <c r="J39" s="407">
        <v>50000.0</v>
      </c>
      <c r="K39" s="407">
        <v>50000.0</v>
      </c>
      <c r="L39" s="407">
        <v>50000.0</v>
      </c>
      <c r="M39" s="407">
        <v>50000.0</v>
      </c>
      <c r="N39" s="407">
        <v>50000.0</v>
      </c>
      <c r="O39" s="396">
        <f t="shared" si="21"/>
        <v>600000</v>
      </c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</row>
    <row r="40">
      <c r="A40" s="409"/>
      <c r="B40" s="409" t="s">
        <v>2064</v>
      </c>
      <c r="C40" s="407">
        <v>40000.0</v>
      </c>
      <c r="D40" s="407">
        <v>40000.0</v>
      </c>
      <c r="E40" s="407">
        <v>40000.0</v>
      </c>
      <c r="F40" s="407">
        <v>40000.0</v>
      </c>
      <c r="G40" s="407">
        <v>40000.0</v>
      </c>
      <c r="H40" s="407">
        <v>40000.0</v>
      </c>
      <c r="I40" s="407">
        <v>40000.0</v>
      </c>
      <c r="J40" s="407">
        <v>40000.0</v>
      </c>
      <c r="K40" s="407">
        <v>40000.0</v>
      </c>
      <c r="L40" s="407">
        <v>40000.0</v>
      </c>
      <c r="M40" s="407">
        <v>40000.0</v>
      </c>
      <c r="N40" s="407">
        <v>40000.0</v>
      </c>
      <c r="O40" s="396">
        <f t="shared" si="21"/>
        <v>480000</v>
      </c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</row>
    <row r="41">
      <c r="A41" s="439"/>
      <c r="B41" s="439" t="s">
        <v>2065</v>
      </c>
      <c r="C41" s="411">
        <v>170000.0</v>
      </c>
      <c r="D41" s="411">
        <v>170000.0</v>
      </c>
      <c r="E41" s="411">
        <v>170000.0</v>
      </c>
      <c r="F41" s="411">
        <v>170000.0</v>
      </c>
      <c r="G41" s="411">
        <v>170000.0</v>
      </c>
      <c r="H41" s="411">
        <v>170000.0</v>
      </c>
      <c r="I41" s="411">
        <v>170000.0</v>
      </c>
      <c r="J41" s="411">
        <v>170000.0</v>
      </c>
      <c r="K41" s="411">
        <v>170000.0</v>
      </c>
      <c r="L41" s="411">
        <v>170000.0</v>
      </c>
      <c r="M41" s="411">
        <v>170000.0</v>
      </c>
      <c r="N41" s="411">
        <v>170000.0</v>
      </c>
      <c r="O41" s="396">
        <f t="shared" si="21"/>
        <v>2040000</v>
      </c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</row>
    <row r="42">
      <c r="A42" s="440"/>
      <c r="B42" s="440" t="s">
        <v>2066</v>
      </c>
      <c r="C42" s="407">
        <v>250000.0</v>
      </c>
      <c r="D42" s="407">
        <v>250000.0</v>
      </c>
      <c r="E42" s="407">
        <v>250000.0</v>
      </c>
      <c r="F42" s="407">
        <v>250000.0</v>
      </c>
      <c r="G42" s="407">
        <v>250000.0</v>
      </c>
      <c r="H42" s="407">
        <v>250000.0</v>
      </c>
      <c r="I42" s="407">
        <v>250000.0</v>
      </c>
      <c r="J42" s="407">
        <v>250000.0</v>
      </c>
      <c r="K42" s="407">
        <v>250000.0</v>
      </c>
      <c r="L42" s="407">
        <v>250000.0</v>
      </c>
      <c r="M42" s="407">
        <v>250000.0</v>
      </c>
      <c r="N42" s="407">
        <v>250000.0</v>
      </c>
      <c r="O42" s="396">
        <f t="shared" si="21"/>
        <v>3000000</v>
      </c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</row>
    <row r="43">
      <c r="A43" s="408"/>
      <c r="B43" s="408" t="s">
        <v>2067</v>
      </c>
      <c r="C43" s="411">
        <v>0.0</v>
      </c>
      <c r="D43" s="411">
        <v>0.0</v>
      </c>
      <c r="E43" s="411">
        <v>0.0</v>
      </c>
      <c r="F43" s="411">
        <v>0.0</v>
      </c>
      <c r="G43" s="411">
        <v>0.0</v>
      </c>
      <c r="H43" s="411">
        <v>0.0</v>
      </c>
      <c r="I43" s="411">
        <v>0.0</v>
      </c>
      <c r="J43" s="411">
        <v>0.0</v>
      </c>
      <c r="K43" s="411">
        <v>0.0</v>
      </c>
      <c r="L43" s="411">
        <v>0.0</v>
      </c>
      <c r="M43" s="411">
        <v>0.0</v>
      </c>
      <c r="N43" s="411">
        <v>0.0</v>
      </c>
      <c r="O43" s="396">
        <f t="shared" si="21"/>
        <v>0</v>
      </c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</row>
    <row r="44">
      <c r="A44" s="408"/>
      <c r="B44" s="408" t="s">
        <v>2067</v>
      </c>
      <c r="C44" s="411">
        <v>0.0</v>
      </c>
      <c r="D44" s="411">
        <v>0.0</v>
      </c>
      <c r="E44" s="411">
        <v>0.0</v>
      </c>
      <c r="F44" s="411">
        <v>0.0</v>
      </c>
      <c r="G44" s="411">
        <v>0.0</v>
      </c>
      <c r="H44" s="411">
        <v>0.0</v>
      </c>
      <c r="I44" s="411">
        <v>0.0</v>
      </c>
      <c r="J44" s="411">
        <v>0.0</v>
      </c>
      <c r="K44" s="411">
        <v>0.0</v>
      </c>
      <c r="L44" s="411">
        <v>0.0</v>
      </c>
      <c r="M44" s="411">
        <v>0.0</v>
      </c>
      <c r="N44" s="411">
        <v>0.0</v>
      </c>
      <c r="O44" s="396">
        <f t="shared" si="21"/>
        <v>0</v>
      </c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</row>
    <row r="45">
      <c r="A45" s="439"/>
      <c r="B45" s="439" t="s">
        <v>2068</v>
      </c>
      <c r="C45" s="407">
        <v>140000.0</v>
      </c>
      <c r="D45" s="407">
        <v>140000.0</v>
      </c>
      <c r="E45" s="407">
        <v>140000.0</v>
      </c>
      <c r="F45" s="407">
        <v>140000.0</v>
      </c>
      <c r="G45" s="407">
        <v>140000.0</v>
      </c>
      <c r="H45" s="407">
        <v>140000.0</v>
      </c>
      <c r="I45" s="407">
        <v>140000.0</v>
      </c>
      <c r="J45" s="407">
        <v>140000.0</v>
      </c>
      <c r="K45" s="407">
        <v>140000.0</v>
      </c>
      <c r="L45" s="407">
        <v>140000.0</v>
      </c>
      <c r="M45" s="407">
        <v>140000.0</v>
      </c>
      <c r="N45" s="407">
        <v>140000.0</v>
      </c>
      <c r="O45" s="396">
        <f t="shared" si="21"/>
        <v>1680000</v>
      </c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</row>
    <row r="46">
      <c r="A46" s="408"/>
      <c r="B46" s="408" t="s">
        <v>2069</v>
      </c>
      <c r="C46" s="411">
        <v>140000.0</v>
      </c>
      <c r="D46" s="411">
        <v>140000.0</v>
      </c>
      <c r="E46" s="411">
        <v>140000.0</v>
      </c>
      <c r="F46" s="411">
        <v>140000.0</v>
      </c>
      <c r="G46" s="411">
        <v>140000.0</v>
      </c>
      <c r="H46" s="411">
        <v>140000.0</v>
      </c>
      <c r="I46" s="411">
        <v>140000.0</v>
      </c>
      <c r="J46" s="411">
        <v>140000.0</v>
      </c>
      <c r="K46" s="411">
        <v>140000.0</v>
      </c>
      <c r="L46" s="411">
        <v>140000.0</v>
      </c>
      <c r="M46" s="411">
        <v>140000.0</v>
      </c>
      <c r="N46" s="411">
        <v>140000.0</v>
      </c>
      <c r="O46" s="396">
        <f t="shared" si="21"/>
        <v>1680000</v>
      </c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</row>
    <row r="47">
      <c r="A47" s="408"/>
      <c r="B47" s="408" t="s">
        <v>2069</v>
      </c>
      <c r="C47" s="411"/>
      <c r="D47" s="411"/>
      <c r="E47" s="411"/>
      <c r="F47" s="411"/>
      <c r="G47" s="411"/>
      <c r="H47" s="411"/>
      <c r="I47" s="411"/>
      <c r="J47" s="411"/>
      <c r="K47" s="411"/>
      <c r="L47" s="411"/>
      <c r="M47" s="411"/>
      <c r="N47" s="411"/>
      <c r="O47" s="396">
        <f t="shared" si="21"/>
        <v>0</v>
      </c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</row>
    <row r="48">
      <c r="A48" s="408"/>
      <c r="B48" s="408" t="s">
        <v>2070</v>
      </c>
      <c r="C48" s="407">
        <v>70000.0</v>
      </c>
      <c r="D48" s="407">
        <v>70000.0</v>
      </c>
      <c r="E48" s="407">
        <v>70000.0</v>
      </c>
      <c r="F48" s="407">
        <v>70000.0</v>
      </c>
      <c r="G48" s="407">
        <v>70000.0</v>
      </c>
      <c r="H48" s="407">
        <v>70000.0</v>
      </c>
      <c r="I48" s="407">
        <v>70000.0</v>
      </c>
      <c r="J48" s="407">
        <v>70000.0</v>
      </c>
      <c r="K48" s="407">
        <v>70000.0</v>
      </c>
      <c r="L48" s="407">
        <v>70000.0</v>
      </c>
      <c r="M48" s="407">
        <v>70000.0</v>
      </c>
      <c r="N48" s="407">
        <v>70000.0</v>
      </c>
      <c r="O48" s="396">
        <f t="shared" si="21"/>
        <v>840000</v>
      </c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</row>
    <row r="49">
      <c r="A49" s="408"/>
      <c r="B49" s="408" t="s">
        <v>2071</v>
      </c>
      <c r="C49" s="407">
        <v>80000.0</v>
      </c>
      <c r="D49" s="407">
        <v>80000.0</v>
      </c>
      <c r="E49" s="407">
        <v>80000.0</v>
      </c>
      <c r="F49" s="407">
        <v>80000.0</v>
      </c>
      <c r="G49" s="407">
        <v>80000.0</v>
      </c>
      <c r="H49" s="407">
        <v>80000.0</v>
      </c>
      <c r="I49" s="407">
        <v>80000.0</v>
      </c>
      <c r="J49" s="407">
        <v>80000.0</v>
      </c>
      <c r="K49" s="407">
        <v>80000.0</v>
      </c>
      <c r="L49" s="407">
        <v>80000.0</v>
      </c>
      <c r="M49" s="407">
        <v>80000.0</v>
      </c>
      <c r="N49" s="407">
        <v>80000.0</v>
      </c>
      <c r="O49" s="396">
        <f t="shared" si="21"/>
        <v>960000</v>
      </c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</row>
    <row r="50">
      <c r="A50" s="412"/>
      <c r="B50" s="441" t="s">
        <v>2095</v>
      </c>
      <c r="C50" s="442">
        <v>30000.0</v>
      </c>
      <c r="D50" s="442">
        <v>30000.0</v>
      </c>
      <c r="E50" s="442">
        <v>30000.0</v>
      </c>
      <c r="F50" s="442">
        <v>30000.0</v>
      </c>
      <c r="G50" s="442">
        <v>30000.0</v>
      </c>
      <c r="H50" s="442">
        <v>30000.0</v>
      </c>
      <c r="I50" s="442">
        <v>30000.0</v>
      </c>
      <c r="J50" s="442">
        <v>30000.0</v>
      </c>
      <c r="K50" s="442">
        <v>30000.0</v>
      </c>
      <c r="L50" s="442">
        <v>30000.0</v>
      </c>
      <c r="M50" s="442">
        <v>30000.0</v>
      </c>
      <c r="N50" s="442">
        <v>30000.0</v>
      </c>
      <c r="O50" s="396">
        <f t="shared" si="21"/>
        <v>360000</v>
      </c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</row>
    <row r="51">
      <c r="A51" s="412"/>
      <c r="B51" s="412" t="s">
        <v>2072</v>
      </c>
      <c r="C51" s="443"/>
      <c r="D51" s="443"/>
      <c r="E51" s="443"/>
      <c r="F51" s="444"/>
      <c r="G51" s="443"/>
      <c r="H51" s="443"/>
      <c r="I51" s="444"/>
      <c r="J51" s="445"/>
      <c r="K51" s="443"/>
      <c r="L51" s="444"/>
      <c r="M51" s="443"/>
      <c r="N51" s="443"/>
      <c r="O51" s="396">
        <f t="shared" si="21"/>
        <v>0</v>
      </c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</row>
    <row r="52">
      <c r="A52" s="408"/>
      <c r="B52" s="408"/>
      <c r="C52" s="411"/>
      <c r="D52" s="411"/>
      <c r="E52" s="411"/>
      <c r="F52" s="428"/>
      <c r="G52" s="411"/>
      <c r="H52" s="411"/>
      <c r="I52" s="428"/>
      <c r="J52" s="429"/>
      <c r="K52" s="411"/>
      <c r="L52" s="428"/>
      <c r="M52" s="411"/>
      <c r="N52" s="411"/>
      <c r="O52" s="43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</row>
    <row r="53">
      <c r="A53" s="431"/>
      <c r="B53" s="446" t="s">
        <v>2096</v>
      </c>
      <c r="C53" s="433">
        <f t="shared" ref="C53:N53" si="22">sum(C54:C62)</f>
        <v>355320</v>
      </c>
      <c r="D53" s="433">
        <f t="shared" si="22"/>
        <v>376920</v>
      </c>
      <c r="E53" s="433">
        <f t="shared" si="22"/>
        <v>776920</v>
      </c>
      <c r="F53" s="433">
        <f t="shared" si="22"/>
        <v>776920</v>
      </c>
      <c r="G53" s="433">
        <f t="shared" si="22"/>
        <v>776920</v>
      </c>
      <c r="H53" s="433">
        <f t="shared" si="22"/>
        <v>776920</v>
      </c>
      <c r="I53" s="433">
        <f t="shared" si="22"/>
        <v>776920</v>
      </c>
      <c r="J53" s="433">
        <f t="shared" si="22"/>
        <v>776920</v>
      </c>
      <c r="K53" s="433">
        <f t="shared" si="22"/>
        <v>776920</v>
      </c>
      <c r="L53" s="433">
        <f t="shared" si="22"/>
        <v>776920</v>
      </c>
      <c r="M53" s="433">
        <f t="shared" si="22"/>
        <v>776920</v>
      </c>
      <c r="N53" s="433">
        <f t="shared" si="22"/>
        <v>776920</v>
      </c>
      <c r="O53" s="438">
        <f t="shared" ref="O53:O62" si="23">SUM(C53:N53)</f>
        <v>8501440</v>
      </c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</row>
    <row r="54">
      <c r="A54" s="406"/>
      <c r="B54" s="406" t="s">
        <v>2074</v>
      </c>
      <c r="C54" s="411"/>
      <c r="D54" s="411"/>
      <c r="E54" s="411"/>
      <c r="F54" s="428"/>
      <c r="G54" s="411"/>
      <c r="H54" s="411"/>
      <c r="I54" s="428"/>
      <c r="J54" s="429"/>
      <c r="K54" s="411"/>
      <c r="L54" s="428"/>
      <c r="M54" s="411"/>
      <c r="N54" s="411"/>
      <c r="O54" s="396">
        <f t="shared" si="23"/>
        <v>0</v>
      </c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</row>
    <row r="55">
      <c r="A55" s="406"/>
      <c r="B55" s="406" t="s">
        <v>160</v>
      </c>
      <c r="C55" s="411"/>
      <c r="D55" s="411"/>
      <c r="E55" s="411"/>
      <c r="F55" s="428"/>
      <c r="G55" s="411"/>
      <c r="H55" s="411"/>
      <c r="I55" s="447"/>
      <c r="J55" s="448"/>
      <c r="K55" s="407"/>
      <c r="L55" s="428"/>
      <c r="M55" s="407"/>
      <c r="N55" s="407"/>
      <c r="O55" s="396">
        <f t="shared" si="23"/>
        <v>0</v>
      </c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</row>
    <row r="56">
      <c r="A56" s="409"/>
      <c r="B56" s="409" t="s">
        <v>2075</v>
      </c>
      <c r="C56" s="411"/>
      <c r="D56" s="411"/>
      <c r="E56" s="411"/>
      <c r="F56" s="428"/>
      <c r="G56" s="411"/>
      <c r="H56" s="411"/>
      <c r="I56" s="428"/>
      <c r="J56" s="429"/>
      <c r="K56" s="407"/>
      <c r="L56" s="428"/>
      <c r="M56" s="407"/>
      <c r="N56" s="411"/>
      <c r="O56" s="396">
        <f t="shared" si="23"/>
        <v>0</v>
      </c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</row>
    <row r="57">
      <c r="A57" s="408"/>
      <c r="B57" s="408" t="s">
        <v>2076</v>
      </c>
      <c r="C57" s="411"/>
      <c r="D57" s="411"/>
      <c r="E57" s="411"/>
      <c r="F57" s="428"/>
      <c r="G57" s="411"/>
      <c r="H57" s="411"/>
      <c r="I57" s="428"/>
      <c r="J57" s="429"/>
      <c r="K57" s="411"/>
      <c r="L57" s="428"/>
      <c r="M57" s="411"/>
      <c r="N57" s="411"/>
      <c r="O57" s="396">
        <f t="shared" si="23"/>
        <v>0</v>
      </c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</row>
    <row r="58">
      <c r="A58" s="408"/>
      <c r="B58" s="408" t="s">
        <v>2077</v>
      </c>
      <c r="C58" s="407">
        <v>217000.0</v>
      </c>
      <c r="D58" s="407">
        <v>217000.0</v>
      </c>
      <c r="E58" s="407">
        <v>217000.0</v>
      </c>
      <c r="F58" s="449">
        <v>217000.0</v>
      </c>
      <c r="G58" s="407">
        <v>217000.0</v>
      </c>
      <c r="H58" s="407">
        <v>217000.0</v>
      </c>
      <c r="I58" s="449">
        <v>217000.0</v>
      </c>
      <c r="J58" s="407">
        <v>217000.0</v>
      </c>
      <c r="K58" s="407">
        <v>217000.0</v>
      </c>
      <c r="L58" s="449">
        <v>217000.0</v>
      </c>
      <c r="M58" s="407">
        <v>217000.0</v>
      </c>
      <c r="N58" s="407">
        <v>217000.0</v>
      </c>
      <c r="O58" s="396">
        <f t="shared" si="23"/>
        <v>2604000</v>
      </c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</row>
    <row r="59">
      <c r="A59" s="408"/>
      <c r="B59" s="408" t="s">
        <v>2078</v>
      </c>
      <c r="C59" s="407">
        <v>45000.0</v>
      </c>
      <c r="D59" s="407">
        <v>45000.0</v>
      </c>
      <c r="E59" s="407">
        <v>45000.0</v>
      </c>
      <c r="F59" s="407">
        <v>45000.0</v>
      </c>
      <c r="G59" s="407">
        <v>45000.0</v>
      </c>
      <c r="H59" s="407">
        <v>45000.0</v>
      </c>
      <c r="I59" s="407">
        <v>45000.0</v>
      </c>
      <c r="J59" s="407">
        <v>45000.0</v>
      </c>
      <c r="K59" s="407">
        <v>45000.0</v>
      </c>
      <c r="L59" s="407">
        <v>45000.0</v>
      </c>
      <c r="M59" s="407">
        <v>45000.0</v>
      </c>
      <c r="N59" s="407">
        <v>45000.0</v>
      </c>
      <c r="O59" s="396">
        <f t="shared" si="23"/>
        <v>540000</v>
      </c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</row>
    <row r="60">
      <c r="A60" s="408"/>
      <c r="B60" s="408" t="s">
        <v>2079</v>
      </c>
      <c r="C60" s="411"/>
      <c r="D60" s="411"/>
      <c r="E60" s="407">
        <v>400000.0</v>
      </c>
      <c r="F60" s="449">
        <v>400000.0</v>
      </c>
      <c r="G60" s="407">
        <v>400000.0</v>
      </c>
      <c r="H60" s="407">
        <v>400000.0</v>
      </c>
      <c r="I60" s="449">
        <v>400000.0</v>
      </c>
      <c r="J60" s="407">
        <v>400000.0</v>
      </c>
      <c r="K60" s="407">
        <v>400000.0</v>
      </c>
      <c r="L60" s="449">
        <v>400000.0</v>
      </c>
      <c r="M60" s="407">
        <v>400000.0</v>
      </c>
      <c r="N60" s="407">
        <v>400000.0</v>
      </c>
      <c r="O60" s="396">
        <f t="shared" si="23"/>
        <v>4000000</v>
      </c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</row>
    <row r="61">
      <c r="A61" s="425">
        <v>0.003</v>
      </c>
      <c r="B61" s="425" t="s">
        <v>239</v>
      </c>
      <c r="C61" s="411">
        <f t="shared" ref="C61:N61" si="24">C7*$A$61</f>
        <v>85320</v>
      </c>
      <c r="D61" s="411">
        <f t="shared" si="24"/>
        <v>106920</v>
      </c>
      <c r="E61" s="411">
        <f t="shared" si="24"/>
        <v>106920</v>
      </c>
      <c r="F61" s="411">
        <f t="shared" si="24"/>
        <v>106920</v>
      </c>
      <c r="G61" s="411">
        <f t="shared" si="24"/>
        <v>106920</v>
      </c>
      <c r="H61" s="411">
        <f t="shared" si="24"/>
        <v>106920</v>
      </c>
      <c r="I61" s="411">
        <f t="shared" si="24"/>
        <v>106920</v>
      </c>
      <c r="J61" s="411">
        <f t="shared" si="24"/>
        <v>106920</v>
      </c>
      <c r="K61" s="411">
        <f t="shared" si="24"/>
        <v>106920</v>
      </c>
      <c r="L61" s="411">
        <f t="shared" si="24"/>
        <v>106920</v>
      </c>
      <c r="M61" s="411">
        <f t="shared" si="24"/>
        <v>106920</v>
      </c>
      <c r="N61" s="411">
        <f t="shared" si="24"/>
        <v>106920</v>
      </c>
      <c r="O61" s="396">
        <f t="shared" si="23"/>
        <v>1261440</v>
      </c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</row>
    <row r="62">
      <c r="A62" s="406"/>
      <c r="B62" s="406" t="s">
        <v>2080</v>
      </c>
      <c r="C62" s="407">
        <v>8000.0</v>
      </c>
      <c r="D62" s="407">
        <v>8000.0</v>
      </c>
      <c r="E62" s="407">
        <v>8000.0</v>
      </c>
      <c r="F62" s="449">
        <v>8000.0</v>
      </c>
      <c r="G62" s="407">
        <v>8000.0</v>
      </c>
      <c r="H62" s="407">
        <v>8000.0</v>
      </c>
      <c r="I62" s="449">
        <v>8000.0</v>
      </c>
      <c r="J62" s="407">
        <v>8000.0</v>
      </c>
      <c r="K62" s="407">
        <v>8000.0</v>
      </c>
      <c r="L62" s="449">
        <v>8000.0</v>
      </c>
      <c r="M62" s="407">
        <v>8000.0</v>
      </c>
      <c r="N62" s="407">
        <v>8000.0</v>
      </c>
      <c r="O62" s="396">
        <f t="shared" si="23"/>
        <v>96000</v>
      </c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</row>
    <row r="63">
      <c r="A63" s="408"/>
      <c r="B63" s="408"/>
      <c r="C63" s="411"/>
      <c r="D63" s="411"/>
      <c r="E63" s="411"/>
      <c r="F63" s="428"/>
      <c r="G63" s="411"/>
      <c r="H63" s="411"/>
      <c r="I63" s="428"/>
      <c r="J63" s="429"/>
      <c r="K63" s="411"/>
      <c r="L63" s="428"/>
      <c r="M63" s="411"/>
      <c r="N63" s="411"/>
      <c r="O63" s="43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</row>
    <row r="64">
      <c r="A64" s="431"/>
      <c r="B64" s="446" t="s">
        <v>2097</v>
      </c>
      <c r="C64" s="433">
        <f t="shared" ref="C64:D64" si="25">sum(C65:C70)</f>
        <v>0</v>
      </c>
      <c r="D64" s="433">
        <f t="shared" si="25"/>
        <v>0</v>
      </c>
      <c r="E64" s="434">
        <f t="shared" ref="E64:N64" si="26">sum(E65:E69)*1.2</f>
        <v>0</v>
      </c>
      <c r="F64" s="434">
        <f t="shared" si="26"/>
        <v>0</v>
      </c>
      <c r="G64" s="434">
        <f t="shared" si="26"/>
        <v>0</v>
      </c>
      <c r="H64" s="434">
        <f t="shared" si="26"/>
        <v>0</v>
      </c>
      <c r="I64" s="434">
        <f t="shared" si="26"/>
        <v>0</v>
      </c>
      <c r="J64" s="434">
        <f t="shared" si="26"/>
        <v>0</v>
      </c>
      <c r="K64" s="434">
        <f t="shared" si="26"/>
        <v>0</v>
      </c>
      <c r="L64" s="434">
        <f t="shared" si="26"/>
        <v>0</v>
      </c>
      <c r="M64" s="434">
        <f t="shared" si="26"/>
        <v>0</v>
      </c>
      <c r="N64" s="434">
        <f t="shared" si="26"/>
        <v>0</v>
      </c>
      <c r="O64" s="438">
        <f t="shared" ref="O64:O70" si="27">SUM(C64:N64)</f>
        <v>0</v>
      </c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</row>
    <row r="65">
      <c r="A65" s="406"/>
      <c r="B65" s="406" t="s">
        <v>2074</v>
      </c>
      <c r="C65" s="411"/>
      <c r="D65" s="411"/>
      <c r="E65" s="411"/>
      <c r="F65" s="428"/>
      <c r="G65" s="411"/>
      <c r="H65" s="411"/>
      <c r="I65" s="428"/>
      <c r="J65" s="429"/>
      <c r="K65" s="411"/>
      <c r="L65" s="428"/>
      <c r="M65" s="411"/>
      <c r="N65" s="411"/>
      <c r="O65" s="396">
        <f t="shared" si="27"/>
        <v>0</v>
      </c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</row>
    <row r="66">
      <c r="A66" s="406"/>
      <c r="B66" s="406" t="s">
        <v>160</v>
      </c>
      <c r="C66" s="411"/>
      <c r="D66" s="411"/>
      <c r="E66" s="411"/>
      <c r="F66" s="428"/>
      <c r="G66" s="411"/>
      <c r="H66" s="411"/>
      <c r="I66" s="447"/>
      <c r="J66" s="448"/>
      <c r="K66" s="407"/>
      <c r="L66" s="428"/>
      <c r="M66" s="407"/>
      <c r="N66" s="407"/>
      <c r="O66" s="396">
        <f t="shared" si="27"/>
        <v>0</v>
      </c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</row>
    <row r="67">
      <c r="A67" s="409"/>
      <c r="B67" s="409" t="s">
        <v>382</v>
      </c>
      <c r="C67" s="411"/>
      <c r="D67" s="411"/>
      <c r="E67" s="411"/>
      <c r="F67" s="428"/>
      <c r="G67" s="411"/>
      <c r="H67" s="411"/>
      <c r="I67" s="428"/>
      <c r="J67" s="429"/>
      <c r="K67" s="407"/>
      <c r="L67" s="428"/>
      <c r="M67" s="411"/>
      <c r="N67" s="411"/>
      <c r="O67" s="396">
        <f t="shared" si="27"/>
        <v>0</v>
      </c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</row>
    <row r="68">
      <c r="A68" s="409"/>
      <c r="B68" s="409" t="s">
        <v>2075</v>
      </c>
      <c r="C68" s="411"/>
      <c r="D68" s="411"/>
      <c r="E68" s="411"/>
      <c r="F68" s="428"/>
      <c r="G68" s="411"/>
      <c r="H68" s="411"/>
      <c r="I68" s="428"/>
      <c r="J68" s="429"/>
      <c r="K68" s="407"/>
      <c r="L68" s="428"/>
      <c r="M68" s="407"/>
      <c r="N68" s="411"/>
      <c r="O68" s="396">
        <f t="shared" si="27"/>
        <v>0</v>
      </c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</row>
    <row r="69">
      <c r="A69" s="408"/>
      <c r="B69" s="408" t="s">
        <v>2076</v>
      </c>
      <c r="C69" s="411"/>
      <c r="D69" s="411"/>
      <c r="E69" s="411"/>
      <c r="F69" s="428"/>
      <c r="G69" s="411"/>
      <c r="H69" s="411"/>
      <c r="I69" s="428"/>
      <c r="J69" s="429"/>
      <c r="K69" s="411"/>
      <c r="L69" s="428"/>
      <c r="M69" s="411"/>
      <c r="N69" s="411"/>
      <c r="O69" s="396">
        <f t="shared" si="27"/>
        <v>0</v>
      </c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</row>
    <row r="70">
      <c r="A70" s="408"/>
      <c r="B70" s="408" t="s">
        <v>2079</v>
      </c>
      <c r="C70" s="407"/>
      <c r="D70" s="411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96">
        <f t="shared" si="27"/>
        <v>0</v>
      </c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</row>
    <row r="71">
      <c r="A71" s="408"/>
      <c r="B71" s="408"/>
      <c r="C71" s="411"/>
      <c r="D71" s="411"/>
      <c r="E71" s="411"/>
      <c r="F71" s="428"/>
      <c r="G71" s="411"/>
      <c r="H71" s="411"/>
      <c r="I71" s="428"/>
      <c r="J71" s="429"/>
      <c r="K71" s="411"/>
      <c r="L71" s="428"/>
      <c r="M71" s="411"/>
      <c r="N71" s="411"/>
      <c r="O71" s="43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</row>
    <row r="72">
      <c r="A72" s="431"/>
      <c r="B72" s="446" t="s">
        <v>2098</v>
      </c>
      <c r="C72" s="433">
        <f t="shared" ref="C72:N72" si="28">sum(C73:C77)/0.76</f>
        <v>1328486.842</v>
      </c>
      <c r="D72" s="433">
        <f t="shared" si="28"/>
        <v>1901315.789</v>
      </c>
      <c r="E72" s="433">
        <f t="shared" si="28"/>
        <v>1769736.842</v>
      </c>
      <c r="F72" s="433">
        <f t="shared" si="28"/>
        <v>1769736.842</v>
      </c>
      <c r="G72" s="433">
        <f t="shared" si="28"/>
        <v>1506578.947</v>
      </c>
      <c r="H72" s="433">
        <f t="shared" si="28"/>
        <v>1506578.947</v>
      </c>
      <c r="I72" s="433">
        <f t="shared" si="28"/>
        <v>1506578.947</v>
      </c>
      <c r="J72" s="433">
        <f t="shared" si="28"/>
        <v>1506578.947</v>
      </c>
      <c r="K72" s="433">
        <f t="shared" si="28"/>
        <v>1506578.947</v>
      </c>
      <c r="L72" s="433">
        <f t="shared" si="28"/>
        <v>1506578.947</v>
      </c>
      <c r="M72" s="433">
        <f t="shared" si="28"/>
        <v>1506578.947</v>
      </c>
      <c r="N72" s="433">
        <f t="shared" si="28"/>
        <v>1506578.947</v>
      </c>
      <c r="O72" s="438">
        <f t="shared" ref="O72:O76" si="29">SUM(C72:N72)</f>
        <v>18821907.89</v>
      </c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</row>
    <row r="73">
      <c r="A73" s="406"/>
      <c r="B73" s="406" t="s">
        <v>2074</v>
      </c>
      <c r="C73" s="407">
        <v>50000.0</v>
      </c>
      <c r="D73" s="407">
        <v>50000.0</v>
      </c>
      <c r="E73" s="407">
        <v>50000.0</v>
      </c>
      <c r="F73" s="449">
        <v>50000.0</v>
      </c>
      <c r="G73" s="407">
        <v>50000.0</v>
      </c>
      <c r="H73" s="407">
        <v>50000.0</v>
      </c>
      <c r="I73" s="449">
        <v>50000.0</v>
      </c>
      <c r="J73" s="407">
        <v>50000.0</v>
      </c>
      <c r="K73" s="407">
        <v>50000.0</v>
      </c>
      <c r="L73" s="449">
        <v>50000.0</v>
      </c>
      <c r="M73" s="407">
        <v>50000.0</v>
      </c>
      <c r="N73" s="407">
        <v>50000.0</v>
      </c>
      <c r="O73" s="396">
        <f t="shared" si="29"/>
        <v>600000</v>
      </c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</row>
    <row r="74">
      <c r="A74" s="425">
        <v>0.45</v>
      </c>
      <c r="B74" s="425" t="s">
        <v>2099</v>
      </c>
      <c r="C74" s="411">
        <f t="shared" ref="C74:N74" si="30">C33*$A$74</f>
        <v>855000</v>
      </c>
      <c r="D74" s="411">
        <f t="shared" si="30"/>
        <v>855000</v>
      </c>
      <c r="E74" s="411">
        <f t="shared" si="30"/>
        <v>855000</v>
      </c>
      <c r="F74" s="411">
        <f t="shared" si="30"/>
        <v>855000</v>
      </c>
      <c r="G74" s="411">
        <f t="shared" si="30"/>
        <v>855000</v>
      </c>
      <c r="H74" s="411">
        <f t="shared" si="30"/>
        <v>855000</v>
      </c>
      <c r="I74" s="411">
        <f t="shared" si="30"/>
        <v>855000</v>
      </c>
      <c r="J74" s="411">
        <f t="shared" si="30"/>
        <v>855000</v>
      </c>
      <c r="K74" s="411">
        <f t="shared" si="30"/>
        <v>855000</v>
      </c>
      <c r="L74" s="411">
        <f t="shared" si="30"/>
        <v>855000</v>
      </c>
      <c r="M74" s="411">
        <f t="shared" si="30"/>
        <v>855000</v>
      </c>
      <c r="N74" s="411">
        <f t="shared" si="30"/>
        <v>855000</v>
      </c>
      <c r="O74" s="396">
        <f t="shared" si="29"/>
        <v>10260000</v>
      </c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</row>
    <row r="75">
      <c r="A75" s="409"/>
      <c r="B75" s="409" t="s">
        <v>2100</v>
      </c>
      <c r="C75" s="407">
        <v>104650.0</v>
      </c>
      <c r="D75" s="407">
        <v>300000.0</v>
      </c>
      <c r="E75" s="407">
        <v>200000.0</v>
      </c>
      <c r="F75" s="449">
        <v>200000.0</v>
      </c>
      <c r="G75" s="411"/>
      <c r="H75" s="411"/>
      <c r="I75" s="428"/>
      <c r="J75" s="429"/>
      <c r="K75" s="407"/>
      <c r="L75" s="428"/>
      <c r="M75" s="411"/>
      <c r="N75" s="411"/>
      <c r="O75" s="396">
        <f t="shared" si="29"/>
        <v>804650</v>
      </c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</row>
    <row r="76">
      <c r="A76" s="409">
        <v>0.04</v>
      </c>
      <c r="B76" s="409" t="s">
        <v>2017</v>
      </c>
      <c r="C76" s="407">
        <f t="shared" ref="C76:N76" si="31">sum(C11:C12)*$A$76</f>
        <v>0</v>
      </c>
      <c r="D76" s="407">
        <f t="shared" si="31"/>
        <v>240000</v>
      </c>
      <c r="E76" s="407">
        <f t="shared" si="31"/>
        <v>240000</v>
      </c>
      <c r="F76" s="407">
        <f t="shared" si="31"/>
        <v>240000</v>
      </c>
      <c r="G76" s="407">
        <f t="shared" si="31"/>
        <v>240000</v>
      </c>
      <c r="H76" s="407">
        <f t="shared" si="31"/>
        <v>240000</v>
      </c>
      <c r="I76" s="407">
        <f t="shared" si="31"/>
        <v>240000</v>
      </c>
      <c r="J76" s="407">
        <f t="shared" si="31"/>
        <v>240000</v>
      </c>
      <c r="K76" s="407">
        <f t="shared" si="31"/>
        <v>240000</v>
      </c>
      <c r="L76" s="407">
        <f t="shared" si="31"/>
        <v>240000</v>
      </c>
      <c r="M76" s="407">
        <f t="shared" si="31"/>
        <v>240000</v>
      </c>
      <c r="N76" s="407">
        <f t="shared" si="31"/>
        <v>240000</v>
      </c>
      <c r="O76" s="396">
        <f t="shared" si="29"/>
        <v>2640000</v>
      </c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</row>
    <row r="77">
      <c r="A77" s="409"/>
      <c r="B77" s="409" t="s">
        <v>108</v>
      </c>
      <c r="C77" s="407">
        <v>0.0</v>
      </c>
      <c r="D77" s="407">
        <v>0.0</v>
      </c>
      <c r="E77" s="407">
        <v>0.0</v>
      </c>
      <c r="F77" s="449">
        <v>0.0</v>
      </c>
      <c r="G77" s="407">
        <v>0.0</v>
      </c>
      <c r="H77" s="407">
        <v>0.0</v>
      </c>
      <c r="I77" s="449">
        <v>0.0</v>
      </c>
      <c r="J77" s="407">
        <v>0.0</v>
      </c>
      <c r="K77" s="407">
        <v>0.0</v>
      </c>
      <c r="L77" s="449">
        <v>0.0</v>
      </c>
      <c r="M77" s="407">
        <v>0.0</v>
      </c>
      <c r="N77" s="407">
        <v>0.0</v>
      </c>
      <c r="O77" s="396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</row>
    <row r="78">
      <c r="A78" s="408"/>
      <c r="B78" s="408"/>
      <c r="C78" s="411"/>
      <c r="D78" s="411"/>
      <c r="E78" s="411"/>
      <c r="F78" s="428"/>
      <c r="G78" s="411"/>
      <c r="H78" s="411"/>
      <c r="I78" s="428"/>
      <c r="J78" s="429"/>
      <c r="K78" s="411"/>
      <c r="L78" s="428"/>
      <c r="M78" s="411"/>
      <c r="N78" s="411"/>
      <c r="O78" s="43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</row>
    <row r="79">
      <c r="A79" s="450"/>
      <c r="B79" s="451" t="s">
        <v>236</v>
      </c>
      <c r="C79" s="452">
        <f t="shared" ref="C79:N79" si="32">sum(C80:C82)</f>
        <v>1749000.263</v>
      </c>
      <c r="D79" s="452">
        <f t="shared" si="32"/>
        <v>2414468.684</v>
      </c>
      <c r="E79" s="452">
        <f t="shared" si="32"/>
        <v>2367100.263</v>
      </c>
      <c r="F79" s="452">
        <f t="shared" si="32"/>
        <v>2367100.263</v>
      </c>
      <c r="G79" s="452">
        <f t="shared" si="32"/>
        <v>2472363.421</v>
      </c>
      <c r="H79" s="452">
        <f t="shared" si="32"/>
        <v>2472363.421</v>
      </c>
      <c r="I79" s="452">
        <f t="shared" si="32"/>
        <v>2472363.421</v>
      </c>
      <c r="J79" s="452">
        <f t="shared" si="32"/>
        <v>2472363.421</v>
      </c>
      <c r="K79" s="452">
        <f t="shared" si="32"/>
        <v>2472363.421</v>
      </c>
      <c r="L79" s="452">
        <f t="shared" si="32"/>
        <v>2472363.421</v>
      </c>
      <c r="M79" s="452">
        <f t="shared" si="32"/>
        <v>2472363.421</v>
      </c>
      <c r="N79" s="452">
        <f t="shared" si="32"/>
        <v>2472363.421</v>
      </c>
      <c r="O79" s="453">
        <f>O7-O20-O33-O53-O80-O81-O82</f>
        <v>35691983.16</v>
      </c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</row>
    <row r="80">
      <c r="A80" s="406"/>
      <c r="B80" s="406" t="s">
        <v>2082</v>
      </c>
      <c r="C80" s="411">
        <f t="shared" ref="C80:N80" si="33">C33*(1-$A$74)*0.34</f>
        <v>355300</v>
      </c>
      <c r="D80" s="411">
        <f t="shared" si="33"/>
        <v>355300</v>
      </c>
      <c r="E80" s="411">
        <f t="shared" si="33"/>
        <v>355300</v>
      </c>
      <c r="F80" s="411">
        <f t="shared" si="33"/>
        <v>355300</v>
      </c>
      <c r="G80" s="411">
        <f t="shared" si="33"/>
        <v>355300</v>
      </c>
      <c r="H80" s="411">
        <f t="shared" si="33"/>
        <v>355300</v>
      </c>
      <c r="I80" s="411">
        <f t="shared" si="33"/>
        <v>355300</v>
      </c>
      <c r="J80" s="411">
        <f t="shared" si="33"/>
        <v>355300</v>
      </c>
      <c r="K80" s="411">
        <f t="shared" si="33"/>
        <v>355300</v>
      </c>
      <c r="L80" s="411">
        <f t="shared" si="33"/>
        <v>355300</v>
      </c>
      <c r="M80" s="411">
        <f t="shared" si="33"/>
        <v>355300</v>
      </c>
      <c r="N80" s="411">
        <f t="shared" si="33"/>
        <v>355300</v>
      </c>
      <c r="O80" s="396">
        <f t="shared" ref="O80:O82" si="35">SUM(C80:N80)</f>
        <v>4263600</v>
      </c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</row>
    <row r="81">
      <c r="A81" s="408"/>
      <c r="B81" s="408" t="s">
        <v>18</v>
      </c>
      <c r="C81" s="411">
        <f t="shared" ref="C81:N81" si="34">(C7-C20-C64-C72)*0.2</f>
        <v>916302.6316</v>
      </c>
      <c r="D81" s="411">
        <f t="shared" si="34"/>
        <v>1251736.842</v>
      </c>
      <c r="E81" s="411">
        <f t="shared" si="34"/>
        <v>1278052.632</v>
      </c>
      <c r="F81" s="411">
        <f t="shared" si="34"/>
        <v>1278052.632</v>
      </c>
      <c r="G81" s="411">
        <f t="shared" si="34"/>
        <v>1330684.211</v>
      </c>
      <c r="H81" s="411">
        <f t="shared" si="34"/>
        <v>1330684.211</v>
      </c>
      <c r="I81" s="411">
        <f t="shared" si="34"/>
        <v>1330684.211</v>
      </c>
      <c r="J81" s="411">
        <f t="shared" si="34"/>
        <v>1330684.211</v>
      </c>
      <c r="K81" s="411">
        <f t="shared" si="34"/>
        <v>1330684.211</v>
      </c>
      <c r="L81" s="411">
        <f t="shared" si="34"/>
        <v>1330684.211</v>
      </c>
      <c r="M81" s="411">
        <f t="shared" si="34"/>
        <v>1330684.211</v>
      </c>
      <c r="N81" s="411">
        <f t="shared" si="34"/>
        <v>1330684.211</v>
      </c>
      <c r="O81" s="396">
        <f t="shared" si="35"/>
        <v>15369618.42</v>
      </c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</row>
    <row r="82">
      <c r="A82" s="408"/>
      <c r="B82" s="408" t="s">
        <v>2083</v>
      </c>
      <c r="C82" s="411">
        <f t="shared" ref="C82:N82" si="36">(C7-C20-(C33*(1-$A$74))-C53-C64-C72-C81-C80)*0.25</f>
        <v>477397.6316</v>
      </c>
      <c r="D82" s="411">
        <f t="shared" si="36"/>
        <v>807431.8421</v>
      </c>
      <c r="E82" s="411">
        <f t="shared" si="36"/>
        <v>733747.6316</v>
      </c>
      <c r="F82" s="411">
        <f t="shared" si="36"/>
        <v>733747.6316</v>
      </c>
      <c r="G82" s="411">
        <f t="shared" si="36"/>
        <v>786379.2105</v>
      </c>
      <c r="H82" s="411">
        <f t="shared" si="36"/>
        <v>786379.2105</v>
      </c>
      <c r="I82" s="411">
        <f t="shared" si="36"/>
        <v>786379.2105</v>
      </c>
      <c r="J82" s="411">
        <f t="shared" si="36"/>
        <v>786379.2105</v>
      </c>
      <c r="K82" s="411">
        <f t="shared" si="36"/>
        <v>786379.2105</v>
      </c>
      <c r="L82" s="411">
        <f t="shared" si="36"/>
        <v>786379.2105</v>
      </c>
      <c r="M82" s="411">
        <f t="shared" si="36"/>
        <v>786379.2105</v>
      </c>
      <c r="N82" s="411">
        <f t="shared" si="36"/>
        <v>786379.2105</v>
      </c>
      <c r="O82" s="396">
        <f t="shared" si="35"/>
        <v>9043358.421</v>
      </c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</row>
    <row r="83">
      <c r="A83" s="408"/>
      <c r="B83" s="408"/>
      <c r="C83" s="411"/>
      <c r="D83" s="411"/>
      <c r="E83" s="411"/>
      <c r="F83" s="428"/>
      <c r="G83" s="411"/>
      <c r="H83" s="411"/>
      <c r="I83" s="428"/>
      <c r="J83" s="429"/>
      <c r="K83" s="411"/>
      <c r="L83" s="428"/>
      <c r="M83" s="411"/>
      <c r="N83" s="411"/>
      <c r="O83" s="396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</row>
    <row r="84">
      <c r="A84" s="454"/>
      <c r="B84" s="455" t="s">
        <v>2084</v>
      </c>
      <c r="C84" s="456"/>
      <c r="D84" s="456"/>
      <c r="E84" s="457"/>
      <c r="F84" s="458"/>
      <c r="G84" s="456"/>
      <c r="H84" s="457"/>
      <c r="I84" s="458"/>
      <c r="J84" s="459"/>
      <c r="K84" s="460"/>
      <c r="L84" s="458"/>
      <c r="M84" s="456"/>
      <c r="N84" s="457"/>
      <c r="O84" s="461"/>
      <c r="P84" s="380"/>
      <c r="Q84" s="380"/>
      <c r="R84" s="380"/>
      <c r="S84" s="380"/>
      <c r="T84" s="380"/>
      <c r="U84" s="380"/>
      <c r="V84" s="380"/>
      <c r="W84" s="380"/>
      <c r="X84" s="380"/>
      <c r="Y84" s="380"/>
      <c r="Z84" s="380"/>
      <c r="AA84" s="380"/>
    </row>
    <row r="85">
      <c r="A85" s="408"/>
      <c r="B85" s="408" t="s">
        <v>2085</v>
      </c>
      <c r="C85" s="411">
        <f t="shared" ref="C85:O85" si="37">C20/C7</f>
        <v>0.7921940928</v>
      </c>
      <c r="D85" s="411">
        <f t="shared" si="37"/>
        <v>0.771043771</v>
      </c>
      <c r="E85" s="411">
        <f t="shared" si="37"/>
        <v>0.771043771</v>
      </c>
      <c r="F85" s="428">
        <f t="shared" si="37"/>
        <v>0.771043771</v>
      </c>
      <c r="G85" s="411">
        <f t="shared" si="37"/>
        <v>0.771043771</v>
      </c>
      <c r="H85" s="411">
        <f t="shared" si="37"/>
        <v>0.771043771</v>
      </c>
      <c r="I85" s="428">
        <f t="shared" si="37"/>
        <v>0.771043771</v>
      </c>
      <c r="J85" s="429">
        <f t="shared" si="37"/>
        <v>0.771043771</v>
      </c>
      <c r="K85" s="411">
        <f t="shared" si="37"/>
        <v>0.771043771</v>
      </c>
      <c r="L85" s="428">
        <f t="shared" si="37"/>
        <v>0.771043771</v>
      </c>
      <c r="M85" s="411">
        <f t="shared" si="37"/>
        <v>0.771043771</v>
      </c>
      <c r="N85" s="411">
        <f t="shared" si="37"/>
        <v>0.771043771</v>
      </c>
      <c r="O85" s="462">
        <f t="shared" si="37"/>
        <v>0.7724743151</v>
      </c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</row>
    <row r="86">
      <c r="A86" s="463"/>
      <c r="B86" s="463" t="s">
        <v>2086</v>
      </c>
      <c r="C86" s="464">
        <f t="shared" ref="C86:O86" si="38">(C33+C80)/C7</f>
        <v>0.07930028129</v>
      </c>
      <c r="D86" s="464">
        <f t="shared" si="38"/>
        <v>0.06328002245</v>
      </c>
      <c r="E86" s="464">
        <f t="shared" si="38"/>
        <v>0.06328002245</v>
      </c>
      <c r="F86" s="465">
        <f t="shared" si="38"/>
        <v>0.06328002245</v>
      </c>
      <c r="G86" s="464">
        <f t="shared" si="38"/>
        <v>0.06328002245</v>
      </c>
      <c r="H86" s="464">
        <f t="shared" si="38"/>
        <v>0.06328002245</v>
      </c>
      <c r="I86" s="465">
        <f t="shared" si="38"/>
        <v>0.06328002245</v>
      </c>
      <c r="J86" s="466">
        <f t="shared" si="38"/>
        <v>0.06328002245</v>
      </c>
      <c r="K86" s="464">
        <f t="shared" si="38"/>
        <v>0.06328002245</v>
      </c>
      <c r="L86" s="465">
        <f t="shared" si="38"/>
        <v>0.06328002245</v>
      </c>
      <c r="M86" s="464">
        <f t="shared" si="38"/>
        <v>0.06328002245</v>
      </c>
      <c r="N86" s="464">
        <f t="shared" si="38"/>
        <v>0.06328002245</v>
      </c>
      <c r="O86" s="467">
        <f t="shared" si="38"/>
        <v>0.06436358447</v>
      </c>
      <c r="P86" s="464"/>
      <c r="Q86" s="464"/>
      <c r="R86" s="464"/>
      <c r="S86" s="464"/>
      <c r="T86" s="464"/>
      <c r="U86" s="464"/>
      <c r="V86" s="464"/>
      <c r="W86" s="464"/>
      <c r="X86" s="464"/>
      <c r="Y86" s="464"/>
      <c r="Z86" s="464"/>
      <c r="AA86" s="464"/>
    </row>
    <row r="87">
      <c r="A87" s="408"/>
      <c r="B87" s="408" t="s">
        <v>2087</v>
      </c>
      <c r="C87" s="411">
        <f t="shared" ref="C87:O87" si="39">C53/C7</f>
        <v>0.01249367089</v>
      </c>
      <c r="D87" s="411">
        <f t="shared" si="39"/>
        <v>0.01057575758</v>
      </c>
      <c r="E87" s="411">
        <f t="shared" si="39"/>
        <v>0.02179910213</v>
      </c>
      <c r="F87" s="428">
        <f t="shared" si="39"/>
        <v>0.02179910213</v>
      </c>
      <c r="G87" s="411">
        <f t="shared" si="39"/>
        <v>0.02179910213</v>
      </c>
      <c r="H87" s="411">
        <f t="shared" si="39"/>
        <v>0.02179910213</v>
      </c>
      <c r="I87" s="428">
        <f t="shared" si="39"/>
        <v>0.02179910213</v>
      </c>
      <c r="J87" s="429">
        <f t="shared" si="39"/>
        <v>0.02179910213</v>
      </c>
      <c r="K87" s="411">
        <f t="shared" si="39"/>
        <v>0.02179910213</v>
      </c>
      <c r="L87" s="428">
        <f t="shared" si="39"/>
        <v>0.02179910213</v>
      </c>
      <c r="M87" s="411">
        <f t="shared" si="39"/>
        <v>0.02179910213</v>
      </c>
      <c r="N87" s="411">
        <f t="shared" si="39"/>
        <v>0.02179910213</v>
      </c>
      <c r="O87" s="462">
        <f t="shared" si="39"/>
        <v>0.02021841705</v>
      </c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</row>
    <row r="88">
      <c r="A88" s="408"/>
      <c r="B88" s="408" t="s">
        <v>2088</v>
      </c>
      <c r="C88" s="411">
        <f t="shared" ref="C88:O88" si="40">SUM(C80:C82)/C7</f>
        <v>0.06149789955</v>
      </c>
      <c r="D88" s="411">
        <f t="shared" si="40"/>
        <v>0.06774603491</v>
      </c>
      <c r="E88" s="411">
        <f t="shared" si="40"/>
        <v>0.06641695463</v>
      </c>
      <c r="F88" s="428">
        <f t="shared" si="40"/>
        <v>0.06641695463</v>
      </c>
      <c r="G88" s="411">
        <f t="shared" si="40"/>
        <v>0.06937046636</v>
      </c>
      <c r="H88" s="411">
        <f t="shared" si="40"/>
        <v>0.06937046636</v>
      </c>
      <c r="I88" s="428">
        <f t="shared" si="40"/>
        <v>0.06937046636</v>
      </c>
      <c r="J88" s="429">
        <f t="shared" si="40"/>
        <v>0.06937046636</v>
      </c>
      <c r="K88" s="411">
        <f t="shared" si="40"/>
        <v>0.06937046636</v>
      </c>
      <c r="L88" s="428">
        <f t="shared" si="40"/>
        <v>0.06937046636</v>
      </c>
      <c r="M88" s="411">
        <f t="shared" si="40"/>
        <v>0.06937046636</v>
      </c>
      <c r="N88" s="411">
        <f t="shared" si="40"/>
        <v>0.06937046636</v>
      </c>
      <c r="O88" s="462">
        <f t="shared" si="40"/>
        <v>0.06819962149</v>
      </c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</row>
    <row r="89">
      <c r="A89" s="408"/>
      <c r="B89" s="408" t="s">
        <v>2089</v>
      </c>
      <c r="C89" s="411">
        <f t="shared" ref="C89:O89" si="41">C79/C7</f>
        <v>0.06149789955</v>
      </c>
      <c r="D89" s="411">
        <f t="shared" si="41"/>
        <v>0.06774603491</v>
      </c>
      <c r="E89" s="411">
        <f t="shared" si="41"/>
        <v>0.06641695463</v>
      </c>
      <c r="F89" s="428">
        <f t="shared" si="41"/>
        <v>0.06641695463</v>
      </c>
      <c r="G89" s="411">
        <f t="shared" si="41"/>
        <v>0.06937046636</v>
      </c>
      <c r="H89" s="411">
        <f t="shared" si="41"/>
        <v>0.06937046636</v>
      </c>
      <c r="I89" s="428">
        <f t="shared" si="41"/>
        <v>0.06937046636</v>
      </c>
      <c r="J89" s="429">
        <f t="shared" si="41"/>
        <v>0.06937046636</v>
      </c>
      <c r="K89" s="411">
        <f t="shared" si="41"/>
        <v>0.06937046636</v>
      </c>
      <c r="L89" s="428">
        <f t="shared" si="41"/>
        <v>0.06937046636</v>
      </c>
      <c r="M89" s="411">
        <f t="shared" si="41"/>
        <v>0.06937046636</v>
      </c>
      <c r="N89" s="411">
        <f t="shared" si="41"/>
        <v>0.06937046636</v>
      </c>
      <c r="O89" s="462">
        <f t="shared" si="41"/>
        <v>0.08488390211</v>
      </c>
      <c r="P89" s="380"/>
      <c r="Q89" s="380"/>
      <c r="R89" s="380"/>
      <c r="S89" s="380"/>
      <c r="T89" s="380"/>
      <c r="U89" s="380"/>
      <c r="V89" s="380"/>
      <c r="W89" s="380"/>
      <c r="X89" s="380"/>
      <c r="Y89" s="380"/>
      <c r="Z89" s="380"/>
      <c r="AA89" s="380"/>
    </row>
    <row r="90">
      <c r="A90" s="380"/>
      <c r="B90" s="380"/>
      <c r="C90" s="380"/>
      <c r="D90" s="380"/>
      <c r="E90" s="380"/>
      <c r="F90" s="415"/>
      <c r="G90" s="380"/>
      <c r="H90" s="380"/>
      <c r="I90" s="428"/>
      <c r="J90" s="429"/>
      <c r="K90" s="380"/>
      <c r="L90" s="415"/>
      <c r="M90" s="380"/>
      <c r="N90" s="380"/>
      <c r="O90" s="430"/>
      <c r="P90" s="380"/>
      <c r="Q90" s="380"/>
      <c r="R90" s="380"/>
      <c r="S90" s="380"/>
      <c r="T90" s="380"/>
      <c r="U90" s="380"/>
      <c r="V90" s="380"/>
      <c r="W90" s="380"/>
      <c r="X90" s="380"/>
      <c r="Y90" s="380"/>
      <c r="Z90" s="380"/>
      <c r="AA90" s="380"/>
    </row>
    <row r="91">
      <c r="A91" s="380"/>
      <c r="B91" s="380"/>
      <c r="C91" s="380"/>
      <c r="D91" s="380"/>
      <c r="E91" s="380"/>
      <c r="F91" s="415"/>
      <c r="G91" s="380"/>
      <c r="H91" s="380"/>
      <c r="I91" s="428"/>
      <c r="J91" s="429"/>
      <c r="K91" s="380"/>
      <c r="L91" s="415"/>
      <c r="M91" s="380"/>
      <c r="N91" s="380"/>
      <c r="O91" s="430"/>
      <c r="P91" s="380"/>
      <c r="Q91" s="380"/>
      <c r="R91" s="380"/>
      <c r="S91" s="380"/>
      <c r="T91" s="380"/>
      <c r="U91" s="380"/>
      <c r="V91" s="380"/>
      <c r="W91" s="380"/>
      <c r="X91" s="380"/>
      <c r="Y91" s="380"/>
      <c r="Z91" s="380"/>
      <c r="AA91" s="380"/>
    </row>
    <row r="92">
      <c r="A92" s="380"/>
      <c r="B92" s="380"/>
      <c r="C92" s="411"/>
      <c r="D92" s="380"/>
      <c r="E92" s="380"/>
      <c r="F92" s="415"/>
      <c r="G92" s="380"/>
      <c r="H92" s="380"/>
      <c r="I92" s="428"/>
      <c r="J92" s="429"/>
      <c r="K92" s="380"/>
      <c r="L92" s="415"/>
      <c r="M92" s="380"/>
      <c r="N92" s="380"/>
      <c r="O92" s="430"/>
      <c r="P92" s="380"/>
      <c r="Q92" s="380"/>
      <c r="R92" s="380"/>
      <c r="S92" s="380"/>
      <c r="T92" s="380"/>
      <c r="U92" s="380"/>
      <c r="V92" s="380"/>
      <c r="W92" s="380"/>
      <c r="X92" s="380"/>
      <c r="Y92" s="380"/>
      <c r="Z92" s="380"/>
      <c r="AA92" s="380"/>
    </row>
    <row r="93">
      <c r="A93" s="380"/>
      <c r="B93" s="380"/>
      <c r="C93" s="380"/>
      <c r="D93" s="380"/>
      <c r="E93" s="380"/>
      <c r="F93" s="415"/>
      <c r="G93" s="380"/>
      <c r="H93" s="380"/>
      <c r="I93" s="428"/>
      <c r="J93" s="429"/>
      <c r="K93" s="380"/>
      <c r="L93" s="415"/>
      <c r="M93" s="380"/>
      <c r="N93" s="380"/>
      <c r="O93" s="43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0"/>
    </row>
    <row r="94">
      <c r="A94" s="380"/>
      <c r="B94" s="380"/>
      <c r="C94" s="380"/>
      <c r="D94" s="380"/>
      <c r="E94" s="380"/>
      <c r="F94" s="415"/>
      <c r="G94" s="380"/>
      <c r="H94" s="380"/>
      <c r="I94" s="428"/>
      <c r="J94" s="429"/>
      <c r="K94" s="380"/>
      <c r="L94" s="415"/>
      <c r="M94" s="380"/>
      <c r="N94" s="380"/>
      <c r="O94" s="430"/>
      <c r="P94" s="380"/>
      <c r="Q94" s="380"/>
      <c r="R94" s="380"/>
      <c r="S94" s="380"/>
      <c r="T94" s="380"/>
      <c r="U94" s="380"/>
      <c r="V94" s="380"/>
      <c r="W94" s="380"/>
      <c r="X94" s="380"/>
      <c r="Y94" s="380"/>
      <c r="Z94" s="380"/>
      <c r="AA94" s="380"/>
    </row>
    <row r="95">
      <c r="A95" s="380"/>
      <c r="B95" s="380"/>
      <c r="C95" s="380"/>
      <c r="D95" s="380"/>
      <c r="E95" s="380"/>
      <c r="F95" s="415"/>
      <c r="G95" s="380"/>
      <c r="H95" s="380"/>
      <c r="I95" s="428"/>
      <c r="J95" s="429"/>
      <c r="K95" s="380"/>
      <c r="L95" s="415"/>
      <c r="M95" s="380"/>
      <c r="N95" s="380"/>
      <c r="O95" s="43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0"/>
    </row>
    <row r="96">
      <c r="A96" s="380"/>
      <c r="B96" s="380"/>
      <c r="C96" s="380"/>
      <c r="D96" s="380"/>
      <c r="E96" s="380"/>
      <c r="F96" s="415"/>
      <c r="G96" s="380"/>
      <c r="H96" s="380"/>
      <c r="I96" s="428"/>
      <c r="J96" s="429"/>
      <c r="K96" s="380"/>
      <c r="L96" s="415"/>
      <c r="M96" s="380"/>
      <c r="N96" s="380"/>
      <c r="O96" s="430"/>
      <c r="P96" s="380"/>
      <c r="Q96" s="380"/>
      <c r="R96" s="380"/>
      <c r="S96" s="380"/>
      <c r="T96" s="380"/>
      <c r="U96" s="380"/>
      <c r="V96" s="380"/>
      <c r="W96" s="380"/>
      <c r="X96" s="380"/>
      <c r="Y96" s="380"/>
      <c r="Z96" s="380"/>
      <c r="AA96" s="380"/>
    </row>
    <row r="97">
      <c r="A97" s="380"/>
      <c r="B97" s="380"/>
      <c r="C97" s="380"/>
      <c r="D97" s="380"/>
      <c r="E97" s="380"/>
      <c r="F97" s="415"/>
      <c r="G97" s="380"/>
      <c r="H97" s="380"/>
      <c r="I97" s="428"/>
      <c r="J97" s="429"/>
      <c r="K97" s="380"/>
      <c r="L97" s="415"/>
      <c r="M97" s="380"/>
      <c r="N97" s="380"/>
      <c r="O97" s="430"/>
      <c r="P97" s="380"/>
      <c r="Q97" s="380"/>
      <c r="R97" s="380"/>
      <c r="S97" s="380"/>
      <c r="T97" s="380"/>
      <c r="U97" s="380"/>
      <c r="V97" s="380"/>
      <c r="W97" s="380"/>
      <c r="X97" s="380"/>
      <c r="Y97" s="380"/>
      <c r="Z97" s="380"/>
      <c r="AA97" s="380"/>
    </row>
    <row r="98">
      <c r="A98" s="380"/>
      <c r="B98" s="380"/>
      <c r="C98" s="380"/>
      <c r="D98" s="380"/>
      <c r="E98" s="380"/>
      <c r="F98" s="415"/>
      <c r="G98" s="380"/>
      <c r="H98" s="380"/>
      <c r="I98" s="428"/>
      <c r="J98" s="429"/>
      <c r="K98" s="380"/>
      <c r="L98" s="415"/>
      <c r="M98" s="380"/>
      <c r="N98" s="380"/>
      <c r="O98" s="430"/>
      <c r="P98" s="380"/>
      <c r="Q98" s="380"/>
      <c r="R98" s="380"/>
      <c r="S98" s="380"/>
      <c r="T98" s="380"/>
      <c r="U98" s="380"/>
      <c r="V98" s="380"/>
      <c r="W98" s="380"/>
      <c r="X98" s="380"/>
      <c r="Y98" s="380"/>
      <c r="Z98" s="380"/>
      <c r="AA98" s="380"/>
    </row>
    <row r="99">
      <c r="A99" s="380"/>
      <c r="B99" s="380"/>
      <c r="C99" s="380"/>
      <c r="D99" s="380"/>
      <c r="E99" s="380"/>
      <c r="F99" s="415"/>
      <c r="G99" s="380"/>
      <c r="H99" s="380"/>
      <c r="I99" s="428"/>
      <c r="J99" s="429"/>
      <c r="K99" s="380"/>
      <c r="L99" s="415"/>
      <c r="M99" s="380"/>
      <c r="N99" s="380"/>
      <c r="O99" s="430"/>
      <c r="P99" s="380"/>
      <c r="Q99" s="380"/>
      <c r="R99" s="380"/>
      <c r="S99" s="380"/>
      <c r="T99" s="380"/>
      <c r="U99" s="380"/>
      <c r="V99" s="380"/>
      <c r="W99" s="380"/>
      <c r="X99" s="380"/>
      <c r="Y99" s="380"/>
      <c r="Z99" s="380"/>
      <c r="AA99" s="380"/>
    </row>
    <row r="100">
      <c r="A100" s="380"/>
      <c r="B100" s="380"/>
      <c r="C100" s="380"/>
      <c r="D100" s="380"/>
      <c r="E100" s="380"/>
      <c r="F100" s="415"/>
      <c r="G100" s="380"/>
      <c r="H100" s="380"/>
      <c r="I100" s="428"/>
      <c r="J100" s="429"/>
      <c r="K100" s="380"/>
      <c r="L100" s="415"/>
      <c r="M100" s="380"/>
      <c r="N100" s="380"/>
      <c r="O100" s="430"/>
      <c r="P100" s="380"/>
      <c r="Q100" s="380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</row>
    <row r="101">
      <c r="A101" s="380"/>
      <c r="B101" s="380"/>
      <c r="C101" s="380"/>
      <c r="D101" s="380"/>
      <c r="E101" s="380"/>
      <c r="F101" s="415"/>
      <c r="G101" s="380"/>
      <c r="H101" s="380"/>
      <c r="I101" s="428"/>
      <c r="J101" s="429"/>
      <c r="K101" s="380"/>
      <c r="L101" s="415"/>
      <c r="M101" s="380"/>
      <c r="N101" s="380"/>
      <c r="O101" s="430"/>
      <c r="P101" s="380"/>
      <c r="Q101" s="380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</row>
    <row r="102">
      <c r="A102" s="380"/>
      <c r="B102" s="380"/>
      <c r="C102" s="380"/>
      <c r="D102" s="380"/>
      <c r="E102" s="380"/>
      <c r="F102" s="415"/>
      <c r="G102" s="380"/>
      <c r="H102" s="380"/>
      <c r="I102" s="428"/>
      <c r="J102" s="429"/>
      <c r="K102" s="380"/>
      <c r="L102" s="415"/>
      <c r="M102" s="380"/>
      <c r="N102" s="380"/>
      <c r="O102" s="430"/>
      <c r="P102" s="380"/>
      <c r="Q102" s="380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</row>
    <row r="103">
      <c r="A103" s="380"/>
      <c r="B103" s="380"/>
      <c r="C103" s="380"/>
      <c r="D103" s="380"/>
      <c r="E103" s="380"/>
      <c r="F103" s="415"/>
      <c r="G103" s="380"/>
      <c r="H103" s="380"/>
      <c r="I103" s="428"/>
      <c r="J103" s="429"/>
      <c r="K103" s="380"/>
      <c r="L103" s="415"/>
      <c r="M103" s="380"/>
      <c r="N103" s="380"/>
      <c r="O103" s="430"/>
      <c r="P103" s="380"/>
      <c r="Q103" s="380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</row>
    <row r="104">
      <c r="A104" s="380"/>
      <c r="B104" s="380"/>
      <c r="C104" s="380"/>
      <c r="D104" s="380"/>
      <c r="E104" s="380"/>
      <c r="F104" s="415"/>
      <c r="G104" s="380"/>
      <c r="H104" s="380"/>
      <c r="I104" s="428"/>
      <c r="J104" s="429"/>
      <c r="K104" s="380"/>
      <c r="L104" s="415"/>
      <c r="M104" s="380"/>
      <c r="N104" s="380"/>
      <c r="O104" s="430"/>
      <c r="P104" s="380"/>
      <c r="Q104" s="380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</row>
    <row r="105">
      <c r="A105" s="380"/>
      <c r="B105" s="380"/>
      <c r="C105" s="380"/>
      <c r="D105" s="380"/>
      <c r="E105" s="380"/>
      <c r="F105" s="415"/>
      <c r="G105" s="380"/>
      <c r="H105" s="380"/>
      <c r="I105" s="428"/>
      <c r="J105" s="429"/>
      <c r="K105" s="380"/>
      <c r="L105" s="415"/>
      <c r="M105" s="380"/>
      <c r="N105" s="380"/>
      <c r="O105" s="430"/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</row>
    <row r="106">
      <c r="A106" s="380"/>
      <c r="B106" s="380"/>
      <c r="C106" s="380"/>
      <c r="D106" s="380"/>
      <c r="E106" s="380"/>
      <c r="F106" s="415"/>
      <c r="G106" s="380"/>
      <c r="H106" s="380"/>
      <c r="I106" s="428"/>
      <c r="J106" s="429"/>
      <c r="K106" s="380"/>
      <c r="L106" s="415"/>
      <c r="M106" s="380"/>
      <c r="N106" s="380"/>
      <c r="O106" s="430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</row>
    <row r="107">
      <c r="A107" s="380"/>
      <c r="B107" s="380"/>
      <c r="C107" s="380"/>
      <c r="D107" s="380"/>
      <c r="E107" s="380"/>
      <c r="F107" s="415"/>
      <c r="G107" s="380"/>
      <c r="H107" s="380"/>
      <c r="I107" s="428"/>
      <c r="J107" s="429"/>
      <c r="K107" s="380"/>
      <c r="L107" s="415"/>
      <c r="M107" s="380"/>
      <c r="N107" s="380"/>
      <c r="O107" s="430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</row>
    <row r="108">
      <c r="A108" s="380"/>
      <c r="B108" s="380"/>
      <c r="C108" s="380"/>
      <c r="D108" s="380"/>
      <c r="E108" s="380"/>
      <c r="F108" s="415"/>
      <c r="G108" s="380"/>
      <c r="H108" s="380"/>
      <c r="I108" s="428"/>
      <c r="J108" s="429"/>
      <c r="K108" s="380"/>
      <c r="L108" s="415"/>
      <c r="M108" s="380"/>
      <c r="N108" s="380"/>
      <c r="O108" s="430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</row>
    <row r="109">
      <c r="A109" s="380"/>
      <c r="B109" s="380"/>
      <c r="C109" s="380"/>
      <c r="D109" s="380"/>
      <c r="E109" s="380"/>
      <c r="F109" s="415"/>
      <c r="G109" s="380"/>
      <c r="H109" s="380"/>
      <c r="I109" s="428"/>
      <c r="J109" s="429"/>
      <c r="K109" s="380"/>
      <c r="L109" s="415"/>
      <c r="M109" s="380"/>
      <c r="N109" s="380"/>
      <c r="O109" s="430"/>
      <c r="P109" s="380"/>
      <c r="Q109" s="380"/>
      <c r="R109" s="380"/>
      <c r="S109" s="380"/>
      <c r="T109" s="380"/>
      <c r="U109" s="380"/>
      <c r="V109" s="380"/>
      <c r="W109" s="380"/>
      <c r="X109" s="380"/>
      <c r="Y109" s="380"/>
      <c r="Z109" s="380"/>
      <c r="AA109" s="380"/>
    </row>
    <row r="110">
      <c r="A110" s="380"/>
      <c r="B110" s="380"/>
      <c r="C110" s="380"/>
      <c r="D110" s="380"/>
      <c r="E110" s="380"/>
      <c r="F110" s="415"/>
      <c r="G110" s="380"/>
      <c r="H110" s="380"/>
      <c r="I110" s="428"/>
      <c r="J110" s="429"/>
      <c r="K110" s="380"/>
      <c r="L110" s="415"/>
      <c r="M110" s="380"/>
      <c r="N110" s="380"/>
      <c r="O110" s="430"/>
      <c r="P110" s="380"/>
      <c r="Q110" s="380"/>
      <c r="R110" s="380"/>
      <c r="S110" s="380"/>
      <c r="T110" s="380"/>
      <c r="U110" s="380"/>
      <c r="V110" s="380"/>
      <c r="W110" s="380"/>
      <c r="X110" s="380"/>
      <c r="Y110" s="380"/>
      <c r="Z110" s="380"/>
      <c r="AA110" s="380"/>
    </row>
    <row r="111">
      <c r="A111" s="380"/>
      <c r="B111" s="380"/>
      <c r="C111" s="380"/>
      <c r="D111" s="380"/>
      <c r="E111" s="380"/>
      <c r="F111" s="415"/>
      <c r="G111" s="380"/>
      <c r="H111" s="380"/>
      <c r="I111" s="428"/>
      <c r="J111" s="429"/>
      <c r="K111" s="380"/>
      <c r="L111" s="415"/>
      <c r="M111" s="380"/>
      <c r="N111" s="380"/>
      <c r="O111" s="430"/>
      <c r="P111" s="380"/>
      <c r="Q111" s="380"/>
      <c r="R111" s="380"/>
      <c r="S111" s="380"/>
      <c r="T111" s="380"/>
      <c r="U111" s="380"/>
      <c r="V111" s="380"/>
      <c r="W111" s="380"/>
      <c r="X111" s="380"/>
      <c r="Y111" s="380"/>
      <c r="Z111" s="380"/>
      <c r="AA111" s="380"/>
    </row>
    <row r="112">
      <c r="A112" s="380"/>
      <c r="B112" s="380"/>
      <c r="C112" s="380"/>
      <c r="D112" s="380"/>
      <c r="E112" s="380"/>
      <c r="F112" s="415"/>
      <c r="G112" s="380"/>
      <c r="H112" s="380"/>
      <c r="I112" s="428"/>
      <c r="J112" s="429"/>
      <c r="K112" s="380"/>
      <c r="L112" s="415"/>
      <c r="M112" s="380"/>
      <c r="N112" s="380"/>
      <c r="O112" s="430"/>
      <c r="P112" s="380"/>
      <c r="Q112" s="380"/>
      <c r="R112" s="380"/>
      <c r="S112" s="380"/>
      <c r="T112" s="380"/>
      <c r="U112" s="380"/>
      <c r="V112" s="380"/>
      <c r="W112" s="380"/>
      <c r="X112" s="380"/>
      <c r="Y112" s="380"/>
      <c r="Z112" s="380"/>
      <c r="AA112" s="380"/>
    </row>
    <row r="113">
      <c r="A113" s="380"/>
      <c r="B113" s="380"/>
      <c r="C113" s="380"/>
      <c r="D113" s="380"/>
      <c r="E113" s="380"/>
      <c r="F113" s="415"/>
      <c r="G113" s="380"/>
      <c r="H113" s="380"/>
      <c r="I113" s="428"/>
      <c r="J113" s="429"/>
      <c r="K113" s="380"/>
      <c r="L113" s="415"/>
      <c r="M113" s="380"/>
      <c r="N113" s="380"/>
      <c r="O113" s="430"/>
      <c r="P113" s="380"/>
      <c r="Q113" s="380"/>
      <c r="R113" s="380"/>
      <c r="S113" s="380"/>
      <c r="T113" s="380"/>
      <c r="U113" s="380"/>
      <c r="V113" s="380"/>
      <c r="W113" s="380"/>
      <c r="X113" s="380"/>
      <c r="Y113" s="380"/>
      <c r="Z113" s="380"/>
      <c r="AA113" s="380"/>
    </row>
    <row r="114">
      <c r="A114" s="380"/>
      <c r="B114" s="380"/>
      <c r="C114" s="380"/>
      <c r="D114" s="380"/>
      <c r="E114" s="380"/>
      <c r="F114" s="415"/>
      <c r="G114" s="380"/>
      <c r="H114" s="380"/>
      <c r="I114" s="428"/>
      <c r="J114" s="429"/>
      <c r="K114" s="380"/>
      <c r="L114" s="415"/>
      <c r="M114" s="380"/>
      <c r="N114" s="380"/>
      <c r="O114" s="430"/>
      <c r="P114" s="380"/>
      <c r="Q114" s="380"/>
      <c r="R114" s="380"/>
      <c r="S114" s="380"/>
      <c r="T114" s="380"/>
      <c r="U114" s="380"/>
      <c r="V114" s="380"/>
      <c r="W114" s="380"/>
      <c r="X114" s="380"/>
      <c r="Y114" s="380"/>
      <c r="Z114" s="380"/>
      <c r="AA114" s="380"/>
    </row>
    <row r="115">
      <c r="A115" s="380"/>
      <c r="B115" s="380"/>
      <c r="C115" s="380"/>
      <c r="D115" s="380"/>
      <c r="E115" s="380"/>
      <c r="F115" s="415"/>
      <c r="G115" s="380"/>
      <c r="H115" s="380"/>
      <c r="I115" s="428"/>
      <c r="J115" s="429"/>
      <c r="K115" s="380"/>
      <c r="L115" s="415"/>
      <c r="M115" s="380"/>
      <c r="N115" s="380"/>
      <c r="O115" s="430"/>
      <c r="P115" s="380"/>
      <c r="Q115" s="380"/>
      <c r="R115" s="380"/>
      <c r="S115" s="380"/>
      <c r="T115" s="380"/>
      <c r="U115" s="380"/>
      <c r="V115" s="380"/>
      <c r="W115" s="380"/>
      <c r="X115" s="380"/>
      <c r="Y115" s="380"/>
      <c r="Z115" s="380"/>
      <c r="AA115" s="380"/>
    </row>
    <row r="116">
      <c r="A116" s="380"/>
      <c r="B116" s="380"/>
      <c r="C116" s="380"/>
      <c r="D116" s="380"/>
      <c r="E116" s="380"/>
      <c r="F116" s="415"/>
      <c r="G116" s="380"/>
      <c r="H116" s="380"/>
      <c r="I116" s="428"/>
      <c r="J116" s="429"/>
      <c r="K116" s="380"/>
      <c r="L116" s="415"/>
      <c r="M116" s="380"/>
      <c r="N116" s="380"/>
      <c r="O116" s="430"/>
      <c r="P116" s="380"/>
      <c r="Q116" s="380"/>
      <c r="R116" s="380"/>
      <c r="S116" s="380"/>
      <c r="T116" s="380"/>
      <c r="U116" s="380"/>
      <c r="V116" s="380"/>
      <c r="W116" s="380"/>
      <c r="X116" s="380"/>
      <c r="Y116" s="380"/>
      <c r="Z116" s="380"/>
      <c r="AA116" s="380"/>
    </row>
    <row r="117">
      <c r="A117" s="380"/>
      <c r="B117" s="380"/>
      <c r="C117" s="380"/>
      <c r="D117" s="380"/>
      <c r="E117" s="380"/>
      <c r="F117" s="415"/>
      <c r="G117" s="380"/>
      <c r="H117" s="380"/>
      <c r="I117" s="428"/>
      <c r="J117" s="429"/>
      <c r="K117" s="380"/>
      <c r="L117" s="415"/>
      <c r="M117" s="380"/>
      <c r="N117" s="380"/>
      <c r="O117" s="430"/>
      <c r="P117" s="380"/>
      <c r="Q117" s="380"/>
      <c r="R117" s="380"/>
      <c r="S117" s="380"/>
      <c r="T117" s="380"/>
      <c r="U117" s="380"/>
      <c r="V117" s="380"/>
      <c r="W117" s="380"/>
      <c r="X117" s="380"/>
      <c r="Y117" s="380"/>
      <c r="Z117" s="380"/>
      <c r="AA117" s="380"/>
    </row>
    <row r="118">
      <c r="A118" s="380"/>
      <c r="B118" s="380"/>
      <c r="C118" s="380"/>
      <c r="D118" s="380"/>
      <c r="E118" s="380"/>
      <c r="F118" s="415"/>
      <c r="G118" s="380"/>
      <c r="H118" s="380"/>
      <c r="I118" s="428"/>
      <c r="J118" s="429"/>
      <c r="K118" s="380"/>
      <c r="L118" s="415"/>
      <c r="M118" s="380"/>
      <c r="N118" s="380"/>
      <c r="O118" s="430"/>
      <c r="P118" s="380"/>
      <c r="Q118" s="380"/>
      <c r="R118" s="380"/>
      <c r="S118" s="380"/>
      <c r="T118" s="380"/>
      <c r="U118" s="380"/>
      <c r="V118" s="380"/>
      <c r="W118" s="380"/>
      <c r="X118" s="380"/>
      <c r="Y118" s="380"/>
      <c r="Z118" s="380"/>
      <c r="AA118" s="380"/>
    </row>
    <row r="119">
      <c r="A119" s="380"/>
      <c r="B119" s="380"/>
      <c r="C119" s="380"/>
      <c r="D119" s="380"/>
      <c r="E119" s="380"/>
      <c r="F119" s="415"/>
      <c r="G119" s="380"/>
      <c r="H119" s="380"/>
      <c r="I119" s="428"/>
      <c r="J119" s="429"/>
      <c r="K119" s="380"/>
      <c r="L119" s="415"/>
      <c r="M119" s="380"/>
      <c r="N119" s="380"/>
      <c r="O119" s="430"/>
      <c r="P119" s="380"/>
      <c r="Q119" s="380"/>
      <c r="R119" s="380"/>
      <c r="S119" s="380"/>
      <c r="T119" s="380"/>
      <c r="U119" s="380"/>
      <c r="V119" s="380"/>
      <c r="W119" s="380"/>
      <c r="X119" s="380"/>
      <c r="Y119" s="380"/>
      <c r="Z119" s="380"/>
      <c r="AA119" s="380"/>
    </row>
    <row r="120">
      <c r="A120" s="380"/>
      <c r="B120" s="380"/>
      <c r="C120" s="380"/>
      <c r="D120" s="380"/>
      <c r="E120" s="380"/>
      <c r="F120" s="415"/>
      <c r="G120" s="380"/>
      <c r="H120" s="380"/>
      <c r="I120" s="428"/>
      <c r="J120" s="429"/>
      <c r="K120" s="380"/>
      <c r="L120" s="415"/>
      <c r="M120" s="380"/>
      <c r="N120" s="380"/>
      <c r="O120" s="430"/>
      <c r="P120" s="380"/>
      <c r="Q120" s="380"/>
      <c r="R120" s="380"/>
      <c r="S120" s="380"/>
      <c r="T120" s="380"/>
      <c r="U120" s="380"/>
      <c r="V120" s="380"/>
      <c r="W120" s="380"/>
      <c r="X120" s="380"/>
      <c r="Y120" s="380"/>
      <c r="Z120" s="380"/>
      <c r="AA120" s="380"/>
    </row>
    <row r="121">
      <c r="A121" s="380"/>
      <c r="B121" s="380"/>
      <c r="C121" s="380"/>
      <c r="D121" s="380"/>
      <c r="E121" s="380"/>
      <c r="F121" s="415"/>
      <c r="G121" s="380"/>
      <c r="H121" s="380"/>
      <c r="I121" s="428"/>
      <c r="J121" s="429"/>
      <c r="K121" s="380"/>
      <c r="L121" s="415"/>
      <c r="M121" s="380"/>
      <c r="N121" s="380"/>
      <c r="O121" s="430"/>
      <c r="P121" s="380"/>
      <c r="Q121" s="380"/>
      <c r="R121" s="380"/>
      <c r="S121" s="380"/>
      <c r="T121" s="380"/>
      <c r="U121" s="380"/>
      <c r="V121" s="380"/>
      <c r="W121" s="380"/>
      <c r="X121" s="380"/>
      <c r="Y121" s="380"/>
      <c r="Z121" s="380"/>
      <c r="AA121" s="380"/>
    </row>
    <row r="122">
      <c r="A122" s="380"/>
      <c r="B122" s="380"/>
      <c r="C122" s="380"/>
      <c r="D122" s="380"/>
      <c r="E122" s="380"/>
      <c r="F122" s="415"/>
      <c r="G122" s="380"/>
      <c r="H122" s="380"/>
      <c r="I122" s="428"/>
      <c r="J122" s="429"/>
      <c r="K122" s="380"/>
      <c r="L122" s="415"/>
      <c r="M122" s="380"/>
      <c r="N122" s="380"/>
      <c r="O122" s="430"/>
      <c r="P122" s="380"/>
      <c r="Q122" s="380"/>
      <c r="R122" s="380"/>
      <c r="S122" s="380"/>
      <c r="T122" s="380"/>
      <c r="U122" s="380"/>
      <c r="V122" s="380"/>
      <c r="W122" s="380"/>
      <c r="X122" s="380"/>
      <c r="Y122" s="380"/>
      <c r="Z122" s="380"/>
      <c r="AA122" s="380"/>
    </row>
    <row r="123">
      <c r="A123" s="380"/>
      <c r="B123" s="380"/>
      <c r="C123" s="380"/>
      <c r="D123" s="380"/>
      <c r="E123" s="380"/>
      <c r="F123" s="415"/>
      <c r="G123" s="380"/>
      <c r="H123" s="380"/>
      <c r="I123" s="428"/>
      <c r="J123" s="429"/>
      <c r="K123" s="380"/>
      <c r="L123" s="415"/>
      <c r="M123" s="380"/>
      <c r="N123" s="380"/>
      <c r="O123" s="430"/>
      <c r="P123" s="380"/>
      <c r="Q123" s="380"/>
      <c r="R123" s="380"/>
      <c r="S123" s="380"/>
      <c r="T123" s="380"/>
      <c r="U123" s="380"/>
      <c r="V123" s="380"/>
      <c r="W123" s="380"/>
      <c r="X123" s="380"/>
      <c r="Y123" s="380"/>
      <c r="Z123" s="380"/>
      <c r="AA123" s="380"/>
    </row>
    <row r="124">
      <c r="A124" s="380"/>
      <c r="B124" s="380"/>
      <c r="C124" s="380"/>
      <c r="D124" s="380"/>
      <c r="E124" s="380"/>
      <c r="F124" s="415"/>
      <c r="G124" s="380"/>
      <c r="H124" s="380"/>
      <c r="I124" s="428"/>
      <c r="J124" s="429"/>
      <c r="K124" s="380"/>
      <c r="L124" s="415"/>
      <c r="M124" s="380"/>
      <c r="N124" s="380"/>
      <c r="O124" s="430"/>
      <c r="P124" s="380"/>
      <c r="Q124" s="380"/>
      <c r="R124" s="380"/>
      <c r="S124" s="380"/>
      <c r="T124" s="380"/>
      <c r="U124" s="380"/>
      <c r="V124" s="380"/>
      <c r="W124" s="380"/>
      <c r="X124" s="380"/>
      <c r="Y124" s="380"/>
      <c r="Z124" s="380"/>
      <c r="AA124" s="380"/>
    </row>
    <row r="125">
      <c r="A125" s="380"/>
      <c r="B125" s="380"/>
      <c r="C125" s="380"/>
      <c r="D125" s="380"/>
      <c r="E125" s="380"/>
      <c r="F125" s="415"/>
      <c r="G125" s="380"/>
      <c r="H125" s="380"/>
      <c r="I125" s="428"/>
      <c r="J125" s="429"/>
      <c r="K125" s="380"/>
      <c r="L125" s="415"/>
      <c r="M125" s="380"/>
      <c r="N125" s="380"/>
      <c r="O125" s="430"/>
      <c r="P125" s="380"/>
      <c r="Q125" s="380"/>
      <c r="R125" s="380"/>
      <c r="S125" s="380"/>
      <c r="T125" s="380"/>
      <c r="U125" s="380"/>
      <c r="V125" s="380"/>
      <c r="W125" s="380"/>
      <c r="X125" s="380"/>
      <c r="Y125" s="380"/>
      <c r="Z125" s="380"/>
      <c r="AA125" s="380"/>
    </row>
    <row r="126">
      <c r="A126" s="380"/>
      <c r="B126" s="380"/>
      <c r="C126" s="380"/>
      <c r="D126" s="380"/>
      <c r="E126" s="380"/>
      <c r="F126" s="415"/>
      <c r="G126" s="380"/>
      <c r="H126" s="380"/>
      <c r="I126" s="428"/>
      <c r="J126" s="429"/>
      <c r="K126" s="380"/>
      <c r="L126" s="415"/>
      <c r="M126" s="380"/>
      <c r="N126" s="380"/>
      <c r="O126" s="430"/>
      <c r="P126" s="380"/>
      <c r="Q126" s="380"/>
      <c r="R126" s="380"/>
      <c r="S126" s="380"/>
      <c r="T126" s="380"/>
      <c r="U126" s="380"/>
      <c r="V126" s="380"/>
      <c r="W126" s="380"/>
      <c r="X126" s="380"/>
      <c r="Y126" s="380"/>
      <c r="Z126" s="380"/>
      <c r="AA126" s="380"/>
    </row>
    <row r="127">
      <c r="A127" s="380"/>
      <c r="B127" s="380"/>
      <c r="C127" s="380"/>
      <c r="D127" s="380"/>
      <c r="E127" s="380"/>
      <c r="F127" s="415"/>
      <c r="G127" s="380"/>
      <c r="H127" s="380"/>
      <c r="I127" s="428"/>
      <c r="J127" s="429"/>
      <c r="K127" s="380"/>
      <c r="L127" s="415"/>
      <c r="M127" s="380"/>
      <c r="N127" s="380"/>
      <c r="O127" s="430"/>
      <c r="P127" s="380"/>
      <c r="Q127" s="380"/>
      <c r="R127" s="380"/>
      <c r="S127" s="380"/>
      <c r="T127" s="380"/>
      <c r="U127" s="380"/>
      <c r="V127" s="380"/>
      <c r="W127" s="380"/>
      <c r="X127" s="380"/>
      <c r="Y127" s="380"/>
      <c r="Z127" s="380"/>
      <c r="AA127" s="380"/>
    </row>
    <row r="128">
      <c r="A128" s="380"/>
      <c r="B128" s="380"/>
      <c r="C128" s="380"/>
      <c r="D128" s="380"/>
      <c r="E128" s="380"/>
      <c r="F128" s="415"/>
      <c r="G128" s="380"/>
      <c r="H128" s="380"/>
      <c r="I128" s="428"/>
      <c r="J128" s="429"/>
      <c r="K128" s="380"/>
      <c r="L128" s="415"/>
      <c r="M128" s="380"/>
      <c r="N128" s="380"/>
      <c r="O128" s="430"/>
      <c r="P128" s="380"/>
      <c r="Q128" s="380"/>
      <c r="R128" s="380"/>
      <c r="S128" s="380"/>
      <c r="T128" s="380"/>
      <c r="U128" s="380"/>
      <c r="V128" s="380"/>
      <c r="W128" s="380"/>
      <c r="X128" s="380"/>
      <c r="Y128" s="380"/>
      <c r="Z128" s="380"/>
      <c r="AA128" s="380"/>
    </row>
    <row r="129">
      <c r="A129" s="380"/>
      <c r="B129" s="380"/>
      <c r="C129" s="380"/>
      <c r="D129" s="380"/>
      <c r="E129" s="380"/>
      <c r="F129" s="415"/>
      <c r="G129" s="380"/>
      <c r="H129" s="380"/>
      <c r="I129" s="428"/>
      <c r="J129" s="429"/>
      <c r="K129" s="380"/>
      <c r="L129" s="415"/>
      <c r="M129" s="380"/>
      <c r="N129" s="380"/>
      <c r="O129" s="430"/>
      <c r="P129" s="380"/>
      <c r="Q129" s="380"/>
      <c r="R129" s="380"/>
      <c r="S129" s="380"/>
      <c r="T129" s="380"/>
      <c r="U129" s="380"/>
      <c r="V129" s="380"/>
      <c r="W129" s="380"/>
      <c r="X129" s="380"/>
      <c r="Y129" s="380"/>
      <c r="Z129" s="380"/>
      <c r="AA129" s="380"/>
    </row>
    <row r="130">
      <c r="A130" s="380"/>
      <c r="B130" s="380"/>
      <c r="C130" s="380"/>
      <c r="D130" s="380"/>
      <c r="E130" s="380"/>
      <c r="F130" s="415"/>
      <c r="G130" s="380"/>
      <c r="H130" s="380"/>
      <c r="I130" s="428"/>
      <c r="J130" s="429"/>
      <c r="K130" s="380"/>
      <c r="L130" s="415"/>
      <c r="M130" s="380"/>
      <c r="N130" s="380"/>
      <c r="O130" s="430"/>
      <c r="P130" s="380"/>
      <c r="Q130" s="380"/>
      <c r="R130" s="380"/>
      <c r="S130" s="380"/>
      <c r="T130" s="380"/>
      <c r="U130" s="380"/>
      <c r="V130" s="380"/>
      <c r="W130" s="380"/>
      <c r="X130" s="380"/>
      <c r="Y130" s="380"/>
      <c r="Z130" s="380"/>
      <c r="AA130" s="380"/>
    </row>
    <row r="131">
      <c r="A131" s="380"/>
      <c r="B131" s="380"/>
      <c r="C131" s="380"/>
      <c r="D131" s="380"/>
      <c r="E131" s="380"/>
      <c r="F131" s="415"/>
      <c r="G131" s="380"/>
      <c r="H131" s="380"/>
      <c r="I131" s="428"/>
      <c r="J131" s="429"/>
      <c r="K131" s="380"/>
      <c r="L131" s="415"/>
      <c r="M131" s="380"/>
      <c r="N131" s="380"/>
      <c r="O131" s="430"/>
      <c r="P131" s="380"/>
      <c r="Q131" s="380"/>
      <c r="R131" s="380"/>
      <c r="S131" s="380"/>
      <c r="T131" s="380"/>
      <c r="U131" s="380"/>
      <c r="V131" s="380"/>
      <c r="W131" s="380"/>
      <c r="X131" s="380"/>
      <c r="Y131" s="380"/>
      <c r="Z131" s="380"/>
      <c r="AA131" s="380"/>
    </row>
    <row r="132">
      <c r="A132" s="380"/>
      <c r="B132" s="380"/>
      <c r="C132" s="380"/>
      <c r="D132" s="380"/>
      <c r="E132" s="380"/>
      <c r="F132" s="415"/>
      <c r="G132" s="380"/>
      <c r="H132" s="380"/>
      <c r="I132" s="428"/>
      <c r="J132" s="429"/>
      <c r="K132" s="380"/>
      <c r="L132" s="415"/>
      <c r="M132" s="380"/>
      <c r="N132" s="380"/>
      <c r="O132" s="430"/>
      <c r="P132" s="380"/>
      <c r="Q132" s="380"/>
      <c r="R132" s="380"/>
      <c r="S132" s="380"/>
      <c r="T132" s="380"/>
      <c r="U132" s="380"/>
      <c r="V132" s="380"/>
      <c r="W132" s="380"/>
      <c r="X132" s="380"/>
      <c r="Y132" s="380"/>
      <c r="Z132" s="380"/>
      <c r="AA132" s="380"/>
    </row>
    <row r="133">
      <c r="A133" s="380"/>
      <c r="B133" s="380"/>
      <c r="C133" s="380"/>
      <c r="D133" s="380"/>
      <c r="E133" s="380"/>
      <c r="F133" s="415"/>
      <c r="G133" s="380"/>
      <c r="H133" s="380"/>
      <c r="I133" s="428"/>
      <c r="J133" s="429"/>
      <c r="K133" s="380"/>
      <c r="L133" s="415"/>
      <c r="M133" s="380"/>
      <c r="N133" s="380"/>
      <c r="O133" s="430"/>
      <c r="P133" s="380"/>
      <c r="Q133" s="380"/>
      <c r="R133" s="380"/>
      <c r="S133" s="380"/>
      <c r="T133" s="380"/>
      <c r="U133" s="380"/>
      <c r="V133" s="380"/>
      <c r="W133" s="380"/>
      <c r="X133" s="380"/>
      <c r="Y133" s="380"/>
      <c r="Z133" s="380"/>
      <c r="AA133" s="380"/>
    </row>
    <row r="134">
      <c r="A134" s="380"/>
      <c r="B134" s="380"/>
      <c r="C134" s="380"/>
      <c r="D134" s="380"/>
      <c r="E134" s="380"/>
      <c r="F134" s="415"/>
      <c r="G134" s="380"/>
      <c r="H134" s="380"/>
      <c r="I134" s="428"/>
      <c r="J134" s="429"/>
      <c r="K134" s="380"/>
      <c r="L134" s="415"/>
      <c r="M134" s="380"/>
      <c r="N134" s="380"/>
      <c r="O134" s="430"/>
      <c r="P134" s="380"/>
      <c r="Q134" s="380"/>
      <c r="R134" s="380"/>
      <c r="S134" s="380"/>
      <c r="T134" s="380"/>
      <c r="U134" s="380"/>
      <c r="V134" s="380"/>
      <c r="W134" s="380"/>
      <c r="X134" s="380"/>
      <c r="Y134" s="380"/>
      <c r="Z134" s="380"/>
      <c r="AA134" s="380"/>
    </row>
    <row r="135">
      <c r="A135" s="380"/>
      <c r="B135" s="380"/>
      <c r="C135" s="380"/>
      <c r="D135" s="380"/>
      <c r="E135" s="380"/>
      <c r="F135" s="415"/>
      <c r="G135" s="380"/>
      <c r="H135" s="380"/>
      <c r="I135" s="428"/>
      <c r="J135" s="429"/>
      <c r="K135" s="380"/>
      <c r="L135" s="415"/>
      <c r="M135" s="380"/>
      <c r="N135" s="380"/>
      <c r="O135" s="430"/>
      <c r="P135" s="380"/>
      <c r="Q135" s="380"/>
      <c r="R135" s="380"/>
      <c r="S135" s="380"/>
      <c r="T135" s="380"/>
      <c r="U135" s="380"/>
      <c r="V135" s="380"/>
      <c r="W135" s="380"/>
      <c r="X135" s="380"/>
      <c r="Y135" s="380"/>
      <c r="Z135" s="380"/>
      <c r="AA135" s="380"/>
    </row>
    <row r="136">
      <c r="A136" s="380"/>
      <c r="B136" s="380"/>
      <c r="C136" s="380"/>
      <c r="D136" s="380"/>
      <c r="E136" s="380"/>
      <c r="F136" s="415"/>
      <c r="G136" s="380"/>
      <c r="H136" s="380"/>
      <c r="I136" s="428"/>
      <c r="J136" s="429"/>
      <c r="K136" s="380"/>
      <c r="L136" s="415"/>
      <c r="M136" s="380"/>
      <c r="N136" s="380"/>
      <c r="O136" s="430"/>
      <c r="P136" s="380"/>
      <c r="Q136" s="380"/>
      <c r="R136" s="380"/>
      <c r="S136" s="380"/>
      <c r="T136" s="380"/>
      <c r="U136" s="380"/>
      <c r="V136" s="380"/>
      <c r="W136" s="380"/>
      <c r="X136" s="380"/>
      <c r="Y136" s="380"/>
      <c r="Z136" s="380"/>
      <c r="AA136" s="380"/>
    </row>
    <row r="137">
      <c r="A137" s="380"/>
      <c r="B137" s="380"/>
      <c r="C137" s="380"/>
      <c r="D137" s="380"/>
      <c r="E137" s="380"/>
      <c r="F137" s="415"/>
      <c r="G137" s="380"/>
      <c r="H137" s="380"/>
      <c r="I137" s="428"/>
      <c r="J137" s="429"/>
      <c r="K137" s="380"/>
      <c r="L137" s="415"/>
      <c r="M137" s="380"/>
      <c r="N137" s="380"/>
      <c r="O137" s="430"/>
      <c r="P137" s="380"/>
      <c r="Q137" s="380"/>
      <c r="R137" s="380"/>
      <c r="S137" s="380"/>
      <c r="T137" s="380"/>
      <c r="U137" s="380"/>
      <c r="V137" s="380"/>
      <c r="W137" s="380"/>
      <c r="X137" s="380"/>
      <c r="Y137" s="380"/>
      <c r="Z137" s="380"/>
      <c r="AA137" s="380"/>
    </row>
    <row r="138">
      <c r="A138" s="380"/>
      <c r="B138" s="380"/>
      <c r="C138" s="380"/>
      <c r="D138" s="380"/>
      <c r="E138" s="380"/>
      <c r="F138" s="415"/>
      <c r="G138" s="380"/>
      <c r="H138" s="380"/>
      <c r="I138" s="428"/>
      <c r="J138" s="429"/>
      <c r="K138" s="380"/>
      <c r="L138" s="415"/>
      <c r="M138" s="380"/>
      <c r="N138" s="380"/>
      <c r="O138" s="430"/>
      <c r="P138" s="380"/>
      <c r="Q138" s="380"/>
      <c r="R138" s="380"/>
      <c r="S138" s="380"/>
      <c r="T138" s="380"/>
      <c r="U138" s="380"/>
      <c r="V138" s="380"/>
      <c r="W138" s="380"/>
      <c r="X138" s="380"/>
      <c r="Y138" s="380"/>
      <c r="Z138" s="380"/>
      <c r="AA138" s="380"/>
    </row>
    <row r="139">
      <c r="A139" s="380"/>
      <c r="B139" s="380"/>
      <c r="C139" s="380"/>
      <c r="D139" s="380"/>
      <c r="E139" s="380"/>
      <c r="F139" s="415"/>
      <c r="G139" s="380"/>
      <c r="H139" s="380"/>
      <c r="I139" s="428"/>
      <c r="J139" s="429"/>
      <c r="K139" s="380"/>
      <c r="L139" s="415"/>
      <c r="M139" s="380"/>
      <c r="N139" s="380"/>
      <c r="O139" s="430"/>
      <c r="P139" s="380"/>
      <c r="Q139" s="380"/>
      <c r="R139" s="380"/>
      <c r="S139" s="380"/>
      <c r="T139" s="380"/>
      <c r="U139" s="380"/>
      <c r="V139" s="380"/>
      <c r="W139" s="380"/>
      <c r="X139" s="380"/>
      <c r="Y139" s="380"/>
      <c r="Z139" s="380"/>
      <c r="AA139" s="380"/>
    </row>
    <row r="140">
      <c r="A140" s="380"/>
      <c r="B140" s="380"/>
      <c r="C140" s="380"/>
      <c r="D140" s="380"/>
      <c r="E140" s="380"/>
      <c r="F140" s="415"/>
      <c r="G140" s="380"/>
      <c r="H140" s="380"/>
      <c r="I140" s="428"/>
      <c r="J140" s="429"/>
      <c r="K140" s="380"/>
      <c r="L140" s="415"/>
      <c r="M140" s="380"/>
      <c r="N140" s="380"/>
      <c r="O140" s="430"/>
      <c r="P140" s="380"/>
      <c r="Q140" s="380"/>
      <c r="R140" s="380"/>
      <c r="S140" s="380"/>
      <c r="T140" s="380"/>
      <c r="U140" s="380"/>
      <c r="V140" s="380"/>
      <c r="W140" s="380"/>
      <c r="X140" s="380"/>
      <c r="Y140" s="380"/>
      <c r="Z140" s="380"/>
      <c r="AA140" s="380"/>
    </row>
    <row r="141">
      <c r="A141" s="380"/>
      <c r="B141" s="380"/>
      <c r="C141" s="380"/>
      <c r="D141" s="380"/>
      <c r="E141" s="380"/>
      <c r="F141" s="415"/>
      <c r="G141" s="380"/>
      <c r="H141" s="380"/>
      <c r="I141" s="428"/>
      <c r="J141" s="429"/>
      <c r="K141" s="380"/>
      <c r="L141" s="415"/>
      <c r="M141" s="380"/>
      <c r="N141" s="380"/>
      <c r="O141" s="430"/>
      <c r="P141" s="380"/>
      <c r="Q141" s="380"/>
      <c r="R141" s="380"/>
      <c r="S141" s="380"/>
      <c r="T141" s="380"/>
      <c r="U141" s="380"/>
      <c r="V141" s="380"/>
      <c r="W141" s="380"/>
      <c r="X141" s="380"/>
      <c r="Y141" s="380"/>
      <c r="Z141" s="380"/>
      <c r="AA141" s="380"/>
    </row>
    <row r="142">
      <c r="A142" s="380"/>
      <c r="B142" s="380"/>
      <c r="C142" s="380"/>
      <c r="D142" s="380"/>
      <c r="E142" s="380"/>
      <c r="F142" s="415"/>
      <c r="G142" s="380"/>
      <c r="H142" s="380"/>
      <c r="I142" s="428"/>
      <c r="J142" s="429"/>
      <c r="K142" s="380"/>
      <c r="L142" s="415"/>
      <c r="M142" s="380"/>
      <c r="N142" s="380"/>
      <c r="O142" s="430"/>
      <c r="P142" s="380"/>
      <c r="Q142" s="380"/>
      <c r="R142" s="380"/>
      <c r="S142" s="380"/>
      <c r="T142" s="380"/>
      <c r="U142" s="380"/>
      <c r="V142" s="380"/>
      <c r="W142" s="380"/>
      <c r="X142" s="380"/>
      <c r="Y142" s="380"/>
      <c r="Z142" s="380"/>
      <c r="AA142" s="380"/>
    </row>
    <row r="143">
      <c r="A143" s="380"/>
      <c r="B143" s="380"/>
      <c r="C143" s="380"/>
      <c r="D143" s="380"/>
      <c r="E143" s="380"/>
      <c r="F143" s="415"/>
      <c r="G143" s="380"/>
      <c r="H143" s="380"/>
      <c r="I143" s="428"/>
      <c r="J143" s="429"/>
      <c r="K143" s="380"/>
      <c r="L143" s="415"/>
      <c r="M143" s="380"/>
      <c r="N143" s="380"/>
      <c r="O143" s="430"/>
      <c r="P143" s="380"/>
      <c r="Q143" s="380"/>
      <c r="R143" s="380"/>
      <c r="S143" s="380"/>
      <c r="T143" s="380"/>
      <c r="U143" s="380"/>
      <c r="V143" s="380"/>
      <c r="W143" s="380"/>
      <c r="X143" s="380"/>
      <c r="Y143" s="380"/>
      <c r="Z143" s="380"/>
      <c r="AA143" s="380"/>
    </row>
    <row r="144">
      <c r="A144" s="380"/>
      <c r="B144" s="380"/>
      <c r="C144" s="380"/>
      <c r="D144" s="380"/>
      <c r="E144" s="380"/>
      <c r="F144" s="415"/>
      <c r="G144" s="380"/>
      <c r="H144" s="380"/>
      <c r="I144" s="428"/>
      <c r="J144" s="429"/>
      <c r="K144" s="380"/>
      <c r="L144" s="415"/>
      <c r="M144" s="380"/>
      <c r="N144" s="380"/>
      <c r="O144" s="430"/>
      <c r="P144" s="380"/>
      <c r="Q144" s="380"/>
      <c r="R144" s="380"/>
      <c r="S144" s="380"/>
      <c r="T144" s="380"/>
      <c r="U144" s="380"/>
      <c r="V144" s="380"/>
      <c r="W144" s="380"/>
      <c r="X144" s="380"/>
      <c r="Y144" s="380"/>
      <c r="Z144" s="380"/>
      <c r="AA144" s="380"/>
    </row>
    <row r="145">
      <c r="A145" s="380"/>
      <c r="B145" s="380"/>
      <c r="C145" s="380"/>
      <c r="D145" s="380"/>
      <c r="E145" s="380"/>
      <c r="F145" s="415"/>
      <c r="G145" s="380"/>
      <c r="H145" s="380"/>
      <c r="I145" s="428"/>
      <c r="J145" s="429"/>
      <c r="K145" s="380"/>
      <c r="L145" s="415"/>
      <c r="M145" s="380"/>
      <c r="N145" s="380"/>
      <c r="O145" s="430"/>
      <c r="P145" s="380"/>
      <c r="Q145" s="380"/>
      <c r="R145" s="380"/>
      <c r="S145" s="380"/>
      <c r="T145" s="380"/>
      <c r="U145" s="380"/>
      <c r="V145" s="380"/>
      <c r="W145" s="380"/>
      <c r="X145" s="380"/>
      <c r="Y145" s="380"/>
      <c r="Z145" s="380"/>
      <c r="AA145" s="380"/>
    </row>
    <row r="146">
      <c r="A146" s="380"/>
      <c r="B146" s="380"/>
      <c r="C146" s="380"/>
      <c r="D146" s="380"/>
      <c r="E146" s="380"/>
      <c r="F146" s="415"/>
      <c r="G146" s="380"/>
      <c r="H146" s="380"/>
      <c r="I146" s="428"/>
      <c r="J146" s="429"/>
      <c r="K146" s="380"/>
      <c r="L146" s="415"/>
      <c r="M146" s="380"/>
      <c r="N146" s="380"/>
      <c r="O146" s="430"/>
      <c r="P146" s="380"/>
      <c r="Q146" s="380"/>
      <c r="R146" s="380"/>
      <c r="S146" s="380"/>
      <c r="T146" s="380"/>
      <c r="U146" s="380"/>
      <c r="V146" s="380"/>
      <c r="W146" s="380"/>
      <c r="X146" s="380"/>
      <c r="Y146" s="380"/>
      <c r="Z146" s="380"/>
      <c r="AA146" s="380"/>
    </row>
    <row r="147">
      <c r="A147" s="380"/>
      <c r="B147" s="380"/>
      <c r="C147" s="380"/>
      <c r="D147" s="380"/>
      <c r="E147" s="380"/>
      <c r="F147" s="415"/>
      <c r="G147" s="380"/>
      <c r="H147" s="380"/>
      <c r="I147" s="428"/>
      <c r="J147" s="429"/>
      <c r="K147" s="380"/>
      <c r="L147" s="415"/>
      <c r="M147" s="380"/>
      <c r="N147" s="380"/>
      <c r="O147" s="430"/>
      <c r="P147" s="380"/>
      <c r="Q147" s="380"/>
      <c r="R147" s="380"/>
      <c r="S147" s="380"/>
      <c r="T147" s="380"/>
      <c r="U147" s="380"/>
      <c r="V147" s="380"/>
      <c r="W147" s="380"/>
      <c r="X147" s="380"/>
      <c r="Y147" s="380"/>
      <c r="Z147" s="380"/>
      <c r="AA147" s="380"/>
    </row>
    <row r="148">
      <c r="A148" s="380"/>
      <c r="B148" s="380"/>
      <c r="C148" s="380"/>
      <c r="D148" s="380"/>
      <c r="E148" s="380"/>
      <c r="F148" s="415"/>
      <c r="G148" s="380"/>
      <c r="H148" s="380"/>
      <c r="I148" s="428"/>
      <c r="J148" s="429"/>
      <c r="K148" s="380"/>
      <c r="L148" s="415"/>
      <c r="M148" s="380"/>
      <c r="N148" s="380"/>
      <c r="O148" s="430"/>
      <c r="P148" s="380"/>
      <c r="Q148" s="380"/>
      <c r="R148" s="380"/>
      <c r="S148" s="380"/>
      <c r="T148" s="380"/>
      <c r="U148" s="380"/>
      <c r="V148" s="380"/>
      <c r="W148" s="380"/>
      <c r="X148" s="380"/>
      <c r="Y148" s="380"/>
      <c r="Z148" s="380"/>
      <c r="AA148" s="380"/>
    </row>
    <row r="149">
      <c r="A149" s="380"/>
      <c r="B149" s="380"/>
      <c r="C149" s="380"/>
      <c r="D149" s="380"/>
      <c r="E149" s="380"/>
      <c r="F149" s="415"/>
      <c r="G149" s="380"/>
      <c r="H149" s="380"/>
      <c r="I149" s="428"/>
      <c r="J149" s="429"/>
      <c r="K149" s="380"/>
      <c r="L149" s="415"/>
      <c r="M149" s="380"/>
      <c r="N149" s="380"/>
      <c r="O149" s="430"/>
      <c r="P149" s="380"/>
      <c r="Q149" s="380"/>
      <c r="R149" s="380"/>
      <c r="S149" s="380"/>
      <c r="T149" s="380"/>
      <c r="U149" s="380"/>
      <c r="V149" s="380"/>
      <c r="W149" s="380"/>
      <c r="X149" s="380"/>
      <c r="Y149" s="380"/>
      <c r="Z149" s="380"/>
      <c r="AA149" s="380"/>
    </row>
    <row r="150">
      <c r="A150" s="380"/>
      <c r="B150" s="380"/>
      <c r="C150" s="380"/>
      <c r="D150" s="380"/>
      <c r="E150" s="380"/>
      <c r="F150" s="415"/>
      <c r="G150" s="380"/>
      <c r="H150" s="380"/>
      <c r="I150" s="428"/>
      <c r="J150" s="429"/>
      <c r="K150" s="380"/>
      <c r="L150" s="415"/>
      <c r="M150" s="380"/>
      <c r="N150" s="380"/>
      <c r="O150" s="430"/>
      <c r="P150" s="380"/>
      <c r="Q150" s="380"/>
      <c r="R150" s="380"/>
      <c r="S150" s="380"/>
      <c r="T150" s="380"/>
      <c r="U150" s="380"/>
      <c r="V150" s="380"/>
      <c r="W150" s="380"/>
      <c r="X150" s="380"/>
      <c r="Y150" s="380"/>
      <c r="Z150" s="380"/>
      <c r="AA150" s="380"/>
    </row>
    <row r="151">
      <c r="A151" s="380"/>
      <c r="B151" s="380"/>
      <c r="C151" s="380"/>
      <c r="D151" s="380"/>
      <c r="E151" s="380"/>
      <c r="F151" s="415"/>
      <c r="G151" s="380"/>
      <c r="H151" s="380"/>
      <c r="I151" s="428"/>
      <c r="J151" s="429"/>
      <c r="K151" s="380"/>
      <c r="L151" s="415"/>
      <c r="M151" s="380"/>
      <c r="N151" s="380"/>
      <c r="O151" s="430"/>
      <c r="P151" s="380"/>
      <c r="Q151" s="380"/>
      <c r="R151" s="380"/>
      <c r="S151" s="380"/>
      <c r="T151" s="380"/>
      <c r="U151" s="380"/>
      <c r="V151" s="380"/>
      <c r="W151" s="380"/>
      <c r="X151" s="380"/>
      <c r="Y151" s="380"/>
      <c r="Z151" s="380"/>
      <c r="AA151" s="380"/>
    </row>
    <row r="152">
      <c r="A152" s="380"/>
      <c r="B152" s="380"/>
      <c r="C152" s="380"/>
      <c r="D152" s="380"/>
      <c r="E152" s="380"/>
      <c r="F152" s="415"/>
      <c r="G152" s="380"/>
      <c r="H152" s="380"/>
      <c r="I152" s="428"/>
      <c r="J152" s="429"/>
      <c r="K152" s="380"/>
      <c r="L152" s="415"/>
      <c r="M152" s="380"/>
      <c r="N152" s="380"/>
      <c r="O152" s="430"/>
      <c r="P152" s="380"/>
      <c r="Q152" s="380"/>
      <c r="R152" s="380"/>
      <c r="S152" s="380"/>
      <c r="T152" s="380"/>
      <c r="U152" s="380"/>
      <c r="V152" s="380"/>
      <c r="W152" s="380"/>
      <c r="X152" s="380"/>
      <c r="Y152" s="380"/>
      <c r="Z152" s="380"/>
      <c r="AA152" s="380"/>
    </row>
    <row r="153">
      <c r="A153" s="380"/>
      <c r="B153" s="380"/>
      <c r="C153" s="380"/>
      <c r="D153" s="380"/>
      <c r="E153" s="380"/>
      <c r="F153" s="415"/>
      <c r="G153" s="380"/>
      <c r="H153" s="380"/>
      <c r="I153" s="428"/>
      <c r="J153" s="429"/>
      <c r="K153" s="380"/>
      <c r="L153" s="415"/>
      <c r="M153" s="380"/>
      <c r="N153" s="380"/>
      <c r="O153" s="430"/>
      <c r="P153" s="380"/>
      <c r="Q153" s="380"/>
      <c r="R153" s="380"/>
      <c r="S153" s="380"/>
      <c r="T153" s="380"/>
      <c r="U153" s="380"/>
      <c r="V153" s="380"/>
      <c r="W153" s="380"/>
      <c r="X153" s="380"/>
      <c r="Y153" s="380"/>
      <c r="Z153" s="380"/>
      <c r="AA153" s="380"/>
    </row>
    <row r="154">
      <c r="A154" s="380"/>
      <c r="B154" s="380"/>
      <c r="C154" s="380"/>
      <c r="D154" s="380"/>
      <c r="E154" s="380"/>
      <c r="F154" s="415"/>
      <c r="G154" s="380"/>
      <c r="H154" s="380"/>
      <c r="I154" s="428"/>
      <c r="J154" s="429"/>
      <c r="K154" s="380"/>
      <c r="L154" s="415"/>
      <c r="M154" s="380"/>
      <c r="N154" s="380"/>
      <c r="O154" s="430"/>
      <c r="P154" s="380"/>
      <c r="Q154" s="380"/>
      <c r="R154" s="380"/>
      <c r="S154" s="380"/>
      <c r="T154" s="380"/>
      <c r="U154" s="380"/>
      <c r="V154" s="380"/>
      <c r="W154" s="380"/>
      <c r="X154" s="380"/>
      <c r="Y154" s="380"/>
      <c r="Z154" s="380"/>
      <c r="AA154" s="380"/>
    </row>
    <row r="155">
      <c r="A155" s="380"/>
      <c r="B155" s="380"/>
      <c r="C155" s="380"/>
      <c r="D155" s="380"/>
      <c r="E155" s="380"/>
      <c r="F155" s="415"/>
      <c r="G155" s="380"/>
      <c r="H155" s="380"/>
      <c r="I155" s="428"/>
      <c r="J155" s="429"/>
      <c r="K155" s="380"/>
      <c r="L155" s="415"/>
      <c r="M155" s="380"/>
      <c r="N155" s="380"/>
      <c r="O155" s="430"/>
      <c r="P155" s="380"/>
      <c r="Q155" s="380"/>
      <c r="R155" s="380"/>
      <c r="S155" s="380"/>
      <c r="T155" s="380"/>
      <c r="U155" s="380"/>
      <c r="V155" s="380"/>
      <c r="W155" s="380"/>
      <c r="X155" s="380"/>
      <c r="Y155" s="380"/>
      <c r="Z155" s="380"/>
      <c r="AA155" s="380"/>
    </row>
    <row r="156">
      <c r="A156" s="380"/>
      <c r="B156" s="380"/>
      <c r="C156" s="380"/>
      <c r="D156" s="380"/>
      <c r="E156" s="380"/>
      <c r="F156" s="415"/>
      <c r="G156" s="380"/>
      <c r="H156" s="380"/>
      <c r="I156" s="428"/>
      <c r="J156" s="429"/>
      <c r="K156" s="380"/>
      <c r="L156" s="415"/>
      <c r="M156" s="380"/>
      <c r="N156" s="380"/>
      <c r="O156" s="430"/>
      <c r="P156" s="380"/>
      <c r="Q156" s="380"/>
      <c r="R156" s="380"/>
      <c r="S156" s="380"/>
      <c r="T156" s="380"/>
      <c r="U156" s="380"/>
      <c r="V156" s="380"/>
      <c r="W156" s="380"/>
      <c r="X156" s="380"/>
      <c r="Y156" s="380"/>
      <c r="Z156" s="380"/>
      <c r="AA156" s="380"/>
    </row>
    <row r="157">
      <c r="A157" s="380"/>
      <c r="B157" s="380"/>
      <c r="C157" s="380"/>
      <c r="D157" s="380"/>
      <c r="E157" s="380"/>
      <c r="F157" s="415"/>
      <c r="G157" s="380"/>
      <c r="H157" s="380"/>
      <c r="I157" s="428"/>
      <c r="J157" s="429"/>
      <c r="K157" s="380"/>
      <c r="L157" s="415"/>
      <c r="M157" s="380"/>
      <c r="N157" s="380"/>
      <c r="O157" s="430"/>
      <c r="P157" s="380"/>
      <c r="Q157" s="380"/>
      <c r="R157" s="380"/>
      <c r="S157" s="380"/>
      <c r="T157" s="380"/>
      <c r="U157" s="380"/>
      <c r="V157" s="380"/>
      <c r="W157" s="380"/>
      <c r="X157" s="380"/>
      <c r="Y157" s="380"/>
      <c r="Z157" s="380"/>
      <c r="AA157" s="380"/>
    </row>
    <row r="158">
      <c r="A158" s="380"/>
      <c r="B158" s="380"/>
      <c r="C158" s="380"/>
      <c r="D158" s="380"/>
      <c r="E158" s="380"/>
      <c r="F158" s="415"/>
      <c r="G158" s="380"/>
      <c r="H158" s="380"/>
      <c r="I158" s="428"/>
      <c r="J158" s="429"/>
      <c r="K158" s="380"/>
      <c r="L158" s="415"/>
      <c r="M158" s="380"/>
      <c r="N158" s="380"/>
      <c r="O158" s="430"/>
      <c r="P158" s="380"/>
      <c r="Q158" s="380"/>
      <c r="R158" s="380"/>
      <c r="S158" s="380"/>
      <c r="T158" s="380"/>
      <c r="U158" s="380"/>
      <c r="V158" s="380"/>
      <c r="W158" s="380"/>
      <c r="X158" s="380"/>
      <c r="Y158" s="380"/>
      <c r="Z158" s="380"/>
      <c r="AA158" s="380"/>
    </row>
    <row r="159">
      <c r="A159" s="380"/>
      <c r="B159" s="380"/>
      <c r="C159" s="380"/>
      <c r="D159" s="380"/>
      <c r="E159" s="380"/>
      <c r="F159" s="415"/>
      <c r="G159" s="380"/>
      <c r="H159" s="380"/>
      <c r="I159" s="428"/>
      <c r="J159" s="429"/>
      <c r="K159" s="380"/>
      <c r="L159" s="415"/>
      <c r="M159" s="380"/>
      <c r="N159" s="380"/>
      <c r="O159" s="430"/>
      <c r="P159" s="380"/>
      <c r="Q159" s="380"/>
      <c r="R159" s="380"/>
      <c r="S159" s="380"/>
      <c r="T159" s="380"/>
      <c r="U159" s="380"/>
      <c r="V159" s="380"/>
      <c r="W159" s="380"/>
      <c r="X159" s="380"/>
      <c r="Y159" s="380"/>
      <c r="Z159" s="380"/>
      <c r="AA159" s="380"/>
    </row>
    <row r="160">
      <c r="A160" s="380"/>
      <c r="B160" s="380"/>
      <c r="C160" s="380"/>
      <c r="D160" s="380"/>
      <c r="E160" s="380"/>
      <c r="F160" s="415"/>
      <c r="G160" s="380"/>
      <c r="H160" s="380"/>
      <c r="I160" s="428"/>
      <c r="J160" s="429"/>
      <c r="K160" s="380"/>
      <c r="L160" s="415"/>
      <c r="M160" s="380"/>
      <c r="N160" s="380"/>
      <c r="O160" s="430"/>
      <c r="P160" s="380"/>
      <c r="Q160" s="380"/>
      <c r="R160" s="380"/>
      <c r="S160" s="380"/>
      <c r="T160" s="380"/>
      <c r="U160" s="380"/>
      <c r="V160" s="380"/>
      <c r="W160" s="380"/>
      <c r="X160" s="380"/>
      <c r="Y160" s="380"/>
      <c r="Z160" s="380"/>
      <c r="AA160" s="380"/>
    </row>
    <row r="161">
      <c r="A161" s="380"/>
      <c r="B161" s="380"/>
      <c r="C161" s="380"/>
      <c r="D161" s="380"/>
      <c r="E161" s="380"/>
      <c r="F161" s="415"/>
      <c r="G161" s="380"/>
      <c r="H161" s="380"/>
      <c r="I161" s="428"/>
      <c r="J161" s="429"/>
      <c r="K161" s="380"/>
      <c r="L161" s="415"/>
      <c r="M161" s="380"/>
      <c r="N161" s="380"/>
      <c r="O161" s="430"/>
      <c r="P161" s="380"/>
      <c r="Q161" s="380"/>
      <c r="R161" s="380"/>
      <c r="S161" s="380"/>
      <c r="T161" s="380"/>
      <c r="U161" s="380"/>
      <c r="V161" s="380"/>
      <c r="W161" s="380"/>
      <c r="X161" s="380"/>
      <c r="Y161" s="380"/>
      <c r="Z161" s="380"/>
      <c r="AA161" s="380"/>
    </row>
    <row r="162">
      <c r="A162" s="380"/>
      <c r="B162" s="380"/>
      <c r="C162" s="380"/>
      <c r="D162" s="380"/>
      <c r="E162" s="380"/>
      <c r="F162" s="415"/>
      <c r="G162" s="380"/>
      <c r="H162" s="380"/>
      <c r="I162" s="428"/>
      <c r="J162" s="429"/>
      <c r="K162" s="380"/>
      <c r="L162" s="415"/>
      <c r="M162" s="380"/>
      <c r="N162" s="380"/>
      <c r="O162" s="430"/>
      <c r="P162" s="380"/>
      <c r="Q162" s="380"/>
      <c r="R162" s="380"/>
      <c r="S162" s="380"/>
      <c r="T162" s="380"/>
      <c r="U162" s="380"/>
      <c r="V162" s="380"/>
      <c r="W162" s="380"/>
      <c r="X162" s="380"/>
      <c r="Y162" s="380"/>
      <c r="Z162" s="380"/>
      <c r="AA162" s="380"/>
    </row>
    <row r="163">
      <c r="A163" s="380"/>
      <c r="B163" s="380"/>
      <c r="C163" s="380"/>
      <c r="D163" s="380"/>
      <c r="E163" s="380"/>
      <c r="F163" s="415"/>
      <c r="G163" s="380"/>
      <c r="H163" s="380"/>
      <c r="I163" s="428"/>
      <c r="J163" s="429"/>
      <c r="K163" s="380"/>
      <c r="L163" s="415"/>
      <c r="M163" s="380"/>
      <c r="N163" s="380"/>
      <c r="O163" s="430"/>
      <c r="P163" s="380"/>
      <c r="Q163" s="380"/>
      <c r="R163" s="380"/>
      <c r="S163" s="380"/>
      <c r="T163" s="380"/>
      <c r="U163" s="380"/>
      <c r="V163" s="380"/>
      <c r="W163" s="380"/>
      <c r="X163" s="380"/>
      <c r="Y163" s="380"/>
      <c r="Z163" s="380"/>
      <c r="AA163" s="380"/>
    </row>
    <row r="164">
      <c r="A164" s="380"/>
      <c r="B164" s="380"/>
      <c r="C164" s="380"/>
      <c r="D164" s="380"/>
      <c r="E164" s="380"/>
      <c r="F164" s="415"/>
      <c r="G164" s="380"/>
      <c r="H164" s="380"/>
      <c r="I164" s="428"/>
      <c r="J164" s="429"/>
      <c r="K164" s="380"/>
      <c r="L164" s="415"/>
      <c r="M164" s="380"/>
      <c r="N164" s="380"/>
      <c r="O164" s="430"/>
      <c r="P164" s="380"/>
      <c r="Q164" s="380"/>
      <c r="R164" s="380"/>
      <c r="S164" s="380"/>
      <c r="T164" s="380"/>
      <c r="U164" s="380"/>
      <c r="V164" s="380"/>
      <c r="W164" s="380"/>
      <c r="X164" s="380"/>
      <c r="Y164" s="380"/>
      <c r="Z164" s="380"/>
      <c r="AA164" s="380"/>
    </row>
    <row r="165">
      <c r="A165" s="380"/>
      <c r="B165" s="380"/>
      <c r="C165" s="380"/>
      <c r="D165" s="380"/>
      <c r="E165" s="380"/>
      <c r="F165" s="415"/>
      <c r="G165" s="380"/>
      <c r="H165" s="380"/>
      <c r="I165" s="428"/>
      <c r="J165" s="429"/>
      <c r="K165" s="380"/>
      <c r="L165" s="415"/>
      <c r="M165" s="380"/>
      <c r="N165" s="380"/>
      <c r="O165" s="430"/>
      <c r="P165" s="380"/>
      <c r="Q165" s="380"/>
      <c r="R165" s="380"/>
      <c r="S165" s="380"/>
      <c r="T165" s="380"/>
      <c r="U165" s="380"/>
      <c r="V165" s="380"/>
      <c r="W165" s="380"/>
      <c r="X165" s="380"/>
      <c r="Y165" s="380"/>
      <c r="Z165" s="380"/>
      <c r="AA165" s="380"/>
    </row>
    <row r="166">
      <c r="A166" s="380"/>
      <c r="B166" s="380"/>
      <c r="C166" s="380"/>
      <c r="D166" s="380"/>
      <c r="E166" s="380"/>
      <c r="F166" s="415"/>
      <c r="G166" s="380"/>
      <c r="H166" s="380"/>
      <c r="I166" s="428"/>
      <c r="J166" s="429"/>
      <c r="K166" s="380"/>
      <c r="L166" s="415"/>
      <c r="M166" s="380"/>
      <c r="N166" s="380"/>
      <c r="O166" s="430"/>
      <c r="P166" s="380"/>
      <c r="Q166" s="380"/>
      <c r="R166" s="380"/>
      <c r="S166" s="380"/>
      <c r="T166" s="380"/>
      <c r="U166" s="380"/>
      <c r="V166" s="380"/>
      <c r="W166" s="380"/>
      <c r="X166" s="380"/>
      <c r="Y166" s="380"/>
      <c r="Z166" s="380"/>
      <c r="AA166" s="380"/>
    </row>
    <row r="167">
      <c r="A167" s="380"/>
      <c r="B167" s="380"/>
      <c r="C167" s="380"/>
      <c r="D167" s="380"/>
      <c r="E167" s="380"/>
      <c r="F167" s="415"/>
      <c r="G167" s="380"/>
      <c r="H167" s="380"/>
      <c r="I167" s="428"/>
      <c r="J167" s="429"/>
      <c r="K167" s="380"/>
      <c r="L167" s="415"/>
      <c r="M167" s="380"/>
      <c r="N167" s="380"/>
      <c r="O167" s="430"/>
      <c r="P167" s="380"/>
      <c r="Q167" s="380"/>
      <c r="R167" s="380"/>
      <c r="S167" s="380"/>
      <c r="T167" s="380"/>
      <c r="U167" s="380"/>
      <c r="V167" s="380"/>
      <c r="W167" s="380"/>
      <c r="X167" s="380"/>
      <c r="Y167" s="380"/>
      <c r="Z167" s="380"/>
      <c r="AA167" s="380"/>
    </row>
    <row r="168">
      <c r="A168" s="380"/>
      <c r="B168" s="380"/>
      <c r="C168" s="380"/>
      <c r="D168" s="380"/>
      <c r="E168" s="380"/>
      <c r="F168" s="415"/>
      <c r="G168" s="380"/>
      <c r="H168" s="380"/>
      <c r="I168" s="428"/>
      <c r="J168" s="429"/>
      <c r="K168" s="380"/>
      <c r="L168" s="415"/>
      <c r="M168" s="380"/>
      <c r="N168" s="380"/>
      <c r="O168" s="430"/>
      <c r="P168" s="380"/>
      <c r="Q168" s="380"/>
      <c r="R168" s="380"/>
      <c r="S168" s="380"/>
      <c r="T168" s="380"/>
      <c r="U168" s="380"/>
      <c r="V168" s="380"/>
      <c r="W168" s="380"/>
      <c r="X168" s="380"/>
      <c r="Y168" s="380"/>
      <c r="Z168" s="380"/>
      <c r="AA168" s="380"/>
    </row>
    <row r="169">
      <c r="A169" s="380"/>
      <c r="B169" s="380"/>
      <c r="C169" s="380"/>
      <c r="D169" s="380"/>
      <c r="E169" s="380"/>
      <c r="F169" s="415"/>
      <c r="G169" s="380"/>
      <c r="H169" s="380"/>
      <c r="I169" s="428"/>
      <c r="J169" s="429"/>
      <c r="K169" s="380"/>
      <c r="L169" s="415"/>
      <c r="M169" s="380"/>
      <c r="N169" s="380"/>
      <c r="O169" s="430"/>
      <c r="P169" s="380"/>
      <c r="Q169" s="380"/>
      <c r="R169" s="380"/>
      <c r="S169" s="380"/>
      <c r="T169" s="380"/>
      <c r="U169" s="380"/>
      <c r="V169" s="380"/>
      <c r="W169" s="380"/>
      <c r="X169" s="380"/>
      <c r="Y169" s="380"/>
      <c r="Z169" s="380"/>
      <c r="AA169" s="380"/>
    </row>
    <row r="170">
      <c r="A170" s="380"/>
      <c r="B170" s="380"/>
      <c r="C170" s="380"/>
      <c r="D170" s="380"/>
      <c r="E170" s="380"/>
      <c r="F170" s="415"/>
      <c r="G170" s="380"/>
      <c r="H170" s="380"/>
      <c r="I170" s="428"/>
      <c r="J170" s="429"/>
      <c r="K170" s="380"/>
      <c r="L170" s="415"/>
      <c r="M170" s="380"/>
      <c r="N170" s="380"/>
      <c r="O170" s="430"/>
      <c r="P170" s="380"/>
      <c r="Q170" s="380"/>
      <c r="R170" s="380"/>
      <c r="S170" s="380"/>
      <c r="T170" s="380"/>
      <c r="U170" s="380"/>
      <c r="V170" s="380"/>
      <c r="W170" s="380"/>
      <c r="X170" s="380"/>
      <c r="Y170" s="380"/>
      <c r="Z170" s="380"/>
      <c r="AA170" s="380"/>
    </row>
    <row r="171">
      <c r="A171" s="380"/>
      <c r="B171" s="380"/>
      <c r="C171" s="380"/>
      <c r="D171" s="380"/>
      <c r="E171" s="380"/>
      <c r="F171" s="415"/>
      <c r="G171" s="380"/>
      <c r="H171" s="380"/>
      <c r="I171" s="428"/>
      <c r="J171" s="429"/>
      <c r="K171" s="380"/>
      <c r="L171" s="415"/>
      <c r="M171" s="380"/>
      <c r="N171" s="380"/>
      <c r="O171" s="430"/>
      <c r="P171" s="380"/>
      <c r="Q171" s="380"/>
      <c r="R171" s="380"/>
      <c r="S171" s="380"/>
      <c r="T171" s="380"/>
      <c r="U171" s="380"/>
      <c r="V171" s="380"/>
      <c r="W171" s="380"/>
      <c r="X171" s="380"/>
      <c r="Y171" s="380"/>
      <c r="Z171" s="380"/>
      <c r="AA171" s="380"/>
    </row>
    <row r="172">
      <c r="A172" s="380"/>
      <c r="B172" s="380"/>
      <c r="C172" s="380"/>
      <c r="D172" s="380"/>
      <c r="E172" s="380"/>
      <c r="F172" s="415"/>
      <c r="G172" s="380"/>
      <c r="H172" s="380"/>
      <c r="I172" s="428"/>
      <c r="J172" s="429"/>
      <c r="K172" s="380"/>
      <c r="L172" s="415"/>
      <c r="M172" s="380"/>
      <c r="N172" s="380"/>
      <c r="O172" s="430"/>
      <c r="P172" s="380"/>
      <c r="Q172" s="380"/>
      <c r="R172" s="380"/>
      <c r="S172" s="380"/>
      <c r="T172" s="380"/>
      <c r="U172" s="380"/>
      <c r="V172" s="380"/>
      <c r="W172" s="380"/>
      <c r="X172" s="380"/>
      <c r="Y172" s="380"/>
      <c r="Z172" s="380"/>
      <c r="AA172" s="380"/>
    </row>
    <row r="173">
      <c r="A173" s="380"/>
      <c r="B173" s="380"/>
      <c r="C173" s="380"/>
      <c r="D173" s="380"/>
      <c r="E173" s="380"/>
      <c r="F173" s="415"/>
      <c r="G173" s="380"/>
      <c r="H173" s="380"/>
      <c r="I173" s="428"/>
      <c r="J173" s="429"/>
      <c r="K173" s="380"/>
      <c r="L173" s="415"/>
      <c r="M173" s="380"/>
      <c r="N173" s="380"/>
      <c r="O173" s="430"/>
      <c r="P173" s="380"/>
      <c r="Q173" s="380"/>
      <c r="R173" s="380"/>
      <c r="S173" s="380"/>
      <c r="T173" s="380"/>
      <c r="U173" s="380"/>
      <c r="V173" s="380"/>
      <c r="W173" s="380"/>
      <c r="X173" s="380"/>
      <c r="Y173" s="380"/>
      <c r="Z173" s="380"/>
      <c r="AA173" s="380"/>
    </row>
    <row r="174">
      <c r="A174" s="380"/>
      <c r="B174" s="380"/>
      <c r="C174" s="380"/>
      <c r="D174" s="380"/>
      <c r="E174" s="380"/>
      <c r="F174" s="415"/>
      <c r="G174" s="380"/>
      <c r="H174" s="380"/>
      <c r="I174" s="428"/>
      <c r="J174" s="429"/>
      <c r="K174" s="380"/>
      <c r="L174" s="415"/>
      <c r="M174" s="380"/>
      <c r="N174" s="380"/>
      <c r="O174" s="430"/>
      <c r="P174" s="380"/>
      <c r="Q174" s="380"/>
      <c r="R174" s="380"/>
      <c r="S174" s="380"/>
      <c r="T174" s="380"/>
      <c r="U174" s="380"/>
      <c r="V174" s="380"/>
      <c r="W174" s="380"/>
      <c r="X174" s="380"/>
      <c r="Y174" s="380"/>
      <c r="Z174" s="380"/>
      <c r="AA174" s="380"/>
    </row>
    <row r="175">
      <c r="A175" s="380"/>
      <c r="B175" s="380"/>
      <c r="C175" s="380"/>
      <c r="D175" s="380"/>
      <c r="E175" s="380"/>
      <c r="F175" s="415"/>
      <c r="G175" s="380"/>
      <c r="H175" s="380"/>
      <c r="I175" s="428"/>
      <c r="J175" s="429"/>
      <c r="K175" s="380"/>
      <c r="L175" s="415"/>
      <c r="M175" s="380"/>
      <c r="N175" s="380"/>
      <c r="O175" s="430"/>
      <c r="P175" s="380"/>
      <c r="Q175" s="380"/>
      <c r="R175" s="380"/>
      <c r="S175" s="380"/>
      <c r="T175" s="380"/>
      <c r="U175" s="380"/>
      <c r="V175" s="380"/>
      <c r="W175" s="380"/>
      <c r="X175" s="380"/>
      <c r="Y175" s="380"/>
      <c r="Z175" s="380"/>
      <c r="AA175" s="380"/>
    </row>
    <row r="176">
      <c r="A176" s="380"/>
      <c r="B176" s="380"/>
      <c r="C176" s="380"/>
      <c r="D176" s="380"/>
      <c r="E176" s="380"/>
      <c r="F176" s="415"/>
      <c r="G176" s="380"/>
      <c r="H176" s="380"/>
      <c r="I176" s="428"/>
      <c r="J176" s="429"/>
      <c r="K176" s="380"/>
      <c r="L176" s="415"/>
      <c r="M176" s="380"/>
      <c r="N176" s="380"/>
      <c r="O176" s="430"/>
      <c r="P176" s="380"/>
      <c r="Q176" s="380"/>
      <c r="R176" s="380"/>
      <c r="S176" s="380"/>
      <c r="T176" s="380"/>
      <c r="U176" s="380"/>
      <c r="V176" s="380"/>
      <c r="W176" s="380"/>
      <c r="X176" s="380"/>
      <c r="Y176" s="380"/>
      <c r="Z176" s="380"/>
      <c r="AA176" s="380"/>
    </row>
    <row r="177">
      <c r="A177" s="380"/>
      <c r="B177" s="380"/>
      <c r="C177" s="380"/>
      <c r="D177" s="380"/>
      <c r="E177" s="380"/>
      <c r="F177" s="415"/>
      <c r="G177" s="380"/>
      <c r="H177" s="380"/>
      <c r="I177" s="428"/>
      <c r="J177" s="429"/>
      <c r="K177" s="380"/>
      <c r="L177" s="415"/>
      <c r="M177" s="380"/>
      <c r="N177" s="380"/>
      <c r="O177" s="430"/>
      <c r="P177" s="380"/>
      <c r="Q177" s="380"/>
      <c r="R177" s="380"/>
      <c r="S177" s="380"/>
      <c r="T177" s="380"/>
      <c r="U177" s="380"/>
      <c r="V177" s="380"/>
      <c r="W177" s="380"/>
      <c r="X177" s="380"/>
      <c r="Y177" s="380"/>
      <c r="Z177" s="380"/>
      <c r="AA177" s="380"/>
    </row>
    <row r="178">
      <c r="A178" s="380"/>
      <c r="B178" s="380"/>
      <c r="C178" s="380"/>
      <c r="D178" s="380"/>
      <c r="E178" s="380"/>
      <c r="F178" s="415"/>
      <c r="G178" s="380"/>
      <c r="H178" s="380"/>
      <c r="I178" s="428"/>
      <c r="J178" s="429"/>
      <c r="K178" s="380"/>
      <c r="L178" s="415"/>
      <c r="M178" s="380"/>
      <c r="N178" s="380"/>
      <c r="O178" s="430"/>
      <c r="P178" s="380"/>
      <c r="Q178" s="380"/>
      <c r="R178" s="380"/>
      <c r="S178" s="380"/>
      <c r="T178" s="380"/>
      <c r="U178" s="380"/>
      <c r="V178" s="380"/>
      <c r="W178" s="380"/>
      <c r="X178" s="380"/>
      <c r="Y178" s="380"/>
      <c r="Z178" s="380"/>
      <c r="AA178" s="380"/>
    </row>
    <row r="179">
      <c r="A179" s="380"/>
      <c r="B179" s="380"/>
      <c r="C179" s="380"/>
      <c r="D179" s="380"/>
      <c r="E179" s="380"/>
      <c r="F179" s="415"/>
      <c r="G179" s="380"/>
      <c r="H179" s="380"/>
      <c r="I179" s="428"/>
      <c r="J179" s="429"/>
      <c r="K179" s="380"/>
      <c r="L179" s="415"/>
      <c r="M179" s="380"/>
      <c r="N179" s="380"/>
      <c r="O179" s="430"/>
      <c r="P179" s="380"/>
      <c r="Q179" s="380"/>
      <c r="R179" s="380"/>
      <c r="S179" s="380"/>
      <c r="T179" s="380"/>
      <c r="U179" s="380"/>
      <c r="V179" s="380"/>
      <c r="W179" s="380"/>
      <c r="X179" s="380"/>
      <c r="Y179" s="380"/>
      <c r="Z179" s="380"/>
      <c r="AA179" s="380"/>
    </row>
    <row r="180">
      <c r="A180" s="380"/>
      <c r="B180" s="380"/>
      <c r="C180" s="380"/>
      <c r="D180" s="380"/>
      <c r="E180" s="380"/>
      <c r="F180" s="415"/>
      <c r="G180" s="380"/>
      <c r="H180" s="380"/>
      <c r="I180" s="428"/>
      <c r="J180" s="429"/>
      <c r="K180" s="380"/>
      <c r="L180" s="415"/>
      <c r="M180" s="380"/>
      <c r="N180" s="380"/>
      <c r="O180" s="430"/>
      <c r="P180" s="380"/>
      <c r="Q180" s="380"/>
      <c r="R180" s="380"/>
      <c r="S180" s="380"/>
      <c r="T180" s="380"/>
      <c r="U180" s="380"/>
      <c r="V180" s="380"/>
      <c r="W180" s="380"/>
      <c r="X180" s="380"/>
      <c r="Y180" s="380"/>
      <c r="Z180" s="380"/>
      <c r="AA180" s="380"/>
    </row>
    <row r="181">
      <c r="A181" s="380"/>
      <c r="B181" s="380"/>
      <c r="C181" s="380"/>
      <c r="D181" s="380"/>
      <c r="E181" s="380"/>
      <c r="F181" s="415"/>
      <c r="G181" s="380"/>
      <c r="H181" s="380"/>
      <c r="I181" s="428"/>
      <c r="J181" s="429"/>
      <c r="K181" s="380"/>
      <c r="L181" s="415"/>
      <c r="M181" s="380"/>
      <c r="N181" s="380"/>
      <c r="O181" s="430"/>
      <c r="P181" s="380"/>
      <c r="Q181" s="380"/>
      <c r="R181" s="380"/>
      <c r="S181" s="380"/>
      <c r="T181" s="380"/>
      <c r="U181" s="380"/>
      <c r="V181" s="380"/>
      <c r="W181" s="380"/>
      <c r="X181" s="380"/>
      <c r="Y181" s="380"/>
      <c r="Z181" s="380"/>
      <c r="AA181" s="380"/>
    </row>
    <row r="182">
      <c r="A182" s="380"/>
      <c r="B182" s="380"/>
      <c r="C182" s="380"/>
      <c r="D182" s="380"/>
      <c r="E182" s="380"/>
      <c r="F182" s="415"/>
      <c r="G182" s="380"/>
      <c r="H182" s="380"/>
      <c r="I182" s="428"/>
      <c r="J182" s="429"/>
      <c r="K182" s="380"/>
      <c r="L182" s="415"/>
      <c r="M182" s="380"/>
      <c r="N182" s="380"/>
      <c r="O182" s="430"/>
      <c r="P182" s="380"/>
      <c r="Q182" s="380"/>
      <c r="R182" s="380"/>
      <c r="S182" s="380"/>
      <c r="T182" s="380"/>
      <c r="U182" s="380"/>
      <c r="V182" s="380"/>
      <c r="W182" s="380"/>
      <c r="X182" s="380"/>
      <c r="Y182" s="380"/>
      <c r="Z182" s="380"/>
      <c r="AA182" s="380"/>
    </row>
    <row r="183">
      <c r="A183" s="380"/>
      <c r="B183" s="380"/>
      <c r="C183" s="380"/>
      <c r="D183" s="380"/>
      <c r="E183" s="380"/>
      <c r="F183" s="415"/>
      <c r="G183" s="380"/>
      <c r="H183" s="380"/>
      <c r="I183" s="428"/>
      <c r="J183" s="429"/>
      <c r="K183" s="380"/>
      <c r="L183" s="415"/>
      <c r="M183" s="380"/>
      <c r="N183" s="380"/>
      <c r="O183" s="430"/>
      <c r="P183" s="380"/>
      <c r="Q183" s="380"/>
      <c r="R183" s="380"/>
      <c r="S183" s="380"/>
      <c r="T183" s="380"/>
      <c r="U183" s="380"/>
      <c r="V183" s="380"/>
      <c r="W183" s="380"/>
      <c r="X183" s="380"/>
      <c r="Y183" s="380"/>
      <c r="Z183" s="380"/>
      <c r="AA183" s="380"/>
    </row>
    <row r="184">
      <c r="A184" s="380"/>
      <c r="B184" s="380"/>
      <c r="C184" s="380"/>
      <c r="D184" s="380"/>
      <c r="E184" s="380"/>
      <c r="F184" s="415"/>
      <c r="G184" s="380"/>
      <c r="H184" s="380"/>
      <c r="I184" s="428"/>
      <c r="J184" s="429"/>
      <c r="K184" s="380"/>
      <c r="L184" s="415"/>
      <c r="M184" s="380"/>
      <c r="N184" s="380"/>
      <c r="O184" s="430"/>
      <c r="P184" s="380"/>
      <c r="Q184" s="380"/>
      <c r="R184" s="380"/>
      <c r="S184" s="380"/>
      <c r="T184" s="380"/>
      <c r="U184" s="380"/>
      <c r="V184" s="380"/>
      <c r="W184" s="380"/>
      <c r="X184" s="380"/>
      <c r="Y184" s="380"/>
      <c r="Z184" s="380"/>
      <c r="AA184" s="380"/>
    </row>
    <row r="185">
      <c r="A185" s="380"/>
      <c r="B185" s="380"/>
      <c r="C185" s="380"/>
      <c r="D185" s="380"/>
      <c r="E185" s="380"/>
      <c r="F185" s="415"/>
      <c r="G185" s="380"/>
      <c r="H185" s="380"/>
      <c r="I185" s="428"/>
      <c r="J185" s="429"/>
      <c r="K185" s="380"/>
      <c r="L185" s="415"/>
      <c r="M185" s="380"/>
      <c r="N185" s="380"/>
      <c r="O185" s="430"/>
      <c r="P185" s="380"/>
      <c r="Q185" s="380"/>
      <c r="R185" s="380"/>
      <c r="S185" s="380"/>
      <c r="T185" s="380"/>
      <c r="U185" s="380"/>
      <c r="V185" s="380"/>
      <c r="W185" s="380"/>
      <c r="X185" s="380"/>
      <c r="Y185" s="380"/>
      <c r="Z185" s="380"/>
      <c r="AA185" s="380"/>
    </row>
    <row r="186">
      <c r="A186" s="380"/>
      <c r="B186" s="380"/>
      <c r="C186" s="380"/>
      <c r="D186" s="380"/>
      <c r="E186" s="380"/>
      <c r="F186" s="415"/>
      <c r="G186" s="380"/>
      <c r="H186" s="380"/>
      <c r="I186" s="428"/>
      <c r="J186" s="429"/>
      <c r="K186" s="380"/>
      <c r="L186" s="415"/>
      <c r="M186" s="380"/>
      <c r="N186" s="380"/>
      <c r="O186" s="430"/>
      <c r="P186" s="380"/>
      <c r="Q186" s="380"/>
      <c r="R186" s="380"/>
      <c r="S186" s="380"/>
      <c r="T186" s="380"/>
      <c r="U186" s="380"/>
      <c r="V186" s="380"/>
      <c r="W186" s="380"/>
      <c r="X186" s="380"/>
      <c r="Y186" s="380"/>
      <c r="Z186" s="380"/>
      <c r="AA186" s="380"/>
    </row>
    <row r="187">
      <c r="A187" s="380"/>
      <c r="B187" s="380"/>
      <c r="C187" s="380"/>
      <c r="D187" s="380"/>
      <c r="E187" s="380"/>
      <c r="F187" s="415"/>
      <c r="G187" s="380"/>
      <c r="H187" s="380"/>
      <c r="I187" s="428"/>
      <c r="J187" s="429"/>
      <c r="K187" s="380"/>
      <c r="L187" s="415"/>
      <c r="M187" s="380"/>
      <c r="N187" s="380"/>
      <c r="O187" s="430"/>
      <c r="P187" s="380"/>
      <c r="Q187" s="380"/>
      <c r="R187" s="380"/>
      <c r="S187" s="380"/>
      <c r="T187" s="380"/>
      <c r="U187" s="380"/>
      <c r="V187" s="380"/>
      <c r="W187" s="380"/>
      <c r="X187" s="380"/>
      <c r="Y187" s="380"/>
      <c r="Z187" s="380"/>
      <c r="AA187" s="380"/>
    </row>
    <row r="188">
      <c r="A188" s="380"/>
      <c r="B188" s="380"/>
      <c r="C188" s="380"/>
      <c r="D188" s="380"/>
      <c r="E188" s="380"/>
      <c r="F188" s="415"/>
      <c r="G188" s="380"/>
      <c r="H188" s="380"/>
      <c r="I188" s="428"/>
      <c r="J188" s="429"/>
      <c r="K188" s="380"/>
      <c r="L188" s="415"/>
      <c r="M188" s="380"/>
      <c r="N188" s="380"/>
      <c r="O188" s="430"/>
      <c r="P188" s="380"/>
      <c r="Q188" s="380"/>
      <c r="R188" s="380"/>
      <c r="S188" s="380"/>
      <c r="T188" s="380"/>
      <c r="U188" s="380"/>
      <c r="V188" s="380"/>
      <c r="W188" s="380"/>
      <c r="X188" s="380"/>
      <c r="Y188" s="380"/>
      <c r="Z188" s="380"/>
      <c r="AA188" s="380"/>
    </row>
    <row r="189">
      <c r="A189" s="380"/>
      <c r="B189" s="380"/>
      <c r="C189" s="380"/>
      <c r="D189" s="380"/>
      <c r="E189" s="380"/>
      <c r="F189" s="415"/>
      <c r="G189" s="380"/>
      <c r="H189" s="380"/>
      <c r="I189" s="428"/>
      <c r="J189" s="429"/>
      <c r="K189" s="380"/>
      <c r="L189" s="415"/>
      <c r="M189" s="380"/>
      <c r="N189" s="380"/>
      <c r="O189" s="430"/>
      <c r="P189" s="380"/>
      <c r="Q189" s="380"/>
      <c r="R189" s="380"/>
      <c r="S189" s="380"/>
      <c r="T189" s="380"/>
      <c r="U189" s="380"/>
      <c r="V189" s="380"/>
      <c r="W189" s="380"/>
      <c r="X189" s="380"/>
      <c r="Y189" s="380"/>
      <c r="Z189" s="380"/>
      <c r="AA189" s="380"/>
    </row>
    <row r="190">
      <c r="A190" s="380"/>
      <c r="B190" s="380"/>
      <c r="C190" s="380"/>
      <c r="D190" s="380"/>
      <c r="E190" s="380"/>
      <c r="F190" s="415"/>
      <c r="G190" s="380"/>
      <c r="H190" s="380"/>
      <c r="I190" s="428"/>
      <c r="J190" s="429"/>
      <c r="K190" s="380"/>
      <c r="L190" s="415"/>
      <c r="M190" s="380"/>
      <c r="N190" s="380"/>
      <c r="O190" s="430"/>
      <c r="P190" s="380"/>
      <c r="Q190" s="380"/>
      <c r="R190" s="380"/>
      <c r="S190" s="380"/>
      <c r="T190" s="380"/>
      <c r="U190" s="380"/>
      <c r="V190" s="380"/>
      <c r="W190" s="380"/>
      <c r="X190" s="380"/>
      <c r="Y190" s="380"/>
      <c r="Z190" s="380"/>
      <c r="AA190" s="380"/>
    </row>
    <row r="191">
      <c r="A191" s="380"/>
      <c r="B191" s="380"/>
      <c r="C191" s="380"/>
      <c r="D191" s="380"/>
      <c r="E191" s="380"/>
      <c r="F191" s="415"/>
      <c r="G191" s="380"/>
      <c r="H191" s="380"/>
      <c r="I191" s="428"/>
      <c r="J191" s="429"/>
      <c r="K191" s="380"/>
      <c r="L191" s="415"/>
      <c r="M191" s="380"/>
      <c r="N191" s="380"/>
      <c r="O191" s="430"/>
      <c r="P191" s="380"/>
      <c r="Q191" s="380"/>
      <c r="R191" s="380"/>
      <c r="S191" s="380"/>
      <c r="T191" s="380"/>
      <c r="U191" s="380"/>
      <c r="V191" s="380"/>
      <c r="W191" s="380"/>
      <c r="X191" s="380"/>
      <c r="Y191" s="380"/>
      <c r="Z191" s="380"/>
      <c r="AA191" s="380"/>
    </row>
    <row r="192">
      <c r="A192" s="380"/>
      <c r="B192" s="380"/>
      <c r="C192" s="380"/>
      <c r="D192" s="380"/>
      <c r="E192" s="380"/>
      <c r="F192" s="415"/>
      <c r="G192" s="380"/>
      <c r="H192" s="380"/>
      <c r="I192" s="428"/>
      <c r="J192" s="429"/>
      <c r="K192" s="380"/>
      <c r="L192" s="415"/>
      <c r="M192" s="380"/>
      <c r="N192" s="380"/>
      <c r="O192" s="430"/>
      <c r="P192" s="380"/>
      <c r="Q192" s="380"/>
      <c r="R192" s="380"/>
      <c r="S192" s="380"/>
      <c r="T192" s="380"/>
      <c r="U192" s="380"/>
      <c r="V192" s="380"/>
      <c r="W192" s="380"/>
      <c r="X192" s="380"/>
      <c r="Y192" s="380"/>
      <c r="Z192" s="380"/>
      <c r="AA192" s="380"/>
    </row>
    <row r="193">
      <c r="A193" s="380"/>
      <c r="B193" s="380"/>
      <c r="C193" s="380"/>
      <c r="D193" s="380"/>
      <c r="E193" s="380"/>
      <c r="F193" s="415"/>
      <c r="G193" s="380"/>
      <c r="H193" s="380"/>
      <c r="I193" s="428"/>
      <c r="J193" s="429"/>
      <c r="K193" s="380"/>
      <c r="L193" s="415"/>
      <c r="M193" s="380"/>
      <c r="N193" s="380"/>
      <c r="O193" s="430"/>
      <c r="P193" s="380"/>
      <c r="Q193" s="380"/>
      <c r="R193" s="380"/>
      <c r="S193" s="380"/>
      <c r="T193" s="380"/>
      <c r="U193" s="380"/>
      <c r="V193" s="380"/>
      <c r="W193" s="380"/>
      <c r="X193" s="380"/>
      <c r="Y193" s="380"/>
      <c r="Z193" s="380"/>
      <c r="AA193" s="380"/>
    </row>
    <row r="194">
      <c r="A194" s="380"/>
      <c r="B194" s="380"/>
      <c r="C194" s="380"/>
      <c r="D194" s="380"/>
      <c r="E194" s="380"/>
      <c r="F194" s="415"/>
      <c r="G194" s="380"/>
      <c r="H194" s="380"/>
      <c r="I194" s="428"/>
      <c r="J194" s="429"/>
      <c r="K194" s="380"/>
      <c r="L194" s="415"/>
      <c r="M194" s="380"/>
      <c r="N194" s="380"/>
      <c r="O194" s="430"/>
      <c r="P194" s="380"/>
      <c r="Q194" s="380"/>
      <c r="R194" s="380"/>
      <c r="S194" s="380"/>
      <c r="T194" s="380"/>
      <c r="U194" s="380"/>
      <c r="V194" s="380"/>
      <c r="W194" s="380"/>
      <c r="X194" s="380"/>
      <c r="Y194" s="380"/>
      <c r="Z194" s="380"/>
      <c r="AA194" s="380"/>
    </row>
    <row r="195">
      <c r="A195" s="380"/>
      <c r="B195" s="380"/>
      <c r="C195" s="380"/>
      <c r="D195" s="380"/>
      <c r="E195" s="380"/>
      <c r="F195" s="415"/>
      <c r="G195" s="380"/>
      <c r="H195" s="380"/>
      <c r="I195" s="428"/>
      <c r="J195" s="429"/>
      <c r="K195" s="380"/>
      <c r="L195" s="415"/>
      <c r="M195" s="380"/>
      <c r="N195" s="380"/>
      <c r="O195" s="430"/>
      <c r="P195" s="380"/>
      <c r="Q195" s="380"/>
      <c r="R195" s="380"/>
      <c r="S195" s="380"/>
      <c r="T195" s="380"/>
      <c r="U195" s="380"/>
      <c r="V195" s="380"/>
      <c r="W195" s="380"/>
      <c r="X195" s="380"/>
      <c r="Y195" s="380"/>
      <c r="Z195" s="380"/>
      <c r="AA195" s="380"/>
    </row>
    <row r="196">
      <c r="A196" s="380"/>
      <c r="B196" s="380"/>
      <c r="C196" s="380"/>
      <c r="D196" s="380"/>
      <c r="E196" s="380"/>
      <c r="F196" s="415"/>
      <c r="G196" s="380"/>
      <c r="H196" s="380"/>
      <c r="I196" s="428"/>
      <c r="J196" s="429"/>
      <c r="K196" s="380"/>
      <c r="L196" s="415"/>
      <c r="M196" s="380"/>
      <c r="N196" s="380"/>
      <c r="O196" s="430"/>
      <c r="P196" s="380"/>
      <c r="Q196" s="380"/>
      <c r="R196" s="380"/>
      <c r="S196" s="380"/>
      <c r="T196" s="380"/>
      <c r="U196" s="380"/>
      <c r="V196" s="380"/>
      <c r="W196" s="380"/>
      <c r="X196" s="380"/>
      <c r="Y196" s="380"/>
      <c r="Z196" s="380"/>
      <c r="AA196" s="380"/>
    </row>
    <row r="197">
      <c r="A197" s="380"/>
      <c r="B197" s="380"/>
      <c r="C197" s="380"/>
      <c r="D197" s="380"/>
      <c r="E197" s="380"/>
      <c r="F197" s="415"/>
      <c r="G197" s="380"/>
      <c r="H197" s="380"/>
      <c r="I197" s="428"/>
      <c r="J197" s="429"/>
      <c r="K197" s="380"/>
      <c r="L197" s="415"/>
      <c r="M197" s="380"/>
      <c r="N197" s="380"/>
      <c r="O197" s="430"/>
      <c r="P197" s="380"/>
      <c r="Q197" s="380"/>
      <c r="R197" s="380"/>
      <c r="S197" s="380"/>
      <c r="T197" s="380"/>
      <c r="U197" s="380"/>
      <c r="V197" s="380"/>
      <c r="W197" s="380"/>
      <c r="X197" s="380"/>
      <c r="Y197" s="380"/>
      <c r="Z197" s="380"/>
      <c r="AA197" s="380"/>
    </row>
    <row r="198">
      <c r="A198" s="380"/>
      <c r="B198" s="380"/>
      <c r="C198" s="380"/>
      <c r="D198" s="380"/>
      <c r="E198" s="380"/>
      <c r="F198" s="415"/>
      <c r="G198" s="380"/>
      <c r="H198" s="380"/>
      <c r="I198" s="428"/>
      <c r="J198" s="429"/>
      <c r="K198" s="380"/>
      <c r="L198" s="415"/>
      <c r="M198" s="380"/>
      <c r="N198" s="380"/>
      <c r="O198" s="430"/>
      <c r="P198" s="380"/>
      <c r="Q198" s="380"/>
      <c r="R198" s="380"/>
      <c r="S198" s="380"/>
      <c r="T198" s="380"/>
      <c r="U198" s="380"/>
      <c r="V198" s="380"/>
      <c r="W198" s="380"/>
      <c r="X198" s="380"/>
      <c r="Y198" s="380"/>
      <c r="Z198" s="380"/>
      <c r="AA198" s="380"/>
    </row>
    <row r="199">
      <c r="A199" s="380"/>
      <c r="B199" s="380"/>
      <c r="C199" s="380"/>
      <c r="D199" s="380"/>
      <c r="E199" s="380"/>
      <c r="F199" s="415"/>
      <c r="G199" s="380"/>
      <c r="H199" s="380"/>
      <c r="I199" s="428"/>
      <c r="J199" s="429"/>
      <c r="K199" s="380"/>
      <c r="L199" s="415"/>
      <c r="M199" s="380"/>
      <c r="N199" s="380"/>
      <c r="O199" s="430"/>
      <c r="P199" s="380"/>
      <c r="Q199" s="380"/>
      <c r="R199" s="380"/>
      <c r="S199" s="380"/>
      <c r="T199" s="380"/>
      <c r="U199" s="380"/>
      <c r="V199" s="380"/>
      <c r="W199" s="380"/>
      <c r="X199" s="380"/>
      <c r="Y199" s="380"/>
      <c r="Z199" s="380"/>
      <c r="AA199" s="380"/>
    </row>
    <row r="200">
      <c r="A200" s="380"/>
      <c r="B200" s="380"/>
      <c r="C200" s="380"/>
      <c r="D200" s="380"/>
      <c r="E200" s="380"/>
      <c r="F200" s="415"/>
      <c r="G200" s="380"/>
      <c r="H200" s="380"/>
      <c r="I200" s="428"/>
      <c r="J200" s="429"/>
      <c r="K200" s="380"/>
      <c r="L200" s="415"/>
      <c r="M200" s="380"/>
      <c r="N200" s="380"/>
      <c r="O200" s="430"/>
      <c r="P200" s="380"/>
      <c r="Q200" s="380"/>
      <c r="R200" s="380"/>
      <c r="S200" s="380"/>
      <c r="T200" s="380"/>
      <c r="U200" s="380"/>
      <c r="V200" s="380"/>
      <c r="W200" s="380"/>
      <c r="X200" s="380"/>
      <c r="Y200" s="380"/>
      <c r="Z200" s="380"/>
      <c r="AA200" s="380"/>
    </row>
    <row r="201">
      <c r="A201" s="380"/>
      <c r="B201" s="380"/>
      <c r="C201" s="380"/>
      <c r="D201" s="380"/>
      <c r="E201" s="380"/>
      <c r="F201" s="415"/>
      <c r="G201" s="380"/>
      <c r="H201" s="380"/>
      <c r="I201" s="428"/>
      <c r="J201" s="429"/>
      <c r="K201" s="380"/>
      <c r="L201" s="415"/>
      <c r="M201" s="380"/>
      <c r="N201" s="380"/>
      <c r="O201" s="430"/>
      <c r="P201" s="380"/>
      <c r="Q201" s="380"/>
      <c r="R201" s="380"/>
      <c r="S201" s="380"/>
      <c r="T201" s="380"/>
      <c r="U201" s="380"/>
      <c r="V201" s="380"/>
      <c r="W201" s="380"/>
      <c r="X201" s="380"/>
      <c r="Y201" s="380"/>
      <c r="Z201" s="380"/>
      <c r="AA201" s="380"/>
    </row>
    <row r="202">
      <c r="A202" s="380"/>
      <c r="B202" s="380"/>
      <c r="C202" s="380"/>
      <c r="D202" s="380"/>
      <c r="E202" s="380"/>
      <c r="F202" s="415"/>
      <c r="G202" s="380"/>
      <c r="H202" s="380"/>
      <c r="I202" s="428"/>
      <c r="J202" s="429"/>
      <c r="K202" s="380"/>
      <c r="L202" s="415"/>
      <c r="M202" s="380"/>
      <c r="N202" s="380"/>
      <c r="O202" s="430"/>
      <c r="P202" s="380"/>
      <c r="Q202" s="380"/>
      <c r="R202" s="380"/>
      <c r="S202" s="380"/>
      <c r="T202" s="380"/>
      <c r="U202" s="380"/>
      <c r="V202" s="380"/>
      <c r="W202" s="380"/>
      <c r="X202" s="380"/>
      <c r="Y202" s="380"/>
      <c r="Z202" s="380"/>
      <c r="AA202" s="380"/>
    </row>
    <row r="203">
      <c r="A203" s="380"/>
      <c r="B203" s="380"/>
      <c r="C203" s="380"/>
      <c r="D203" s="380"/>
      <c r="E203" s="380"/>
      <c r="F203" s="415"/>
      <c r="G203" s="380"/>
      <c r="H203" s="380"/>
      <c r="I203" s="428"/>
      <c r="J203" s="429"/>
      <c r="K203" s="380"/>
      <c r="L203" s="415"/>
      <c r="M203" s="380"/>
      <c r="N203" s="380"/>
      <c r="O203" s="430"/>
      <c r="P203" s="380"/>
      <c r="Q203" s="380"/>
      <c r="R203" s="380"/>
      <c r="S203" s="380"/>
      <c r="T203" s="380"/>
      <c r="U203" s="380"/>
      <c r="V203" s="380"/>
      <c r="W203" s="380"/>
      <c r="X203" s="380"/>
      <c r="Y203" s="380"/>
      <c r="Z203" s="380"/>
      <c r="AA203" s="380"/>
    </row>
    <row r="204">
      <c r="A204" s="380"/>
      <c r="B204" s="380"/>
      <c r="C204" s="380"/>
      <c r="D204" s="380"/>
      <c r="E204" s="380"/>
      <c r="F204" s="415"/>
      <c r="G204" s="380"/>
      <c r="H204" s="380"/>
      <c r="I204" s="428"/>
      <c r="J204" s="429"/>
      <c r="K204" s="380"/>
      <c r="L204" s="415"/>
      <c r="M204" s="380"/>
      <c r="N204" s="380"/>
      <c r="O204" s="430"/>
      <c r="P204" s="380"/>
      <c r="Q204" s="380"/>
      <c r="R204" s="380"/>
      <c r="S204" s="380"/>
      <c r="T204" s="380"/>
      <c r="U204" s="380"/>
      <c r="V204" s="380"/>
      <c r="W204" s="380"/>
      <c r="X204" s="380"/>
      <c r="Y204" s="380"/>
      <c r="Z204" s="380"/>
      <c r="AA204" s="380"/>
    </row>
    <row r="205">
      <c r="A205" s="380"/>
      <c r="B205" s="380"/>
      <c r="C205" s="380"/>
      <c r="D205" s="380"/>
      <c r="E205" s="380"/>
      <c r="F205" s="415"/>
      <c r="G205" s="380"/>
      <c r="H205" s="380"/>
      <c r="I205" s="428"/>
      <c r="J205" s="429"/>
      <c r="K205" s="380"/>
      <c r="L205" s="415"/>
      <c r="M205" s="380"/>
      <c r="N205" s="380"/>
      <c r="O205" s="430"/>
      <c r="P205" s="380"/>
      <c r="Q205" s="380"/>
      <c r="R205" s="380"/>
      <c r="S205" s="380"/>
      <c r="T205" s="380"/>
      <c r="U205" s="380"/>
      <c r="V205" s="380"/>
      <c r="W205" s="380"/>
      <c r="X205" s="380"/>
      <c r="Y205" s="380"/>
      <c r="Z205" s="380"/>
      <c r="AA205" s="380"/>
    </row>
    <row r="206">
      <c r="A206" s="380"/>
      <c r="B206" s="380"/>
      <c r="C206" s="380"/>
      <c r="D206" s="380"/>
      <c r="E206" s="380"/>
      <c r="F206" s="415"/>
      <c r="G206" s="380"/>
      <c r="H206" s="380"/>
      <c r="I206" s="428"/>
      <c r="J206" s="429"/>
      <c r="K206" s="380"/>
      <c r="L206" s="415"/>
      <c r="M206" s="380"/>
      <c r="N206" s="380"/>
      <c r="O206" s="430"/>
      <c r="P206" s="380"/>
      <c r="Q206" s="380"/>
      <c r="R206" s="380"/>
      <c r="S206" s="380"/>
      <c r="T206" s="380"/>
      <c r="U206" s="380"/>
      <c r="V206" s="380"/>
      <c r="W206" s="380"/>
      <c r="X206" s="380"/>
      <c r="Y206" s="380"/>
      <c r="Z206" s="380"/>
      <c r="AA206" s="380"/>
    </row>
    <row r="207">
      <c r="A207" s="380"/>
      <c r="B207" s="380"/>
      <c r="C207" s="380"/>
      <c r="D207" s="380"/>
      <c r="E207" s="380"/>
      <c r="F207" s="415"/>
      <c r="G207" s="380"/>
      <c r="H207" s="380"/>
      <c r="I207" s="428"/>
      <c r="J207" s="429"/>
      <c r="K207" s="380"/>
      <c r="L207" s="415"/>
      <c r="M207" s="380"/>
      <c r="N207" s="380"/>
      <c r="O207" s="430"/>
      <c r="P207" s="380"/>
      <c r="Q207" s="380"/>
      <c r="R207" s="380"/>
      <c r="S207" s="380"/>
      <c r="T207" s="380"/>
      <c r="U207" s="380"/>
      <c r="V207" s="380"/>
      <c r="W207" s="380"/>
      <c r="X207" s="380"/>
      <c r="Y207" s="380"/>
      <c r="Z207" s="380"/>
      <c r="AA207" s="380"/>
    </row>
    <row r="208">
      <c r="A208" s="380"/>
      <c r="B208" s="380"/>
      <c r="C208" s="380"/>
      <c r="D208" s="380"/>
      <c r="E208" s="380"/>
      <c r="F208" s="415"/>
      <c r="G208" s="380"/>
      <c r="H208" s="380"/>
      <c r="I208" s="428"/>
      <c r="J208" s="429"/>
      <c r="K208" s="380"/>
      <c r="L208" s="415"/>
      <c r="M208" s="380"/>
      <c r="N208" s="380"/>
      <c r="O208" s="430"/>
      <c r="P208" s="380"/>
      <c r="Q208" s="380"/>
      <c r="R208" s="380"/>
      <c r="S208" s="380"/>
      <c r="T208" s="380"/>
      <c r="U208" s="380"/>
      <c r="V208" s="380"/>
      <c r="W208" s="380"/>
      <c r="X208" s="380"/>
      <c r="Y208" s="380"/>
      <c r="Z208" s="380"/>
      <c r="AA208" s="380"/>
    </row>
    <row r="209">
      <c r="A209" s="380"/>
      <c r="B209" s="380"/>
      <c r="C209" s="380"/>
      <c r="D209" s="380"/>
      <c r="E209" s="380"/>
      <c r="F209" s="415"/>
      <c r="G209" s="380"/>
      <c r="H209" s="380"/>
      <c r="I209" s="428"/>
      <c r="J209" s="429"/>
      <c r="K209" s="380"/>
      <c r="L209" s="415"/>
      <c r="M209" s="380"/>
      <c r="N209" s="380"/>
      <c r="O209" s="430"/>
      <c r="P209" s="380"/>
      <c r="Q209" s="380"/>
      <c r="R209" s="380"/>
      <c r="S209" s="380"/>
      <c r="T209" s="380"/>
      <c r="U209" s="380"/>
      <c r="V209" s="380"/>
      <c r="W209" s="380"/>
      <c r="X209" s="380"/>
      <c r="Y209" s="380"/>
      <c r="Z209" s="380"/>
      <c r="AA209" s="380"/>
    </row>
    <row r="210">
      <c r="A210" s="380"/>
      <c r="B210" s="380"/>
      <c r="C210" s="380"/>
      <c r="D210" s="380"/>
      <c r="E210" s="380"/>
      <c r="F210" s="415"/>
      <c r="G210" s="380"/>
      <c r="H210" s="380"/>
      <c r="I210" s="428"/>
      <c r="J210" s="429"/>
      <c r="K210" s="380"/>
      <c r="L210" s="415"/>
      <c r="M210" s="380"/>
      <c r="N210" s="380"/>
      <c r="O210" s="430"/>
      <c r="P210" s="380"/>
      <c r="Q210" s="380"/>
      <c r="R210" s="380"/>
      <c r="S210" s="380"/>
      <c r="T210" s="380"/>
      <c r="U210" s="380"/>
      <c r="V210" s="380"/>
      <c r="W210" s="380"/>
      <c r="X210" s="380"/>
      <c r="Y210" s="380"/>
      <c r="Z210" s="380"/>
      <c r="AA210" s="380"/>
    </row>
    <row r="211">
      <c r="A211" s="380"/>
      <c r="B211" s="380"/>
      <c r="C211" s="380"/>
      <c r="D211" s="380"/>
      <c r="E211" s="380"/>
      <c r="F211" s="415"/>
      <c r="G211" s="380"/>
      <c r="H211" s="380"/>
      <c r="I211" s="428"/>
      <c r="J211" s="429"/>
      <c r="K211" s="380"/>
      <c r="L211" s="415"/>
      <c r="M211" s="380"/>
      <c r="N211" s="380"/>
      <c r="O211" s="430"/>
      <c r="P211" s="380"/>
      <c r="Q211" s="380"/>
      <c r="R211" s="380"/>
      <c r="S211" s="380"/>
      <c r="T211" s="380"/>
      <c r="U211" s="380"/>
      <c r="V211" s="380"/>
      <c r="W211" s="380"/>
      <c r="X211" s="380"/>
      <c r="Y211" s="380"/>
      <c r="Z211" s="380"/>
      <c r="AA211" s="380"/>
    </row>
    <row r="212">
      <c r="A212" s="380"/>
      <c r="B212" s="380"/>
      <c r="C212" s="380"/>
      <c r="D212" s="380"/>
      <c r="E212" s="380"/>
      <c r="F212" s="415"/>
      <c r="G212" s="380"/>
      <c r="H212" s="380"/>
      <c r="I212" s="428"/>
      <c r="J212" s="429"/>
      <c r="K212" s="380"/>
      <c r="L212" s="415"/>
      <c r="M212" s="380"/>
      <c r="N212" s="380"/>
      <c r="O212" s="430"/>
      <c r="P212" s="380"/>
      <c r="Q212" s="380"/>
      <c r="R212" s="380"/>
      <c r="S212" s="380"/>
      <c r="T212" s="380"/>
      <c r="U212" s="380"/>
      <c r="V212" s="380"/>
      <c r="W212" s="380"/>
      <c r="X212" s="380"/>
      <c r="Y212" s="380"/>
      <c r="Z212" s="380"/>
      <c r="AA212" s="380"/>
    </row>
    <row r="213">
      <c r="A213" s="380"/>
      <c r="B213" s="380"/>
      <c r="C213" s="380"/>
      <c r="D213" s="380"/>
      <c r="E213" s="380"/>
      <c r="F213" s="415"/>
      <c r="G213" s="380"/>
      <c r="H213" s="380"/>
      <c r="I213" s="428"/>
      <c r="J213" s="429"/>
      <c r="K213" s="380"/>
      <c r="L213" s="415"/>
      <c r="M213" s="380"/>
      <c r="N213" s="380"/>
      <c r="O213" s="430"/>
      <c r="P213" s="380"/>
      <c r="Q213" s="380"/>
      <c r="R213" s="380"/>
      <c r="S213" s="380"/>
      <c r="T213" s="380"/>
      <c r="U213" s="380"/>
      <c r="V213" s="380"/>
      <c r="W213" s="380"/>
      <c r="X213" s="380"/>
      <c r="Y213" s="380"/>
      <c r="Z213" s="380"/>
      <c r="AA213" s="380"/>
    </row>
    <row r="214">
      <c r="A214" s="380"/>
      <c r="B214" s="380"/>
      <c r="C214" s="380"/>
      <c r="D214" s="380"/>
      <c r="E214" s="380"/>
      <c r="F214" s="415"/>
      <c r="G214" s="380"/>
      <c r="H214" s="380"/>
      <c r="I214" s="428"/>
      <c r="J214" s="429"/>
      <c r="K214" s="380"/>
      <c r="L214" s="415"/>
      <c r="M214" s="380"/>
      <c r="N214" s="380"/>
      <c r="O214" s="430"/>
      <c r="P214" s="380"/>
      <c r="Q214" s="380"/>
      <c r="R214" s="380"/>
      <c r="S214" s="380"/>
      <c r="T214" s="380"/>
      <c r="U214" s="380"/>
      <c r="V214" s="380"/>
      <c r="W214" s="380"/>
      <c r="X214" s="380"/>
      <c r="Y214" s="380"/>
      <c r="Z214" s="380"/>
      <c r="AA214" s="380"/>
    </row>
    <row r="215">
      <c r="A215" s="380"/>
      <c r="B215" s="380"/>
      <c r="C215" s="380"/>
      <c r="D215" s="380"/>
      <c r="E215" s="380"/>
      <c r="F215" s="415"/>
      <c r="G215" s="380"/>
      <c r="H215" s="380"/>
      <c r="I215" s="428"/>
      <c r="J215" s="429"/>
      <c r="K215" s="380"/>
      <c r="L215" s="415"/>
      <c r="M215" s="380"/>
      <c r="N215" s="380"/>
      <c r="O215" s="430"/>
      <c r="P215" s="380"/>
      <c r="Q215" s="380"/>
      <c r="R215" s="380"/>
      <c r="S215" s="380"/>
      <c r="T215" s="380"/>
      <c r="U215" s="380"/>
      <c r="V215" s="380"/>
      <c r="W215" s="380"/>
      <c r="X215" s="380"/>
      <c r="Y215" s="380"/>
      <c r="Z215" s="380"/>
      <c r="AA215" s="380"/>
    </row>
    <row r="216">
      <c r="A216" s="380"/>
      <c r="B216" s="380"/>
      <c r="C216" s="380"/>
      <c r="D216" s="380"/>
      <c r="E216" s="380"/>
      <c r="F216" s="415"/>
      <c r="G216" s="380"/>
      <c r="H216" s="380"/>
      <c r="I216" s="428"/>
      <c r="J216" s="429"/>
      <c r="K216" s="380"/>
      <c r="L216" s="415"/>
      <c r="M216" s="380"/>
      <c r="N216" s="380"/>
      <c r="O216" s="430"/>
      <c r="P216" s="380"/>
      <c r="Q216" s="380"/>
      <c r="R216" s="380"/>
      <c r="S216" s="380"/>
      <c r="T216" s="380"/>
      <c r="U216" s="380"/>
      <c r="V216" s="380"/>
      <c r="W216" s="380"/>
      <c r="X216" s="380"/>
      <c r="Y216" s="380"/>
      <c r="Z216" s="380"/>
      <c r="AA216" s="380"/>
    </row>
    <row r="217">
      <c r="A217" s="380"/>
      <c r="B217" s="380"/>
      <c r="C217" s="380"/>
      <c r="D217" s="380"/>
      <c r="E217" s="380"/>
      <c r="F217" s="415"/>
      <c r="G217" s="380"/>
      <c r="H217" s="380"/>
      <c r="I217" s="428"/>
      <c r="J217" s="429"/>
      <c r="K217" s="380"/>
      <c r="L217" s="415"/>
      <c r="M217" s="380"/>
      <c r="N217" s="380"/>
      <c r="O217" s="430"/>
      <c r="P217" s="380"/>
      <c r="Q217" s="380"/>
      <c r="R217" s="380"/>
      <c r="S217" s="380"/>
      <c r="T217" s="380"/>
      <c r="U217" s="380"/>
      <c r="V217" s="380"/>
      <c r="W217" s="380"/>
      <c r="X217" s="380"/>
      <c r="Y217" s="380"/>
      <c r="Z217" s="380"/>
      <c r="AA217" s="380"/>
    </row>
    <row r="218">
      <c r="A218" s="380"/>
      <c r="B218" s="380"/>
      <c r="C218" s="380"/>
      <c r="D218" s="380"/>
      <c r="E218" s="380"/>
      <c r="F218" s="415"/>
      <c r="G218" s="380"/>
      <c r="H218" s="380"/>
      <c r="I218" s="428"/>
      <c r="J218" s="429"/>
      <c r="K218" s="380"/>
      <c r="L218" s="415"/>
      <c r="M218" s="380"/>
      <c r="N218" s="380"/>
      <c r="O218" s="430"/>
      <c r="P218" s="380"/>
      <c r="Q218" s="380"/>
      <c r="R218" s="380"/>
      <c r="S218" s="380"/>
      <c r="T218" s="380"/>
      <c r="U218" s="380"/>
      <c r="V218" s="380"/>
      <c r="W218" s="380"/>
      <c r="X218" s="380"/>
      <c r="Y218" s="380"/>
      <c r="Z218" s="380"/>
      <c r="AA218" s="380"/>
    </row>
    <row r="219">
      <c r="A219" s="380"/>
      <c r="B219" s="380"/>
      <c r="C219" s="380"/>
      <c r="D219" s="380"/>
      <c r="E219" s="380"/>
      <c r="F219" s="415"/>
      <c r="G219" s="380"/>
      <c r="H219" s="380"/>
      <c r="I219" s="428"/>
      <c r="J219" s="429"/>
      <c r="K219" s="380"/>
      <c r="L219" s="415"/>
      <c r="M219" s="380"/>
      <c r="N219" s="380"/>
      <c r="O219" s="430"/>
      <c r="P219" s="380"/>
      <c r="Q219" s="380"/>
      <c r="R219" s="380"/>
      <c r="S219" s="380"/>
      <c r="T219" s="380"/>
      <c r="U219" s="380"/>
      <c r="V219" s="380"/>
      <c r="W219" s="380"/>
      <c r="X219" s="380"/>
      <c r="Y219" s="380"/>
      <c r="Z219" s="380"/>
      <c r="AA219" s="380"/>
    </row>
    <row r="220">
      <c r="A220" s="380"/>
      <c r="B220" s="380"/>
      <c r="C220" s="380"/>
      <c r="D220" s="380"/>
      <c r="E220" s="380"/>
      <c r="F220" s="415"/>
      <c r="G220" s="380"/>
      <c r="H220" s="380"/>
      <c r="I220" s="428"/>
      <c r="J220" s="429"/>
      <c r="K220" s="380"/>
      <c r="L220" s="415"/>
      <c r="M220" s="380"/>
      <c r="N220" s="380"/>
      <c r="O220" s="430"/>
      <c r="P220" s="380"/>
      <c r="Q220" s="380"/>
      <c r="R220" s="380"/>
      <c r="S220" s="380"/>
      <c r="T220" s="380"/>
      <c r="U220" s="380"/>
      <c r="V220" s="380"/>
      <c r="W220" s="380"/>
      <c r="X220" s="380"/>
      <c r="Y220" s="380"/>
      <c r="Z220" s="380"/>
      <c r="AA220" s="380"/>
    </row>
    <row r="221">
      <c r="A221" s="380"/>
      <c r="B221" s="380"/>
      <c r="C221" s="380"/>
      <c r="D221" s="380"/>
      <c r="E221" s="380"/>
      <c r="F221" s="415"/>
      <c r="G221" s="380"/>
      <c r="H221" s="380"/>
      <c r="I221" s="428"/>
      <c r="J221" s="429"/>
      <c r="K221" s="380"/>
      <c r="L221" s="415"/>
      <c r="M221" s="380"/>
      <c r="N221" s="380"/>
      <c r="O221" s="430"/>
      <c r="P221" s="380"/>
      <c r="Q221" s="380"/>
      <c r="R221" s="380"/>
      <c r="S221" s="380"/>
      <c r="T221" s="380"/>
      <c r="U221" s="380"/>
      <c r="V221" s="380"/>
      <c r="W221" s="380"/>
      <c r="X221" s="380"/>
      <c r="Y221" s="380"/>
      <c r="Z221" s="380"/>
      <c r="AA221" s="380"/>
    </row>
    <row r="222">
      <c r="A222" s="380"/>
      <c r="B222" s="380"/>
      <c r="C222" s="380"/>
      <c r="D222" s="380"/>
      <c r="E222" s="380"/>
      <c r="F222" s="415"/>
      <c r="G222" s="380"/>
      <c r="H222" s="380"/>
      <c r="I222" s="428"/>
      <c r="J222" s="429"/>
      <c r="K222" s="380"/>
      <c r="L222" s="415"/>
      <c r="M222" s="380"/>
      <c r="N222" s="380"/>
      <c r="O222" s="430"/>
      <c r="P222" s="380"/>
      <c r="Q222" s="380"/>
      <c r="R222" s="380"/>
      <c r="S222" s="380"/>
      <c r="T222" s="380"/>
      <c r="U222" s="380"/>
      <c r="V222" s="380"/>
      <c r="W222" s="380"/>
      <c r="X222" s="380"/>
      <c r="Y222" s="380"/>
      <c r="Z222" s="380"/>
      <c r="AA222" s="380"/>
    </row>
    <row r="223">
      <c r="A223" s="380"/>
      <c r="B223" s="380"/>
      <c r="C223" s="380"/>
      <c r="D223" s="380"/>
      <c r="E223" s="380"/>
      <c r="F223" s="415"/>
      <c r="G223" s="380"/>
      <c r="H223" s="380"/>
      <c r="I223" s="428"/>
      <c r="J223" s="429"/>
      <c r="K223" s="380"/>
      <c r="L223" s="415"/>
      <c r="M223" s="380"/>
      <c r="N223" s="380"/>
      <c r="O223" s="430"/>
      <c r="P223" s="380"/>
      <c r="Q223" s="380"/>
      <c r="R223" s="380"/>
      <c r="S223" s="380"/>
      <c r="T223" s="380"/>
      <c r="U223" s="380"/>
      <c r="V223" s="380"/>
      <c r="W223" s="380"/>
      <c r="X223" s="380"/>
      <c r="Y223" s="380"/>
      <c r="Z223" s="380"/>
      <c r="AA223" s="380"/>
    </row>
    <row r="224">
      <c r="A224" s="380"/>
      <c r="B224" s="380"/>
      <c r="C224" s="380"/>
      <c r="D224" s="380"/>
      <c r="E224" s="380"/>
      <c r="F224" s="415"/>
      <c r="G224" s="380"/>
      <c r="H224" s="380"/>
      <c r="I224" s="428"/>
      <c r="J224" s="429"/>
      <c r="K224" s="380"/>
      <c r="L224" s="415"/>
      <c r="M224" s="380"/>
      <c r="N224" s="380"/>
      <c r="O224" s="430"/>
      <c r="P224" s="380"/>
      <c r="Q224" s="380"/>
      <c r="R224" s="380"/>
      <c r="S224" s="380"/>
      <c r="T224" s="380"/>
      <c r="U224" s="380"/>
      <c r="V224" s="380"/>
      <c r="W224" s="380"/>
      <c r="X224" s="380"/>
      <c r="Y224" s="380"/>
      <c r="Z224" s="380"/>
      <c r="AA224" s="380"/>
    </row>
    <row r="225">
      <c r="A225" s="380"/>
      <c r="B225" s="380"/>
      <c r="C225" s="380"/>
      <c r="D225" s="380"/>
      <c r="E225" s="380"/>
      <c r="F225" s="415"/>
      <c r="G225" s="380"/>
      <c r="H225" s="380"/>
      <c r="I225" s="428"/>
      <c r="J225" s="429"/>
      <c r="K225" s="380"/>
      <c r="L225" s="415"/>
      <c r="M225" s="380"/>
      <c r="N225" s="380"/>
      <c r="O225" s="430"/>
      <c r="P225" s="380"/>
      <c r="Q225" s="380"/>
      <c r="R225" s="380"/>
      <c r="S225" s="380"/>
      <c r="T225" s="380"/>
      <c r="U225" s="380"/>
      <c r="V225" s="380"/>
      <c r="W225" s="380"/>
      <c r="X225" s="380"/>
      <c r="Y225" s="380"/>
      <c r="Z225" s="380"/>
      <c r="AA225" s="380"/>
    </row>
    <row r="226">
      <c r="A226" s="380"/>
      <c r="B226" s="380"/>
      <c r="C226" s="380"/>
      <c r="D226" s="380"/>
      <c r="E226" s="380"/>
      <c r="F226" s="415"/>
      <c r="G226" s="380"/>
      <c r="H226" s="380"/>
      <c r="I226" s="428"/>
      <c r="J226" s="429"/>
      <c r="K226" s="380"/>
      <c r="L226" s="415"/>
      <c r="M226" s="380"/>
      <c r="N226" s="380"/>
      <c r="O226" s="430"/>
      <c r="P226" s="380"/>
      <c r="Q226" s="380"/>
      <c r="R226" s="380"/>
      <c r="S226" s="380"/>
      <c r="T226" s="380"/>
      <c r="U226" s="380"/>
      <c r="V226" s="380"/>
      <c r="W226" s="380"/>
      <c r="X226" s="380"/>
      <c r="Y226" s="380"/>
      <c r="Z226" s="380"/>
      <c r="AA226" s="380"/>
    </row>
    <row r="227">
      <c r="A227" s="380"/>
      <c r="B227" s="380"/>
      <c r="C227" s="380"/>
      <c r="D227" s="380"/>
      <c r="E227" s="380"/>
      <c r="F227" s="415"/>
      <c r="G227" s="380"/>
      <c r="H227" s="380"/>
      <c r="I227" s="428"/>
      <c r="J227" s="429"/>
      <c r="K227" s="380"/>
      <c r="L227" s="415"/>
      <c r="M227" s="380"/>
      <c r="N227" s="380"/>
      <c r="O227" s="430"/>
      <c r="P227" s="380"/>
      <c r="Q227" s="380"/>
      <c r="R227" s="380"/>
      <c r="S227" s="380"/>
      <c r="T227" s="380"/>
      <c r="U227" s="380"/>
      <c r="V227" s="380"/>
      <c r="W227" s="380"/>
      <c r="X227" s="380"/>
      <c r="Y227" s="380"/>
      <c r="Z227" s="380"/>
      <c r="AA227" s="380"/>
    </row>
    <row r="228">
      <c r="A228" s="380"/>
      <c r="B228" s="380"/>
      <c r="C228" s="380"/>
      <c r="D228" s="380"/>
      <c r="E228" s="380"/>
      <c r="F228" s="415"/>
      <c r="G228" s="380"/>
      <c r="H228" s="380"/>
      <c r="I228" s="428"/>
      <c r="J228" s="429"/>
      <c r="K228" s="380"/>
      <c r="L228" s="415"/>
      <c r="M228" s="380"/>
      <c r="N228" s="380"/>
      <c r="O228" s="430"/>
      <c r="P228" s="380"/>
      <c r="Q228" s="380"/>
      <c r="R228" s="380"/>
      <c r="S228" s="380"/>
      <c r="T228" s="380"/>
      <c r="U228" s="380"/>
      <c r="V228" s="380"/>
      <c r="W228" s="380"/>
      <c r="X228" s="380"/>
      <c r="Y228" s="380"/>
      <c r="Z228" s="380"/>
      <c r="AA228" s="380"/>
    </row>
    <row r="229">
      <c r="A229" s="380"/>
      <c r="B229" s="380"/>
      <c r="C229" s="380"/>
      <c r="D229" s="380"/>
      <c r="E229" s="380"/>
      <c r="F229" s="415"/>
      <c r="G229" s="380"/>
      <c r="H229" s="380"/>
      <c r="I229" s="428"/>
      <c r="J229" s="429"/>
      <c r="K229" s="380"/>
      <c r="L229" s="415"/>
      <c r="M229" s="380"/>
      <c r="N229" s="380"/>
      <c r="O229" s="430"/>
      <c r="P229" s="380"/>
      <c r="Q229" s="380"/>
      <c r="R229" s="380"/>
      <c r="S229" s="380"/>
      <c r="T229" s="380"/>
      <c r="U229" s="380"/>
      <c r="V229" s="380"/>
      <c r="W229" s="380"/>
      <c r="X229" s="380"/>
      <c r="Y229" s="380"/>
      <c r="Z229" s="380"/>
      <c r="AA229" s="380"/>
    </row>
    <row r="230">
      <c r="A230" s="380"/>
      <c r="B230" s="380"/>
      <c r="C230" s="380"/>
      <c r="D230" s="380"/>
      <c r="E230" s="380"/>
      <c r="F230" s="415"/>
      <c r="G230" s="380"/>
      <c r="H230" s="380"/>
      <c r="I230" s="428"/>
      <c r="J230" s="429"/>
      <c r="K230" s="380"/>
      <c r="L230" s="415"/>
      <c r="M230" s="380"/>
      <c r="N230" s="380"/>
      <c r="O230" s="430"/>
      <c r="P230" s="380"/>
      <c r="Q230" s="380"/>
      <c r="R230" s="380"/>
      <c r="S230" s="380"/>
      <c r="T230" s="380"/>
      <c r="U230" s="380"/>
      <c r="V230" s="380"/>
      <c r="W230" s="380"/>
      <c r="X230" s="380"/>
      <c r="Y230" s="380"/>
      <c r="Z230" s="380"/>
      <c r="AA230" s="380"/>
    </row>
    <row r="231">
      <c r="A231" s="380"/>
      <c r="B231" s="380"/>
      <c r="C231" s="380"/>
      <c r="D231" s="380"/>
      <c r="E231" s="380"/>
      <c r="F231" s="415"/>
      <c r="G231" s="380"/>
      <c r="H231" s="380"/>
      <c r="I231" s="428"/>
      <c r="J231" s="429"/>
      <c r="K231" s="380"/>
      <c r="L231" s="415"/>
      <c r="M231" s="380"/>
      <c r="N231" s="380"/>
      <c r="O231" s="430"/>
      <c r="P231" s="380"/>
      <c r="Q231" s="380"/>
      <c r="R231" s="380"/>
      <c r="S231" s="380"/>
      <c r="T231" s="380"/>
      <c r="U231" s="380"/>
      <c r="V231" s="380"/>
      <c r="W231" s="380"/>
      <c r="X231" s="380"/>
      <c r="Y231" s="380"/>
      <c r="Z231" s="380"/>
      <c r="AA231" s="380"/>
    </row>
    <row r="232">
      <c r="A232" s="380"/>
      <c r="B232" s="380"/>
      <c r="C232" s="380"/>
      <c r="D232" s="380"/>
      <c r="E232" s="380"/>
      <c r="F232" s="415"/>
      <c r="G232" s="380"/>
      <c r="H232" s="380"/>
      <c r="I232" s="428"/>
      <c r="J232" s="429"/>
      <c r="K232" s="380"/>
      <c r="L232" s="415"/>
      <c r="M232" s="380"/>
      <c r="N232" s="380"/>
      <c r="O232" s="430"/>
      <c r="P232" s="380"/>
      <c r="Q232" s="380"/>
      <c r="R232" s="380"/>
      <c r="S232" s="380"/>
      <c r="T232" s="380"/>
      <c r="U232" s="380"/>
      <c r="V232" s="380"/>
      <c r="W232" s="380"/>
      <c r="X232" s="380"/>
      <c r="Y232" s="380"/>
      <c r="Z232" s="380"/>
      <c r="AA232" s="380"/>
    </row>
    <row r="233">
      <c r="A233" s="380"/>
      <c r="B233" s="380"/>
      <c r="C233" s="380"/>
      <c r="D233" s="380"/>
      <c r="E233" s="380"/>
      <c r="F233" s="415"/>
      <c r="G233" s="380"/>
      <c r="H233" s="380"/>
      <c r="I233" s="428"/>
      <c r="J233" s="429"/>
      <c r="K233" s="380"/>
      <c r="L233" s="415"/>
      <c r="M233" s="380"/>
      <c r="N233" s="380"/>
      <c r="O233" s="430"/>
      <c r="P233" s="380"/>
      <c r="Q233" s="380"/>
      <c r="R233" s="380"/>
      <c r="S233" s="380"/>
      <c r="T233" s="380"/>
      <c r="U233" s="380"/>
      <c r="V233" s="380"/>
      <c r="W233" s="380"/>
      <c r="X233" s="380"/>
      <c r="Y233" s="380"/>
      <c r="Z233" s="380"/>
      <c r="AA233" s="380"/>
    </row>
    <row r="234">
      <c r="A234" s="380"/>
      <c r="B234" s="380"/>
      <c r="C234" s="380"/>
      <c r="D234" s="380"/>
      <c r="E234" s="380"/>
      <c r="F234" s="415"/>
      <c r="G234" s="380"/>
      <c r="H234" s="380"/>
      <c r="I234" s="428"/>
      <c r="J234" s="429"/>
      <c r="K234" s="380"/>
      <c r="L234" s="415"/>
      <c r="M234" s="380"/>
      <c r="N234" s="380"/>
      <c r="O234" s="430"/>
      <c r="P234" s="380"/>
      <c r="Q234" s="380"/>
      <c r="R234" s="380"/>
      <c r="S234" s="380"/>
      <c r="T234" s="380"/>
      <c r="U234" s="380"/>
      <c r="V234" s="380"/>
      <c r="W234" s="380"/>
      <c r="X234" s="380"/>
      <c r="Y234" s="380"/>
      <c r="Z234" s="380"/>
      <c r="AA234" s="380"/>
    </row>
    <row r="235">
      <c r="A235" s="380"/>
      <c r="B235" s="380"/>
      <c r="C235" s="380"/>
      <c r="D235" s="380"/>
      <c r="E235" s="380"/>
      <c r="F235" s="415"/>
      <c r="G235" s="380"/>
      <c r="H235" s="380"/>
      <c r="I235" s="428"/>
      <c r="J235" s="429"/>
      <c r="K235" s="380"/>
      <c r="L235" s="415"/>
      <c r="M235" s="380"/>
      <c r="N235" s="380"/>
      <c r="O235" s="430"/>
      <c r="P235" s="380"/>
      <c r="Q235" s="380"/>
      <c r="R235" s="380"/>
      <c r="S235" s="380"/>
      <c r="T235" s="380"/>
      <c r="U235" s="380"/>
      <c r="V235" s="380"/>
      <c r="W235" s="380"/>
      <c r="X235" s="380"/>
      <c r="Y235" s="380"/>
      <c r="Z235" s="380"/>
      <c r="AA235" s="380"/>
    </row>
    <row r="236">
      <c r="A236" s="380"/>
      <c r="B236" s="380"/>
      <c r="C236" s="380"/>
      <c r="D236" s="380"/>
      <c r="E236" s="380"/>
      <c r="F236" s="415"/>
      <c r="G236" s="380"/>
      <c r="H236" s="380"/>
      <c r="I236" s="428"/>
      <c r="J236" s="429"/>
      <c r="K236" s="380"/>
      <c r="L236" s="415"/>
      <c r="M236" s="380"/>
      <c r="N236" s="380"/>
      <c r="O236" s="430"/>
      <c r="P236" s="380"/>
      <c r="Q236" s="380"/>
      <c r="R236" s="380"/>
      <c r="S236" s="380"/>
      <c r="T236" s="380"/>
      <c r="U236" s="380"/>
      <c r="V236" s="380"/>
      <c r="W236" s="380"/>
      <c r="X236" s="380"/>
      <c r="Y236" s="380"/>
      <c r="Z236" s="380"/>
      <c r="AA236" s="380"/>
    </row>
    <row r="237">
      <c r="A237" s="380"/>
      <c r="B237" s="380"/>
      <c r="C237" s="380"/>
      <c r="D237" s="380"/>
      <c r="E237" s="380"/>
      <c r="F237" s="415"/>
      <c r="G237" s="380"/>
      <c r="H237" s="380"/>
      <c r="I237" s="428"/>
      <c r="J237" s="429"/>
      <c r="K237" s="380"/>
      <c r="L237" s="415"/>
      <c r="M237" s="380"/>
      <c r="N237" s="380"/>
      <c r="O237" s="430"/>
      <c r="P237" s="380"/>
      <c r="Q237" s="380"/>
      <c r="R237" s="380"/>
      <c r="S237" s="380"/>
      <c r="T237" s="380"/>
      <c r="U237" s="380"/>
      <c r="V237" s="380"/>
      <c r="W237" s="380"/>
      <c r="X237" s="380"/>
      <c r="Y237" s="380"/>
      <c r="Z237" s="380"/>
      <c r="AA237" s="380"/>
    </row>
    <row r="238">
      <c r="A238" s="380"/>
      <c r="B238" s="380"/>
      <c r="C238" s="380"/>
      <c r="D238" s="380"/>
      <c r="E238" s="380"/>
      <c r="F238" s="415"/>
      <c r="G238" s="380"/>
      <c r="H238" s="380"/>
      <c r="I238" s="428"/>
      <c r="J238" s="429"/>
      <c r="K238" s="380"/>
      <c r="L238" s="415"/>
      <c r="M238" s="380"/>
      <c r="N238" s="380"/>
      <c r="O238" s="430"/>
      <c r="P238" s="380"/>
      <c r="Q238" s="380"/>
      <c r="R238" s="380"/>
      <c r="S238" s="380"/>
      <c r="T238" s="380"/>
      <c r="U238" s="380"/>
      <c r="V238" s="380"/>
      <c r="W238" s="380"/>
      <c r="X238" s="380"/>
      <c r="Y238" s="380"/>
      <c r="Z238" s="380"/>
      <c r="AA238" s="380"/>
    </row>
    <row r="239">
      <c r="A239" s="380"/>
      <c r="B239" s="380"/>
      <c r="C239" s="380"/>
      <c r="D239" s="380"/>
      <c r="E239" s="380"/>
      <c r="F239" s="415"/>
      <c r="G239" s="380"/>
      <c r="H239" s="380"/>
      <c r="I239" s="428"/>
      <c r="J239" s="429"/>
      <c r="K239" s="380"/>
      <c r="L239" s="415"/>
      <c r="M239" s="380"/>
      <c r="N239" s="380"/>
      <c r="O239" s="430"/>
      <c r="P239" s="380"/>
      <c r="Q239" s="380"/>
      <c r="R239" s="380"/>
      <c r="S239" s="380"/>
      <c r="T239" s="380"/>
      <c r="U239" s="380"/>
      <c r="V239" s="380"/>
      <c r="W239" s="380"/>
      <c r="X239" s="380"/>
      <c r="Y239" s="380"/>
      <c r="Z239" s="380"/>
      <c r="AA239" s="380"/>
    </row>
    <row r="240">
      <c r="A240" s="380"/>
      <c r="B240" s="380"/>
      <c r="C240" s="380"/>
      <c r="D240" s="380"/>
      <c r="E240" s="380"/>
      <c r="F240" s="415"/>
      <c r="G240" s="380"/>
      <c r="H240" s="380"/>
      <c r="I240" s="428"/>
      <c r="J240" s="429"/>
      <c r="K240" s="380"/>
      <c r="L240" s="415"/>
      <c r="M240" s="380"/>
      <c r="N240" s="380"/>
      <c r="O240" s="430"/>
      <c r="P240" s="380"/>
      <c r="Q240" s="380"/>
      <c r="R240" s="380"/>
      <c r="S240" s="380"/>
      <c r="T240" s="380"/>
      <c r="U240" s="380"/>
      <c r="V240" s="380"/>
      <c r="W240" s="380"/>
      <c r="X240" s="380"/>
      <c r="Y240" s="380"/>
      <c r="Z240" s="380"/>
      <c r="AA240" s="380"/>
    </row>
    <row r="241">
      <c r="A241" s="380"/>
      <c r="B241" s="380"/>
      <c r="C241" s="380"/>
      <c r="D241" s="380"/>
      <c r="E241" s="380"/>
      <c r="F241" s="415"/>
      <c r="G241" s="380"/>
      <c r="H241" s="380"/>
      <c r="I241" s="428"/>
      <c r="J241" s="429"/>
      <c r="K241" s="380"/>
      <c r="L241" s="415"/>
      <c r="M241" s="380"/>
      <c r="N241" s="380"/>
      <c r="O241" s="430"/>
      <c r="P241" s="380"/>
      <c r="Q241" s="380"/>
      <c r="R241" s="380"/>
      <c r="S241" s="380"/>
      <c r="T241" s="380"/>
      <c r="U241" s="380"/>
      <c r="V241" s="380"/>
      <c r="W241" s="380"/>
      <c r="X241" s="380"/>
      <c r="Y241" s="380"/>
      <c r="Z241" s="380"/>
      <c r="AA241" s="380"/>
    </row>
    <row r="242">
      <c r="A242" s="380"/>
      <c r="B242" s="380"/>
      <c r="C242" s="380"/>
      <c r="D242" s="380"/>
      <c r="E242" s="380"/>
      <c r="F242" s="415"/>
      <c r="G242" s="380"/>
      <c r="H242" s="380"/>
      <c r="I242" s="428"/>
      <c r="J242" s="429"/>
      <c r="K242" s="380"/>
      <c r="L242" s="415"/>
      <c r="M242" s="380"/>
      <c r="N242" s="380"/>
      <c r="O242" s="430"/>
      <c r="P242" s="380"/>
      <c r="Q242" s="380"/>
      <c r="R242" s="380"/>
      <c r="S242" s="380"/>
      <c r="T242" s="380"/>
      <c r="U242" s="380"/>
      <c r="V242" s="380"/>
      <c r="W242" s="380"/>
      <c r="X242" s="380"/>
      <c r="Y242" s="380"/>
      <c r="Z242" s="380"/>
      <c r="AA242" s="380"/>
    </row>
    <row r="243">
      <c r="A243" s="380"/>
      <c r="B243" s="380"/>
      <c r="C243" s="380"/>
      <c r="D243" s="380"/>
      <c r="E243" s="380"/>
      <c r="F243" s="415"/>
      <c r="G243" s="380"/>
      <c r="H243" s="380"/>
      <c r="I243" s="428"/>
      <c r="J243" s="429"/>
      <c r="K243" s="380"/>
      <c r="L243" s="415"/>
      <c r="M243" s="380"/>
      <c r="N243" s="380"/>
      <c r="O243" s="430"/>
      <c r="P243" s="380"/>
      <c r="Q243" s="380"/>
      <c r="R243" s="380"/>
      <c r="S243" s="380"/>
      <c r="T243" s="380"/>
      <c r="U243" s="380"/>
      <c r="V243" s="380"/>
      <c r="W243" s="380"/>
      <c r="X243" s="380"/>
      <c r="Y243" s="380"/>
      <c r="Z243" s="380"/>
      <c r="AA243" s="380"/>
    </row>
    <row r="244">
      <c r="A244" s="380"/>
      <c r="B244" s="380"/>
      <c r="C244" s="380"/>
      <c r="D244" s="380"/>
      <c r="E244" s="380"/>
      <c r="F244" s="415"/>
      <c r="G244" s="380"/>
      <c r="H244" s="380"/>
      <c r="I244" s="428"/>
      <c r="J244" s="429"/>
      <c r="K244" s="380"/>
      <c r="L244" s="415"/>
      <c r="M244" s="380"/>
      <c r="N244" s="380"/>
      <c r="O244" s="430"/>
      <c r="P244" s="380"/>
      <c r="Q244" s="380"/>
      <c r="R244" s="380"/>
      <c r="S244" s="380"/>
      <c r="T244" s="380"/>
      <c r="U244" s="380"/>
      <c r="V244" s="380"/>
      <c r="W244" s="380"/>
      <c r="X244" s="380"/>
      <c r="Y244" s="380"/>
      <c r="Z244" s="380"/>
      <c r="AA244" s="380"/>
    </row>
    <row r="245">
      <c r="A245" s="380"/>
      <c r="B245" s="380"/>
      <c r="C245" s="380"/>
      <c r="D245" s="380"/>
      <c r="E245" s="380"/>
      <c r="F245" s="415"/>
      <c r="G245" s="380"/>
      <c r="H245" s="380"/>
      <c r="I245" s="428"/>
      <c r="J245" s="429"/>
      <c r="K245" s="380"/>
      <c r="L245" s="415"/>
      <c r="M245" s="380"/>
      <c r="N245" s="380"/>
      <c r="O245" s="430"/>
      <c r="P245" s="380"/>
      <c r="Q245" s="380"/>
      <c r="R245" s="380"/>
      <c r="S245" s="380"/>
      <c r="T245" s="380"/>
      <c r="U245" s="380"/>
      <c r="V245" s="380"/>
      <c r="W245" s="380"/>
      <c r="X245" s="380"/>
      <c r="Y245" s="380"/>
      <c r="Z245" s="380"/>
      <c r="AA245" s="380"/>
    </row>
    <row r="246">
      <c r="A246" s="380"/>
      <c r="B246" s="380"/>
      <c r="C246" s="380"/>
      <c r="D246" s="380"/>
      <c r="E246" s="380"/>
      <c r="F246" s="415"/>
      <c r="G246" s="380"/>
      <c r="H246" s="380"/>
      <c r="I246" s="428"/>
      <c r="J246" s="429"/>
      <c r="K246" s="380"/>
      <c r="L246" s="415"/>
      <c r="M246" s="380"/>
      <c r="N246" s="380"/>
      <c r="O246" s="430"/>
      <c r="P246" s="380"/>
      <c r="Q246" s="380"/>
      <c r="R246" s="380"/>
      <c r="S246" s="380"/>
      <c r="T246" s="380"/>
      <c r="U246" s="380"/>
      <c r="V246" s="380"/>
      <c r="W246" s="380"/>
      <c r="X246" s="380"/>
      <c r="Y246" s="380"/>
      <c r="Z246" s="380"/>
      <c r="AA246" s="380"/>
    </row>
    <row r="247">
      <c r="A247" s="380"/>
      <c r="B247" s="380"/>
      <c r="C247" s="380"/>
      <c r="D247" s="380"/>
      <c r="E247" s="380"/>
      <c r="F247" s="415"/>
      <c r="G247" s="380"/>
      <c r="H247" s="380"/>
      <c r="I247" s="428"/>
      <c r="J247" s="429"/>
      <c r="K247" s="380"/>
      <c r="L247" s="415"/>
      <c r="M247" s="380"/>
      <c r="N247" s="380"/>
      <c r="O247" s="430"/>
      <c r="P247" s="380"/>
      <c r="Q247" s="380"/>
      <c r="R247" s="380"/>
      <c r="S247" s="380"/>
      <c r="T247" s="380"/>
      <c r="U247" s="380"/>
      <c r="V247" s="380"/>
      <c r="W247" s="380"/>
      <c r="X247" s="380"/>
      <c r="Y247" s="380"/>
      <c r="Z247" s="380"/>
      <c r="AA247" s="380"/>
    </row>
    <row r="248">
      <c r="A248" s="380"/>
      <c r="B248" s="380"/>
      <c r="C248" s="380"/>
      <c r="D248" s="380"/>
      <c r="E248" s="380"/>
      <c r="F248" s="415"/>
      <c r="G248" s="380"/>
      <c r="H248" s="380"/>
      <c r="I248" s="428"/>
      <c r="J248" s="429"/>
      <c r="K248" s="380"/>
      <c r="L248" s="415"/>
      <c r="M248" s="380"/>
      <c r="N248" s="380"/>
      <c r="O248" s="430"/>
      <c r="P248" s="380"/>
      <c r="Q248" s="380"/>
      <c r="R248" s="380"/>
      <c r="S248" s="380"/>
      <c r="T248" s="380"/>
      <c r="U248" s="380"/>
      <c r="V248" s="380"/>
      <c r="W248" s="380"/>
      <c r="X248" s="380"/>
      <c r="Y248" s="380"/>
      <c r="Z248" s="380"/>
      <c r="AA248" s="380"/>
    </row>
    <row r="249">
      <c r="A249" s="380"/>
      <c r="B249" s="380"/>
      <c r="C249" s="380"/>
      <c r="D249" s="380"/>
      <c r="E249" s="380"/>
      <c r="F249" s="415"/>
      <c r="G249" s="380"/>
      <c r="H249" s="380"/>
      <c r="I249" s="428"/>
      <c r="J249" s="429"/>
      <c r="K249" s="380"/>
      <c r="L249" s="415"/>
      <c r="M249" s="380"/>
      <c r="N249" s="380"/>
      <c r="O249" s="430"/>
      <c r="P249" s="380"/>
      <c r="Q249" s="380"/>
      <c r="R249" s="380"/>
      <c r="S249" s="380"/>
      <c r="T249" s="380"/>
      <c r="U249" s="380"/>
      <c r="V249" s="380"/>
      <c r="W249" s="380"/>
      <c r="X249" s="380"/>
      <c r="Y249" s="380"/>
      <c r="Z249" s="380"/>
      <c r="AA249" s="380"/>
    </row>
    <row r="250">
      <c r="A250" s="380"/>
      <c r="B250" s="380"/>
      <c r="C250" s="380"/>
      <c r="D250" s="380"/>
      <c r="E250" s="380"/>
      <c r="F250" s="415"/>
      <c r="G250" s="380"/>
      <c r="H250" s="380"/>
      <c r="I250" s="428"/>
      <c r="J250" s="429"/>
      <c r="K250" s="380"/>
      <c r="L250" s="415"/>
      <c r="M250" s="380"/>
      <c r="N250" s="380"/>
      <c r="O250" s="430"/>
      <c r="P250" s="380"/>
      <c r="Q250" s="380"/>
      <c r="R250" s="380"/>
      <c r="S250" s="380"/>
      <c r="T250" s="380"/>
      <c r="U250" s="380"/>
      <c r="V250" s="380"/>
      <c r="W250" s="380"/>
      <c r="X250" s="380"/>
      <c r="Y250" s="380"/>
      <c r="Z250" s="380"/>
      <c r="AA250" s="380"/>
    </row>
    <row r="251">
      <c r="A251" s="380"/>
      <c r="B251" s="380"/>
      <c r="C251" s="380"/>
      <c r="D251" s="380"/>
      <c r="E251" s="380"/>
      <c r="F251" s="415"/>
      <c r="G251" s="380"/>
      <c r="H251" s="380"/>
      <c r="I251" s="428"/>
      <c r="J251" s="429"/>
      <c r="K251" s="380"/>
      <c r="L251" s="415"/>
      <c r="M251" s="380"/>
      <c r="N251" s="380"/>
      <c r="O251" s="430"/>
      <c r="P251" s="380"/>
      <c r="Q251" s="380"/>
      <c r="R251" s="380"/>
      <c r="S251" s="380"/>
      <c r="T251" s="380"/>
      <c r="U251" s="380"/>
      <c r="V251" s="380"/>
      <c r="W251" s="380"/>
      <c r="X251" s="380"/>
      <c r="Y251" s="380"/>
      <c r="Z251" s="380"/>
      <c r="AA251" s="380"/>
    </row>
    <row r="252">
      <c r="A252" s="380"/>
      <c r="B252" s="380"/>
      <c r="C252" s="380"/>
      <c r="D252" s="380"/>
      <c r="E252" s="380"/>
      <c r="F252" s="415"/>
      <c r="G252" s="380"/>
      <c r="H252" s="380"/>
      <c r="I252" s="428"/>
      <c r="J252" s="429"/>
      <c r="K252" s="380"/>
      <c r="L252" s="415"/>
      <c r="M252" s="380"/>
      <c r="N252" s="380"/>
      <c r="O252" s="430"/>
      <c r="P252" s="380"/>
      <c r="Q252" s="380"/>
      <c r="R252" s="380"/>
      <c r="S252" s="380"/>
      <c r="T252" s="380"/>
      <c r="U252" s="380"/>
      <c r="V252" s="380"/>
      <c r="W252" s="380"/>
      <c r="X252" s="380"/>
      <c r="Y252" s="380"/>
      <c r="Z252" s="380"/>
      <c r="AA252" s="380"/>
    </row>
    <row r="253">
      <c r="A253" s="380"/>
      <c r="B253" s="380"/>
      <c r="C253" s="380"/>
      <c r="D253" s="380"/>
      <c r="E253" s="380"/>
      <c r="F253" s="415"/>
      <c r="G253" s="380"/>
      <c r="H253" s="380"/>
      <c r="I253" s="428"/>
      <c r="J253" s="429"/>
      <c r="K253" s="380"/>
      <c r="L253" s="415"/>
      <c r="M253" s="380"/>
      <c r="N253" s="380"/>
      <c r="O253" s="430"/>
      <c r="P253" s="380"/>
      <c r="Q253" s="380"/>
      <c r="R253" s="380"/>
      <c r="S253" s="380"/>
      <c r="T253" s="380"/>
      <c r="U253" s="380"/>
      <c r="V253" s="380"/>
      <c r="W253" s="380"/>
      <c r="X253" s="380"/>
      <c r="Y253" s="380"/>
      <c r="Z253" s="380"/>
      <c r="AA253" s="380"/>
    </row>
    <row r="254">
      <c r="A254" s="380"/>
      <c r="B254" s="380"/>
      <c r="C254" s="380"/>
      <c r="D254" s="380"/>
      <c r="E254" s="380"/>
      <c r="F254" s="415"/>
      <c r="G254" s="380"/>
      <c r="H254" s="380"/>
      <c r="I254" s="428"/>
      <c r="J254" s="429"/>
      <c r="K254" s="380"/>
      <c r="L254" s="415"/>
      <c r="M254" s="380"/>
      <c r="N254" s="380"/>
      <c r="O254" s="430"/>
      <c r="P254" s="380"/>
      <c r="Q254" s="380"/>
      <c r="R254" s="380"/>
      <c r="S254" s="380"/>
      <c r="T254" s="380"/>
      <c r="U254" s="380"/>
      <c r="V254" s="380"/>
      <c r="W254" s="380"/>
      <c r="X254" s="380"/>
      <c r="Y254" s="380"/>
      <c r="Z254" s="380"/>
      <c r="AA254" s="380"/>
    </row>
    <row r="255">
      <c r="A255" s="380"/>
      <c r="B255" s="380"/>
      <c r="C255" s="380"/>
      <c r="D255" s="380"/>
      <c r="E255" s="380"/>
      <c r="F255" s="415"/>
      <c r="G255" s="380"/>
      <c r="H255" s="380"/>
      <c r="I255" s="428"/>
      <c r="J255" s="429"/>
      <c r="K255" s="380"/>
      <c r="L255" s="415"/>
      <c r="M255" s="380"/>
      <c r="N255" s="380"/>
      <c r="O255" s="430"/>
      <c r="P255" s="380"/>
      <c r="Q255" s="380"/>
      <c r="R255" s="380"/>
      <c r="S255" s="380"/>
      <c r="T255" s="380"/>
      <c r="U255" s="380"/>
      <c r="V255" s="380"/>
      <c r="W255" s="380"/>
      <c r="X255" s="380"/>
      <c r="Y255" s="380"/>
      <c r="Z255" s="380"/>
      <c r="AA255" s="380"/>
    </row>
    <row r="256">
      <c r="A256" s="380"/>
      <c r="B256" s="380"/>
      <c r="C256" s="380"/>
      <c r="D256" s="380"/>
      <c r="E256" s="380"/>
      <c r="F256" s="415"/>
      <c r="G256" s="380"/>
      <c r="H256" s="380"/>
      <c r="I256" s="428"/>
      <c r="J256" s="429"/>
      <c r="K256" s="380"/>
      <c r="L256" s="415"/>
      <c r="M256" s="380"/>
      <c r="N256" s="380"/>
      <c r="O256" s="430"/>
      <c r="P256" s="380"/>
      <c r="Q256" s="380"/>
      <c r="R256" s="380"/>
      <c r="S256" s="380"/>
      <c r="T256" s="380"/>
      <c r="U256" s="380"/>
      <c r="V256" s="380"/>
      <c r="W256" s="380"/>
      <c r="X256" s="380"/>
      <c r="Y256" s="380"/>
      <c r="Z256" s="380"/>
      <c r="AA256" s="380"/>
    </row>
    <row r="257">
      <c r="A257" s="380"/>
      <c r="B257" s="380"/>
      <c r="C257" s="380"/>
      <c r="D257" s="380"/>
      <c r="E257" s="380"/>
      <c r="F257" s="415"/>
      <c r="G257" s="380"/>
      <c r="H257" s="380"/>
      <c r="I257" s="428"/>
      <c r="J257" s="429"/>
      <c r="K257" s="380"/>
      <c r="L257" s="415"/>
      <c r="M257" s="380"/>
      <c r="N257" s="380"/>
      <c r="O257" s="430"/>
      <c r="P257" s="380"/>
      <c r="Q257" s="380"/>
      <c r="R257" s="380"/>
      <c r="S257" s="380"/>
      <c r="T257" s="380"/>
      <c r="U257" s="380"/>
      <c r="V257" s="380"/>
      <c r="W257" s="380"/>
      <c r="X257" s="380"/>
      <c r="Y257" s="380"/>
      <c r="Z257" s="380"/>
      <c r="AA257" s="380"/>
    </row>
    <row r="258">
      <c r="A258" s="380"/>
      <c r="B258" s="380"/>
      <c r="C258" s="380"/>
      <c r="D258" s="380"/>
      <c r="E258" s="380"/>
      <c r="F258" s="415"/>
      <c r="G258" s="380"/>
      <c r="H258" s="380"/>
      <c r="I258" s="428"/>
      <c r="J258" s="429"/>
      <c r="K258" s="380"/>
      <c r="L258" s="415"/>
      <c r="M258" s="380"/>
      <c r="N258" s="380"/>
      <c r="O258" s="430"/>
      <c r="P258" s="380"/>
      <c r="Q258" s="380"/>
      <c r="R258" s="380"/>
      <c r="S258" s="380"/>
      <c r="T258" s="380"/>
      <c r="U258" s="380"/>
      <c r="V258" s="380"/>
      <c r="W258" s="380"/>
      <c r="X258" s="380"/>
      <c r="Y258" s="380"/>
      <c r="Z258" s="380"/>
      <c r="AA258" s="380"/>
    </row>
    <row r="259">
      <c r="A259" s="380"/>
      <c r="B259" s="380"/>
      <c r="C259" s="380"/>
      <c r="D259" s="380"/>
      <c r="E259" s="380"/>
      <c r="F259" s="415"/>
      <c r="G259" s="380"/>
      <c r="H259" s="380"/>
      <c r="I259" s="428"/>
      <c r="J259" s="429"/>
      <c r="K259" s="380"/>
      <c r="L259" s="415"/>
      <c r="M259" s="380"/>
      <c r="N259" s="380"/>
      <c r="O259" s="430"/>
      <c r="P259" s="380"/>
      <c r="Q259" s="380"/>
      <c r="R259" s="380"/>
      <c r="S259" s="380"/>
      <c r="T259" s="380"/>
      <c r="U259" s="380"/>
      <c r="V259" s="380"/>
      <c r="W259" s="380"/>
      <c r="X259" s="380"/>
      <c r="Y259" s="380"/>
      <c r="Z259" s="380"/>
      <c r="AA259" s="380"/>
    </row>
    <row r="260">
      <c r="A260" s="380"/>
      <c r="B260" s="380"/>
      <c r="C260" s="380"/>
      <c r="D260" s="380"/>
      <c r="E260" s="380"/>
      <c r="F260" s="415"/>
      <c r="G260" s="380"/>
      <c r="H260" s="380"/>
      <c r="I260" s="428"/>
      <c r="J260" s="429"/>
      <c r="K260" s="380"/>
      <c r="L260" s="415"/>
      <c r="M260" s="380"/>
      <c r="N260" s="380"/>
      <c r="O260" s="430"/>
      <c r="P260" s="380"/>
      <c r="Q260" s="380"/>
      <c r="R260" s="380"/>
      <c r="S260" s="380"/>
      <c r="T260" s="380"/>
      <c r="U260" s="380"/>
      <c r="V260" s="380"/>
      <c r="W260" s="380"/>
      <c r="X260" s="380"/>
      <c r="Y260" s="380"/>
      <c r="Z260" s="380"/>
      <c r="AA260" s="380"/>
    </row>
    <row r="261">
      <c r="A261" s="380"/>
      <c r="B261" s="380"/>
      <c r="C261" s="380"/>
      <c r="D261" s="380"/>
      <c r="E261" s="380"/>
      <c r="F261" s="415"/>
      <c r="G261" s="380"/>
      <c r="H261" s="380"/>
      <c r="I261" s="428"/>
      <c r="J261" s="429"/>
      <c r="K261" s="380"/>
      <c r="L261" s="415"/>
      <c r="M261" s="380"/>
      <c r="N261" s="380"/>
      <c r="O261" s="430"/>
      <c r="P261" s="380"/>
      <c r="Q261" s="380"/>
      <c r="R261" s="380"/>
      <c r="S261" s="380"/>
      <c r="T261" s="380"/>
      <c r="U261" s="380"/>
      <c r="V261" s="380"/>
      <c r="W261" s="380"/>
      <c r="X261" s="380"/>
      <c r="Y261" s="380"/>
      <c r="Z261" s="380"/>
      <c r="AA261" s="380"/>
    </row>
    <row r="262">
      <c r="A262" s="380"/>
      <c r="B262" s="380"/>
      <c r="C262" s="380"/>
      <c r="D262" s="380"/>
      <c r="E262" s="380"/>
      <c r="F262" s="415"/>
      <c r="G262" s="380"/>
      <c r="H262" s="380"/>
      <c r="I262" s="428"/>
      <c r="J262" s="429"/>
      <c r="K262" s="380"/>
      <c r="L262" s="415"/>
      <c r="M262" s="380"/>
      <c r="N262" s="380"/>
      <c r="O262" s="430"/>
      <c r="P262" s="380"/>
      <c r="Q262" s="380"/>
      <c r="R262" s="380"/>
      <c r="S262" s="380"/>
      <c r="T262" s="380"/>
      <c r="U262" s="380"/>
      <c r="V262" s="380"/>
      <c r="W262" s="380"/>
      <c r="X262" s="380"/>
      <c r="Y262" s="380"/>
      <c r="Z262" s="380"/>
      <c r="AA262" s="380"/>
    </row>
    <row r="263">
      <c r="A263" s="380"/>
      <c r="B263" s="380"/>
      <c r="C263" s="380"/>
      <c r="D263" s="380"/>
      <c r="E263" s="380"/>
      <c r="F263" s="415"/>
      <c r="G263" s="380"/>
      <c r="H263" s="380"/>
      <c r="I263" s="428"/>
      <c r="J263" s="429"/>
      <c r="K263" s="380"/>
      <c r="L263" s="415"/>
      <c r="M263" s="380"/>
      <c r="N263" s="380"/>
      <c r="O263" s="430"/>
      <c r="P263" s="380"/>
      <c r="Q263" s="380"/>
      <c r="R263" s="380"/>
      <c r="S263" s="380"/>
      <c r="T263" s="380"/>
      <c r="U263" s="380"/>
      <c r="V263" s="380"/>
      <c r="W263" s="380"/>
      <c r="X263" s="380"/>
      <c r="Y263" s="380"/>
      <c r="Z263" s="380"/>
      <c r="AA263" s="380"/>
    </row>
    <row r="264">
      <c r="A264" s="380"/>
      <c r="B264" s="380"/>
      <c r="C264" s="380"/>
      <c r="D264" s="380"/>
      <c r="E264" s="380"/>
      <c r="F264" s="415"/>
      <c r="G264" s="380"/>
      <c r="H264" s="380"/>
      <c r="I264" s="428"/>
      <c r="J264" s="429"/>
      <c r="K264" s="380"/>
      <c r="L264" s="415"/>
      <c r="M264" s="380"/>
      <c r="N264" s="380"/>
      <c r="O264" s="430"/>
      <c r="P264" s="380"/>
      <c r="Q264" s="380"/>
      <c r="R264" s="380"/>
      <c r="S264" s="380"/>
      <c r="T264" s="380"/>
      <c r="U264" s="380"/>
      <c r="V264" s="380"/>
      <c r="W264" s="380"/>
      <c r="X264" s="380"/>
      <c r="Y264" s="380"/>
      <c r="Z264" s="380"/>
      <c r="AA264" s="380"/>
    </row>
    <row r="265">
      <c r="A265" s="380"/>
      <c r="B265" s="380"/>
      <c r="C265" s="380"/>
      <c r="D265" s="380"/>
      <c r="E265" s="380"/>
      <c r="F265" s="415"/>
      <c r="G265" s="380"/>
      <c r="H265" s="380"/>
      <c r="I265" s="428"/>
      <c r="J265" s="429"/>
      <c r="K265" s="380"/>
      <c r="L265" s="415"/>
      <c r="M265" s="380"/>
      <c r="N265" s="380"/>
      <c r="O265" s="430"/>
      <c r="P265" s="380"/>
      <c r="Q265" s="380"/>
      <c r="R265" s="380"/>
      <c r="S265" s="380"/>
      <c r="T265" s="380"/>
      <c r="U265" s="380"/>
      <c r="V265" s="380"/>
      <c r="W265" s="380"/>
      <c r="X265" s="380"/>
      <c r="Y265" s="380"/>
      <c r="Z265" s="380"/>
      <c r="AA265" s="380"/>
    </row>
    <row r="266">
      <c r="A266" s="380"/>
      <c r="B266" s="380"/>
      <c r="C266" s="380"/>
      <c r="D266" s="380"/>
      <c r="E266" s="380"/>
      <c r="F266" s="415"/>
      <c r="G266" s="380"/>
      <c r="H266" s="380"/>
      <c r="I266" s="428"/>
      <c r="J266" s="429"/>
      <c r="K266" s="380"/>
      <c r="L266" s="415"/>
      <c r="M266" s="380"/>
      <c r="N266" s="380"/>
      <c r="O266" s="430"/>
      <c r="P266" s="380"/>
      <c r="Q266" s="380"/>
      <c r="R266" s="380"/>
      <c r="S266" s="380"/>
      <c r="T266" s="380"/>
      <c r="U266" s="380"/>
      <c r="V266" s="380"/>
      <c r="W266" s="380"/>
      <c r="X266" s="380"/>
      <c r="Y266" s="380"/>
      <c r="Z266" s="380"/>
      <c r="AA266" s="380"/>
    </row>
    <row r="267">
      <c r="A267" s="380"/>
      <c r="B267" s="380"/>
      <c r="C267" s="380"/>
      <c r="D267" s="380"/>
      <c r="E267" s="380"/>
      <c r="F267" s="415"/>
      <c r="G267" s="380"/>
      <c r="H267" s="380"/>
      <c r="I267" s="428"/>
      <c r="J267" s="429"/>
      <c r="K267" s="380"/>
      <c r="L267" s="415"/>
      <c r="M267" s="380"/>
      <c r="N267" s="380"/>
      <c r="O267" s="430"/>
      <c r="P267" s="380"/>
      <c r="Q267" s="380"/>
      <c r="R267" s="380"/>
      <c r="S267" s="380"/>
      <c r="T267" s="380"/>
      <c r="U267" s="380"/>
      <c r="V267" s="380"/>
      <c r="W267" s="380"/>
      <c r="X267" s="380"/>
      <c r="Y267" s="380"/>
      <c r="Z267" s="380"/>
      <c r="AA267" s="380"/>
    </row>
    <row r="268">
      <c r="A268" s="380"/>
      <c r="B268" s="380"/>
      <c r="C268" s="380"/>
      <c r="D268" s="380"/>
      <c r="E268" s="380"/>
      <c r="F268" s="415"/>
      <c r="G268" s="380"/>
      <c r="H268" s="380"/>
      <c r="I268" s="428"/>
      <c r="J268" s="429"/>
      <c r="K268" s="380"/>
      <c r="L268" s="415"/>
      <c r="M268" s="380"/>
      <c r="N268" s="380"/>
      <c r="O268" s="430"/>
      <c r="P268" s="380"/>
      <c r="Q268" s="380"/>
      <c r="R268" s="380"/>
      <c r="S268" s="380"/>
      <c r="T268" s="380"/>
      <c r="U268" s="380"/>
      <c r="V268" s="380"/>
      <c r="W268" s="380"/>
      <c r="X268" s="380"/>
      <c r="Y268" s="380"/>
      <c r="Z268" s="380"/>
      <c r="AA268" s="380"/>
    </row>
    <row r="269">
      <c r="A269" s="380"/>
      <c r="B269" s="380"/>
      <c r="C269" s="380"/>
      <c r="D269" s="380"/>
      <c r="E269" s="380"/>
      <c r="F269" s="415"/>
      <c r="G269" s="380"/>
      <c r="H269" s="380"/>
      <c r="I269" s="428"/>
      <c r="J269" s="429"/>
      <c r="K269" s="380"/>
      <c r="L269" s="415"/>
      <c r="M269" s="380"/>
      <c r="N269" s="380"/>
      <c r="O269" s="430"/>
      <c r="P269" s="380"/>
      <c r="Q269" s="380"/>
      <c r="R269" s="380"/>
      <c r="S269" s="380"/>
      <c r="T269" s="380"/>
      <c r="U269" s="380"/>
      <c r="V269" s="380"/>
      <c r="W269" s="380"/>
      <c r="X269" s="380"/>
      <c r="Y269" s="380"/>
      <c r="Z269" s="380"/>
      <c r="AA269" s="380"/>
    </row>
    <row r="270">
      <c r="A270" s="380"/>
      <c r="B270" s="380"/>
      <c r="C270" s="380"/>
      <c r="D270" s="380"/>
      <c r="E270" s="380"/>
      <c r="F270" s="415"/>
      <c r="G270" s="380"/>
      <c r="H270" s="380"/>
      <c r="I270" s="428"/>
      <c r="J270" s="429"/>
      <c r="K270" s="380"/>
      <c r="L270" s="415"/>
      <c r="M270" s="380"/>
      <c r="N270" s="380"/>
      <c r="O270" s="430"/>
      <c r="P270" s="380"/>
      <c r="Q270" s="380"/>
      <c r="R270" s="380"/>
      <c r="S270" s="380"/>
      <c r="T270" s="380"/>
      <c r="U270" s="380"/>
      <c r="V270" s="380"/>
      <c r="W270" s="380"/>
      <c r="X270" s="380"/>
      <c r="Y270" s="380"/>
      <c r="Z270" s="380"/>
      <c r="AA270" s="380"/>
    </row>
    <row r="271">
      <c r="A271" s="380"/>
      <c r="B271" s="380"/>
      <c r="C271" s="380"/>
      <c r="D271" s="380"/>
      <c r="E271" s="380"/>
      <c r="F271" s="415"/>
      <c r="G271" s="380"/>
      <c r="H271" s="380"/>
      <c r="I271" s="428"/>
      <c r="J271" s="429"/>
      <c r="K271" s="380"/>
      <c r="L271" s="415"/>
      <c r="M271" s="380"/>
      <c r="N271" s="380"/>
      <c r="O271" s="430"/>
      <c r="P271" s="380"/>
      <c r="Q271" s="380"/>
      <c r="R271" s="380"/>
      <c r="S271" s="380"/>
      <c r="T271" s="380"/>
      <c r="U271" s="380"/>
      <c r="V271" s="380"/>
      <c r="W271" s="380"/>
      <c r="X271" s="380"/>
      <c r="Y271" s="380"/>
      <c r="Z271" s="380"/>
      <c r="AA271" s="380"/>
    </row>
    <row r="272">
      <c r="A272" s="380"/>
      <c r="B272" s="380"/>
      <c r="C272" s="380"/>
      <c r="D272" s="380"/>
      <c r="E272" s="380"/>
      <c r="F272" s="415"/>
      <c r="G272" s="380"/>
      <c r="H272" s="380"/>
      <c r="I272" s="428"/>
      <c r="J272" s="429"/>
      <c r="K272" s="380"/>
      <c r="L272" s="415"/>
      <c r="M272" s="380"/>
      <c r="N272" s="380"/>
      <c r="O272" s="430"/>
      <c r="P272" s="380"/>
      <c r="Q272" s="380"/>
      <c r="R272" s="380"/>
      <c r="S272" s="380"/>
      <c r="T272" s="380"/>
      <c r="U272" s="380"/>
      <c r="V272" s="380"/>
      <c r="W272" s="380"/>
      <c r="X272" s="380"/>
      <c r="Y272" s="380"/>
      <c r="Z272" s="380"/>
      <c r="AA272" s="380"/>
    </row>
    <row r="273">
      <c r="A273" s="380"/>
      <c r="B273" s="380"/>
      <c r="C273" s="380"/>
      <c r="D273" s="380"/>
      <c r="E273" s="380"/>
      <c r="F273" s="415"/>
      <c r="G273" s="380"/>
      <c r="H273" s="380"/>
      <c r="I273" s="428"/>
      <c r="J273" s="429"/>
      <c r="K273" s="380"/>
      <c r="L273" s="415"/>
      <c r="M273" s="380"/>
      <c r="N273" s="380"/>
      <c r="O273" s="430"/>
      <c r="P273" s="380"/>
      <c r="Q273" s="380"/>
      <c r="R273" s="380"/>
      <c r="S273" s="380"/>
      <c r="T273" s="380"/>
      <c r="U273" s="380"/>
      <c r="V273" s="380"/>
      <c r="W273" s="380"/>
      <c r="X273" s="380"/>
      <c r="Y273" s="380"/>
      <c r="Z273" s="380"/>
      <c r="AA273" s="380"/>
    </row>
    <row r="274">
      <c r="A274" s="380"/>
      <c r="B274" s="380"/>
      <c r="C274" s="380"/>
      <c r="D274" s="380"/>
      <c r="E274" s="380"/>
      <c r="F274" s="415"/>
      <c r="G274" s="380"/>
      <c r="H274" s="380"/>
      <c r="I274" s="428"/>
      <c r="J274" s="429"/>
      <c r="K274" s="380"/>
      <c r="L274" s="415"/>
      <c r="M274" s="380"/>
      <c r="N274" s="380"/>
      <c r="O274" s="430"/>
      <c r="P274" s="380"/>
      <c r="Q274" s="380"/>
      <c r="R274" s="380"/>
      <c r="S274" s="380"/>
      <c r="T274" s="380"/>
      <c r="U274" s="380"/>
      <c r="V274" s="380"/>
      <c r="W274" s="380"/>
      <c r="X274" s="380"/>
      <c r="Y274" s="380"/>
      <c r="Z274" s="380"/>
      <c r="AA274" s="380"/>
    </row>
    <row r="275">
      <c r="A275" s="380"/>
      <c r="B275" s="380"/>
      <c r="C275" s="380"/>
      <c r="D275" s="380"/>
      <c r="E275" s="380"/>
      <c r="F275" s="415"/>
      <c r="G275" s="380"/>
      <c r="H275" s="380"/>
      <c r="I275" s="428"/>
      <c r="J275" s="429"/>
      <c r="K275" s="380"/>
      <c r="L275" s="415"/>
      <c r="M275" s="380"/>
      <c r="N275" s="380"/>
      <c r="O275" s="430"/>
      <c r="P275" s="380"/>
      <c r="Q275" s="380"/>
      <c r="R275" s="380"/>
      <c r="S275" s="380"/>
      <c r="T275" s="380"/>
      <c r="U275" s="380"/>
      <c r="V275" s="380"/>
      <c r="W275" s="380"/>
      <c r="X275" s="380"/>
      <c r="Y275" s="380"/>
      <c r="Z275" s="380"/>
      <c r="AA275" s="380"/>
    </row>
    <row r="276">
      <c r="A276" s="380"/>
      <c r="B276" s="380"/>
      <c r="C276" s="380"/>
      <c r="D276" s="380"/>
      <c r="E276" s="380"/>
      <c r="F276" s="415"/>
      <c r="G276" s="380"/>
      <c r="H276" s="380"/>
      <c r="I276" s="428"/>
      <c r="J276" s="429"/>
      <c r="K276" s="380"/>
      <c r="L276" s="415"/>
      <c r="M276" s="380"/>
      <c r="N276" s="380"/>
      <c r="O276" s="430"/>
      <c r="P276" s="380"/>
      <c r="Q276" s="380"/>
      <c r="R276" s="380"/>
      <c r="S276" s="380"/>
      <c r="T276" s="380"/>
      <c r="U276" s="380"/>
      <c r="V276" s="380"/>
      <c r="W276" s="380"/>
      <c r="X276" s="380"/>
      <c r="Y276" s="380"/>
      <c r="Z276" s="380"/>
      <c r="AA276" s="380"/>
    </row>
    <row r="277">
      <c r="A277" s="380"/>
      <c r="B277" s="380"/>
      <c r="C277" s="380"/>
      <c r="D277" s="380"/>
      <c r="E277" s="380"/>
      <c r="F277" s="415"/>
      <c r="G277" s="380"/>
      <c r="H277" s="380"/>
      <c r="I277" s="428"/>
      <c r="J277" s="429"/>
      <c r="K277" s="380"/>
      <c r="L277" s="415"/>
      <c r="M277" s="380"/>
      <c r="N277" s="380"/>
      <c r="O277" s="430"/>
      <c r="P277" s="380"/>
      <c r="Q277" s="380"/>
      <c r="R277" s="380"/>
      <c r="S277" s="380"/>
      <c r="T277" s="380"/>
      <c r="U277" s="380"/>
      <c r="V277" s="380"/>
      <c r="W277" s="380"/>
      <c r="X277" s="380"/>
      <c r="Y277" s="380"/>
      <c r="Z277" s="380"/>
      <c r="AA277" s="380"/>
    </row>
    <row r="278">
      <c r="A278" s="380"/>
      <c r="B278" s="380"/>
      <c r="C278" s="380"/>
      <c r="D278" s="380"/>
      <c r="E278" s="380"/>
      <c r="F278" s="415"/>
      <c r="G278" s="380"/>
      <c r="H278" s="380"/>
      <c r="I278" s="428"/>
      <c r="J278" s="429"/>
      <c r="K278" s="380"/>
      <c r="L278" s="415"/>
      <c r="M278" s="380"/>
      <c r="N278" s="380"/>
      <c r="O278" s="430"/>
      <c r="P278" s="380"/>
      <c r="Q278" s="380"/>
      <c r="R278" s="380"/>
      <c r="S278" s="380"/>
      <c r="T278" s="380"/>
      <c r="U278" s="380"/>
      <c r="V278" s="380"/>
      <c r="W278" s="380"/>
      <c r="X278" s="380"/>
      <c r="Y278" s="380"/>
      <c r="Z278" s="380"/>
      <c r="AA278" s="380"/>
    </row>
    <row r="279">
      <c r="A279" s="380"/>
      <c r="B279" s="380"/>
      <c r="C279" s="380"/>
      <c r="D279" s="380"/>
      <c r="E279" s="380"/>
      <c r="F279" s="415"/>
      <c r="G279" s="380"/>
      <c r="H279" s="380"/>
      <c r="I279" s="428"/>
      <c r="J279" s="429"/>
      <c r="K279" s="380"/>
      <c r="L279" s="415"/>
      <c r="M279" s="380"/>
      <c r="N279" s="380"/>
      <c r="O279" s="430"/>
      <c r="P279" s="380"/>
      <c r="Q279" s="380"/>
      <c r="R279" s="380"/>
      <c r="S279" s="380"/>
      <c r="T279" s="380"/>
      <c r="U279" s="380"/>
      <c r="V279" s="380"/>
      <c r="W279" s="380"/>
      <c r="X279" s="380"/>
      <c r="Y279" s="380"/>
      <c r="Z279" s="380"/>
      <c r="AA279" s="380"/>
    </row>
    <row r="280">
      <c r="A280" s="380"/>
      <c r="B280" s="380"/>
      <c r="C280" s="380"/>
      <c r="D280" s="380"/>
      <c r="E280" s="380"/>
      <c r="F280" s="415"/>
      <c r="G280" s="380"/>
      <c r="H280" s="380"/>
      <c r="I280" s="428"/>
      <c r="J280" s="429"/>
      <c r="K280" s="380"/>
      <c r="L280" s="415"/>
      <c r="M280" s="380"/>
      <c r="N280" s="380"/>
      <c r="O280" s="430"/>
      <c r="P280" s="380"/>
      <c r="Q280" s="380"/>
      <c r="R280" s="380"/>
      <c r="S280" s="380"/>
      <c r="T280" s="380"/>
      <c r="U280" s="380"/>
      <c r="V280" s="380"/>
      <c r="W280" s="380"/>
      <c r="X280" s="380"/>
      <c r="Y280" s="380"/>
      <c r="Z280" s="380"/>
      <c r="AA280" s="380"/>
    </row>
    <row r="281">
      <c r="A281" s="380"/>
      <c r="B281" s="380"/>
      <c r="C281" s="380"/>
      <c r="D281" s="380"/>
      <c r="E281" s="380"/>
      <c r="F281" s="415"/>
      <c r="G281" s="380"/>
      <c r="H281" s="380"/>
      <c r="I281" s="428"/>
      <c r="J281" s="429"/>
      <c r="K281" s="380"/>
      <c r="L281" s="415"/>
      <c r="M281" s="380"/>
      <c r="N281" s="380"/>
      <c r="O281" s="430"/>
      <c r="P281" s="380"/>
      <c r="Q281" s="380"/>
      <c r="R281" s="380"/>
      <c r="S281" s="380"/>
      <c r="T281" s="380"/>
      <c r="U281" s="380"/>
      <c r="V281" s="380"/>
      <c r="W281" s="380"/>
      <c r="X281" s="380"/>
      <c r="Y281" s="380"/>
      <c r="Z281" s="380"/>
      <c r="AA281" s="380"/>
    </row>
    <row r="282">
      <c r="A282" s="380"/>
      <c r="B282" s="380"/>
      <c r="C282" s="380"/>
      <c r="D282" s="380"/>
      <c r="E282" s="380"/>
      <c r="F282" s="415"/>
      <c r="G282" s="380"/>
      <c r="H282" s="380"/>
      <c r="I282" s="428"/>
      <c r="J282" s="429"/>
      <c r="K282" s="380"/>
      <c r="L282" s="415"/>
      <c r="M282" s="380"/>
      <c r="N282" s="380"/>
      <c r="O282" s="430"/>
      <c r="P282" s="380"/>
      <c r="Q282" s="380"/>
      <c r="R282" s="380"/>
      <c r="S282" s="380"/>
      <c r="T282" s="380"/>
      <c r="U282" s="380"/>
      <c r="V282" s="380"/>
      <c r="W282" s="380"/>
      <c r="X282" s="380"/>
      <c r="Y282" s="380"/>
      <c r="Z282" s="380"/>
      <c r="AA282" s="380"/>
    </row>
    <row r="283">
      <c r="A283" s="380"/>
      <c r="B283" s="380"/>
      <c r="C283" s="380"/>
      <c r="D283" s="380"/>
      <c r="E283" s="380"/>
      <c r="F283" s="415"/>
      <c r="G283" s="380"/>
      <c r="H283" s="380"/>
      <c r="I283" s="428"/>
      <c r="J283" s="429"/>
      <c r="K283" s="380"/>
      <c r="L283" s="415"/>
      <c r="M283" s="380"/>
      <c r="N283" s="380"/>
      <c r="O283" s="430"/>
      <c r="P283" s="380"/>
      <c r="Q283" s="380"/>
      <c r="R283" s="380"/>
      <c r="S283" s="380"/>
      <c r="T283" s="380"/>
      <c r="U283" s="380"/>
      <c r="V283" s="380"/>
      <c r="W283" s="380"/>
      <c r="X283" s="380"/>
      <c r="Y283" s="380"/>
      <c r="Z283" s="380"/>
      <c r="AA283" s="380"/>
    </row>
    <row r="284">
      <c r="A284" s="380"/>
      <c r="B284" s="380"/>
      <c r="C284" s="380"/>
      <c r="D284" s="380"/>
      <c r="E284" s="380"/>
      <c r="F284" s="415"/>
      <c r="G284" s="380"/>
      <c r="H284" s="380"/>
      <c r="I284" s="428"/>
      <c r="J284" s="429"/>
      <c r="K284" s="380"/>
      <c r="L284" s="415"/>
      <c r="M284" s="380"/>
      <c r="N284" s="380"/>
      <c r="O284" s="430"/>
      <c r="P284" s="380"/>
      <c r="Q284" s="380"/>
      <c r="R284" s="380"/>
      <c r="S284" s="380"/>
      <c r="T284" s="380"/>
      <c r="U284" s="380"/>
      <c r="V284" s="380"/>
      <c r="W284" s="380"/>
      <c r="X284" s="380"/>
      <c r="Y284" s="380"/>
      <c r="Z284" s="380"/>
      <c r="AA284" s="380"/>
    </row>
    <row r="285">
      <c r="A285" s="380"/>
      <c r="B285" s="380"/>
      <c r="C285" s="380"/>
      <c r="D285" s="380"/>
      <c r="E285" s="380"/>
      <c r="F285" s="415"/>
      <c r="G285" s="380"/>
      <c r="H285" s="380"/>
      <c r="I285" s="428"/>
      <c r="J285" s="429"/>
      <c r="K285" s="380"/>
      <c r="L285" s="415"/>
      <c r="M285" s="380"/>
      <c r="N285" s="380"/>
      <c r="O285" s="430"/>
      <c r="P285" s="380"/>
      <c r="Q285" s="380"/>
      <c r="R285" s="380"/>
      <c r="S285" s="380"/>
      <c r="T285" s="380"/>
      <c r="U285" s="380"/>
      <c r="V285" s="380"/>
      <c r="W285" s="380"/>
      <c r="X285" s="380"/>
      <c r="Y285" s="380"/>
      <c r="Z285" s="380"/>
      <c r="AA285" s="380"/>
    </row>
    <row r="286">
      <c r="A286" s="380"/>
      <c r="B286" s="380"/>
      <c r="C286" s="380"/>
      <c r="D286" s="380"/>
      <c r="E286" s="380"/>
      <c r="F286" s="415"/>
      <c r="G286" s="380"/>
      <c r="H286" s="380"/>
      <c r="I286" s="428"/>
      <c r="J286" s="429"/>
      <c r="K286" s="380"/>
      <c r="L286" s="415"/>
      <c r="M286" s="380"/>
      <c r="N286" s="380"/>
      <c r="O286" s="430"/>
      <c r="P286" s="380"/>
      <c r="Q286" s="380"/>
      <c r="R286" s="380"/>
      <c r="S286" s="380"/>
      <c r="T286" s="380"/>
      <c r="U286" s="380"/>
      <c r="V286" s="380"/>
      <c r="W286" s="380"/>
      <c r="X286" s="380"/>
      <c r="Y286" s="380"/>
      <c r="Z286" s="380"/>
      <c r="AA286" s="380"/>
    </row>
    <row r="287">
      <c r="A287" s="380"/>
      <c r="B287" s="380"/>
      <c r="C287" s="380"/>
      <c r="D287" s="380"/>
      <c r="E287" s="380"/>
      <c r="F287" s="415"/>
      <c r="G287" s="380"/>
      <c r="H287" s="380"/>
      <c r="I287" s="428"/>
      <c r="J287" s="429"/>
      <c r="K287" s="380"/>
      <c r="L287" s="415"/>
      <c r="M287" s="380"/>
      <c r="N287" s="380"/>
      <c r="O287" s="430"/>
      <c r="P287" s="380"/>
      <c r="Q287" s="380"/>
      <c r="R287" s="380"/>
      <c r="S287" s="380"/>
      <c r="T287" s="380"/>
      <c r="U287" s="380"/>
      <c r="V287" s="380"/>
      <c r="W287" s="380"/>
      <c r="X287" s="380"/>
      <c r="Y287" s="380"/>
      <c r="Z287" s="380"/>
      <c r="AA287" s="380"/>
    </row>
    <row r="288">
      <c r="A288" s="380"/>
      <c r="B288" s="380"/>
      <c r="C288" s="380"/>
      <c r="D288" s="380"/>
      <c r="E288" s="380"/>
      <c r="F288" s="415"/>
      <c r="G288" s="380"/>
      <c r="H288" s="380"/>
      <c r="I288" s="428"/>
      <c r="J288" s="429"/>
      <c r="K288" s="380"/>
      <c r="L288" s="415"/>
      <c r="M288" s="380"/>
      <c r="N288" s="380"/>
      <c r="O288" s="430"/>
      <c r="P288" s="380"/>
      <c r="Q288" s="380"/>
      <c r="R288" s="380"/>
      <c r="S288" s="380"/>
      <c r="T288" s="380"/>
      <c r="U288" s="380"/>
      <c r="V288" s="380"/>
      <c r="W288" s="380"/>
      <c r="X288" s="380"/>
      <c r="Y288" s="380"/>
      <c r="Z288" s="380"/>
      <c r="AA288" s="380"/>
    </row>
    <row r="289">
      <c r="A289" s="380"/>
      <c r="B289" s="380"/>
      <c r="C289" s="380"/>
      <c r="D289" s="380"/>
      <c r="E289" s="380"/>
      <c r="F289" s="415"/>
      <c r="G289" s="380"/>
      <c r="H289" s="380"/>
      <c r="I289" s="428"/>
      <c r="J289" s="429"/>
      <c r="K289" s="380"/>
      <c r="L289" s="415"/>
      <c r="M289" s="380"/>
      <c r="N289" s="380"/>
      <c r="O289" s="430"/>
      <c r="P289" s="380"/>
      <c r="Q289" s="380"/>
      <c r="R289" s="380"/>
      <c r="S289" s="380"/>
      <c r="T289" s="380"/>
      <c r="U289" s="380"/>
      <c r="V289" s="380"/>
      <c r="W289" s="380"/>
      <c r="X289" s="380"/>
      <c r="Y289" s="380"/>
      <c r="Z289" s="380"/>
      <c r="AA289" s="380"/>
    </row>
    <row r="290">
      <c r="A290" s="380"/>
      <c r="B290" s="380"/>
      <c r="C290" s="380"/>
      <c r="D290" s="380"/>
      <c r="E290" s="380"/>
      <c r="F290" s="415"/>
      <c r="G290" s="380"/>
      <c r="H290" s="380"/>
      <c r="I290" s="428"/>
      <c r="J290" s="429"/>
      <c r="K290" s="380"/>
      <c r="L290" s="415"/>
      <c r="M290" s="380"/>
      <c r="N290" s="380"/>
      <c r="O290" s="430"/>
      <c r="P290" s="380"/>
      <c r="Q290" s="380"/>
      <c r="R290" s="380"/>
      <c r="S290" s="380"/>
      <c r="T290" s="380"/>
      <c r="U290" s="380"/>
      <c r="V290" s="380"/>
      <c r="W290" s="380"/>
      <c r="X290" s="380"/>
      <c r="Y290" s="380"/>
      <c r="Z290" s="380"/>
      <c r="AA290" s="380"/>
    </row>
    <row r="291">
      <c r="A291" s="380"/>
      <c r="B291" s="380"/>
      <c r="C291" s="380"/>
      <c r="D291" s="380"/>
      <c r="E291" s="380"/>
      <c r="F291" s="415"/>
      <c r="G291" s="380"/>
      <c r="H291" s="380"/>
      <c r="I291" s="428"/>
      <c r="J291" s="429"/>
      <c r="K291" s="380"/>
      <c r="L291" s="415"/>
      <c r="M291" s="380"/>
      <c r="N291" s="380"/>
      <c r="O291" s="430"/>
      <c r="P291" s="380"/>
      <c r="Q291" s="380"/>
      <c r="R291" s="380"/>
      <c r="S291" s="380"/>
      <c r="T291" s="380"/>
      <c r="U291" s="380"/>
      <c r="V291" s="380"/>
      <c r="W291" s="380"/>
      <c r="X291" s="380"/>
      <c r="Y291" s="380"/>
      <c r="Z291" s="380"/>
      <c r="AA291" s="380"/>
    </row>
    <row r="292">
      <c r="A292" s="380"/>
      <c r="B292" s="380"/>
      <c r="C292" s="380"/>
      <c r="D292" s="380"/>
      <c r="E292" s="380"/>
      <c r="F292" s="415"/>
      <c r="G292" s="380"/>
      <c r="H292" s="380"/>
      <c r="I292" s="428"/>
      <c r="J292" s="429"/>
      <c r="K292" s="380"/>
      <c r="L292" s="415"/>
      <c r="M292" s="380"/>
      <c r="N292" s="380"/>
      <c r="O292" s="430"/>
      <c r="P292" s="380"/>
      <c r="Q292" s="380"/>
      <c r="R292" s="380"/>
      <c r="S292" s="380"/>
      <c r="T292" s="380"/>
      <c r="U292" s="380"/>
      <c r="V292" s="380"/>
      <c r="W292" s="380"/>
      <c r="X292" s="380"/>
      <c r="Y292" s="380"/>
      <c r="Z292" s="380"/>
      <c r="AA292" s="380"/>
    </row>
    <row r="293">
      <c r="A293" s="380"/>
      <c r="B293" s="380"/>
      <c r="C293" s="380"/>
      <c r="D293" s="380"/>
      <c r="E293" s="380"/>
      <c r="F293" s="415"/>
      <c r="G293" s="380"/>
      <c r="H293" s="380"/>
      <c r="I293" s="428"/>
      <c r="J293" s="429"/>
      <c r="K293" s="380"/>
      <c r="L293" s="415"/>
      <c r="M293" s="380"/>
      <c r="N293" s="380"/>
      <c r="O293" s="430"/>
      <c r="P293" s="380"/>
      <c r="Q293" s="380"/>
      <c r="R293" s="380"/>
      <c r="S293" s="380"/>
      <c r="T293" s="380"/>
      <c r="U293" s="380"/>
      <c r="V293" s="380"/>
      <c r="W293" s="380"/>
      <c r="X293" s="380"/>
      <c r="Y293" s="380"/>
      <c r="Z293" s="380"/>
      <c r="AA293" s="380"/>
    </row>
    <row r="294">
      <c r="A294" s="380"/>
      <c r="B294" s="380"/>
      <c r="C294" s="380"/>
      <c r="D294" s="380"/>
      <c r="E294" s="380"/>
      <c r="F294" s="415"/>
      <c r="G294" s="380"/>
      <c r="H294" s="380"/>
      <c r="I294" s="428"/>
      <c r="J294" s="429"/>
      <c r="K294" s="380"/>
      <c r="L294" s="415"/>
      <c r="M294" s="380"/>
      <c r="N294" s="380"/>
      <c r="O294" s="430"/>
      <c r="P294" s="380"/>
      <c r="Q294" s="380"/>
      <c r="R294" s="380"/>
      <c r="S294" s="380"/>
      <c r="T294" s="380"/>
      <c r="U294" s="380"/>
      <c r="V294" s="380"/>
      <c r="W294" s="380"/>
      <c r="X294" s="380"/>
      <c r="Y294" s="380"/>
      <c r="Z294" s="380"/>
      <c r="AA294" s="380"/>
    </row>
    <row r="295">
      <c r="A295" s="380"/>
      <c r="B295" s="380"/>
      <c r="C295" s="380"/>
      <c r="D295" s="380"/>
      <c r="E295" s="380"/>
      <c r="F295" s="415"/>
      <c r="G295" s="380"/>
      <c r="H295" s="380"/>
      <c r="I295" s="428"/>
      <c r="J295" s="429"/>
      <c r="K295" s="380"/>
      <c r="L295" s="415"/>
      <c r="M295" s="380"/>
      <c r="N295" s="380"/>
      <c r="O295" s="430"/>
      <c r="P295" s="380"/>
      <c r="Q295" s="380"/>
      <c r="R295" s="380"/>
      <c r="S295" s="380"/>
      <c r="T295" s="380"/>
      <c r="U295" s="380"/>
      <c r="V295" s="380"/>
      <c r="W295" s="380"/>
      <c r="X295" s="380"/>
      <c r="Y295" s="380"/>
      <c r="Z295" s="380"/>
      <c r="AA295" s="380"/>
    </row>
    <row r="296">
      <c r="A296" s="380"/>
      <c r="B296" s="380"/>
      <c r="C296" s="380"/>
      <c r="D296" s="380"/>
      <c r="E296" s="380"/>
      <c r="F296" s="415"/>
      <c r="G296" s="380"/>
      <c r="H296" s="380"/>
      <c r="I296" s="428"/>
      <c r="J296" s="429"/>
      <c r="K296" s="380"/>
      <c r="L296" s="415"/>
      <c r="M296" s="380"/>
      <c r="N296" s="380"/>
      <c r="O296" s="430"/>
      <c r="P296" s="380"/>
      <c r="Q296" s="380"/>
      <c r="R296" s="380"/>
      <c r="S296" s="380"/>
      <c r="T296" s="380"/>
      <c r="U296" s="380"/>
      <c r="V296" s="380"/>
      <c r="W296" s="380"/>
      <c r="X296" s="380"/>
      <c r="Y296" s="380"/>
      <c r="Z296" s="380"/>
      <c r="AA296" s="380"/>
    </row>
    <row r="297">
      <c r="A297" s="380"/>
      <c r="B297" s="380"/>
      <c r="C297" s="380"/>
      <c r="D297" s="380"/>
      <c r="E297" s="380"/>
      <c r="F297" s="415"/>
      <c r="G297" s="380"/>
      <c r="H297" s="380"/>
      <c r="I297" s="428"/>
      <c r="J297" s="429"/>
      <c r="K297" s="380"/>
      <c r="L297" s="415"/>
      <c r="M297" s="380"/>
      <c r="N297" s="380"/>
      <c r="O297" s="430"/>
      <c r="P297" s="380"/>
      <c r="Q297" s="380"/>
      <c r="R297" s="380"/>
      <c r="S297" s="380"/>
      <c r="T297" s="380"/>
      <c r="U297" s="380"/>
      <c r="V297" s="380"/>
      <c r="W297" s="380"/>
      <c r="X297" s="380"/>
      <c r="Y297" s="380"/>
      <c r="Z297" s="380"/>
      <c r="AA297" s="380"/>
    </row>
    <row r="298">
      <c r="A298" s="380"/>
      <c r="B298" s="380"/>
      <c r="C298" s="380"/>
      <c r="D298" s="380"/>
      <c r="E298" s="380"/>
      <c r="F298" s="415"/>
      <c r="G298" s="380"/>
      <c r="H298" s="380"/>
      <c r="I298" s="428"/>
      <c r="J298" s="429"/>
      <c r="K298" s="380"/>
      <c r="L298" s="415"/>
      <c r="M298" s="380"/>
      <c r="N298" s="380"/>
      <c r="O298" s="430"/>
      <c r="P298" s="380"/>
      <c r="Q298" s="380"/>
      <c r="R298" s="380"/>
      <c r="S298" s="380"/>
      <c r="T298" s="380"/>
      <c r="U298" s="380"/>
      <c r="V298" s="380"/>
      <c r="W298" s="380"/>
      <c r="X298" s="380"/>
      <c r="Y298" s="380"/>
      <c r="Z298" s="380"/>
      <c r="AA298" s="380"/>
    </row>
    <row r="299">
      <c r="A299" s="380"/>
      <c r="B299" s="380"/>
      <c r="C299" s="380"/>
      <c r="D299" s="380"/>
      <c r="E299" s="380"/>
      <c r="F299" s="415"/>
      <c r="G299" s="380"/>
      <c r="H299" s="380"/>
      <c r="I299" s="428"/>
      <c r="J299" s="429"/>
      <c r="K299" s="380"/>
      <c r="L299" s="415"/>
      <c r="M299" s="380"/>
      <c r="N299" s="380"/>
      <c r="O299" s="430"/>
      <c r="P299" s="380"/>
      <c r="Q299" s="380"/>
      <c r="R299" s="380"/>
      <c r="S299" s="380"/>
      <c r="T299" s="380"/>
      <c r="U299" s="380"/>
      <c r="V299" s="380"/>
      <c r="W299" s="380"/>
      <c r="X299" s="380"/>
      <c r="Y299" s="380"/>
      <c r="Z299" s="380"/>
      <c r="AA299" s="380"/>
    </row>
    <row r="300">
      <c r="A300" s="380"/>
      <c r="B300" s="380"/>
      <c r="C300" s="380"/>
      <c r="D300" s="380"/>
      <c r="E300" s="380"/>
      <c r="F300" s="415"/>
      <c r="G300" s="380"/>
      <c r="H300" s="380"/>
      <c r="I300" s="428"/>
      <c r="J300" s="429"/>
      <c r="K300" s="380"/>
      <c r="L300" s="415"/>
      <c r="M300" s="380"/>
      <c r="N300" s="380"/>
      <c r="O300" s="430"/>
      <c r="P300" s="380"/>
      <c r="Q300" s="380"/>
      <c r="R300" s="380"/>
      <c r="S300" s="380"/>
      <c r="T300" s="380"/>
      <c r="U300" s="380"/>
      <c r="V300" s="380"/>
      <c r="W300" s="380"/>
      <c r="X300" s="380"/>
      <c r="Y300" s="380"/>
      <c r="Z300" s="380"/>
      <c r="AA300" s="380"/>
    </row>
    <row r="301">
      <c r="A301" s="380"/>
      <c r="B301" s="380"/>
      <c r="C301" s="380"/>
      <c r="D301" s="380"/>
      <c r="E301" s="380"/>
      <c r="F301" s="415"/>
      <c r="G301" s="380"/>
      <c r="H301" s="380"/>
      <c r="I301" s="428"/>
      <c r="J301" s="429"/>
      <c r="K301" s="380"/>
      <c r="L301" s="415"/>
      <c r="M301" s="380"/>
      <c r="N301" s="380"/>
      <c r="O301" s="430"/>
      <c r="P301" s="380"/>
      <c r="Q301" s="380"/>
      <c r="R301" s="380"/>
      <c r="S301" s="380"/>
      <c r="T301" s="380"/>
      <c r="U301" s="380"/>
      <c r="V301" s="380"/>
      <c r="W301" s="380"/>
      <c r="X301" s="380"/>
      <c r="Y301" s="380"/>
      <c r="Z301" s="380"/>
      <c r="AA301" s="380"/>
    </row>
    <row r="302">
      <c r="A302" s="380"/>
      <c r="B302" s="380"/>
      <c r="C302" s="380"/>
      <c r="D302" s="380"/>
      <c r="E302" s="380"/>
      <c r="F302" s="415"/>
      <c r="G302" s="380"/>
      <c r="H302" s="380"/>
      <c r="I302" s="428"/>
      <c r="J302" s="429"/>
      <c r="K302" s="380"/>
      <c r="L302" s="415"/>
      <c r="M302" s="380"/>
      <c r="N302" s="380"/>
      <c r="O302" s="430"/>
      <c r="P302" s="380"/>
      <c r="Q302" s="380"/>
      <c r="R302" s="380"/>
      <c r="S302" s="380"/>
      <c r="T302" s="380"/>
      <c r="U302" s="380"/>
      <c r="V302" s="380"/>
      <c r="W302" s="380"/>
      <c r="X302" s="380"/>
      <c r="Y302" s="380"/>
      <c r="Z302" s="380"/>
      <c r="AA302" s="380"/>
    </row>
    <row r="303">
      <c r="A303" s="380"/>
      <c r="B303" s="380"/>
      <c r="C303" s="380"/>
      <c r="D303" s="380"/>
      <c r="E303" s="380"/>
      <c r="F303" s="415"/>
      <c r="G303" s="380"/>
      <c r="H303" s="380"/>
      <c r="I303" s="428"/>
      <c r="J303" s="429"/>
      <c r="K303" s="380"/>
      <c r="L303" s="415"/>
      <c r="M303" s="380"/>
      <c r="N303" s="380"/>
      <c r="O303" s="430"/>
      <c r="P303" s="380"/>
      <c r="Q303" s="380"/>
      <c r="R303" s="380"/>
      <c r="S303" s="380"/>
      <c r="T303" s="380"/>
      <c r="U303" s="380"/>
      <c r="V303" s="380"/>
      <c r="W303" s="380"/>
      <c r="X303" s="380"/>
      <c r="Y303" s="380"/>
      <c r="Z303" s="380"/>
      <c r="AA303" s="380"/>
    </row>
    <row r="304">
      <c r="A304" s="380"/>
      <c r="B304" s="380"/>
      <c r="C304" s="380"/>
      <c r="D304" s="380"/>
      <c r="E304" s="380"/>
      <c r="F304" s="415"/>
      <c r="G304" s="380"/>
      <c r="H304" s="380"/>
      <c r="I304" s="428"/>
      <c r="J304" s="429"/>
      <c r="K304" s="380"/>
      <c r="L304" s="415"/>
      <c r="M304" s="380"/>
      <c r="N304" s="380"/>
      <c r="O304" s="430"/>
      <c r="P304" s="380"/>
      <c r="Q304" s="380"/>
      <c r="R304" s="380"/>
      <c r="S304" s="380"/>
      <c r="T304" s="380"/>
      <c r="U304" s="380"/>
      <c r="V304" s="380"/>
      <c r="W304" s="380"/>
      <c r="X304" s="380"/>
      <c r="Y304" s="380"/>
      <c r="Z304" s="380"/>
      <c r="AA304" s="380"/>
    </row>
    <row r="305">
      <c r="A305" s="380"/>
      <c r="B305" s="380"/>
      <c r="C305" s="380"/>
      <c r="D305" s="380"/>
      <c r="E305" s="380"/>
      <c r="F305" s="415"/>
      <c r="G305" s="380"/>
      <c r="H305" s="380"/>
      <c r="I305" s="428"/>
      <c r="J305" s="429"/>
      <c r="K305" s="380"/>
      <c r="L305" s="415"/>
      <c r="M305" s="380"/>
      <c r="N305" s="380"/>
      <c r="O305" s="430"/>
      <c r="P305" s="380"/>
      <c r="Q305" s="380"/>
      <c r="R305" s="380"/>
      <c r="S305" s="380"/>
      <c r="T305" s="380"/>
      <c r="U305" s="380"/>
      <c r="V305" s="380"/>
      <c r="W305" s="380"/>
      <c r="X305" s="380"/>
      <c r="Y305" s="380"/>
      <c r="Z305" s="380"/>
      <c r="AA305" s="380"/>
    </row>
    <row r="306">
      <c r="A306" s="380"/>
      <c r="B306" s="380"/>
      <c r="C306" s="380"/>
      <c r="D306" s="380"/>
      <c r="E306" s="380"/>
      <c r="F306" s="415"/>
      <c r="G306" s="380"/>
      <c r="H306" s="380"/>
      <c r="I306" s="428"/>
      <c r="J306" s="429"/>
      <c r="K306" s="380"/>
      <c r="L306" s="415"/>
      <c r="M306" s="380"/>
      <c r="N306" s="380"/>
      <c r="O306" s="430"/>
      <c r="P306" s="380"/>
      <c r="Q306" s="380"/>
      <c r="R306" s="380"/>
      <c r="S306" s="380"/>
      <c r="T306" s="380"/>
      <c r="U306" s="380"/>
      <c r="V306" s="380"/>
      <c r="W306" s="380"/>
      <c r="X306" s="380"/>
      <c r="Y306" s="380"/>
      <c r="Z306" s="380"/>
      <c r="AA306" s="380"/>
    </row>
    <row r="307">
      <c r="A307" s="380"/>
      <c r="B307" s="380"/>
      <c r="C307" s="380"/>
      <c r="D307" s="380"/>
      <c r="E307" s="380"/>
      <c r="F307" s="415"/>
      <c r="G307" s="380"/>
      <c r="H307" s="380"/>
      <c r="I307" s="428"/>
      <c r="J307" s="429"/>
      <c r="K307" s="380"/>
      <c r="L307" s="415"/>
      <c r="M307" s="380"/>
      <c r="N307" s="380"/>
      <c r="O307" s="430"/>
      <c r="P307" s="380"/>
      <c r="Q307" s="380"/>
      <c r="R307" s="380"/>
      <c r="S307" s="380"/>
      <c r="T307" s="380"/>
      <c r="U307" s="380"/>
      <c r="V307" s="380"/>
      <c r="W307" s="380"/>
      <c r="X307" s="380"/>
      <c r="Y307" s="380"/>
      <c r="Z307" s="380"/>
      <c r="AA307" s="380"/>
    </row>
    <row r="308">
      <c r="A308" s="380"/>
      <c r="B308" s="380"/>
      <c r="C308" s="380"/>
      <c r="D308" s="380"/>
      <c r="E308" s="380"/>
      <c r="F308" s="415"/>
      <c r="G308" s="380"/>
      <c r="H308" s="380"/>
      <c r="I308" s="428"/>
      <c r="J308" s="429"/>
      <c r="K308" s="380"/>
      <c r="L308" s="415"/>
      <c r="M308" s="380"/>
      <c r="N308" s="380"/>
      <c r="O308" s="430"/>
      <c r="P308" s="380"/>
      <c r="Q308" s="380"/>
      <c r="R308" s="380"/>
      <c r="S308" s="380"/>
      <c r="T308" s="380"/>
      <c r="U308" s="380"/>
      <c r="V308" s="380"/>
      <c r="W308" s="380"/>
      <c r="X308" s="380"/>
      <c r="Y308" s="380"/>
      <c r="Z308" s="380"/>
      <c r="AA308" s="380"/>
    </row>
    <row r="309">
      <c r="A309" s="380"/>
      <c r="B309" s="380"/>
      <c r="C309" s="380"/>
      <c r="D309" s="380"/>
      <c r="E309" s="380"/>
      <c r="F309" s="415"/>
      <c r="G309" s="380"/>
      <c r="H309" s="380"/>
      <c r="I309" s="428"/>
      <c r="J309" s="429"/>
      <c r="K309" s="380"/>
      <c r="L309" s="415"/>
      <c r="M309" s="380"/>
      <c r="N309" s="380"/>
      <c r="O309" s="430"/>
      <c r="P309" s="380"/>
      <c r="Q309" s="380"/>
      <c r="R309" s="380"/>
      <c r="S309" s="380"/>
      <c r="T309" s="380"/>
      <c r="U309" s="380"/>
      <c r="V309" s="380"/>
      <c r="W309" s="380"/>
      <c r="X309" s="380"/>
      <c r="Y309" s="380"/>
      <c r="Z309" s="380"/>
      <c r="AA309" s="380"/>
    </row>
    <row r="310">
      <c r="A310" s="380"/>
      <c r="B310" s="380"/>
      <c r="C310" s="380"/>
      <c r="D310" s="380"/>
      <c r="E310" s="380"/>
      <c r="F310" s="415"/>
      <c r="G310" s="380"/>
      <c r="H310" s="380"/>
      <c r="I310" s="428"/>
      <c r="J310" s="429"/>
      <c r="K310" s="380"/>
      <c r="L310" s="415"/>
      <c r="M310" s="380"/>
      <c r="N310" s="380"/>
      <c r="O310" s="430"/>
      <c r="P310" s="380"/>
      <c r="Q310" s="380"/>
      <c r="R310" s="380"/>
      <c r="S310" s="380"/>
      <c r="T310" s="380"/>
      <c r="U310" s="380"/>
      <c r="V310" s="380"/>
      <c r="W310" s="380"/>
      <c r="X310" s="380"/>
      <c r="Y310" s="380"/>
      <c r="Z310" s="380"/>
      <c r="AA310" s="380"/>
    </row>
    <row r="311">
      <c r="A311" s="380"/>
      <c r="B311" s="380"/>
      <c r="C311" s="380"/>
      <c r="D311" s="380"/>
      <c r="E311" s="380"/>
      <c r="F311" s="415"/>
      <c r="G311" s="380"/>
      <c r="H311" s="380"/>
      <c r="I311" s="428"/>
      <c r="J311" s="429"/>
      <c r="K311" s="380"/>
      <c r="L311" s="415"/>
      <c r="M311" s="380"/>
      <c r="N311" s="380"/>
      <c r="O311" s="430"/>
      <c r="P311" s="380"/>
      <c r="Q311" s="380"/>
      <c r="R311" s="380"/>
      <c r="S311" s="380"/>
      <c r="T311" s="380"/>
      <c r="U311" s="380"/>
      <c r="V311" s="380"/>
      <c r="W311" s="380"/>
      <c r="X311" s="380"/>
      <c r="Y311" s="380"/>
      <c r="Z311" s="380"/>
      <c r="AA311" s="380"/>
    </row>
    <row r="312">
      <c r="A312" s="380"/>
      <c r="B312" s="380"/>
      <c r="C312" s="380"/>
      <c r="D312" s="380"/>
      <c r="E312" s="380"/>
      <c r="F312" s="415"/>
      <c r="G312" s="380"/>
      <c r="H312" s="380"/>
      <c r="I312" s="428"/>
      <c r="J312" s="429"/>
      <c r="K312" s="380"/>
      <c r="L312" s="415"/>
      <c r="M312" s="380"/>
      <c r="N312" s="380"/>
      <c r="O312" s="430"/>
      <c r="P312" s="380"/>
      <c r="Q312" s="380"/>
      <c r="R312" s="380"/>
      <c r="S312" s="380"/>
      <c r="T312" s="380"/>
      <c r="U312" s="380"/>
      <c r="V312" s="380"/>
      <c r="W312" s="380"/>
      <c r="X312" s="380"/>
      <c r="Y312" s="380"/>
      <c r="Z312" s="380"/>
      <c r="AA312" s="380"/>
    </row>
    <row r="313">
      <c r="A313" s="380"/>
      <c r="B313" s="380"/>
      <c r="C313" s="380"/>
      <c r="D313" s="380"/>
      <c r="E313" s="380"/>
      <c r="F313" s="415"/>
      <c r="G313" s="380"/>
      <c r="H313" s="380"/>
      <c r="I313" s="428"/>
      <c r="J313" s="429"/>
      <c r="K313" s="380"/>
      <c r="L313" s="415"/>
      <c r="M313" s="380"/>
      <c r="N313" s="380"/>
      <c r="O313" s="430"/>
      <c r="P313" s="380"/>
      <c r="Q313" s="380"/>
      <c r="R313" s="380"/>
      <c r="S313" s="380"/>
      <c r="T313" s="380"/>
      <c r="U313" s="380"/>
      <c r="V313" s="380"/>
      <c r="W313" s="380"/>
      <c r="X313" s="380"/>
      <c r="Y313" s="380"/>
      <c r="Z313" s="380"/>
      <c r="AA313" s="380"/>
    </row>
    <row r="314">
      <c r="A314" s="380"/>
      <c r="B314" s="380"/>
      <c r="C314" s="380"/>
      <c r="D314" s="380"/>
      <c r="E314" s="380"/>
      <c r="F314" s="415"/>
      <c r="G314" s="380"/>
      <c r="H314" s="380"/>
      <c r="I314" s="428"/>
      <c r="J314" s="429"/>
      <c r="K314" s="380"/>
      <c r="L314" s="415"/>
      <c r="M314" s="380"/>
      <c r="N314" s="380"/>
      <c r="O314" s="430"/>
      <c r="P314" s="380"/>
      <c r="Q314" s="380"/>
      <c r="R314" s="380"/>
      <c r="S314" s="380"/>
      <c r="T314" s="380"/>
      <c r="U314" s="380"/>
      <c r="V314" s="380"/>
      <c r="W314" s="380"/>
      <c r="X314" s="380"/>
      <c r="Y314" s="380"/>
      <c r="Z314" s="380"/>
      <c r="AA314" s="380"/>
    </row>
    <row r="315">
      <c r="A315" s="380"/>
      <c r="B315" s="380"/>
      <c r="C315" s="380"/>
      <c r="D315" s="380"/>
      <c r="E315" s="380"/>
      <c r="F315" s="415"/>
      <c r="G315" s="380"/>
      <c r="H315" s="380"/>
      <c r="I315" s="428"/>
      <c r="J315" s="429"/>
      <c r="K315" s="380"/>
      <c r="L315" s="415"/>
      <c r="M315" s="380"/>
      <c r="N315" s="380"/>
      <c r="O315" s="430"/>
      <c r="P315" s="380"/>
      <c r="Q315" s="380"/>
      <c r="R315" s="380"/>
      <c r="S315" s="380"/>
      <c r="T315" s="380"/>
      <c r="U315" s="380"/>
      <c r="V315" s="380"/>
      <c r="W315" s="380"/>
      <c r="X315" s="380"/>
      <c r="Y315" s="380"/>
      <c r="Z315" s="380"/>
      <c r="AA315" s="380"/>
    </row>
    <row r="316">
      <c r="A316" s="380"/>
      <c r="B316" s="380"/>
      <c r="C316" s="380"/>
      <c r="D316" s="380"/>
      <c r="E316" s="380"/>
      <c r="F316" s="415"/>
      <c r="G316" s="380"/>
      <c r="H316" s="380"/>
      <c r="I316" s="428"/>
      <c r="J316" s="429"/>
      <c r="K316" s="380"/>
      <c r="L316" s="415"/>
      <c r="M316" s="380"/>
      <c r="N316" s="380"/>
      <c r="O316" s="430"/>
      <c r="P316" s="380"/>
      <c r="Q316" s="380"/>
      <c r="R316" s="380"/>
      <c r="S316" s="380"/>
      <c r="T316" s="380"/>
      <c r="U316" s="380"/>
      <c r="V316" s="380"/>
      <c r="W316" s="380"/>
      <c r="X316" s="380"/>
      <c r="Y316" s="380"/>
      <c r="Z316" s="380"/>
      <c r="AA316" s="380"/>
    </row>
    <row r="317">
      <c r="A317" s="380"/>
      <c r="B317" s="380"/>
      <c r="C317" s="380"/>
      <c r="D317" s="380"/>
      <c r="E317" s="380"/>
      <c r="F317" s="415"/>
      <c r="G317" s="380"/>
      <c r="H317" s="380"/>
      <c r="I317" s="428"/>
      <c r="J317" s="429"/>
      <c r="K317" s="380"/>
      <c r="L317" s="415"/>
      <c r="M317" s="380"/>
      <c r="N317" s="380"/>
      <c r="O317" s="430"/>
      <c r="P317" s="380"/>
      <c r="Q317" s="380"/>
      <c r="R317" s="380"/>
      <c r="S317" s="380"/>
      <c r="T317" s="380"/>
      <c r="U317" s="380"/>
      <c r="V317" s="380"/>
      <c r="W317" s="380"/>
      <c r="X317" s="380"/>
      <c r="Y317" s="380"/>
      <c r="Z317" s="380"/>
      <c r="AA317" s="380"/>
    </row>
    <row r="318">
      <c r="A318" s="380"/>
      <c r="B318" s="380"/>
      <c r="C318" s="380"/>
      <c r="D318" s="380"/>
      <c r="E318" s="380"/>
      <c r="F318" s="415"/>
      <c r="G318" s="380"/>
      <c r="H318" s="380"/>
      <c r="I318" s="428"/>
      <c r="J318" s="429"/>
      <c r="K318" s="380"/>
      <c r="L318" s="415"/>
      <c r="M318" s="380"/>
      <c r="N318" s="380"/>
      <c r="O318" s="430"/>
      <c r="P318" s="380"/>
      <c r="Q318" s="380"/>
      <c r="R318" s="380"/>
      <c r="S318" s="380"/>
      <c r="T318" s="380"/>
      <c r="U318" s="380"/>
      <c r="V318" s="380"/>
      <c r="W318" s="380"/>
      <c r="X318" s="380"/>
      <c r="Y318" s="380"/>
      <c r="Z318" s="380"/>
      <c r="AA318" s="380"/>
    </row>
    <row r="319">
      <c r="A319" s="380"/>
      <c r="B319" s="380"/>
      <c r="C319" s="380"/>
      <c r="D319" s="380"/>
      <c r="E319" s="380"/>
      <c r="F319" s="415"/>
      <c r="G319" s="380"/>
      <c r="H319" s="380"/>
      <c r="I319" s="428"/>
      <c r="J319" s="429"/>
      <c r="K319" s="380"/>
      <c r="L319" s="415"/>
      <c r="M319" s="380"/>
      <c r="N319" s="380"/>
      <c r="O319" s="430"/>
      <c r="P319" s="380"/>
      <c r="Q319" s="380"/>
      <c r="R319" s="380"/>
      <c r="S319" s="380"/>
      <c r="T319" s="380"/>
      <c r="U319" s="380"/>
      <c r="V319" s="380"/>
      <c r="W319" s="380"/>
      <c r="X319" s="380"/>
      <c r="Y319" s="380"/>
      <c r="Z319" s="380"/>
      <c r="AA319" s="380"/>
    </row>
    <row r="320">
      <c r="A320" s="380"/>
      <c r="B320" s="380"/>
      <c r="C320" s="380"/>
      <c r="D320" s="380"/>
      <c r="E320" s="380"/>
      <c r="F320" s="415"/>
      <c r="G320" s="380"/>
      <c r="H320" s="380"/>
      <c r="I320" s="428"/>
      <c r="J320" s="429"/>
      <c r="K320" s="380"/>
      <c r="L320" s="415"/>
      <c r="M320" s="380"/>
      <c r="N320" s="380"/>
      <c r="O320" s="430"/>
      <c r="P320" s="380"/>
      <c r="Q320" s="380"/>
      <c r="R320" s="380"/>
      <c r="S320" s="380"/>
      <c r="T320" s="380"/>
      <c r="U320" s="380"/>
      <c r="V320" s="380"/>
      <c r="W320" s="380"/>
      <c r="X320" s="380"/>
      <c r="Y320" s="380"/>
      <c r="Z320" s="380"/>
      <c r="AA320" s="380"/>
    </row>
    <row r="321">
      <c r="A321" s="380"/>
      <c r="B321" s="380"/>
      <c r="C321" s="380"/>
      <c r="D321" s="380"/>
      <c r="E321" s="380"/>
      <c r="F321" s="415"/>
      <c r="G321" s="380"/>
      <c r="H321" s="380"/>
      <c r="I321" s="428"/>
      <c r="J321" s="429"/>
      <c r="K321" s="380"/>
      <c r="L321" s="415"/>
      <c r="M321" s="380"/>
      <c r="N321" s="380"/>
      <c r="O321" s="430"/>
      <c r="P321" s="380"/>
      <c r="Q321" s="380"/>
      <c r="R321" s="380"/>
      <c r="S321" s="380"/>
      <c r="T321" s="380"/>
      <c r="U321" s="380"/>
      <c r="V321" s="380"/>
      <c r="W321" s="380"/>
      <c r="X321" s="380"/>
      <c r="Y321" s="380"/>
      <c r="Z321" s="380"/>
      <c r="AA321" s="380"/>
    </row>
    <row r="322">
      <c r="A322" s="380"/>
      <c r="B322" s="380"/>
      <c r="C322" s="380"/>
      <c r="D322" s="380"/>
      <c r="E322" s="380"/>
      <c r="F322" s="415"/>
      <c r="G322" s="380"/>
      <c r="H322" s="380"/>
      <c r="I322" s="428"/>
      <c r="J322" s="429"/>
      <c r="K322" s="380"/>
      <c r="L322" s="415"/>
      <c r="M322" s="380"/>
      <c r="N322" s="380"/>
      <c r="O322" s="430"/>
      <c r="P322" s="380"/>
      <c r="Q322" s="380"/>
      <c r="R322" s="380"/>
      <c r="S322" s="380"/>
      <c r="T322" s="380"/>
      <c r="U322" s="380"/>
      <c r="V322" s="380"/>
      <c r="W322" s="380"/>
      <c r="X322" s="380"/>
      <c r="Y322" s="380"/>
      <c r="Z322" s="380"/>
      <c r="AA322" s="380"/>
    </row>
    <row r="323">
      <c r="A323" s="380"/>
      <c r="B323" s="380"/>
      <c r="C323" s="380"/>
      <c r="D323" s="380"/>
      <c r="E323" s="380"/>
      <c r="F323" s="415"/>
      <c r="G323" s="380"/>
      <c r="H323" s="380"/>
      <c r="I323" s="428"/>
      <c r="J323" s="429"/>
      <c r="K323" s="380"/>
      <c r="L323" s="415"/>
      <c r="M323" s="380"/>
      <c r="N323" s="380"/>
      <c r="O323" s="430"/>
      <c r="P323" s="380"/>
      <c r="Q323" s="380"/>
      <c r="R323" s="380"/>
      <c r="S323" s="380"/>
      <c r="T323" s="380"/>
      <c r="U323" s="380"/>
      <c r="V323" s="380"/>
      <c r="W323" s="380"/>
      <c r="X323" s="380"/>
      <c r="Y323" s="380"/>
      <c r="Z323" s="380"/>
      <c r="AA323" s="380"/>
    </row>
    <row r="324">
      <c r="A324" s="380"/>
      <c r="B324" s="380"/>
      <c r="C324" s="380"/>
      <c r="D324" s="380"/>
      <c r="E324" s="380"/>
      <c r="F324" s="415"/>
      <c r="G324" s="380"/>
      <c r="H324" s="380"/>
      <c r="I324" s="428"/>
      <c r="J324" s="429"/>
      <c r="K324" s="380"/>
      <c r="L324" s="415"/>
      <c r="M324" s="380"/>
      <c r="N324" s="380"/>
      <c r="O324" s="430"/>
      <c r="P324" s="380"/>
      <c r="Q324" s="380"/>
      <c r="R324" s="380"/>
      <c r="S324" s="380"/>
      <c r="T324" s="380"/>
      <c r="U324" s="380"/>
      <c r="V324" s="380"/>
      <c r="W324" s="380"/>
      <c r="X324" s="380"/>
      <c r="Y324" s="380"/>
      <c r="Z324" s="380"/>
      <c r="AA324" s="380"/>
    </row>
    <row r="325">
      <c r="A325" s="380"/>
      <c r="B325" s="380"/>
      <c r="C325" s="380"/>
      <c r="D325" s="380"/>
      <c r="E325" s="380"/>
      <c r="F325" s="415"/>
      <c r="G325" s="380"/>
      <c r="H325" s="380"/>
      <c r="I325" s="428"/>
      <c r="J325" s="429"/>
      <c r="K325" s="380"/>
      <c r="L325" s="415"/>
      <c r="M325" s="380"/>
      <c r="N325" s="380"/>
      <c r="O325" s="430"/>
      <c r="P325" s="380"/>
      <c r="Q325" s="380"/>
      <c r="R325" s="380"/>
      <c r="S325" s="380"/>
      <c r="T325" s="380"/>
      <c r="U325" s="380"/>
      <c r="V325" s="380"/>
      <c r="W325" s="380"/>
      <c r="X325" s="380"/>
      <c r="Y325" s="380"/>
      <c r="Z325" s="380"/>
      <c r="AA325" s="380"/>
    </row>
    <row r="326">
      <c r="A326" s="380"/>
      <c r="B326" s="380"/>
      <c r="C326" s="380"/>
      <c r="D326" s="380"/>
      <c r="E326" s="380"/>
      <c r="F326" s="415"/>
      <c r="G326" s="380"/>
      <c r="H326" s="380"/>
      <c r="I326" s="428"/>
      <c r="J326" s="429"/>
      <c r="K326" s="380"/>
      <c r="L326" s="415"/>
      <c r="M326" s="380"/>
      <c r="N326" s="380"/>
      <c r="O326" s="430"/>
      <c r="P326" s="380"/>
      <c r="Q326" s="380"/>
      <c r="R326" s="380"/>
      <c r="S326" s="380"/>
      <c r="T326" s="380"/>
      <c r="U326" s="380"/>
      <c r="V326" s="380"/>
      <c r="W326" s="380"/>
      <c r="X326" s="380"/>
      <c r="Y326" s="380"/>
      <c r="Z326" s="380"/>
      <c r="AA326" s="380"/>
    </row>
    <row r="327">
      <c r="A327" s="380"/>
      <c r="B327" s="380"/>
      <c r="C327" s="380"/>
      <c r="D327" s="380"/>
      <c r="E327" s="380"/>
      <c r="F327" s="415"/>
      <c r="G327" s="380"/>
      <c r="H327" s="380"/>
      <c r="I327" s="428"/>
      <c r="J327" s="429"/>
      <c r="K327" s="380"/>
      <c r="L327" s="415"/>
      <c r="M327" s="380"/>
      <c r="N327" s="380"/>
      <c r="O327" s="430"/>
      <c r="P327" s="380"/>
      <c r="Q327" s="380"/>
      <c r="R327" s="380"/>
      <c r="S327" s="380"/>
      <c r="T327" s="380"/>
      <c r="U327" s="380"/>
      <c r="V327" s="380"/>
      <c r="W327" s="380"/>
      <c r="X327" s="380"/>
      <c r="Y327" s="380"/>
      <c r="Z327" s="380"/>
      <c r="AA327" s="380"/>
    </row>
    <row r="328">
      <c r="A328" s="380"/>
      <c r="B328" s="380"/>
      <c r="C328" s="380"/>
      <c r="D328" s="380"/>
      <c r="E328" s="380"/>
      <c r="F328" s="415"/>
      <c r="G328" s="380"/>
      <c r="H328" s="380"/>
      <c r="I328" s="428"/>
      <c r="J328" s="429"/>
      <c r="K328" s="380"/>
      <c r="L328" s="415"/>
      <c r="M328" s="380"/>
      <c r="N328" s="380"/>
      <c r="O328" s="430"/>
      <c r="P328" s="380"/>
      <c r="Q328" s="380"/>
      <c r="R328" s="380"/>
      <c r="S328" s="380"/>
      <c r="T328" s="380"/>
      <c r="U328" s="380"/>
      <c r="V328" s="380"/>
      <c r="W328" s="380"/>
      <c r="X328" s="380"/>
      <c r="Y328" s="380"/>
      <c r="Z328" s="380"/>
      <c r="AA328" s="380"/>
    </row>
    <row r="329">
      <c r="A329" s="380"/>
      <c r="B329" s="380"/>
      <c r="C329" s="380"/>
      <c r="D329" s="380"/>
      <c r="E329" s="380"/>
      <c r="F329" s="415"/>
      <c r="G329" s="380"/>
      <c r="H329" s="380"/>
      <c r="I329" s="428"/>
      <c r="J329" s="429"/>
      <c r="K329" s="380"/>
      <c r="L329" s="415"/>
      <c r="M329" s="380"/>
      <c r="N329" s="380"/>
      <c r="O329" s="430"/>
      <c r="P329" s="380"/>
      <c r="Q329" s="380"/>
      <c r="R329" s="380"/>
      <c r="S329" s="380"/>
      <c r="T329" s="380"/>
      <c r="U329" s="380"/>
      <c r="V329" s="380"/>
      <c r="W329" s="380"/>
      <c r="X329" s="380"/>
      <c r="Y329" s="380"/>
      <c r="Z329" s="380"/>
      <c r="AA329" s="380"/>
    </row>
    <row r="330">
      <c r="A330" s="380"/>
      <c r="B330" s="380"/>
      <c r="C330" s="380"/>
      <c r="D330" s="380"/>
      <c r="E330" s="380"/>
      <c r="F330" s="415"/>
      <c r="G330" s="380"/>
      <c r="H330" s="380"/>
      <c r="I330" s="428"/>
      <c r="J330" s="429"/>
      <c r="K330" s="380"/>
      <c r="L330" s="415"/>
      <c r="M330" s="380"/>
      <c r="N330" s="380"/>
      <c r="O330" s="430"/>
      <c r="P330" s="380"/>
      <c r="Q330" s="380"/>
      <c r="R330" s="380"/>
      <c r="S330" s="380"/>
      <c r="T330" s="380"/>
      <c r="U330" s="380"/>
      <c r="V330" s="380"/>
      <c r="W330" s="380"/>
      <c r="X330" s="380"/>
      <c r="Y330" s="380"/>
      <c r="Z330" s="380"/>
      <c r="AA330" s="380"/>
    </row>
    <row r="331">
      <c r="A331" s="380"/>
      <c r="B331" s="380"/>
      <c r="C331" s="380"/>
      <c r="D331" s="380"/>
      <c r="E331" s="380"/>
      <c r="F331" s="415"/>
      <c r="G331" s="380"/>
      <c r="H331" s="380"/>
      <c r="I331" s="428"/>
      <c r="J331" s="429"/>
      <c r="K331" s="380"/>
      <c r="L331" s="415"/>
      <c r="M331" s="380"/>
      <c r="N331" s="380"/>
      <c r="O331" s="430"/>
      <c r="P331" s="380"/>
      <c r="Q331" s="380"/>
      <c r="R331" s="380"/>
      <c r="S331" s="380"/>
      <c r="T331" s="380"/>
      <c r="U331" s="380"/>
      <c r="V331" s="380"/>
      <c r="W331" s="380"/>
      <c r="X331" s="380"/>
      <c r="Y331" s="380"/>
      <c r="Z331" s="380"/>
      <c r="AA331" s="380"/>
    </row>
    <row r="332">
      <c r="A332" s="380"/>
      <c r="B332" s="380"/>
      <c r="C332" s="380"/>
      <c r="D332" s="380"/>
      <c r="E332" s="380"/>
      <c r="F332" s="415"/>
      <c r="G332" s="380"/>
      <c r="H332" s="380"/>
      <c r="I332" s="428"/>
      <c r="J332" s="429"/>
      <c r="K332" s="380"/>
      <c r="L332" s="415"/>
      <c r="M332" s="380"/>
      <c r="N332" s="380"/>
      <c r="O332" s="430"/>
      <c r="P332" s="380"/>
      <c r="Q332" s="380"/>
      <c r="R332" s="380"/>
      <c r="S332" s="380"/>
      <c r="T332" s="380"/>
      <c r="U332" s="380"/>
      <c r="V332" s="380"/>
      <c r="W332" s="380"/>
      <c r="X332" s="380"/>
      <c r="Y332" s="380"/>
      <c r="Z332" s="380"/>
      <c r="AA332" s="380"/>
    </row>
    <row r="333">
      <c r="A333" s="380"/>
      <c r="B333" s="380"/>
      <c r="C333" s="380"/>
      <c r="D333" s="380"/>
      <c r="E333" s="380"/>
      <c r="F333" s="415"/>
      <c r="G333" s="380"/>
      <c r="H333" s="380"/>
      <c r="I333" s="428"/>
      <c r="J333" s="429"/>
      <c r="K333" s="380"/>
      <c r="L333" s="415"/>
      <c r="M333" s="380"/>
      <c r="N333" s="380"/>
      <c r="O333" s="430"/>
      <c r="P333" s="380"/>
      <c r="Q333" s="380"/>
      <c r="R333" s="380"/>
      <c r="S333" s="380"/>
      <c r="T333" s="380"/>
      <c r="U333" s="380"/>
      <c r="V333" s="380"/>
      <c r="W333" s="380"/>
      <c r="X333" s="380"/>
      <c r="Y333" s="380"/>
      <c r="Z333" s="380"/>
      <c r="AA333" s="380"/>
    </row>
    <row r="334">
      <c r="A334" s="380"/>
      <c r="B334" s="380"/>
      <c r="C334" s="380"/>
      <c r="D334" s="380"/>
      <c r="E334" s="380"/>
      <c r="F334" s="415"/>
      <c r="G334" s="380"/>
      <c r="H334" s="380"/>
      <c r="I334" s="428"/>
      <c r="J334" s="429"/>
      <c r="K334" s="380"/>
      <c r="L334" s="415"/>
      <c r="M334" s="380"/>
      <c r="N334" s="380"/>
      <c r="O334" s="430"/>
      <c r="P334" s="380"/>
      <c r="Q334" s="380"/>
      <c r="R334" s="380"/>
      <c r="S334" s="380"/>
      <c r="T334" s="380"/>
      <c r="U334" s="380"/>
      <c r="V334" s="380"/>
      <c r="W334" s="380"/>
      <c r="X334" s="380"/>
      <c r="Y334" s="380"/>
      <c r="Z334" s="380"/>
      <c r="AA334" s="380"/>
    </row>
    <row r="335">
      <c r="A335" s="380"/>
      <c r="B335" s="380"/>
      <c r="C335" s="380"/>
      <c r="D335" s="380"/>
      <c r="E335" s="380"/>
      <c r="F335" s="415"/>
      <c r="G335" s="380"/>
      <c r="H335" s="380"/>
      <c r="I335" s="428"/>
      <c r="J335" s="429"/>
      <c r="K335" s="380"/>
      <c r="L335" s="415"/>
      <c r="M335" s="380"/>
      <c r="N335" s="380"/>
      <c r="O335" s="430"/>
      <c r="P335" s="380"/>
      <c r="Q335" s="380"/>
      <c r="R335" s="380"/>
      <c r="S335" s="380"/>
      <c r="T335" s="380"/>
      <c r="U335" s="380"/>
      <c r="V335" s="380"/>
      <c r="W335" s="380"/>
      <c r="X335" s="380"/>
      <c r="Y335" s="380"/>
      <c r="Z335" s="380"/>
      <c r="AA335" s="380"/>
    </row>
    <row r="336">
      <c r="A336" s="380"/>
      <c r="B336" s="380"/>
      <c r="C336" s="380"/>
      <c r="D336" s="380"/>
      <c r="E336" s="380"/>
      <c r="F336" s="415"/>
      <c r="G336" s="380"/>
      <c r="H336" s="380"/>
      <c r="I336" s="428"/>
      <c r="J336" s="429"/>
      <c r="K336" s="380"/>
      <c r="L336" s="415"/>
      <c r="M336" s="380"/>
      <c r="N336" s="380"/>
      <c r="O336" s="430"/>
      <c r="P336" s="380"/>
      <c r="Q336" s="380"/>
      <c r="R336" s="380"/>
      <c r="S336" s="380"/>
      <c r="T336" s="380"/>
      <c r="U336" s="380"/>
      <c r="V336" s="380"/>
      <c r="W336" s="380"/>
      <c r="X336" s="380"/>
      <c r="Y336" s="380"/>
      <c r="Z336" s="380"/>
      <c r="AA336" s="380"/>
    </row>
    <row r="337">
      <c r="A337" s="380"/>
      <c r="B337" s="380"/>
      <c r="C337" s="380"/>
      <c r="D337" s="380"/>
      <c r="E337" s="380"/>
      <c r="F337" s="415"/>
      <c r="G337" s="380"/>
      <c r="H337" s="380"/>
      <c r="I337" s="428"/>
      <c r="J337" s="429"/>
      <c r="K337" s="380"/>
      <c r="L337" s="415"/>
      <c r="M337" s="380"/>
      <c r="N337" s="380"/>
      <c r="O337" s="430"/>
      <c r="P337" s="380"/>
      <c r="Q337" s="380"/>
      <c r="R337" s="380"/>
      <c r="S337" s="380"/>
      <c r="T337" s="380"/>
      <c r="U337" s="380"/>
      <c r="V337" s="380"/>
      <c r="W337" s="380"/>
      <c r="X337" s="380"/>
      <c r="Y337" s="380"/>
      <c r="Z337" s="380"/>
      <c r="AA337" s="380"/>
    </row>
    <row r="338">
      <c r="A338" s="380"/>
      <c r="B338" s="380"/>
      <c r="C338" s="380"/>
      <c r="D338" s="380"/>
      <c r="E338" s="380"/>
      <c r="F338" s="415"/>
      <c r="G338" s="380"/>
      <c r="H338" s="380"/>
      <c r="I338" s="428"/>
      <c r="J338" s="429"/>
      <c r="K338" s="380"/>
      <c r="L338" s="415"/>
      <c r="M338" s="380"/>
      <c r="N338" s="380"/>
      <c r="O338" s="430"/>
      <c r="P338" s="380"/>
      <c r="Q338" s="380"/>
      <c r="R338" s="380"/>
      <c r="S338" s="380"/>
      <c r="T338" s="380"/>
      <c r="U338" s="380"/>
      <c r="V338" s="380"/>
      <c r="W338" s="380"/>
      <c r="X338" s="380"/>
      <c r="Y338" s="380"/>
      <c r="Z338" s="380"/>
      <c r="AA338" s="380"/>
    </row>
    <row r="339">
      <c r="A339" s="380"/>
      <c r="B339" s="380"/>
      <c r="C339" s="380"/>
      <c r="D339" s="380"/>
      <c r="E339" s="380"/>
      <c r="F339" s="415"/>
      <c r="G339" s="380"/>
      <c r="H339" s="380"/>
      <c r="I339" s="428"/>
      <c r="J339" s="429"/>
      <c r="K339" s="380"/>
      <c r="L339" s="415"/>
      <c r="M339" s="380"/>
      <c r="N339" s="380"/>
      <c r="O339" s="430"/>
      <c r="P339" s="380"/>
      <c r="Q339" s="380"/>
      <c r="R339" s="380"/>
      <c r="S339" s="380"/>
      <c r="T339" s="380"/>
      <c r="U339" s="380"/>
      <c r="V339" s="380"/>
      <c r="W339" s="380"/>
      <c r="X339" s="380"/>
      <c r="Y339" s="380"/>
      <c r="Z339" s="380"/>
      <c r="AA339" s="380"/>
    </row>
    <row r="340">
      <c r="A340" s="380"/>
      <c r="B340" s="380"/>
      <c r="C340" s="380"/>
      <c r="D340" s="380"/>
      <c r="E340" s="380"/>
      <c r="F340" s="415"/>
      <c r="G340" s="380"/>
      <c r="H340" s="380"/>
      <c r="I340" s="428"/>
      <c r="J340" s="429"/>
      <c r="K340" s="380"/>
      <c r="L340" s="415"/>
      <c r="M340" s="380"/>
      <c r="N340" s="380"/>
      <c r="O340" s="430"/>
      <c r="P340" s="380"/>
      <c r="Q340" s="380"/>
      <c r="R340" s="380"/>
      <c r="S340" s="380"/>
      <c r="T340" s="380"/>
      <c r="U340" s="380"/>
      <c r="V340" s="380"/>
      <c r="W340" s="380"/>
      <c r="X340" s="380"/>
      <c r="Y340" s="380"/>
      <c r="Z340" s="380"/>
      <c r="AA340" s="380"/>
    </row>
    <row r="341">
      <c r="A341" s="380"/>
      <c r="B341" s="380"/>
      <c r="C341" s="380"/>
      <c r="D341" s="380"/>
      <c r="E341" s="380"/>
      <c r="F341" s="415"/>
      <c r="G341" s="380"/>
      <c r="H341" s="380"/>
      <c r="I341" s="428"/>
      <c r="J341" s="429"/>
      <c r="K341" s="380"/>
      <c r="L341" s="415"/>
      <c r="M341" s="380"/>
      <c r="N341" s="380"/>
      <c r="O341" s="430"/>
      <c r="P341" s="380"/>
      <c r="Q341" s="380"/>
      <c r="R341" s="380"/>
      <c r="S341" s="380"/>
      <c r="T341" s="380"/>
      <c r="U341" s="380"/>
      <c r="V341" s="380"/>
      <c r="W341" s="380"/>
      <c r="X341" s="380"/>
      <c r="Y341" s="380"/>
      <c r="Z341" s="380"/>
      <c r="AA341" s="380"/>
    </row>
    <row r="342">
      <c r="A342" s="380"/>
      <c r="B342" s="380"/>
      <c r="C342" s="380"/>
      <c r="D342" s="380"/>
      <c r="E342" s="380"/>
      <c r="F342" s="415"/>
      <c r="G342" s="380"/>
      <c r="H342" s="380"/>
      <c r="I342" s="428"/>
      <c r="J342" s="429"/>
      <c r="K342" s="380"/>
      <c r="L342" s="415"/>
      <c r="M342" s="380"/>
      <c r="N342" s="380"/>
      <c r="O342" s="430"/>
      <c r="P342" s="380"/>
      <c r="Q342" s="380"/>
      <c r="R342" s="380"/>
      <c r="S342" s="380"/>
      <c r="T342" s="380"/>
      <c r="U342" s="380"/>
      <c r="V342" s="380"/>
      <c r="W342" s="380"/>
      <c r="X342" s="380"/>
      <c r="Y342" s="380"/>
      <c r="Z342" s="380"/>
      <c r="AA342" s="380"/>
    </row>
    <row r="343">
      <c r="A343" s="380"/>
      <c r="B343" s="380"/>
      <c r="C343" s="380"/>
      <c r="D343" s="380"/>
      <c r="E343" s="380"/>
      <c r="F343" s="415"/>
      <c r="G343" s="380"/>
      <c r="H343" s="380"/>
      <c r="I343" s="428"/>
      <c r="J343" s="429"/>
      <c r="K343" s="380"/>
      <c r="L343" s="415"/>
      <c r="M343" s="380"/>
      <c r="N343" s="380"/>
      <c r="O343" s="430"/>
      <c r="P343" s="380"/>
      <c r="Q343" s="380"/>
      <c r="R343" s="380"/>
      <c r="S343" s="380"/>
      <c r="T343" s="380"/>
      <c r="U343" s="380"/>
      <c r="V343" s="380"/>
      <c r="W343" s="380"/>
      <c r="X343" s="380"/>
      <c r="Y343" s="380"/>
      <c r="Z343" s="380"/>
      <c r="AA343" s="380"/>
    </row>
    <row r="344">
      <c r="A344" s="380"/>
      <c r="B344" s="380"/>
      <c r="C344" s="380"/>
      <c r="D344" s="380"/>
      <c r="E344" s="380"/>
      <c r="F344" s="415"/>
      <c r="G344" s="380"/>
      <c r="H344" s="380"/>
      <c r="I344" s="428"/>
      <c r="J344" s="429"/>
      <c r="K344" s="380"/>
      <c r="L344" s="415"/>
      <c r="M344" s="380"/>
      <c r="N344" s="380"/>
      <c r="O344" s="430"/>
      <c r="P344" s="380"/>
      <c r="Q344" s="380"/>
      <c r="R344" s="380"/>
      <c r="S344" s="380"/>
      <c r="T344" s="380"/>
      <c r="U344" s="380"/>
      <c r="V344" s="380"/>
      <c r="W344" s="380"/>
      <c r="X344" s="380"/>
      <c r="Y344" s="380"/>
      <c r="Z344" s="380"/>
      <c r="AA344" s="380"/>
    </row>
    <row r="345">
      <c r="A345" s="380"/>
      <c r="B345" s="380"/>
      <c r="C345" s="380"/>
      <c r="D345" s="380"/>
      <c r="E345" s="380"/>
      <c r="F345" s="415"/>
      <c r="G345" s="380"/>
      <c r="H345" s="380"/>
      <c r="I345" s="428"/>
      <c r="J345" s="429"/>
      <c r="K345" s="380"/>
      <c r="L345" s="415"/>
      <c r="M345" s="380"/>
      <c r="N345" s="380"/>
      <c r="O345" s="430"/>
      <c r="P345" s="380"/>
      <c r="Q345" s="380"/>
      <c r="R345" s="380"/>
      <c r="S345" s="380"/>
      <c r="T345" s="380"/>
      <c r="U345" s="380"/>
      <c r="V345" s="380"/>
      <c r="W345" s="380"/>
      <c r="X345" s="380"/>
      <c r="Y345" s="380"/>
      <c r="Z345" s="380"/>
      <c r="AA345" s="380"/>
    </row>
    <row r="346">
      <c r="A346" s="380"/>
      <c r="B346" s="380"/>
      <c r="C346" s="380"/>
      <c r="D346" s="380"/>
      <c r="E346" s="380"/>
      <c r="F346" s="415"/>
      <c r="G346" s="380"/>
      <c r="H346" s="380"/>
      <c r="I346" s="428"/>
      <c r="J346" s="429"/>
      <c r="K346" s="380"/>
      <c r="L346" s="415"/>
      <c r="M346" s="380"/>
      <c r="N346" s="380"/>
      <c r="O346" s="430"/>
      <c r="P346" s="380"/>
      <c r="Q346" s="380"/>
      <c r="R346" s="380"/>
      <c r="S346" s="380"/>
      <c r="T346" s="380"/>
      <c r="U346" s="380"/>
      <c r="V346" s="380"/>
      <c r="W346" s="380"/>
      <c r="X346" s="380"/>
      <c r="Y346" s="380"/>
      <c r="Z346" s="380"/>
      <c r="AA346" s="380"/>
    </row>
    <row r="347">
      <c r="A347" s="380"/>
      <c r="B347" s="380"/>
      <c r="C347" s="380"/>
      <c r="D347" s="380"/>
      <c r="E347" s="380"/>
      <c r="F347" s="415"/>
      <c r="G347" s="380"/>
      <c r="H347" s="380"/>
      <c r="I347" s="428"/>
      <c r="J347" s="429"/>
      <c r="K347" s="380"/>
      <c r="L347" s="415"/>
      <c r="M347" s="380"/>
      <c r="N347" s="380"/>
      <c r="O347" s="430"/>
      <c r="P347" s="380"/>
      <c r="Q347" s="380"/>
      <c r="R347" s="380"/>
      <c r="S347" s="380"/>
      <c r="T347" s="380"/>
      <c r="U347" s="380"/>
      <c r="V347" s="380"/>
      <c r="W347" s="380"/>
      <c r="X347" s="380"/>
      <c r="Y347" s="380"/>
      <c r="Z347" s="380"/>
      <c r="AA347" s="380"/>
    </row>
    <row r="348">
      <c r="A348" s="380"/>
      <c r="B348" s="380"/>
      <c r="C348" s="380"/>
      <c r="D348" s="380"/>
      <c r="E348" s="380"/>
      <c r="F348" s="415"/>
      <c r="G348" s="380"/>
      <c r="H348" s="380"/>
      <c r="I348" s="428"/>
      <c r="J348" s="429"/>
      <c r="K348" s="380"/>
      <c r="L348" s="415"/>
      <c r="M348" s="380"/>
      <c r="N348" s="380"/>
      <c r="O348" s="430"/>
      <c r="P348" s="380"/>
      <c r="Q348" s="380"/>
      <c r="R348" s="380"/>
      <c r="S348" s="380"/>
      <c r="T348" s="380"/>
      <c r="U348" s="380"/>
      <c r="V348" s="380"/>
      <c r="W348" s="380"/>
      <c r="X348" s="380"/>
      <c r="Y348" s="380"/>
      <c r="Z348" s="380"/>
      <c r="AA348" s="380"/>
    </row>
    <row r="349">
      <c r="A349" s="380"/>
      <c r="B349" s="380"/>
      <c r="C349" s="380"/>
      <c r="D349" s="380"/>
      <c r="E349" s="380"/>
      <c r="F349" s="415"/>
      <c r="G349" s="380"/>
      <c r="H349" s="380"/>
      <c r="I349" s="428"/>
      <c r="J349" s="429"/>
      <c r="K349" s="380"/>
      <c r="L349" s="415"/>
      <c r="M349" s="380"/>
      <c r="N349" s="380"/>
      <c r="O349" s="430"/>
      <c r="P349" s="380"/>
      <c r="Q349" s="380"/>
      <c r="R349" s="380"/>
      <c r="S349" s="380"/>
      <c r="T349" s="380"/>
      <c r="U349" s="380"/>
      <c r="V349" s="380"/>
      <c r="W349" s="380"/>
      <c r="X349" s="380"/>
      <c r="Y349" s="380"/>
      <c r="Z349" s="380"/>
      <c r="AA349" s="380"/>
    </row>
    <row r="350">
      <c r="A350" s="380"/>
      <c r="B350" s="380"/>
      <c r="C350" s="380"/>
      <c r="D350" s="380"/>
      <c r="E350" s="380"/>
      <c r="F350" s="415"/>
      <c r="G350" s="380"/>
      <c r="H350" s="380"/>
      <c r="I350" s="428"/>
      <c r="J350" s="429"/>
      <c r="K350" s="380"/>
      <c r="L350" s="415"/>
      <c r="M350" s="380"/>
      <c r="N350" s="380"/>
      <c r="O350" s="430"/>
      <c r="P350" s="380"/>
      <c r="Q350" s="380"/>
      <c r="R350" s="380"/>
      <c r="S350" s="380"/>
      <c r="T350" s="380"/>
      <c r="U350" s="380"/>
      <c r="V350" s="380"/>
      <c r="W350" s="380"/>
      <c r="X350" s="380"/>
      <c r="Y350" s="380"/>
      <c r="Z350" s="380"/>
      <c r="AA350" s="380"/>
    </row>
    <row r="351">
      <c r="A351" s="380"/>
      <c r="B351" s="380"/>
      <c r="C351" s="380"/>
      <c r="D351" s="380"/>
      <c r="E351" s="380"/>
      <c r="F351" s="415"/>
      <c r="G351" s="380"/>
      <c r="H351" s="380"/>
      <c r="I351" s="428"/>
      <c r="J351" s="429"/>
      <c r="K351" s="380"/>
      <c r="L351" s="415"/>
      <c r="M351" s="380"/>
      <c r="N351" s="380"/>
      <c r="O351" s="430"/>
      <c r="P351" s="380"/>
      <c r="Q351" s="380"/>
      <c r="R351" s="380"/>
      <c r="S351" s="380"/>
      <c r="T351" s="380"/>
      <c r="U351" s="380"/>
      <c r="V351" s="380"/>
      <c r="W351" s="380"/>
      <c r="X351" s="380"/>
      <c r="Y351" s="380"/>
      <c r="Z351" s="380"/>
      <c r="AA351" s="380"/>
    </row>
    <row r="352">
      <c r="A352" s="380"/>
      <c r="B352" s="380"/>
      <c r="C352" s="380"/>
      <c r="D352" s="380"/>
      <c r="E352" s="380"/>
      <c r="F352" s="415"/>
      <c r="G352" s="380"/>
      <c r="H352" s="380"/>
      <c r="I352" s="428"/>
      <c r="J352" s="429"/>
      <c r="K352" s="380"/>
      <c r="L352" s="415"/>
      <c r="M352" s="380"/>
      <c r="N352" s="380"/>
      <c r="O352" s="430"/>
      <c r="P352" s="380"/>
      <c r="Q352" s="380"/>
      <c r="R352" s="380"/>
      <c r="S352" s="380"/>
      <c r="T352" s="380"/>
      <c r="U352" s="380"/>
      <c r="V352" s="380"/>
      <c r="W352" s="380"/>
      <c r="X352" s="380"/>
      <c r="Y352" s="380"/>
      <c r="Z352" s="380"/>
      <c r="AA352" s="380"/>
    </row>
    <row r="353">
      <c r="A353" s="380"/>
      <c r="B353" s="380"/>
      <c r="C353" s="380"/>
      <c r="D353" s="380"/>
      <c r="E353" s="380"/>
      <c r="F353" s="415"/>
      <c r="G353" s="380"/>
      <c r="H353" s="380"/>
      <c r="I353" s="428"/>
      <c r="J353" s="429"/>
      <c r="K353" s="380"/>
      <c r="L353" s="415"/>
      <c r="M353" s="380"/>
      <c r="N353" s="380"/>
      <c r="O353" s="430"/>
      <c r="P353" s="380"/>
      <c r="Q353" s="380"/>
      <c r="R353" s="380"/>
      <c r="S353" s="380"/>
      <c r="T353" s="380"/>
      <c r="U353" s="380"/>
      <c r="V353" s="380"/>
      <c r="W353" s="380"/>
      <c r="X353" s="380"/>
      <c r="Y353" s="380"/>
      <c r="Z353" s="380"/>
      <c r="AA353" s="380"/>
    </row>
    <row r="354">
      <c r="A354" s="380"/>
      <c r="B354" s="380"/>
      <c r="C354" s="380"/>
      <c r="D354" s="380"/>
      <c r="E354" s="380"/>
      <c r="F354" s="415"/>
      <c r="G354" s="380"/>
      <c r="H354" s="380"/>
      <c r="I354" s="428"/>
      <c r="J354" s="429"/>
      <c r="K354" s="380"/>
      <c r="L354" s="415"/>
      <c r="M354" s="380"/>
      <c r="N354" s="380"/>
      <c r="O354" s="430"/>
      <c r="P354" s="380"/>
      <c r="Q354" s="380"/>
      <c r="R354" s="380"/>
      <c r="S354" s="380"/>
      <c r="T354" s="380"/>
      <c r="U354" s="380"/>
      <c r="V354" s="380"/>
      <c r="W354" s="380"/>
      <c r="X354" s="380"/>
      <c r="Y354" s="380"/>
      <c r="Z354" s="380"/>
      <c r="AA354" s="380"/>
    </row>
    <row r="355">
      <c r="A355" s="380"/>
      <c r="B355" s="380"/>
      <c r="C355" s="380"/>
      <c r="D355" s="380"/>
      <c r="E355" s="380"/>
      <c r="F355" s="415"/>
      <c r="G355" s="380"/>
      <c r="H355" s="380"/>
      <c r="I355" s="428"/>
      <c r="J355" s="429"/>
      <c r="K355" s="380"/>
      <c r="L355" s="415"/>
      <c r="M355" s="380"/>
      <c r="N355" s="380"/>
      <c r="O355" s="430"/>
      <c r="P355" s="380"/>
      <c r="Q355" s="380"/>
      <c r="R355" s="380"/>
      <c r="S355" s="380"/>
      <c r="T355" s="380"/>
      <c r="U355" s="380"/>
      <c r="V355" s="380"/>
      <c r="W355" s="380"/>
      <c r="X355" s="380"/>
      <c r="Y355" s="380"/>
      <c r="Z355" s="380"/>
      <c r="AA355" s="380"/>
    </row>
    <row r="356">
      <c r="A356" s="380"/>
      <c r="B356" s="380"/>
      <c r="C356" s="380"/>
      <c r="D356" s="380"/>
      <c r="E356" s="380"/>
      <c r="F356" s="415"/>
      <c r="G356" s="380"/>
      <c r="H356" s="380"/>
      <c r="I356" s="428"/>
      <c r="J356" s="429"/>
      <c r="K356" s="380"/>
      <c r="L356" s="415"/>
      <c r="M356" s="380"/>
      <c r="N356" s="380"/>
      <c r="O356" s="430"/>
      <c r="P356" s="380"/>
      <c r="Q356" s="380"/>
      <c r="R356" s="380"/>
      <c r="S356" s="380"/>
      <c r="T356" s="380"/>
      <c r="U356" s="380"/>
      <c r="V356" s="380"/>
      <c r="W356" s="380"/>
      <c r="X356" s="380"/>
      <c r="Y356" s="380"/>
      <c r="Z356" s="380"/>
      <c r="AA356" s="380"/>
    </row>
    <row r="357">
      <c r="A357" s="380"/>
      <c r="B357" s="380"/>
      <c r="C357" s="380"/>
      <c r="D357" s="380"/>
      <c r="E357" s="380"/>
      <c r="F357" s="415"/>
      <c r="G357" s="380"/>
      <c r="H357" s="380"/>
      <c r="I357" s="428"/>
      <c r="J357" s="429"/>
      <c r="K357" s="380"/>
      <c r="L357" s="415"/>
      <c r="M357" s="380"/>
      <c r="N357" s="380"/>
      <c r="O357" s="430"/>
      <c r="P357" s="380"/>
      <c r="Q357" s="380"/>
      <c r="R357" s="380"/>
      <c r="S357" s="380"/>
      <c r="T357" s="380"/>
      <c r="U357" s="380"/>
      <c r="V357" s="380"/>
      <c r="W357" s="380"/>
      <c r="X357" s="380"/>
      <c r="Y357" s="380"/>
      <c r="Z357" s="380"/>
      <c r="AA357" s="380"/>
    </row>
    <row r="358">
      <c r="A358" s="380"/>
      <c r="B358" s="380"/>
      <c r="C358" s="380"/>
      <c r="D358" s="380"/>
      <c r="E358" s="380"/>
      <c r="F358" s="415"/>
      <c r="G358" s="380"/>
      <c r="H358" s="380"/>
      <c r="I358" s="428"/>
      <c r="J358" s="429"/>
      <c r="K358" s="380"/>
      <c r="L358" s="415"/>
      <c r="M358" s="380"/>
      <c r="N358" s="380"/>
      <c r="O358" s="430"/>
      <c r="P358" s="380"/>
      <c r="Q358" s="380"/>
      <c r="R358" s="380"/>
      <c r="S358" s="380"/>
      <c r="T358" s="380"/>
      <c r="U358" s="380"/>
      <c r="V358" s="380"/>
      <c r="W358" s="380"/>
      <c r="X358" s="380"/>
      <c r="Y358" s="380"/>
      <c r="Z358" s="380"/>
      <c r="AA358" s="380"/>
    </row>
    <row r="359">
      <c r="A359" s="380"/>
      <c r="B359" s="380"/>
      <c r="C359" s="380"/>
      <c r="D359" s="380"/>
      <c r="E359" s="380"/>
      <c r="F359" s="415"/>
      <c r="G359" s="380"/>
      <c r="H359" s="380"/>
      <c r="I359" s="428"/>
      <c r="J359" s="429"/>
      <c r="K359" s="380"/>
      <c r="L359" s="415"/>
      <c r="M359" s="380"/>
      <c r="N359" s="380"/>
      <c r="O359" s="430"/>
      <c r="P359" s="380"/>
      <c r="Q359" s="380"/>
      <c r="R359" s="380"/>
      <c r="S359" s="380"/>
      <c r="T359" s="380"/>
      <c r="U359" s="380"/>
      <c r="V359" s="380"/>
      <c r="W359" s="380"/>
      <c r="X359" s="380"/>
      <c r="Y359" s="380"/>
      <c r="Z359" s="380"/>
      <c r="AA359" s="380"/>
    </row>
    <row r="360">
      <c r="A360" s="380"/>
      <c r="B360" s="380"/>
      <c r="C360" s="380"/>
      <c r="D360" s="380"/>
      <c r="E360" s="380"/>
      <c r="F360" s="415"/>
      <c r="G360" s="380"/>
      <c r="H360" s="380"/>
      <c r="I360" s="428"/>
      <c r="J360" s="429"/>
      <c r="K360" s="380"/>
      <c r="L360" s="415"/>
      <c r="M360" s="380"/>
      <c r="N360" s="380"/>
      <c r="O360" s="430"/>
      <c r="P360" s="380"/>
      <c r="Q360" s="380"/>
      <c r="R360" s="380"/>
      <c r="S360" s="380"/>
      <c r="T360" s="380"/>
      <c r="U360" s="380"/>
      <c r="V360" s="380"/>
      <c r="W360" s="380"/>
      <c r="X360" s="380"/>
      <c r="Y360" s="380"/>
      <c r="Z360" s="380"/>
      <c r="AA360" s="380"/>
    </row>
    <row r="361">
      <c r="A361" s="380"/>
      <c r="B361" s="380"/>
      <c r="C361" s="380"/>
      <c r="D361" s="380"/>
      <c r="E361" s="380"/>
      <c r="F361" s="415"/>
      <c r="G361" s="380"/>
      <c r="H361" s="380"/>
      <c r="I361" s="428"/>
      <c r="J361" s="429"/>
      <c r="K361" s="380"/>
      <c r="L361" s="415"/>
      <c r="M361" s="380"/>
      <c r="N361" s="380"/>
      <c r="O361" s="430"/>
      <c r="P361" s="380"/>
      <c r="Q361" s="380"/>
      <c r="R361" s="380"/>
      <c r="S361" s="380"/>
      <c r="T361" s="380"/>
      <c r="U361" s="380"/>
      <c r="V361" s="380"/>
      <c r="W361" s="380"/>
      <c r="X361" s="380"/>
      <c r="Y361" s="380"/>
      <c r="Z361" s="380"/>
      <c r="AA361" s="380"/>
    </row>
    <row r="362">
      <c r="A362" s="380"/>
      <c r="B362" s="380"/>
      <c r="C362" s="380"/>
      <c r="D362" s="380"/>
      <c r="E362" s="380"/>
      <c r="F362" s="415"/>
      <c r="G362" s="380"/>
      <c r="H362" s="380"/>
      <c r="I362" s="428"/>
      <c r="J362" s="429"/>
      <c r="K362" s="380"/>
      <c r="L362" s="415"/>
      <c r="M362" s="380"/>
      <c r="N362" s="380"/>
      <c r="O362" s="430"/>
      <c r="P362" s="380"/>
      <c r="Q362" s="380"/>
      <c r="R362" s="380"/>
      <c r="S362" s="380"/>
      <c r="T362" s="380"/>
      <c r="U362" s="380"/>
      <c r="V362" s="380"/>
      <c r="W362" s="380"/>
      <c r="X362" s="380"/>
      <c r="Y362" s="380"/>
      <c r="Z362" s="380"/>
      <c r="AA362" s="380"/>
    </row>
    <row r="363">
      <c r="A363" s="380"/>
      <c r="B363" s="380"/>
      <c r="C363" s="380"/>
      <c r="D363" s="380"/>
      <c r="E363" s="380"/>
      <c r="F363" s="415"/>
      <c r="G363" s="380"/>
      <c r="H363" s="380"/>
      <c r="I363" s="428"/>
      <c r="J363" s="429"/>
      <c r="K363" s="380"/>
      <c r="L363" s="415"/>
      <c r="M363" s="380"/>
      <c r="N363" s="380"/>
      <c r="O363" s="430"/>
      <c r="P363" s="380"/>
      <c r="Q363" s="380"/>
      <c r="R363" s="380"/>
      <c r="S363" s="380"/>
      <c r="T363" s="380"/>
      <c r="U363" s="380"/>
      <c r="V363" s="380"/>
      <c r="W363" s="380"/>
      <c r="X363" s="380"/>
      <c r="Y363" s="380"/>
      <c r="Z363" s="380"/>
      <c r="AA363" s="380"/>
    </row>
    <row r="364">
      <c r="A364" s="380"/>
      <c r="B364" s="380"/>
      <c r="C364" s="380"/>
      <c r="D364" s="380"/>
      <c r="E364" s="380"/>
      <c r="F364" s="415"/>
      <c r="G364" s="380"/>
      <c r="H364" s="380"/>
      <c r="I364" s="428"/>
      <c r="J364" s="429"/>
      <c r="K364" s="380"/>
      <c r="L364" s="415"/>
      <c r="M364" s="380"/>
      <c r="N364" s="380"/>
      <c r="O364" s="430"/>
      <c r="P364" s="380"/>
      <c r="Q364" s="380"/>
      <c r="R364" s="380"/>
      <c r="S364" s="380"/>
      <c r="T364" s="380"/>
      <c r="U364" s="380"/>
      <c r="V364" s="380"/>
      <c r="W364" s="380"/>
      <c r="X364" s="380"/>
      <c r="Y364" s="380"/>
      <c r="Z364" s="380"/>
      <c r="AA364" s="380"/>
    </row>
    <row r="365">
      <c r="A365" s="380"/>
      <c r="B365" s="380"/>
      <c r="C365" s="380"/>
      <c r="D365" s="380"/>
      <c r="E365" s="380"/>
      <c r="F365" s="415"/>
      <c r="G365" s="380"/>
      <c r="H365" s="380"/>
      <c r="I365" s="428"/>
      <c r="J365" s="429"/>
      <c r="K365" s="380"/>
      <c r="L365" s="415"/>
      <c r="M365" s="380"/>
      <c r="N365" s="380"/>
      <c r="O365" s="430"/>
      <c r="P365" s="380"/>
      <c r="Q365" s="380"/>
      <c r="R365" s="380"/>
      <c r="S365" s="380"/>
      <c r="T365" s="380"/>
      <c r="U365" s="380"/>
      <c r="V365" s="380"/>
      <c r="W365" s="380"/>
      <c r="X365" s="380"/>
      <c r="Y365" s="380"/>
      <c r="Z365" s="380"/>
      <c r="AA365" s="380"/>
    </row>
    <row r="366">
      <c r="A366" s="380"/>
      <c r="B366" s="380"/>
      <c r="C366" s="380"/>
      <c r="D366" s="380"/>
      <c r="E366" s="380"/>
      <c r="F366" s="415"/>
      <c r="G366" s="380"/>
      <c r="H366" s="380"/>
      <c r="I366" s="428"/>
      <c r="J366" s="429"/>
      <c r="K366" s="380"/>
      <c r="L366" s="415"/>
      <c r="M366" s="380"/>
      <c r="N366" s="380"/>
      <c r="O366" s="430"/>
      <c r="P366" s="380"/>
      <c r="Q366" s="380"/>
      <c r="R366" s="380"/>
      <c r="S366" s="380"/>
      <c r="T366" s="380"/>
      <c r="U366" s="380"/>
      <c r="V366" s="380"/>
      <c r="W366" s="380"/>
      <c r="X366" s="380"/>
      <c r="Y366" s="380"/>
      <c r="Z366" s="380"/>
      <c r="AA366" s="380"/>
    </row>
    <row r="367">
      <c r="A367" s="380"/>
      <c r="B367" s="380"/>
      <c r="C367" s="380"/>
      <c r="D367" s="380"/>
      <c r="E367" s="380"/>
      <c r="F367" s="415"/>
      <c r="G367" s="380"/>
      <c r="H367" s="380"/>
      <c r="I367" s="428"/>
      <c r="J367" s="429"/>
      <c r="K367" s="380"/>
      <c r="L367" s="415"/>
      <c r="M367" s="380"/>
      <c r="N367" s="380"/>
      <c r="O367" s="430"/>
      <c r="P367" s="380"/>
      <c r="Q367" s="380"/>
      <c r="R367" s="380"/>
      <c r="S367" s="380"/>
      <c r="T367" s="380"/>
      <c r="U367" s="380"/>
      <c r="V367" s="380"/>
      <c r="W367" s="380"/>
      <c r="X367" s="380"/>
      <c r="Y367" s="380"/>
      <c r="Z367" s="380"/>
      <c r="AA367" s="380"/>
    </row>
    <row r="368">
      <c r="A368" s="380"/>
      <c r="B368" s="380"/>
      <c r="C368" s="380"/>
      <c r="D368" s="380"/>
      <c r="E368" s="380"/>
      <c r="F368" s="415"/>
      <c r="G368" s="380"/>
      <c r="H368" s="380"/>
      <c r="I368" s="428"/>
      <c r="J368" s="429"/>
      <c r="K368" s="380"/>
      <c r="L368" s="415"/>
      <c r="M368" s="380"/>
      <c r="N368" s="380"/>
      <c r="O368" s="430"/>
      <c r="P368" s="380"/>
      <c r="Q368" s="380"/>
      <c r="R368" s="380"/>
      <c r="S368" s="380"/>
      <c r="T368" s="380"/>
      <c r="U368" s="380"/>
      <c r="V368" s="380"/>
      <c r="W368" s="380"/>
      <c r="X368" s="380"/>
      <c r="Y368" s="380"/>
      <c r="Z368" s="380"/>
      <c r="AA368" s="380"/>
    </row>
    <row r="369">
      <c r="A369" s="380"/>
      <c r="B369" s="380"/>
      <c r="C369" s="380"/>
      <c r="D369" s="380"/>
      <c r="E369" s="380"/>
      <c r="F369" s="415"/>
      <c r="G369" s="380"/>
      <c r="H369" s="380"/>
      <c r="I369" s="428"/>
      <c r="J369" s="429"/>
      <c r="K369" s="380"/>
      <c r="L369" s="415"/>
      <c r="M369" s="380"/>
      <c r="N369" s="380"/>
      <c r="O369" s="430"/>
      <c r="P369" s="380"/>
      <c r="Q369" s="380"/>
      <c r="R369" s="380"/>
      <c r="S369" s="380"/>
      <c r="T369" s="380"/>
      <c r="U369" s="380"/>
      <c r="V369" s="380"/>
      <c r="W369" s="380"/>
      <c r="X369" s="380"/>
      <c r="Y369" s="380"/>
      <c r="Z369" s="380"/>
      <c r="AA369" s="380"/>
    </row>
    <row r="370">
      <c r="A370" s="380"/>
      <c r="B370" s="380"/>
      <c r="C370" s="380"/>
      <c r="D370" s="380"/>
      <c r="E370" s="380"/>
      <c r="F370" s="415"/>
      <c r="G370" s="380"/>
      <c r="H370" s="380"/>
      <c r="I370" s="428"/>
      <c r="J370" s="429"/>
      <c r="K370" s="380"/>
      <c r="L370" s="415"/>
      <c r="M370" s="380"/>
      <c r="N370" s="380"/>
      <c r="O370" s="430"/>
      <c r="P370" s="380"/>
      <c r="Q370" s="380"/>
      <c r="R370" s="380"/>
      <c r="S370" s="380"/>
      <c r="T370" s="380"/>
      <c r="U370" s="380"/>
      <c r="V370" s="380"/>
      <c r="W370" s="380"/>
      <c r="X370" s="380"/>
      <c r="Y370" s="380"/>
      <c r="Z370" s="380"/>
      <c r="AA370" s="380"/>
    </row>
    <row r="371">
      <c r="A371" s="380"/>
      <c r="B371" s="380"/>
      <c r="C371" s="380"/>
      <c r="D371" s="380"/>
      <c r="E371" s="380"/>
      <c r="F371" s="415"/>
      <c r="G371" s="380"/>
      <c r="H371" s="380"/>
      <c r="I371" s="428"/>
      <c r="J371" s="429"/>
      <c r="K371" s="380"/>
      <c r="L371" s="415"/>
      <c r="M371" s="380"/>
      <c r="N371" s="380"/>
      <c r="O371" s="430"/>
      <c r="P371" s="380"/>
      <c r="Q371" s="380"/>
      <c r="R371" s="380"/>
      <c r="S371" s="380"/>
      <c r="T371" s="380"/>
      <c r="U371" s="380"/>
      <c r="V371" s="380"/>
      <c r="W371" s="380"/>
      <c r="X371" s="380"/>
      <c r="Y371" s="380"/>
      <c r="Z371" s="380"/>
      <c r="AA371" s="380"/>
    </row>
    <row r="372">
      <c r="A372" s="380"/>
      <c r="B372" s="380"/>
      <c r="C372" s="380"/>
      <c r="D372" s="380"/>
      <c r="E372" s="380"/>
      <c r="F372" s="415"/>
      <c r="G372" s="380"/>
      <c r="H372" s="380"/>
      <c r="I372" s="428"/>
      <c r="J372" s="429"/>
      <c r="K372" s="380"/>
      <c r="L372" s="415"/>
      <c r="M372" s="380"/>
      <c r="N372" s="380"/>
      <c r="O372" s="430"/>
      <c r="P372" s="380"/>
      <c r="Q372" s="380"/>
      <c r="R372" s="380"/>
      <c r="S372" s="380"/>
      <c r="T372" s="380"/>
      <c r="U372" s="380"/>
      <c r="V372" s="380"/>
      <c r="W372" s="380"/>
      <c r="X372" s="380"/>
      <c r="Y372" s="380"/>
      <c r="Z372" s="380"/>
      <c r="AA372" s="380"/>
    </row>
    <row r="373">
      <c r="A373" s="380"/>
      <c r="B373" s="380"/>
      <c r="C373" s="380"/>
      <c r="D373" s="380"/>
      <c r="E373" s="380"/>
      <c r="F373" s="415"/>
      <c r="G373" s="380"/>
      <c r="H373" s="380"/>
      <c r="I373" s="428"/>
      <c r="J373" s="429"/>
      <c r="K373" s="380"/>
      <c r="L373" s="415"/>
      <c r="M373" s="380"/>
      <c r="N373" s="380"/>
      <c r="O373" s="430"/>
      <c r="P373" s="380"/>
      <c r="Q373" s="380"/>
      <c r="R373" s="380"/>
      <c r="S373" s="380"/>
      <c r="T373" s="380"/>
      <c r="U373" s="380"/>
      <c r="V373" s="380"/>
      <c r="W373" s="380"/>
      <c r="X373" s="380"/>
      <c r="Y373" s="380"/>
      <c r="Z373" s="380"/>
      <c r="AA373" s="380"/>
    </row>
    <row r="374">
      <c r="A374" s="380"/>
      <c r="B374" s="380"/>
      <c r="C374" s="380"/>
      <c r="D374" s="380"/>
      <c r="E374" s="380"/>
      <c r="F374" s="415"/>
      <c r="G374" s="380"/>
      <c r="H374" s="380"/>
      <c r="I374" s="428"/>
      <c r="J374" s="429"/>
      <c r="K374" s="380"/>
      <c r="L374" s="415"/>
      <c r="M374" s="380"/>
      <c r="N374" s="380"/>
      <c r="O374" s="430"/>
      <c r="P374" s="380"/>
      <c r="Q374" s="380"/>
      <c r="R374" s="380"/>
      <c r="S374" s="380"/>
      <c r="T374" s="380"/>
      <c r="U374" s="380"/>
      <c r="V374" s="380"/>
      <c r="W374" s="380"/>
      <c r="X374" s="380"/>
      <c r="Y374" s="380"/>
      <c r="Z374" s="380"/>
      <c r="AA374" s="380"/>
    </row>
    <row r="375">
      <c r="A375" s="380"/>
      <c r="B375" s="380"/>
      <c r="C375" s="380"/>
      <c r="D375" s="380"/>
      <c r="E375" s="380"/>
      <c r="F375" s="415"/>
      <c r="G375" s="380"/>
      <c r="H375" s="380"/>
      <c r="I375" s="428"/>
      <c r="J375" s="429"/>
      <c r="K375" s="380"/>
      <c r="L375" s="415"/>
      <c r="M375" s="380"/>
      <c r="N375" s="380"/>
      <c r="O375" s="430"/>
      <c r="P375" s="380"/>
      <c r="Q375" s="380"/>
      <c r="R375" s="380"/>
      <c r="S375" s="380"/>
      <c r="T375" s="380"/>
      <c r="U375" s="380"/>
      <c r="V375" s="380"/>
      <c r="W375" s="380"/>
      <c r="X375" s="380"/>
      <c r="Y375" s="380"/>
      <c r="Z375" s="380"/>
      <c r="AA375" s="380"/>
    </row>
    <row r="376">
      <c r="A376" s="380"/>
      <c r="B376" s="380"/>
      <c r="C376" s="380"/>
      <c r="D376" s="380"/>
      <c r="E376" s="380"/>
      <c r="F376" s="415"/>
      <c r="G376" s="380"/>
      <c r="H376" s="380"/>
      <c r="I376" s="428"/>
      <c r="J376" s="429"/>
      <c r="K376" s="380"/>
      <c r="L376" s="415"/>
      <c r="M376" s="380"/>
      <c r="N376" s="380"/>
      <c r="O376" s="430"/>
      <c r="P376" s="380"/>
      <c r="Q376" s="380"/>
      <c r="R376" s="380"/>
      <c r="S376" s="380"/>
      <c r="T376" s="380"/>
      <c r="U376" s="380"/>
      <c r="V376" s="380"/>
      <c r="W376" s="380"/>
      <c r="X376" s="380"/>
      <c r="Y376" s="380"/>
      <c r="Z376" s="380"/>
      <c r="AA376" s="380"/>
    </row>
    <row r="377">
      <c r="A377" s="380"/>
      <c r="B377" s="380"/>
      <c r="C377" s="380"/>
      <c r="D377" s="380"/>
      <c r="E377" s="380"/>
      <c r="F377" s="415"/>
      <c r="G377" s="380"/>
      <c r="H377" s="380"/>
      <c r="I377" s="428"/>
      <c r="J377" s="429"/>
      <c r="K377" s="380"/>
      <c r="L377" s="415"/>
      <c r="M377" s="380"/>
      <c r="N377" s="380"/>
      <c r="O377" s="430"/>
      <c r="P377" s="380"/>
      <c r="Q377" s="380"/>
      <c r="R377" s="380"/>
      <c r="S377" s="380"/>
      <c r="T377" s="380"/>
      <c r="U377" s="380"/>
      <c r="V377" s="380"/>
      <c r="W377" s="380"/>
      <c r="X377" s="380"/>
      <c r="Y377" s="380"/>
      <c r="Z377" s="380"/>
      <c r="AA377" s="380"/>
    </row>
    <row r="378">
      <c r="A378" s="380"/>
      <c r="B378" s="380"/>
      <c r="C378" s="380"/>
      <c r="D378" s="380"/>
      <c r="E378" s="380"/>
      <c r="F378" s="415"/>
      <c r="G378" s="380"/>
      <c r="H378" s="380"/>
      <c r="I378" s="428"/>
      <c r="J378" s="429"/>
      <c r="K378" s="380"/>
      <c r="L378" s="415"/>
      <c r="M378" s="380"/>
      <c r="N378" s="380"/>
      <c r="O378" s="430"/>
      <c r="P378" s="380"/>
      <c r="Q378" s="380"/>
      <c r="R378" s="380"/>
      <c r="S378" s="380"/>
      <c r="T378" s="380"/>
      <c r="U378" s="380"/>
      <c r="V378" s="380"/>
      <c r="W378" s="380"/>
      <c r="X378" s="380"/>
      <c r="Y378" s="380"/>
      <c r="Z378" s="380"/>
      <c r="AA378" s="380"/>
    </row>
    <row r="379">
      <c r="A379" s="380"/>
      <c r="B379" s="380"/>
      <c r="C379" s="380"/>
      <c r="D379" s="380"/>
      <c r="E379" s="380"/>
      <c r="F379" s="415"/>
      <c r="G379" s="380"/>
      <c r="H379" s="380"/>
      <c r="I379" s="428"/>
      <c r="J379" s="429"/>
      <c r="K379" s="380"/>
      <c r="L379" s="415"/>
      <c r="M379" s="380"/>
      <c r="N379" s="380"/>
      <c r="O379" s="430"/>
      <c r="P379" s="380"/>
      <c r="Q379" s="380"/>
      <c r="R379" s="380"/>
      <c r="S379" s="380"/>
      <c r="T379" s="380"/>
      <c r="U379" s="380"/>
      <c r="V379" s="380"/>
      <c r="W379" s="380"/>
      <c r="X379" s="380"/>
      <c r="Y379" s="380"/>
      <c r="Z379" s="380"/>
      <c r="AA379" s="380"/>
    </row>
    <row r="380">
      <c r="A380" s="380"/>
      <c r="B380" s="380"/>
      <c r="C380" s="380"/>
      <c r="D380" s="380"/>
      <c r="E380" s="380"/>
      <c r="F380" s="415"/>
      <c r="G380" s="380"/>
      <c r="H380" s="380"/>
      <c r="I380" s="428"/>
      <c r="J380" s="429"/>
      <c r="K380" s="380"/>
      <c r="L380" s="415"/>
      <c r="M380" s="380"/>
      <c r="N380" s="380"/>
      <c r="O380" s="430"/>
      <c r="P380" s="380"/>
      <c r="Q380" s="380"/>
      <c r="R380" s="380"/>
      <c r="S380" s="380"/>
      <c r="T380" s="380"/>
      <c r="U380" s="380"/>
      <c r="V380" s="380"/>
      <c r="W380" s="380"/>
      <c r="X380" s="380"/>
      <c r="Y380" s="380"/>
      <c r="Z380" s="380"/>
      <c r="AA380" s="380"/>
    </row>
    <row r="381">
      <c r="A381" s="380"/>
      <c r="B381" s="380"/>
      <c r="C381" s="380"/>
      <c r="D381" s="380"/>
      <c r="E381" s="380"/>
      <c r="F381" s="415"/>
      <c r="G381" s="380"/>
      <c r="H381" s="380"/>
      <c r="I381" s="428"/>
      <c r="J381" s="429"/>
      <c r="K381" s="380"/>
      <c r="L381" s="415"/>
      <c r="M381" s="380"/>
      <c r="N381" s="380"/>
      <c r="O381" s="430"/>
      <c r="P381" s="380"/>
      <c r="Q381" s="380"/>
      <c r="R381" s="380"/>
      <c r="S381" s="380"/>
      <c r="T381" s="380"/>
      <c r="U381" s="380"/>
      <c r="V381" s="380"/>
      <c r="W381" s="380"/>
      <c r="X381" s="380"/>
      <c r="Y381" s="380"/>
      <c r="Z381" s="380"/>
      <c r="AA381" s="380"/>
    </row>
    <row r="382">
      <c r="A382" s="380"/>
      <c r="B382" s="380"/>
      <c r="C382" s="380"/>
      <c r="D382" s="380"/>
      <c r="E382" s="380"/>
      <c r="F382" s="415"/>
      <c r="G382" s="380"/>
      <c r="H382" s="380"/>
      <c r="I382" s="428"/>
      <c r="J382" s="429"/>
      <c r="K382" s="380"/>
      <c r="L382" s="415"/>
      <c r="M382" s="380"/>
      <c r="N382" s="380"/>
      <c r="O382" s="430"/>
      <c r="P382" s="380"/>
      <c r="Q382" s="380"/>
      <c r="R382" s="380"/>
      <c r="S382" s="380"/>
      <c r="T382" s="380"/>
      <c r="U382" s="380"/>
      <c r="V382" s="380"/>
      <c r="W382" s="380"/>
      <c r="X382" s="380"/>
      <c r="Y382" s="380"/>
      <c r="Z382" s="380"/>
      <c r="AA382" s="380"/>
    </row>
    <row r="383">
      <c r="A383" s="380"/>
      <c r="B383" s="380"/>
      <c r="C383" s="380"/>
      <c r="D383" s="380"/>
      <c r="E383" s="380"/>
      <c r="F383" s="415"/>
      <c r="G383" s="380"/>
      <c r="H383" s="380"/>
      <c r="I383" s="428"/>
      <c r="J383" s="429"/>
      <c r="K383" s="380"/>
      <c r="L383" s="415"/>
      <c r="M383" s="380"/>
      <c r="N383" s="380"/>
      <c r="O383" s="430"/>
      <c r="P383" s="380"/>
      <c r="Q383" s="380"/>
      <c r="R383" s="380"/>
      <c r="S383" s="380"/>
      <c r="T383" s="380"/>
      <c r="U383" s="380"/>
      <c r="V383" s="380"/>
      <c r="W383" s="380"/>
      <c r="X383" s="380"/>
      <c r="Y383" s="380"/>
      <c r="Z383" s="380"/>
      <c r="AA383" s="380"/>
    </row>
    <row r="384">
      <c r="A384" s="380"/>
      <c r="B384" s="380"/>
      <c r="C384" s="380"/>
      <c r="D384" s="380"/>
      <c r="E384" s="380"/>
      <c r="F384" s="415"/>
      <c r="G384" s="380"/>
      <c r="H384" s="380"/>
      <c r="I384" s="428"/>
      <c r="J384" s="429"/>
      <c r="K384" s="380"/>
      <c r="L384" s="415"/>
      <c r="M384" s="380"/>
      <c r="N384" s="380"/>
      <c r="O384" s="430"/>
      <c r="P384" s="380"/>
      <c r="Q384" s="380"/>
      <c r="R384" s="380"/>
      <c r="S384" s="380"/>
      <c r="T384" s="380"/>
      <c r="U384" s="380"/>
      <c r="V384" s="380"/>
      <c r="W384" s="380"/>
      <c r="X384" s="380"/>
      <c r="Y384" s="380"/>
      <c r="Z384" s="380"/>
      <c r="AA384" s="380"/>
    </row>
    <row r="385">
      <c r="A385" s="380"/>
      <c r="B385" s="380"/>
      <c r="C385" s="380"/>
      <c r="D385" s="380"/>
      <c r="E385" s="380"/>
      <c r="F385" s="415"/>
      <c r="G385" s="380"/>
      <c r="H385" s="380"/>
      <c r="I385" s="428"/>
      <c r="J385" s="429"/>
      <c r="K385" s="380"/>
      <c r="L385" s="415"/>
      <c r="M385" s="380"/>
      <c r="N385" s="380"/>
      <c r="O385" s="430"/>
      <c r="P385" s="380"/>
      <c r="Q385" s="380"/>
      <c r="R385" s="380"/>
      <c r="S385" s="380"/>
      <c r="T385" s="380"/>
      <c r="U385" s="380"/>
      <c r="V385" s="380"/>
      <c r="W385" s="380"/>
      <c r="X385" s="380"/>
      <c r="Y385" s="380"/>
      <c r="Z385" s="380"/>
      <c r="AA385" s="380"/>
    </row>
    <row r="386">
      <c r="A386" s="380"/>
      <c r="B386" s="380"/>
      <c r="C386" s="380"/>
      <c r="D386" s="380"/>
      <c r="E386" s="380"/>
      <c r="F386" s="415"/>
      <c r="G386" s="380"/>
      <c r="H386" s="380"/>
      <c r="I386" s="428"/>
      <c r="J386" s="429"/>
      <c r="K386" s="380"/>
      <c r="L386" s="415"/>
      <c r="M386" s="380"/>
      <c r="N386" s="380"/>
      <c r="O386" s="430"/>
      <c r="P386" s="380"/>
      <c r="Q386" s="380"/>
      <c r="R386" s="380"/>
      <c r="S386" s="380"/>
      <c r="T386" s="380"/>
      <c r="U386" s="380"/>
      <c r="V386" s="380"/>
      <c r="W386" s="380"/>
      <c r="X386" s="380"/>
      <c r="Y386" s="380"/>
      <c r="Z386" s="380"/>
      <c r="AA386" s="380"/>
    </row>
    <row r="387">
      <c r="A387" s="380"/>
      <c r="B387" s="380"/>
      <c r="C387" s="380"/>
      <c r="D387" s="380"/>
      <c r="E387" s="380"/>
      <c r="F387" s="415"/>
      <c r="G387" s="380"/>
      <c r="H387" s="380"/>
      <c r="I387" s="428"/>
      <c r="J387" s="429"/>
      <c r="K387" s="380"/>
      <c r="L387" s="415"/>
      <c r="M387" s="380"/>
      <c r="N387" s="380"/>
      <c r="O387" s="430"/>
      <c r="P387" s="380"/>
      <c r="Q387" s="380"/>
      <c r="R387" s="380"/>
      <c r="S387" s="380"/>
      <c r="T387" s="380"/>
      <c r="U387" s="380"/>
      <c r="V387" s="380"/>
      <c r="W387" s="380"/>
      <c r="X387" s="380"/>
      <c r="Y387" s="380"/>
      <c r="Z387" s="380"/>
      <c r="AA387" s="380"/>
    </row>
    <row r="388">
      <c r="A388" s="380"/>
      <c r="B388" s="380"/>
      <c r="C388" s="380"/>
      <c r="D388" s="380"/>
      <c r="E388" s="380"/>
      <c r="F388" s="415"/>
      <c r="G388" s="380"/>
      <c r="H388" s="380"/>
      <c r="I388" s="428"/>
      <c r="J388" s="429"/>
      <c r="K388" s="380"/>
      <c r="L388" s="415"/>
      <c r="M388" s="380"/>
      <c r="N388" s="380"/>
      <c r="O388" s="430"/>
      <c r="P388" s="380"/>
      <c r="Q388" s="380"/>
      <c r="R388" s="380"/>
      <c r="S388" s="380"/>
      <c r="T388" s="380"/>
      <c r="U388" s="380"/>
      <c r="V388" s="380"/>
      <c r="W388" s="380"/>
      <c r="X388" s="380"/>
      <c r="Y388" s="380"/>
      <c r="Z388" s="380"/>
      <c r="AA388" s="380"/>
    </row>
    <row r="389">
      <c r="A389" s="380"/>
      <c r="B389" s="380"/>
      <c r="C389" s="380"/>
      <c r="D389" s="380"/>
      <c r="E389" s="380"/>
      <c r="F389" s="415"/>
      <c r="G389" s="380"/>
      <c r="H389" s="380"/>
      <c r="I389" s="428"/>
      <c r="J389" s="429"/>
      <c r="K389" s="380"/>
      <c r="L389" s="415"/>
      <c r="M389" s="380"/>
      <c r="N389" s="380"/>
      <c r="O389" s="430"/>
      <c r="P389" s="380"/>
      <c r="Q389" s="380"/>
      <c r="R389" s="380"/>
      <c r="S389" s="380"/>
      <c r="T389" s="380"/>
      <c r="U389" s="380"/>
      <c r="V389" s="380"/>
      <c r="W389" s="380"/>
      <c r="X389" s="380"/>
      <c r="Y389" s="380"/>
      <c r="Z389" s="380"/>
      <c r="AA389" s="380"/>
    </row>
    <row r="390">
      <c r="A390" s="380"/>
      <c r="B390" s="380"/>
      <c r="C390" s="380"/>
      <c r="D390" s="380"/>
      <c r="E390" s="380"/>
      <c r="F390" s="415"/>
      <c r="G390" s="380"/>
      <c r="H390" s="380"/>
      <c r="I390" s="428"/>
      <c r="J390" s="429"/>
      <c r="K390" s="380"/>
      <c r="L390" s="415"/>
      <c r="M390" s="380"/>
      <c r="N390" s="380"/>
      <c r="O390" s="430"/>
      <c r="P390" s="380"/>
      <c r="Q390" s="380"/>
      <c r="R390" s="380"/>
      <c r="S390" s="380"/>
      <c r="T390" s="380"/>
      <c r="U390" s="380"/>
      <c r="V390" s="380"/>
      <c r="W390" s="380"/>
      <c r="X390" s="380"/>
      <c r="Y390" s="380"/>
      <c r="Z390" s="380"/>
      <c r="AA390" s="380"/>
    </row>
    <row r="391">
      <c r="A391" s="380"/>
      <c r="B391" s="380"/>
      <c r="C391" s="380"/>
      <c r="D391" s="380"/>
      <c r="E391" s="380"/>
      <c r="F391" s="415"/>
      <c r="G391" s="380"/>
      <c r="H391" s="380"/>
      <c r="I391" s="428"/>
      <c r="J391" s="429"/>
      <c r="K391" s="380"/>
      <c r="L391" s="415"/>
      <c r="M391" s="380"/>
      <c r="N391" s="380"/>
      <c r="O391" s="430"/>
      <c r="P391" s="380"/>
      <c r="Q391" s="380"/>
      <c r="R391" s="380"/>
      <c r="S391" s="380"/>
      <c r="T391" s="380"/>
      <c r="U391" s="380"/>
      <c r="V391" s="380"/>
      <c r="W391" s="380"/>
      <c r="X391" s="380"/>
      <c r="Y391" s="380"/>
      <c r="Z391" s="380"/>
      <c r="AA391" s="380"/>
    </row>
    <row r="392">
      <c r="A392" s="380"/>
      <c r="B392" s="380"/>
      <c r="C392" s="380"/>
      <c r="D392" s="380"/>
      <c r="E392" s="380"/>
      <c r="F392" s="415"/>
      <c r="G392" s="380"/>
      <c r="H392" s="380"/>
      <c r="I392" s="428"/>
      <c r="J392" s="429"/>
      <c r="K392" s="380"/>
      <c r="L392" s="415"/>
      <c r="M392" s="380"/>
      <c r="N392" s="380"/>
      <c r="O392" s="430"/>
      <c r="P392" s="380"/>
      <c r="Q392" s="380"/>
      <c r="R392" s="380"/>
      <c r="S392" s="380"/>
      <c r="T392" s="380"/>
      <c r="U392" s="380"/>
      <c r="V392" s="380"/>
      <c r="W392" s="380"/>
      <c r="X392" s="380"/>
      <c r="Y392" s="380"/>
      <c r="Z392" s="380"/>
      <c r="AA392" s="380"/>
    </row>
    <row r="393">
      <c r="A393" s="380"/>
      <c r="B393" s="380"/>
      <c r="C393" s="380"/>
      <c r="D393" s="380"/>
      <c r="E393" s="380"/>
      <c r="F393" s="415"/>
      <c r="G393" s="380"/>
      <c r="H393" s="380"/>
      <c r="I393" s="428"/>
      <c r="J393" s="429"/>
      <c r="K393" s="380"/>
      <c r="L393" s="415"/>
      <c r="M393" s="380"/>
      <c r="N393" s="380"/>
      <c r="O393" s="430"/>
      <c r="P393" s="380"/>
      <c r="Q393" s="380"/>
      <c r="R393" s="380"/>
      <c r="S393" s="380"/>
      <c r="T393" s="380"/>
      <c r="U393" s="380"/>
      <c r="V393" s="380"/>
      <c r="W393" s="380"/>
      <c r="X393" s="380"/>
      <c r="Y393" s="380"/>
      <c r="Z393" s="380"/>
      <c r="AA393" s="380"/>
    </row>
    <row r="394">
      <c r="A394" s="380"/>
      <c r="B394" s="380"/>
      <c r="C394" s="380"/>
      <c r="D394" s="380"/>
      <c r="E394" s="380"/>
      <c r="F394" s="415"/>
      <c r="G394" s="380"/>
      <c r="H394" s="380"/>
      <c r="I394" s="428"/>
      <c r="J394" s="429"/>
      <c r="K394" s="380"/>
      <c r="L394" s="415"/>
      <c r="M394" s="380"/>
      <c r="N394" s="380"/>
      <c r="O394" s="430"/>
      <c r="P394" s="380"/>
      <c r="Q394" s="380"/>
      <c r="R394" s="380"/>
      <c r="S394" s="380"/>
      <c r="T394" s="380"/>
      <c r="U394" s="380"/>
      <c r="V394" s="380"/>
      <c r="W394" s="380"/>
      <c r="X394" s="380"/>
      <c r="Y394" s="380"/>
      <c r="Z394" s="380"/>
      <c r="AA394" s="380"/>
    </row>
    <row r="395">
      <c r="A395" s="380"/>
      <c r="B395" s="380"/>
      <c r="C395" s="380"/>
      <c r="D395" s="380"/>
      <c r="E395" s="380"/>
      <c r="F395" s="415"/>
      <c r="G395" s="380"/>
      <c r="H395" s="380"/>
      <c r="I395" s="428"/>
      <c r="J395" s="429"/>
      <c r="K395" s="380"/>
      <c r="L395" s="415"/>
      <c r="M395" s="380"/>
      <c r="N395" s="380"/>
      <c r="O395" s="430"/>
      <c r="P395" s="380"/>
      <c r="Q395" s="380"/>
      <c r="R395" s="380"/>
      <c r="S395" s="380"/>
      <c r="T395" s="380"/>
      <c r="U395" s="380"/>
      <c r="V395" s="380"/>
      <c r="W395" s="380"/>
      <c r="X395" s="380"/>
      <c r="Y395" s="380"/>
      <c r="Z395" s="380"/>
      <c r="AA395" s="380"/>
    </row>
    <row r="396">
      <c r="A396" s="380"/>
      <c r="B396" s="380"/>
      <c r="C396" s="380"/>
      <c r="D396" s="380"/>
      <c r="E396" s="380"/>
      <c r="F396" s="415"/>
      <c r="G396" s="380"/>
      <c r="H396" s="380"/>
      <c r="I396" s="428"/>
      <c r="J396" s="429"/>
      <c r="K396" s="380"/>
      <c r="L396" s="415"/>
      <c r="M396" s="380"/>
      <c r="N396" s="380"/>
      <c r="O396" s="430"/>
      <c r="P396" s="380"/>
      <c r="Q396" s="380"/>
      <c r="R396" s="380"/>
      <c r="S396" s="380"/>
      <c r="T396" s="380"/>
      <c r="U396" s="380"/>
      <c r="V396" s="380"/>
      <c r="W396" s="380"/>
      <c r="X396" s="380"/>
      <c r="Y396" s="380"/>
      <c r="Z396" s="380"/>
      <c r="AA396" s="380"/>
    </row>
    <row r="397">
      <c r="A397" s="380"/>
      <c r="B397" s="380"/>
      <c r="C397" s="380"/>
      <c r="D397" s="380"/>
      <c r="E397" s="380"/>
      <c r="F397" s="415"/>
      <c r="G397" s="380"/>
      <c r="H397" s="380"/>
      <c r="I397" s="428"/>
      <c r="J397" s="429"/>
      <c r="K397" s="380"/>
      <c r="L397" s="415"/>
      <c r="M397" s="380"/>
      <c r="N397" s="380"/>
      <c r="O397" s="430"/>
      <c r="P397" s="380"/>
      <c r="Q397" s="380"/>
      <c r="R397" s="380"/>
      <c r="S397" s="380"/>
      <c r="T397" s="380"/>
      <c r="U397" s="380"/>
      <c r="V397" s="380"/>
      <c r="W397" s="380"/>
      <c r="X397" s="380"/>
      <c r="Y397" s="380"/>
      <c r="Z397" s="380"/>
      <c r="AA397" s="380"/>
    </row>
    <row r="398">
      <c r="A398" s="380"/>
      <c r="B398" s="380"/>
      <c r="C398" s="380"/>
      <c r="D398" s="380"/>
      <c r="E398" s="380"/>
      <c r="F398" s="415"/>
      <c r="G398" s="380"/>
      <c r="H398" s="380"/>
      <c r="I398" s="428"/>
      <c r="J398" s="429"/>
      <c r="K398" s="380"/>
      <c r="L398" s="415"/>
      <c r="M398" s="380"/>
      <c r="N398" s="380"/>
      <c r="O398" s="430"/>
      <c r="P398" s="380"/>
      <c r="Q398" s="380"/>
      <c r="R398" s="380"/>
      <c r="S398" s="380"/>
      <c r="T398" s="380"/>
      <c r="U398" s="380"/>
      <c r="V398" s="380"/>
      <c r="W398" s="380"/>
      <c r="X398" s="380"/>
      <c r="Y398" s="380"/>
      <c r="Z398" s="380"/>
      <c r="AA398" s="380"/>
    </row>
    <row r="399">
      <c r="A399" s="380"/>
      <c r="B399" s="380"/>
      <c r="C399" s="380"/>
      <c r="D399" s="380"/>
      <c r="E399" s="380"/>
      <c r="F399" s="415"/>
      <c r="G399" s="380"/>
      <c r="H399" s="380"/>
      <c r="I399" s="428"/>
      <c r="J399" s="429"/>
      <c r="K399" s="380"/>
      <c r="L399" s="415"/>
      <c r="M399" s="380"/>
      <c r="N399" s="380"/>
      <c r="O399" s="430"/>
      <c r="P399" s="380"/>
      <c r="Q399" s="380"/>
      <c r="R399" s="380"/>
      <c r="S399" s="380"/>
      <c r="T399" s="380"/>
      <c r="U399" s="380"/>
      <c r="V399" s="380"/>
      <c r="W399" s="380"/>
      <c r="X399" s="380"/>
      <c r="Y399" s="380"/>
      <c r="Z399" s="380"/>
      <c r="AA399" s="380"/>
    </row>
    <row r="400">
      <c r="A400" s="380"/>
      <c r="B400" s="380"/>
      <c r="C400" s="380"/>
      <c r="D400" s="380"/>
      <c r="E400" s="380"/>
      <c r="F400" s="415"/>
      <c r="G400" s="380"/>
      <c r="H400" s="380"/>
      <c r="I400" s="428"/>
      <c r="J400" s="429"/>
      <c r="K400" s="380"/>
      <c r="L400" s="415"/>
      <c r="M400" s="380"/>
      <c r="N400" s="380"/>
      <c r="O400" s="430"/>
      <c r="P400" s="380"/>
      <c r="Q400" s="380"/>
      <c r="R400" s="380"/>
      <c r="S400" s="380"/>
      <c r="T400" s="380"/>
      <c r="U400" s="380"/>
      <c r="V400" s="380"/>
      <c r="W400" s="380"/>
      <c r="X400" s="380"/>
      <c r="Y400" s="380"/>
      <c r="Z400" s="380"/>
      <c r="AA400" s="380"/>
    </row>
    <row r="401">
      <c r="A401" s="380"/>
      <c r="B401" s="380"/>
      <c r="C401" s="380"/>
      <c r="D401" s="380"/>
      <c r="E401" s="380"/>
      <c r="F401" s="415"/>
      <c r="G401" s="380"/>
      <c r="H401" s="380"/>
      <c r="I401" s="428"/>
      <c r="J401" s="429"/>
      <c r="K401" s="380"/>
      <c r="L401" s="415"/>
      <c r="M401" s="380"/>
      <c r="N401" s="380"/>
      <c r="O401" s="430"/>
      <c r="P401" s="380"/>
      <c r="Q401" s="380"/>
      <c r="R401" s="380"/>
      <c r="S401" s="380"/>
      <c r="T401" s="380"/>
      <c r="U401" s="380"/>
      <c r="V401" s="380"/>
      <c r="W401" s="380"/>
      <c r="X401" s="380"/>
      <c r="Y401" s="380"/>
      <c r="Z401" s="380"/>
      <c r="AA401" s="380"/>
    </row>
    <row r="402">
      <c r="A402" s="380"/>
      <c r="B402" s="380"/>
      <c r="C402" s="380"/>
      <c r="D402" s="380"/>
      <c r="E402" s="380"/>
      <c r="F402" s="415"/>
      <c r="G402" s="380"/>
      <c r="H402" s="380"/>
      <c r="I402" s="428"/>
      <c r="J402" s="429"/>
      <c r="K402" s="380"/>
      <c r="L402" s="415"/>
      <c r="M402" s="380"/>
      <c r="N402" s="380"/>
      <c r="O402" s="430"/>
      <c r="P402" s="380"/>
      <c r="Q402" s="380"/>
      <c r="R402" s="380"/>
      <c r="S402" s="380"/>
      <c r="T402" s="380"/>
      <c r="U402" s="380"/>
      <c r="V402" s="380"/>
      <c r="W402" s="380"/>
      <c r="X402" s="380"/>
      <c r="Y402" s="380"/>
      <c r="Z402" s="380"/>
      <c r="AA402" s="380"/>
    </row>
    <row r="403">
      <c r="A403" s="380"/>
      <c r="B403" s="380"/>
      <c r="C403" s="380"/>
      <c r="D403" s="380"/>
      <c r="E403" s="380"/>
      <c r="F403" s="415"/>
      <c r="G403" s="380"/>
      <c r="H403" s="380"/>
      <c r="I403" s="428"/>
      <c r="J403" s="429"/>
      <c r="K403" s="380"/>
      <c r="L403" s="415"/>
      <c r="M403" s="380"/>
      <c r="N403" s="380"/>
      <c r="O403" s="430"/>
      <c r="P403" s="380"/>
      <c r="Q403" s="380"/>
      <c r="R403" s="380"/>
      <c r="S403" s="380"/>
      <c r="T403" s="380"/>
      <c r="U403" s="380"/>
      <c r="V403" s="380"/>
      <c r="W403" s="380"/>
      <c r="X403" s="380"/>
      <c r="Y403" s="380"/>
      <c r="Z403" s="380"/>
      <c r="AA403" s="380"/>
    </row>
    <row r="404">
      <c r="A404" s="380"/>
      <c r="B404" s="380"/>
      <c r="C404" s="380"/>
      <c r="D404" s="380"/>
      <c r="E404" s="380"/>
      <c r="F404" s="415"/>
      <c r="G404" s="380"/>
      <c r="H404" s="380"/>
      <c r="I404" s="428"/>
      <c r="J404" s="429"/>
      <c r="K404" s="380"/>
      <c r="L404" s="415"/>
      <c r="M404" s="380"/>
      <c r="N404" s="380"/>
      <c r="O404" s="430"/>
      <c r="P404" s="380"/>
      <c r="Q404" s="380"/>
      <c r="R404" s="380"/>
      <c r="S404" s="380"/>
      <c r="T404" s="380"/>
      <c r="U404" s="380"/>
      <c r="V404" s="380"/>
      <c r="W404" s="380"/>
      <c r="X404" s="380"/>
      <c r="Y404" s="380"/>
      <c r="Z404" s="380"/>
      <c r="AA404" s="380"/>
    </row>
    <row r="405">
      <c r="A405" s="380"/>
      <c r="B405" s="380"/>
      <c r="C405" s="380"/>
      <c r="D405" s="380"/>
      <c r="E405" s="380"/>
      <c r="F405" s="415"/>
      <c r="G405" s="380"/>
      <c r="H405" s="380"/>
      <c r="I405" s="428"/>
      <c r="J405" s="429"/>
      <c r="K405" s="380"/>
      <c r="L405" s="415"/>
      <c r="M405" s="380"/>
      <c r="N405" s="380"/>
      <c r="O405" s="430"/>
      <c r="P405" s="380"/>
      <c r="Q405" s="380"/>
      <c r="R405" s="380"/>
      <c r="S405" s="380"/>
      <c r="T405" s="380"/>
      <c r="U405" s="380"/>
      <c r="V405" s="380"/>
      <c r="W405" s="380"/>
      <c r="X405" s="380"/>
      <c r="Y405" s="380"/>
      <c r="Z405" s="380"/>
      <c r="AA405" s="380"/>
    </row>
    <row r="406">
      <c r="A406" s="380"/>
      <c r="B406" s="380"/>
      <c r="C406" s="380"/>
      <c r="D406" s="380"/>
      <c r="E406" s="380"/>
      <c r="F406" s="415"/>
      <c r="G406" s="380"/>
      <c r="H406" s="380"/>
      <c r="I406" s="428"/>
      <c r="J406" s="429"/>
      <c r="K406" s="380"/>
      <c r="L406" s="415"/>
      <c r="M406" s="380"/>
      <c r="N406" s="380"/>
      <c r="O406" s="430"/>
      <c r="P406" s="380"/>
      <c r="Q406" s="380"/>
      <c r="R406" s="380"/>
      <c r="S406" s="380"/>
      <c r="T406" s="380"/>
      <c r="U406" s="380"/>
      <c r="V406" s="380"/>
      <c r="W406" s="380"/>
      <c r="X406" s="380"/>
      <c r="Y406" s="380"/>
      <c r="Z406" s="380"/>
      <c r="AA406" s="380"/>
    </row>
    <row r="407">
      <c r="A407" s="380"/>
      <c r="B407" s="380"/>
      <c r="C407" s="380"/>
      <c r="D407" s="380"/>
      <c r="E407" s="380"/>
      <c r="F407" s="415"/>
      <c r="G407" s="380"/>
      <c r="H407" s="380"/>
      <c r="I407" s="428"/>
      <c r="J407" s="429"/>
      <c r="K407" s="380"/>
      <c r="L407" s="415"/>
      <c r="M407" s="380"/>
      <c r="N407" s="380"/>
      <c r="O407" s="430"/>
      <c r="P407" s="380"/>
      <c r="Q407" s="380"/>
      <c r="R407" s="380"/>
      <c r="S407" s="380"/>
      <c r="T407" s="380"/>
      <c r="U407" s="380"/>
      <c r="V407" s="380"/>
      <c r="W407" s="380"/>
      <c r="X407" s="380"/>
      <c r="Y407" s="380"/>
      <c r="Z407" s="380"/>
      <c r="AA407" s="380"/>
    </row>
    <row r="408">
      <c r="A408" s="380"/>
      <c r="B408" s="380"/>
      <c r="C408" s="380"/>
      <c r="D408" s="380"/>
      <c r="E408" s="380"/>
      <c r="F408" s="415"/>
      <c r="G408" s="380"/>
      <c r="H408" s="380"/>
      <c r="I408" s="428"/>
      <c r="J408" s="429"/>
      <c r="K408" s="380"/>
      <c r="L408" s="415"/>
      <c r="M408" s="380"/>
      <c r="N408" s="380"/>
      <c r="O408" s="430"/>
      <c r="P408" s="380"/>
      <c r="Q408" s="380"/>
      <c r="R408" s="380"/>
      <c r="S408" s="380"/>
      <c r="T408" s="380"/>
      <c r="U408" s="380"/>
      <c r="V408" s="380"/>
      <c r="W408" s="380"/>
      <c r="X408" s="380"/>
      <c r="Y408" s="380"/>
      <c r="Z408" s="380"/>
      <c r="AA408" s="380"/>
    </row>
    <row r="409">
      <c r="A409" s="380"/>
      <c r="B409" s="380"/>
      <c r="C409" s="380"/>
      <c r="D409" s="380"/>
      <c r="E409" s="380"/>
      <c r="F409" s="415"/>
      <c r="G409" s="380"/>
      <c r="H409" s="380"/>
      <c r="I409" s="428"/>
      <c r="J409" s="429"/>
      <c r="K409" s="380"/>
      <c r="L409" s="415"/>
      <c r="M409" s="380"/>
      <c r="N409" s="380"/>
      <c r="O409" s="430"/>
      <c r="P409" s="380"/>
      <c r="Q409" s="380"/>
      <c r="R409" s="380"/>
      <c r="S409" s="380"/>
      <c r="T409" s="380"/>
      <c r="U409" s="380"/>
      <c r="V409" s="380"/>
      <c r="W409" s="380"/>
      <c r="X409" s="380"/>
      <c r="Y409" s="380"/>
      <c r="Z409" s="380"/>
      <c r="AA409" s="380"/>
    </row>
    <row r="410">
      <c r="A410" s="380"/>
      <c r="B410" s="380"/>
      <c r="C410" s="380"/>
      <c r="D410" s="380"/>
      <c r="E410" s="380"/>
      <c r="F410" s="415"/>
      <c r="G410" s="380"/>
      <c r="H410" s="380"/>
      <c r="I410" s="428"/>
      <c r="J410" s="429"/>
      <c r="K410" s="380"/>
      <c r="L410" s="415"/>
      <c r="M410" s="380"/>
      <c r="N410" s="380"/>
      <c r="O410" s="430"/>
      <c r="P410" s="380"/>
      <c r="Q410" s="380"/>
      <c r="R410" s="380"/>
      <c r="S410" s="380"/>
      <c r="T410" s="380"/>
      <c r="U410" s="380"/>
      <c r="V410" s="380"/>
      <c r="W410" s="380"/>
      <c r="X410" s="380"/>
      <c r="Y410" s="380"/>
      <c r="Z410" s="380"/>
      <c r="AA410" s="380"/>
    </row>
    <row r="411">
      <c r="A411" s="380"/>
      <c r="B411" s="380"/>
      <c r="C411" s="380"/>
      <c r="D411" s="380"/>
      <c r="E411" s="380"/>
      <c r="F411" s="415"/>
      <c r="G411" s="380"/>
      <c r="H411" s="380"/>
      <c r="I411" s="428"/>
      <c r="J411" s="429"/>
      <c r="K411" s="380"/>
      <c r="L411" s="415"/>
      <c r="M411" s="380"/>
      <c r="N411" s="380"/>
      <c r="O411" s="430"/>
      <c r="P411" s="380"/>
      <c r="Q411" s="380"/>
      <c r="R411" s="380"/>
      <c r="S411" s="380"/>
      <c r="T411" s="380"/>
      <c r="U411" s="380"/>
      <c r="V411" s="380"/>
      <c r="W411" s="380"/>
      <c r="X411" s="380"/>
      <c r="Y411" s="380"/>
      <c r="Z411" s="380"/>
      <c r="AA411" s="380"/>
    </row>
    <row r="412">
      <c r="A412" s="380"/>
      <c r="B412" s="380"/>
      <c r="C412" s="380"/>
      <c r="D412" s="380"/>
      <c r="E412" s="380"/>
      <c r="F412" s="415"/>
      <c r="G412" s="380"/>
      <c r="H412" s="380"/>
      <c r="I412" s="428"/>
      <c r="J412" s="429"/>
      <c r="K412" s="380"/>
      <c r="L412" s="415"/>
      <c r="M412" s="380"/>
      <c r="N412" s="380"/>
      <c r="O412" s="430"/>
      <c r="P412" s="380"/>
      <c r="Q412" s="380"/>
      <c r="R412" s="380"/>
      <c r="S412" s="380"/>
      <c r="T412" s="380"/>
      <c r="U412" s="380"/>
      <c r="V412" s="380"/>
      <c r="W412" s="380"/>
      <c r="X412" s="380"/>
      <c r="Y412" s="380"/>
      <c r="Z412" s="380"/>
      <c r="AA412" s="380"/>
    </row>
    <row r="413">
      <c r="A413" s="380"/>
      <c r="B413" s="380"/>
      <c r="C413" s="380"/>
      <c r="D413" s="380"/>
      <c r="E413" s="380"/>
      <c r="F413" s="415"/>
      <c r="G413" s="380"/>
      <c r="H413" s="380"/>
      <c r="I413" s="428"/>
      <c r="J413" s="429"/>
      <c r="K413" s="380"/>
      <c r="L413" s="415"/>
      <c r="M413" s="380"/>
      <c r="N413" s="380"/>
      <c r="O413" s="430"/>
      <c r="P413" s="380"/>
      <c r="Q413" s="380"/>
      <c r="R413" s="380"/>
      <c r="S413" s="380"/>
      <c r="T413" s="380"/>
      <c r="U413" s="380"/>
      <c r="V413" s="380"/>
      <c r="W413" s="380"/>
      <c r="X413" s="380"/>
      <c r="Y413" s="380"/>
      <c r="Z413" s="380"/>
      <c r="AA413" s="380"/>
    </row>
    <row r="414">
      <c r="A414" s="380"/>
      <c r="B414" s="380"/>
      <c r="C414" s="380"/>
      <c r="D414" s="380"/>
      <c r="E414" s="380"/>
      <c r="F414" s="415"/>
      <c r="G414" s="380"/>
      <c r="H414" s="380"/>
      <c r="I414" s="428"/>
      <c r="J414" s="429"/>
      <c r="K414" s="380"/>
      <c r="L414" s="415"/>
      <c r="M414" s="380"/>
      <c r="N414" s="380"/>
      <c r="O414" s="430"/>
      <c r="P414" s="380"/>
      <c r="Q414" s="380"/>
      <c r="R414" s="380"/>
      <c r="S414" s="380"/>
      <c r="T414" s="380"/>
      <c r="U414" s="380"/>
      <c r="V414" s="380"/>
      <c r="W414" s="380"/>
      <c r="X414" s="380"/>
      <c r="Y414" s="380"/>
      <c r="Z414" s="380"/>
      <c r="AA414" s="380"/>
    </row>
    <row r="415">
      <c r="A415" s="380"/>
      <c r="B415" s="380"/>
      <c r="C415" s="380"/>
      <c r="D415" s="380"/>
      <c r="E415" s="380"/>
      <c r="F415" s="415"/>
      <c r="G415" s="380"/>
      <c r="H415" s="380"/>
      <c r="I415" s="428"/>
      <c r="J415" s="429"/>
      <c r="K415" s="380"/>
      <c r="L415" s="415"/>
      <c r="M415" s="380"/>
      <c r="N415" s="380"/>
      <c r="O415" s="430"/>
      <c r="P415" s="380"/>
      <c r="Q415" s="380"/>
      <c r="R415" s="380"/>
      <c r="S415" s="380"/>
      <c r="T415" s="380"/>
      <c r="U415" s="380"/>
      <c r="V415" s="380"/>
      <c r="W415" s="380"/>
      <c r="X415" s="380"/>
      <c r="Y415" s="380"/>
      <c r="Z415" s="380"/>
      <c r="AA415" s="380"/>
    </row>
    <row r="416">
      <c r="A416" s="380"/>
      <c r="B416" s="380"/>
      <c r="C416" s="380"/>
      <c r="D416" s="380"/>
      <c r="E416" s="380"/>
      <c r="F416" s="415"/>
      <c r="G416" s="380"/>
      <c r="H416" s="380"/>
      <c r="I416" s="428"/>
      <c r="J416" s="429"/>
      <c r="K416" s="380"/>
      <c r="L416" s="415"/>
      <c r="M416" s="380"/>
      <c r="N416" s="380"/>
      <c r="O416" s="430"/>
      <c r="P416" s="380"/>
      <c r="Q416" s="380"/>
      <c r="R416" s="380"/>
      <c r="S416" s="380"/>
      <c r="T416" s="380"/>
      <c r="U416" s="380"/>
      <c r="V416" s="380"/>
      <c r="W416" s="380"/>
      <c r="X416" s="380"/>
      <c r="Y416" s="380"/>
      <c r="Z416" s="380"/>
      <c r="AA416" s="380"/>
    </row>
    <row r="417">
      <c r="A417" s="380"/>
      <c r="B417" s="380"/>
      <c r="C417" s="380"/>
      <c r="D417" s="380"/>
      <c r="E417" s="380"/>
      <c r="F417" s="415"/>
      <c r="G417" s="380"/>
      <c r="H417" s="380"/>
      <c r="I417" s="428"/>
      <c r="J417" s="429"/>
      <c r="K417" s="380"/>
      <c r="L417" s="415"/>
      <c r="M417" s="380"/>
      <c r="N417" s="380"/>
      <c r="O417" s="430"/>
      <c r="P417" s="380"/>
      <c r="Q417" s="380"/>
      <c r="R417" s="380"/>
      <c r="S417" s="380"/>
      <c r="T417" s="380"/>
      <c r="U417" s="380"/>
      <c r="V417" s="380"/>
      <c r="W417" s="380"/>
      <c r="X417" s="380"/>
      <c r="Y417" s="380"/>
      <c r="Z417" s="380"/>
      <c r="AA417" s="380"/>
    </row>
    <row r="418">
      <c r="A418" s="380"/>
      <c r="B418" s="380"/>
      <c r="C418" s="380"/>
      <c r="D418" s="380"/>
      <c r="E418" s="380"/>
      <c r="F418" s="415"/>
      <c r="G418" s="380"/>
      <c r="H418" s="380"/>
      <c r="I418" s="428"/>
      <c r="J418" s="429"/>
      <c r="K418" s="380"/>
      <c r="L418" s="415"/>
      <c r="M418" s="380"/>
      <c r="N418" s="380"/>
      <c r="O418" s="430"/>
      <c r="P418" s="380"/>
      <c r="Q418" s="380"/>
      <c r="R418" s="380"/>
      <c r="S418" s="380"/>
      <c r="T418" s="380"/>
      <c r="U418" s="380"/>
      <c r="V418" s="380"/>
      <c r="W418" s="380"/>
      <c r="X418" s="380"/>
      <c r="Y418" s="380"/>
      <c r="Z418" s="380"/>
      <c r="AA418" s="380"/>
    </row>
    <row r="419">
      <c r="A419" s="380"/>
      <c r="B419" s="380"/>
      <c r="C419" s="380"/>
      <c r="D419" s="380"/>
      <c r="E419" s="380"/>
      <c r="F419" s="415"/>
      <c r="G419" s="380"/>
      <c r="H419" s="380"/>
      <c r="I419" s="428"/>
      <c r="J419" s="429"/>
      <c r="K419" s="380"/>
      <c r="L419" s="415"/>
      <c r="M419" s="380"/>
      <c r="N419" s="380"/>
      <c r="O419" s="430"/>
      <c r="P419" s="380"/>
      <c r="Q419" s="380"/>
      <c r="R419" s="380"/>
      <c r="S419" s="380"/>
      <c r="T419" s="380"/>
      <c r="U419" s="380"/>
      <c r="V419" s="380"/>
      <c r="W419" s="380"/>
      <c r="X419" s="380"/>
      <c r="Y419" s="380"/>
      <c r="Z419" s="380"/>
      <c r="AA419" s="380"/>
    </row>
    <row r="420">
      <c r="A420" s="380"/>
      <c r="B420" s="380"/>
      <c r="C420" s="380"/>
      <c r="D420" s="380"/>
      <c r="E420" s="380"/>
      <c r="F420" s="415"/>
      <c r="G420" s="380"/>
      <c r="H420" s="380"/>
      <c r="I420" s="428"/>
      <c r="J420" s="429"/>
      <c r="K420" s="380"/>
      <c r="L420" s="415"/>
      <c r="M420" s="380"/>
      <c r="N420" s="380"/>
      <c r="O420" s="430"/>
      <c r="P420" s="380"/>
      <c r="Q420" s="380"/>
      <c r="R420" s="380"/>
      <c r="S420" s="380"/>
      <c r="T420" s="380"/>
      <c r="U420" s="380"/>
      <c r="V420" s="380"/>
      <c r="W420" s="380"/>
      <c r="X420" s="380"/>
      <c r="Y420" s="380"/>
      <c r="Z420" s="380"/>
      <c r="AA420" s="380"/>
    </row>
    <row r="421">
      <c r="A421" s="380"/>
      <c r="B421" s="380"/>
      <c r="C421" s="380"/>
      <c r="D421" s="380"/>
      <c r="E421" s="380"/>
      <c r="F421" s="415"/>
      <c r="G421" s="380"/>
      <c r="H421" s="380"/>
      <c r="I421" s="428"/>
      <c r="J421" s="429"/>
      <c r="K421" s="380"/>
      <c r="L421" s="415"/>
      <c r="M421" s="380"/>
      <c r="N421" s="380"/>
      <c r="O421" s="430"/>
      <c r="P421" s="380"/>
      <c r="Q421" s="380"/>
      <c r="R421" s="380"/>
      <c r="S421" s="380"/>
      <c r="T421" s="380"/>
      <c r="U421" s="380"/>
      <c r="V421" s="380"/>
      <c r="W421" s="380"/>
      <c r="X421" s="380"/>
      <c r="Y421" s="380"/>
      <c r="Z421" s="380"/>
      <c r="AA421" s="380"/>
    </row>
    <row r="422">
      <c r="A422" s="380"/>
      <c r="B422" s="380"/>
      <c r="C422" s="380"/>
      <c r="D422" s="380"/>
      <c r="E422" s="380"/>
      <c r="F422" s="415"/>
      <c r="G422" s="380"/>
      <c r="H422" s="380"/>
      <c r="I422" s="428"/>
      <c r="J422" s="429"/>
      <c r="K422" s="380"/>
      <c r="L422" s="415"/>
      <c r="M422" s="380"/>
      <c r="N422" s="380"/>
      <c r="O422" s="430"/>
      <c r="P422" s="380"/>
      <c r="Q422" s="380"/>
      <c r="R422" s="380"/>
      <c r="S422" s="380"/>
      <c r="T422" s="380"/>
      <c r="U422" s="380"/>
      <c r="V422" s="380"/>
      <c r="W422" s="380"/>
      <c r="X422" s="380"/>
      <c r="Y422" s="380"/>
      <c r="Z422" s="380"/>
      <c r="AA422" s="380"/>
    </row>
    <row r="423">
      <c r="A423" s="380"/>
      <c r="B423" s="380"/>
      <c r="C423" s="380"/>
      <c r="D423" s="380"/>
      <c r="E423" s="380"/>
      <c r="F423" s="415"/>
      <c r="G423" s="380"/>
      <c r="H423" s="380"/>
      <c r="I423" s="428"/>
      <c r="J423" s="429"/>
      <c r="K423" s="380"/>
      <c r="L423" s="415"/>
      <c r="M423" s="380"/>
      <c r="N423" s="380"/>
      <c r="O423" s="430"/>
      <c r="P423" s="380"/>
      <c r="Q423" s="380"/>
      <c r="R423" s="380"/>
      <c r="S423" s="380"/>
      <c r="T423" s="380"/>
      <c r="U423" s="380"/>
      <c r="V423" s="380"/>
      <c r="W423" s="380"/>
      <c r="X423" s="380"/>
      <c r="Y423" s="380"/>
      <c r="Z423" s="380"/>
      <c r="AA423" s="380"/>
    </row>
    <row r="424">
      <c r="A424" s="380"/>
      <c r="B424" s="380"/>
      <c r="C424" s="380"/>
      <c r="D424" s="380"/>
      <c r="E424" s="380"/>
      <c r="F424" s="415"/>
      <c r="G424" s="380"/>
      <c r="H424" s="380"/>
      <c r="I424" s="428"/>
      <c r="J424" s="429"/>
      <c r="K424" s="380"/>
      <c r="L424" s="415"/>
      <c r="M424" s="380"/>
      <c r="N424" s="380"/>
      <c r="O424" s="430"/>
      <c r="P424" s="380"/>
      <c r="Q424" s="380"/>
      <c r="R424" s="380"/>
      <c r="S424" s="380"/>
      <c r="T424" s="380"/>
      <c r="U424" s="380"/>
      <c r="V424" s="380"/>
      <c r="W424" s="380"/>
      <c r="X424" s="380"/>
      <c r="Y424" s="380"/>
      <c r="Z424" s="380"/>
      <c r="AA424" s="380"/>
    </row>
    <row r="425">
      <c r="A425" s="380"/>
      <c r="B425" s="380"/>
      <c r="C425" s="380"/>
      <c r="D425" s="380"/>
      <c r="E425" s="380"/>
      <c r="F425" s="415"/>
      <c r="G425" s="380"/>
      <c r="H425" s="380"/>
      <c r="I425" s="428"/>
      <c r="J425" s="429"/>
      <c r="K425" s="380"/>
      <c r="L425" s="415"/>
      <c r="M425" s="380"/>
      <c r="N425" s="380"/>
      <c r="O425" s="430"/>
      <c r="P425" s="380"/>
      <c r="Q425" s="380"/>
      <c r="R425" s="380"/>
      <c r="S425" s="380"/>
      <c r="T425" s="380"/>
      <c r="U425" s="380"/>
      <c r="V425" s="380"/>
      <c r="W425" s="380"/>
      <c r="X425" s="380"/>
      <c r="Y425" s="380"/>
      <c r="Z425" s="380"/>
      <c r="AA425" s="380"/>
    </row>
    <row r="426">
      <c r="A426" s="380"/>
      <c r="B426" s="380"/>
      <c r="C426" s="380"/>
      <c r="D426" s="380"/>
      <c r="E426" s="380"/>
      <c r="F426" s="415"/>
      <c r="G426" s="380"/>
      <c r="H426" s="380"/>
      <c r="I426" s="428"/>
      <c r="J426" s="429"/>
      <c r="K426" s="380"/>
      <c r="L426" s="415"/>
      <c r="M426" s="380"/>
      <c r="N426" s="380"/>
      <c r="O426" s="430"/>
      <c r="P426" s="380"/>
      <c r="Q426" s="380"/>
      <c r="R426" s="380"/>
      <c r="S426" s="380"/>
      <c r="T426" s="380"/>
      <c r="U426" s="380"/>
      <c r="V426" s="380"/>
      <c r="W426" s="380"/>
      <c r="X426" s="380"/>
      <c r="Y426" s="380"/>
      <c r="Z426" s="380"/>
      <c r="AA426" s="380"/>
    </row>
    <row r="427">
      <c r="A427" s="380"/>
      <c r="B427" s="380"/>
      <c r="C427" s="380"/>
      <c r="D427" s="380"/>
      <c r="E427" s="380"/>
      <c r="F427" s="415"/>
      <c r="G427" s="380"/>
      <c r="H427" s="380"/>
      <c r="I427" s="428"/>
      <c r="J427" s="429"/>
      <c r="K427" s="380"/>
      <c r="L427" s="415"/>
      <c r="M427" s="380"/>
      <c r="N427" s="380"/>
      <c r="O427" s="430"/>
      <c r="P427" s="380"/>
      <c r="Q427" s="380"/>
      <c r="R427" s="380"/>
      <c r="S427" s="380"/>
      <c r="T427" s="380"/>
      <c r="U427" s="380"/>
      <c r="V427" s="380"/>
      <c r="W427" s="380"/>
      <c r="X427" s="380"/>
      <c r="Y427" s="380"/>
      <c r="Z427" s="380"/>
      <c r="AA427" s="380"/>
    </row>
    <row r="428">
      <c r="A428" s="380"/>
      <c r="B428" s="380"/>
      <c r="C428" s="380"/>
      <c r="D428" s="380"/>
      <c r="E428" s="380"/>
      <c r="F428" s="415"/>
      <c r="G428" s="380"/>
      <c r="H428" s="380"/>
      <c r="I428" s="428"/>
      <c r="J428" s="429"/>
      <c r="K428" s="380"/>
      <c r="L428" s="415"/>
      <c r="M428" s="380"/>
      <c r="N428" s="380"/>
      <c r="O428" s="430"/>
      <c r="P428" s="380"/>
      <c r="Q428" s="380"/>
      <c r="R428" s="380"/>
      <c r="S428" s="380"/>
      <c r="T428" s="380"/>
      <c r="U428" s="380"/>
      <c r="V428" s="380"/>
      <c r="W428" s="380"/>
      <c r="X428" s="380"/>
      <c r="Y428" s="380"/>
      <c r="Z428" s="380"/>
      <c r="AA428" s="380"/>
    </row>
    <row r="429">
      <c r="A429" s="380"/>
      <c r="B429" s="380"/>
      <c r="C429" s="380"/>
      <c r="D429" s="380"/>
      <c r="E429" s="380"/>
      <c r="F429" s="415"/>
      <c r="G429" s="380"/>
      <c r="H429" s="380"/>
      <c r="I429" s="428"/>
      <c r="J429" s="429"/>
      <c r="K429" s="380"/>
      <c r="L429" s="415"/>
      <c r="M429" s="380"/>
      <c r="N429" s="380"/>
      <c r="O429" s="430"/>
      <c r="P429" s="380"/>
      <c r="Q429" s="380"/>
      <c r="R429" s="380"/>
      <c r="S429" s="380"/>
      <c r="T429" s="380"/>
      <c r="U429" s="380"/>
      <c r="V429" s="380"/>
      <c r="W429" s="380"/>
      <c r="X429" s="380"/>
      <c r="Y429" s="380"/>
      <c r="Z429" s="380"/>
      <c r="AA429" s="380"/>
    </row>
    <row r="430">
      <c r="A430" s="380"/>
      <c r="B430" s="380"/>
      <c r="C430" s="380"/>
      <c r="D430" s="380"/>
      <c r="E430" s="380"/>
      <c r="F430" s="415"/>
      <c r="G430" s="380"/>
      <c r="H430" s="380"/>
      <c r="I430" s="428"/>
      <c r="J430" s="429"/>
      <c r="K430" s="380"/>
      <c r="L430" s="415"/>
      <c r="M430" s="380"/>
      <c r="N430" s="380"/>
      <c r="O430" s="430"/>
      <c r="P430" s="380"/>
      <c r="Q430" s="380"/>
      <c r="R430" s="380"/>
      <c r="S430" s="380"/>
      <c r="T430" s="380"/>
      <c r="U430" s="380"/>
      <c r="V430" s="380"/>
      <c r="W430" s="380"/>
      <c r="X430" s="380"/>
      <c r="Y430" s="380"/>
      <c r="Z430" s="380"/>
      <c r="AA430" s="380"/>
    </row>
    <row r="431">
      <c r="A431" s="380"/>
      <c r="B431" s="380"/>
      <c r="C431" s="380"/>
      <c r="D431" s="380"/>
      <c r="E431" s="380"/>
      <c r="F431" s="415"/>
      <c r="G431" s="380"/>
      <c r="H431" s="380"/>
      <c r="I431" s="428"/>
      <c r="J431" s="429"/>
      <c r="K431" s="380"/>
      <c r="L431" s="415"/>
      <c r="M431" s="380"/>
      <c r="N431" s="380"/>
      <c r="O431" s="430"/>
      <c r="P431" s="380"/>
      <c r="Q431" s="380"/>
      <c r="R431" s="380"/>
      <c r="S431" s="380"/>
      <c r="T431" s="380"/>
      <c r="U431" s="380"/>
      <c r="V431" s="380"/>
      <c r="W431" s="380"/>
      <c r="X431" s="380"/>
      <c r="Y431" s="380"/>
      <c r="Z431" s="380"/>
      <c r="AA431" s="380"/>
    </row>
    <row r="432">
      <c r="A432" s="380"/>
      <c r="B432" s="380"/>
      <c r="C432" s="380"/>
      <c r="D432" s="380"/>
      <c r="E432" s="380"/>
      <c r="F432" s="415"/>
      <c r="G432" s="380"/>
      <c r="H432" s="380"/>
      <c r="I432" s="428"/>
      <c r="J432" s="429"/>
      <c r="K432" s="380"/>
      <c r="L432" s="415"/>
      <c r="M432" s="380"/>
      <c r="N432" s="380"/>
      <c r="O432" s="430"/>
      <c r="P432" s="380"/>
      <c r="Q432" s="380"/>
      <c r="R432" s="380"/>
      <c r="S432" s="380"/>
      <c r="T432" s="380"/>
      <c r="U432" s="380"/>
      <c r="V432" s="380"/>
      <c r="W432" s="380"/>
      <c r="X432" s="380"/>
      <c r="Y432" s="380"/>
      <c r="Z432" s="380"/>
      <c r="AA432" s="380"/>
    </row>
    <row r="433">
      <c r="A433" s="380"/>
      <c r="B433" s="380"/>
      <c r="C433" s="380"/>
      <c r="D433" s="380"/>
      <c r="E433" s="380"/>
      <c r="F433" s="415"/>
      <c r="G433" s="380"/>
      <c r="H433" s="380"/>
      <c r="I433" s="428"/>
      <c r="J433" s="429"/>
      <c r="K433" s="380"/>
      <c r="L433" s="415"/>
      <c r="M433" s="380"/>
      <c r="N433" s="380"/>
      <c r="O433" s="430"/>
      <c r="P433" s="380"/>
      <c r="Q433" s="380"/>
      <c r="R433" s="380"/>
      <c r="S433" s="380"/>
      <c r="T433" s="380"/>
      <c r="U433" s="380"/>
      <c r="V433" s="380"/>
      <c r="W433" s="380"/>
      <c r="X433" s="380"/>
      <c r="Y433" s="380"/>
      <c r="Z433" s="380"/>
      <c r="AA433" s="380"/>
    </row>
    <row r="434">
      <c r="A434" s="380"/>
      <c r="B434" s="380"/>
      <c r="C434" s="380"/>
      <c r="D434" s="380"/>
      <c r="E434" s="380"/>
      <c r="F434" s="415"/>
      <c r="G434" s="380"/>
      <c r="H434" s="380"/>
      <c r="I434" s="428"/>
      <c r="J434" s="429"/>
      <c r="K434" s="380"/>
      <c r="L434" s="415"/>
      <c r="M434" s="380"/>
      <c r="N434" s="380"/>
      <c r="O434" s="430"/>
      <c r="P434" s="380"/>
      <c r="Q434" s="380"/>
      <c r="R434" s="380"/>
      <c r="S434" s="380"/>
      <c r="T434" s="380"/>
      <c r="U434" s="380"/>
      <c r="V434" s="380"/>
      <c r="W434" s="380"/>
      <c r="X434" s="380"/>
      <c r="Y434" s="380"/>
      <c r="Z434" s="380"/>
      <c r="AA434" s="380"/>
    </row>
    <row r="435">
      <c r="A435" s="380"/>
      <c r="B435" s="380"/>
      <c r="C435" s="380"/>
      <c r="D435" s="380"/>
      <c r="E435" s="380"/>
      <c r="F435" s="415"/>
      <c r="G435" s="380"/>
      <c r="H435" s="380"/>
      <c r="I435" s="428"/>
      <c r="J435" s="429"/>
      <c r="K435" s="380"/>
      <c r="L435" s="415"/>
      <c r="M435" s="380"/>
      <c r="N435" s="380"/>
      <c r="O435" s="430"/>
      <c r="P435" s="380"/>
      <c r="Q435" s="380"/>
      <c r="R435" s="380"/>
      <c r="S435" s="380"/>
      <c r="T435" s="380"/>
      <c r="U435" s="380"/>
      <c r="V435" s="380"/>
      <c r="W435" s="380"/>
      <c r="X435" s="380"/>
      <c r="Y435" s="380"/>
      <c r="Z435" s="380"/>
      <c r="AA435" s="380"/>
    </row>
    <row r="436">
      <c r="A436" s="380"/>
      <c r="B436" s="380"/>
      <c r="C436" s="380"/>
      <c r="D436" s="380"/>
      <c r="E436" s="380"/>
      <c r="F436" s="415"/>
      <c r="G436" s="380"/>
      <c r="H436" s="380"/>
      <c r="I436" s="428"/>
      <c r="J436" s="429"/>
      <c r="K436" s="380"/>
      <c r="L436" s="415"/>
      <c r="M436" s="380"/>
      <c r="N436" s="380"/>
      <c r="O436" s="430"/>
      <c r="P436" s="380"/>
      <c r="Q436" s="380"/>
      <c r="R436" s="380"/>
      <c r="S436" s="380"/>
      <c r="T436" s="380"/>
      <c r="U436" s="380"/>
      <c r="V436" s="380"/>
      <c r="W436" s="380"/>
      <c r="X436" s="380"/>
      <c r="Y436" s="380"/>
      <c r="Z436" s="380"/>
      <c r="AA436" s="380"/>
    </row>
    <row r="437">
      <c r="A437" s="380"/>
      <c r="B437" s="380"/>
      <c r="C437" s="380"/>
      <c r="D437" s="380"/>
      <c r="E437" s="380"/>
      <c r="F437" s="415"/>
      <c r="G437" s="380"/>
      <c r="H437" s="380"/>
      <c r="I437" s="428"/>
      <c r="J437" s="429"/>
      <c r="K437" s="380"/>
      <c r="L437" s="415"/>
      <c r="M437" s="380"/>
      <c r="N437" s="380"/>
      <c r="O437" s="430"/>
      <c r="P437" s="380"/>
      <c r="Q437" s="380"/>
      <c r="R437" s="380"/>
      <c r="S437" s="380"/>
      <c r="T437" s="380"/>
      <c r="U437" s="380"/>
      <c r="V437" s="380"/>
      <c r="W437" s="380"/>
      <c r="X437" s="380"/>
      <c r="Y437" s="380"/>
      <c r="Z437" s="380"/>
      <c r="AA437" s="380"/>
    </row>
    <row r="438">
      <c r="A438" s="380"/>
      <c r="B438" s="380"/>
      <c r="C438" s="380"/>
      <c r="D438" s="380"/>
      <c r="E438" s="380"/>
      <c r="F438" s="415"/>
      <c r="G438" s="380"/>
      <c r="H438" s="380"/>
      <c r="I438" s="428"/>
      <c r="J438" s="429"/>
      <c r="K438" s="380"/>
      <c r="L438" s="415"/>
      <c r="M438" s="380"/>
      <c r="N438" s="380"/>
      <c r="O438" s="430"/>
      <c r="P438" s="380"/>
      <c r="Q438" s="380"/>
      <c r="R438" s="380"/>
      <c r="S438" s="380"/>
      <c r="T438" s="380"/>
      <c r="U438" s="380"/>
      <c r="V438" s="380"/>
      <c r="W438" s="380"/>
      <c r="X438" s="380"/>
      <c r="Y438" s="380"/>
      <c r="Z438" s="380"/>
      <c r="AA438" s="380"/>
    </row>
    <row r="439">
      <c r="A439" s="380"/>
      <c r="B439" s="380"/>
      <c r="C439" s="380"/>
      <c r="D439" s="380"/>
      <c r="E439" s="380"/>
      <c r="F439" s="415"/>
      <c r="G439" s="380"/>
      <c r="H439" s="380"/>
      <c r="I439" s="428"/>
      <c r="J439" s="429"/>
      <c r="K439" s="380"/>
      <c r="L439" s="415"/>
      <c r="M439" s="380"/>
      <c r="N439" s="380"/>
      <c r="O439" s="430"/>
      <c r="P439" s="380"/>
      <c r="Q439" s="380"/>
      <c r="R439" s="380"/>
      <c r="S439" s="380"/>
      <c r="T439" s="380"/>
      <c r="U439" s="380"/>
      <c r="V439" s="380"/>
      <c r="W439" s="380"/>
      <c r="X439" s="380"/>
      <c r="Y439" s="380"/>
      <c r="Z439" s="380"/>
      <c r="AA439" s="380"/>
    </row>
    <row r="440">
      <c r="A440" s="380"/>
      <c r="B440" s="380"/>
      <c r="C440" s="380"/>
      <c r="D440" s="380"/>
      <c r="E440" s="380"/>
      <c r="F440" s="415"/>
      <c r="G440" s="380"/>
      <c r="H440" s="380"/>
      <c r="I440" s="428"/>
      <c r="J440" s="429"/>
      <c r="K440" s="380"/>
      <c r="L440" s="415"/>
      <c r="M440" s="380"/>
      <c r="N440" s="380"/>
      <c r="O440" s="430"/>
      <c r="P440" s="380"/>
      <c r="Q440" s="380"/>
      <c r="R440" s="380"/>
      <c r="S440" s="380"/>
      <c r="T440" s="380"/>
      <c r="U440" s="380"/>
      <c r="V440" s="380"/>
      <c r="W440" s="380"/>
      <c r="X440" s="380"/>
      <c r="Y440" s="380"/>
      <c r="Z440" s="380"/>
      <c r="AA440" s="380"/>
    </row>
    <row r="441">
      <c r="A441" s="380"/>
      <c r="B441" s="380"/>
      <c r="C441" s="380"/>
      <c r="D441" s="380"/>
      <c r="E441" s="380"/>
      <c r="F441" s="415"/>
      <c r="G441" s="380"/>
      <c r="H441" s="380"/>
      <c r="I441" s="428"/>
      <c r="J441" s="429"/>
      <c r="K441" s="380"/>
      <c r="L441" s="415"/>
      <c r="M441" s="380"/>
      <c r="N441" s="380"/>
      <c r="O441" s="430"/>
      <c r="P441" s="380"/>
      <c r="Q441" s="380"/>
      <c r="R441" s="380"/>
      <c r="S441" s="380"/>
      <c r="T441" s="380"/>
      <c r="U441" s="380"/>
      <c r="V441" s="380"/>
      <c r="W441" s="380"/>
      <c r="X441" s="380"/>
      <c r="Y441" s="380"/>
      <c r="Z441" s="380"/>
      <c r="AA441" s="380"/>
    </row>
    <row r="442">
      <c r="A442" s="380"/>
      <c r="B442" s="380"/>
      <c r="C442" s="380"/>
      <c r="D442" s="380"/>
      <c r="E442" s="380"/>
      <c r="F442" s="415"/>
      <c r="G442" s="380"/>
      <c r="H442" s="380"/>
      <c r="I442" s="428"/>
      <c r="J442" s="429"/>
      <c r="K442" s="380"/>
      <c r="L442" s="415"/>
      <c r="M442" s="380"/>
      <c r="N442" s="380"/>
      <c r="O442" s="430"/>
      <c r="P442" s="380"/>
      <c r="Q442" s="380"/>
      <c r="R442" s="380"/>
      <c r="S442" s="380"/>
      <c r="T442" s="380"/>
      <c r="U442" s="380"/>
      <c r="V442" s="380"/>
      <c r="W442" s="380"/>
      <c r="X442" s="380"/>
      <c r="Y442" s="380"/>
      <c r="Z442" s="380"/>
      <c r="AA442" s="380"/>
    </row>
    <row r="443">
      <c r="A443" s="380"/>
      <c r="B443" s="380"/>
      <c r="C443" s="380"/>
      <c r="D443" s="380"/>
      <c r="E443" s="380"/>
      <c r="F443" s="415"/>
      <c r="G443" s="380"/>
      <c r="H443" s="380"/>
      <c r="I443" s="428"/>
      <c r="J443" s="429"/>
      <c r="K443" s="380"/>
      <c r="L443" s="415"/>
      <c r="M443" s="380"/>
      <c r="N443" s="380"/>
      <c r="O443" s="430"/>
      <c r="P443" s="380"/>
      <c r="Q443" s="380"/>
      <c r="R443" s="380"/>
      <c r="S443" s="380"/>
      <c r="T443" s="380"/>
      <c r="U443" s="380"/>
      <c r="V443" s="380"/>
      <c r="W443" s="380"/>
      <c r="X443" s="380"/>
      <c r="Y443" s="380"/>
      <c r="Z443" s="380"/>
      <c r="AA443" s="380"/>
    </row>
    <row r="444">
      <c r="A444" s="380"/>
      <c r="B444" s="380"/>
      <c r="C444" s="380"/>
      <c r="D444" s="380"/>
      <c r="E444" s="380"/>
      <c r="F444" s="415"/>
      <c r="G444" s="380"/>
      <c r="H444" s="380"/>
      <c r="I444" s="428"/>
      <c r="J444" s="429"/>
      <c r="K444" s="380"/>
      <c r="L444" s="415"/>
      <c r="M444" s="380"/>
      <c r="N444" s="380"/>
      <c r="O444" s="430"/>
      <c r="P444" s="380"/>
      <c r="Q444" s="380"/>
      <c r="R444" s="380"/>
      <c r="S444" s="380"/>
      <c r="T444" s="380"/>
      <c r="U444" s="380"/>
      <c r="V444" s="380"/>
      <c r="W444" s="380"/>
      <c r="X444" s="380"/>
      <c r="Y444" s="380"/>
      <c r="Z444" s="380"/>
      <c r="AA444" s="380"/>
    </row>
    <row r="445">
      <c r="A445" s="380"/>
      <c r="B445" s="380"/>
      <c r="C445" s="380"/>
      <c r="D445" s="380"/>
      <c r="E445" s="380"/>
      <c r="F445" s="415"/>
      <c r="G445" s="380"/>
      <c r="H445" s="380"/>
      <c r="I445" s="428"/>
      <c r="J445" s="429"/>
      <c r="K445" s="380"/>
      <c r="L445" s="415"/>
      <c r="M445" s="380"/>
      <c r="N445" s="380"/>
      <c r="O445" s="430"/>
      <c r="P445" s="380"/>
      <c r="Q445" s="380"/>
      <c r="R445" s="380"/>
      <c r="S445" s="380"/>
      <c r="T445" s="380"/>
      <c r="U445" s="380"/>
      <c r="V445" s="380"/>
      <c r="W445" s="380"/>
      <c r="X445" s="380"/>
      <c r="Y445" s="380"/>
      <c r="Z445" s="380"/>
      <c r="AA445" s="380"/>
    </row>
    <row r="446">
      <c r="A446" s="380"/>
      <c r="B446" s="380"/>
      <c r="C446" s="380"/>
      <c r="D446" s="380"/>
      <c r="E446" s="380"/>
      <c r="F446" s="415"/>
      <c r="G446" s="380"/>
      <c r="H446" s="380"/>
      <c r="I446" s="428"/>
      <c r="J446" s="429"/>
      <c r="K446" s="380"/>
      <c r="L446" s="415"/>
      <c r="M446" s="380"/>
      <c r="N446" s="380"/>
      <c r="O446" s="430"/>
      <c r="P446" s="380"/>
      <c r="Q446" s="380"/>
      <c r="R446" s="380"/>
      <c r="S446" s="380"/>
      <c r="T446" s="380"/>
      <c r="U446" s="380"/>
      <c r="V446" s="380"/>
      <c r="W446" s="380"/>
      <c r="X446" s="380"/>
      <c r="Y446" s="380"/>
      <c r="Z446" s="380"/>
      <c r="AA446" s="380"/>
    </row>
    <row r="447">
      <c r="A447" s="380"/>
      <c r="B447" s="380"/>
      <c r="C447" s="380"/>
      <c r="D447" s="380"/>
      <c r="E447" s="380"/>
      <c r="F447" s="415"/>
      <c r="G447" s="380"/>
      <c r="H447" s="380"/>
      <c r="I447" s="428"/>
      <c r="J447" s="429"/>
      <c r="K447" s="380"/>
      <c r="L447" s="415"/>
      <c r="M447" s="380"/>
      <c r="N447" s="380"/>
      <c r="O447" s="430"/>
      <c r="P447" s="380"/>
      <c r="Q447" s="380"/>
      <c r="R447" s="380"/>
      <c r="S447" s="380"/>
      <c r="T447" s="380"/>
      <c r="U447" s="380"/>
      <c r="V447" s="380"/>
      <c r="W447" s="380"/>
      <c r="X447" s="380"/>
      <c r="Y447" s="380"/>
      <c r="Z447" s="380"/>
      <c r="AA447" s="380"/>
    </row>
    <row r="448">
      <c r="A448" s="380"/>
      <c r="B448" s="380"/>
      <c r="C448" s="380"/>
      <c r="D448" s="380"/>
      <c r="E448" s="380"/>
      <c r="F448" s="415"/>
      <c r="G448" s="380"/>
      <c r="H448" s="380"/>
      <c r="I448" s="428"/>
      <c r="J448" s="429"/>
      <c r="K448" s="380"/>
      <c r="L448" s="415"/>
      <c r="M448" s="380"/>
      <c r="N448" s="380"/>
      <c r="O448" s="430"/>
      <c r="P448" s="380"/>
      <c r="Q448" s="380"/>
      <c r="R448" s="380"/>
      <c r="S448" s="380"/>
      <c r="T448" s="380"/>
      <c r="U448" s="380"/>
      <c r="V448" s="380"/>
      <c r="W448" s="380"/>
      <c r="X448" s="380"/>
      <c r="Y448" s="380"/>
      <c r="Z448" s="380"/>
      <c r="AA448" s="380"/>
    </row>
    <row r="449">
      <c r="A449" s="380"/>
      <c r="B449" s="380"/>
      <c r="C449" s="380"/>
      <c r="D449" s="380"/>
      <c r="E449" s="380"/>
      <c r="F449" s="415"/>
      <c r="G449" s="380"/>
      <c r="H449" s="380"/>
      <c r="I449" s="428"/>
      <c r="J449" s="429"/>
      <c r="K449" s="380"/>
      <c r="L449" s="415"/>
      <c r="M449" s="380"/>
      <c r="N449" s="380"/>
      <c r="O449" s="430"/>
      <c r="P449" s="380"/>
      <c r="Q449" s="380"/>
      <c r="R449" s="380"/>
      <c r="S449" s="380"/>
      <c r="T449" s="380"/>
      <c r="U449" s="380"/>
      <c r="V449" s="380"/>
      <c r="W449" s="380"/>
      <c r="X449" s="380"/>
      <c r="Y449" s="380"/>
      <c r="Z449" s="380"/>
      <c r="AA449" s="380"/>
    </row>
    <row r="450">
      <c r="A450" s="380"/>
      <c r="B450" s="380"/>
      <c r="C450" s="380"/>
      <c r="D450" s="380"/>
      <c r="E450" s="380"/>
      <c r="F450" s="415"/>
      <c r="G450" s="380"/>
      <c r="H450" s="380"/>
      <c r="I450" s="428"/>
      <c r="J450" s="429"/>
      <c r="K450" s="380"/>
      <c r="L450" s="415"/>
      <c r="M450" s="380"/>
      <c r="N450" s="380"/>
      <c r="O450" s="430"/>
      <c r="P450" s="380"/>
      <c r="Q450" s="380"/>
      <c r="R450" s="380"/>
      <c r="S450" s="380"/>
      <c r="T450" s="380"/>
      <c r="U450" s="380"/>
      <c r="V450" s="380"/>
      <c r="W450" s="380"/>
      <c r="X450" s="380"/>
      <c r="Y450" s="380"/>
      <c r="Z450" s="380"/>
      <c r="AA450" s="380"/>
    </row>
    <row r="451">
      <c r="A451" s="380"/>
      <c r="B451" s="380"/>
      <c r="C451" s="380"/>
      <c r="D451" s="380"/>
      <c r="E451" s="380"/>
      <c r="F451" s="415"/>
      <c r="G451" s="380"/>
      <c r="H451" s="380"/>
      <c r="I451" s="428"/>
      <c r="J451" s="429"/>
      <c r="K451" s="380"/>
      <c r="L451" s="415"/>
      <c r="M451" s="380"/>
      <c r="N451" s="380"/>
      <c r="O451" s="430"/>
      <c r="P451" s="380"/>
      <c r="Q451" s="380"/>
      <c r="R451" s="380"/>
      <c r="S451" s="380"/>
      <c r="T451" s="380"/>
      <c r="U451" s="380"/>
      <c r="V451" s="380"/>
      <c r="W451" s="380"/>
      <c r="X451" s="380"/>
      <c r="Y451" s="380"/>
      <c r="Z451" s="380"/>
      <c r="AA451" s="380"/>
    </row>
    <row r="452">
      <c r="A452" s="380"/>
      <c r="B452" s="380"/>
      <c r="C452" s="380"/>
      <c r="D452" s="380"/>
      <c r="E452" s="380"/>
      <c r="F452" s="415"/>
      <c r="G452" s="380"/>
      <c r="H452" s="380"/>
      <c r="I452" s="428"/>
      <c r="J452" s="429"/>
      <c r="K452" s="380"/>
      <c r="L452" s="415"/>
      <c r="M452" s="380"/>
      <c r="N452" s="380"/>
      <c r="O452" s="430"/>
      <c r="P452" s="380"/>
      <c r="Q452" s="380"/>
      <c r="R452" s="380"/>
      <c r="S452" s="380"/>
      <c r="T452" s="380"/>
      <c r="U452" s="380"/>
      <c r="V452" s="380"/>
      <c r="W452" s="380"/>
      <c r="X452" s="380"/>
      <c r="Y452" s="380"/>
      <c r="Z452" s="380"/>
      <c r="AA452" s="380"/>
    </row>
    <row r="453">
      <c r="A453" s="380"/>
      <c r="B453" s="380"/>
      <c r="C453" s="380"/>
      <c r="D453" s="380"/>
      <c r="E453" s="380"/>
      <c r="F453" s="415"/>
      <c r="G453" s="380"/>
      <c r="H453" s="380"/>
      <c r="I453" s="428"/>
      <c r="J453" s="429"/>
      <c r="K453" s="380"/>
      <c r="L453" s="415"/>
      <c r="M453" s="380"/>
      <c r="N453" s="380"/>
      <c r="O453" s="430"/>
      <c r="P453" s="380"/>
      <c r="Q453" s="380"/>
      <c r="R453" s="380"/>
      <c r="S453" s="380"/>
      <c r="T453" s="380"/>
      <c r="U453" s="380"/>
      <c r="V453" s="380"/>
      <c r="W453" s="380"/>
      <c r="X453" s="380"/>
      <c r="Y453" s="380"/>
      <c r="Z453" s="380"/>
      <c r="AA453" s="380"/>
    </row>
    <row r="454">
      <c r="A454" s="380"/>
      <c r="B454" s="380"/>
      <c r="C454" s="380"/>
      <c r="D454" s="380"/>
      <c r="E454" s="380"/>
      <c r="F454" s="415"/>
      <c r="G454" s="380"/>
      <c r="H454" s="380"/>
      <c r="I454" s="428"/>
      <c r="J454" s="429"/>
      <c r="K454" s="380"/>
      <c r="L454" s="415"/>
      <c r="M454" s="380"/>
      <c r="N454" s="380"/>
      <c r="O454" s="430"/>
      <c r="P454" s="380"/>
      <c r="Q454" s="380"/>
      <c r="R454" s="380"/>
      <c r="S454" s="380"/>
      <c r="T454" s="380"/>
      <c r="U454" s="380"/>
      <c r="V454" s="380"/>
      <c r="W454" s="380"/>
      <c r="X454" s="380"/>
      <c r="Y454" s="380"/>
      <c r="Z454" s="380"/>
      <c r="AA454" s="380"/>
    </row>
    <row r="455">
      <c r="A455" s="380"/>
      <c r="B455" s="380"/>
      <c r="C455" s="380"/>
      <c r="D455" s="380"/>
      <c r="E455" s="380"/>
      <c r="F455" s="415"/>
      <c r="G455" s="380"/>
      <c r="H455" s="380"/>
      <c r="I455" s="428"/>
      <c r="J455" s="429"/>
      <c r="K455" s="380"/>
      <c r="L455" s="415"/>
      <c r="M455" s="380"/>
      <c r="N455" s="380"/>
      <c r="O455" s="430"/>
      <c r="P455" s="380"/>
      <c r="Q455" s="380"/>
      <c r="R455" s="380"/>
      <c r="S455" s="380"/>
      <c r="T455" s="380"/>
      <c r="U455" s="380"/>
      <c r="V455" s="380"/>
      <c r="W455" s="380"/>
      <c r="X455" s="380"/>
      <c r="Y455" s="380"/>
      <c r="Z455" s="380"/>
      <c r="AA455" s="380"/>
    </row>
    <row r="456">
      <c r="A456" s="380"/>
      <c r="B456" s="380"/>
      <c r="C456" s="380"/>
      <c r="D456" s="380"/>
      <c r="E456" s="380"/>
      <c r="F456" s="415"/>
      <c r="G456" s="380"/>
      <c r="H456" s="380"/>
      <c r="I456" s="428"/>
      <c r="J456" s="429"/>
      <c r="K456" s="380"/>
      <c r="L456" s="415"/>
      <c r="M456" s="380"/>
      <c r="N456" s="380"/>
      <c r="O456" s="430"/>
      <c r="P456" s="380"/>
      <c r="Q456" s="380"/>
      <c r="R456" s="380"/>
      <c r="S456" s="380"/>
      <c r="T456" s="380"/>
      <c r="U456" s="380"/>
      <c r="V456" s="380"/>
      <c r="W456" s="380"/>
      <c r="X456" s="380"/>
      <c r="Y456" s="380"/>
      <c r="Z456" s="380"/>
      <c r="AA456" s="380"/>
    </row>
    <row r="457">
      <c r="A457" s="380"/>
      <c r="B457" s="380"/>
      <c r="C457" s="380"/>
      <c r="D457" s="380"/>
      <c r="E457" s="380"/>
      <c r="F457" s="415"/>
      <c r="G457" s="380"/>
      <c r="H457" s="380"/>
      <c r="I457" s="428"/>
      <c r="J457" s="429"/>
      <c r="K457" s="380"/>
      <c r="L457" s="415"/>
      <c r="M457" s="380"/>
      <c r="N457" s="380"/>
      <c r="O457" s="430"/>
      <c r="P457" s="380"/>
      <c r="Q457" s="380"/>
      <c r="R457" s="380"/>
      <c r="S457" s="380"/>
      <c r="T457" s="380"/>
      <c r="U457" s="380"/>
      <c r="V457" s="380"/>
      <c r="W457" s="380"/>
      <c r="X457" s="380"/>
      <c r="Y457" s="380"/>
      <c r="Z457" s="380"/>
      <c r="AA457" s="380"/>
    </row>
    <row r="458">
      <c r="A458" s="380"/>
      <c r="B458" s="380"/>
      <c r="C458" s="380"/>
      <c r="D458" s="380"/>
      <c r="E458" s="380"/>
      <c r="F458" s="415"/>
      <c r="G458" s="380"/>
      <c r="H458" s="380"/>
      <c r="I458" s="428"/>
      <c r="J458" s="429"/>
      <c r="K458" s="380"/>
      <c r="L458" s="415"/>
      <c r="M458" s="380"/>
      <c r="N458" s="380"/>
      <c r="O458" s="430"/>
      <c r="P458" s="380"/>
      <c r="Q458" s="380"/>
      <c r="R458" s="380"/>
      <c r="S458" s="380"/>
      <c r="T458" s="380"/>
      <c r="U458" s="380"/>
      <c r="V458" s="380"/>
      <c r="W458" s="380"/>
      <c r="X458" s="380"/>
      <c r="Y458" s="380"/>
      <c r="Z458" s="380"/>
      <c r="AA458" s="380"/>
    </row>
    <row r="459">
      <c r="A459" s="380"/>
      <c r="B459" s="380"/>
      <c r="C459" s="380"/>
      <c r="D459" s="380"/>
      <c r="E459" s="380"/>
      <c r="F459" s="415"/>
      <c r="G459" s="380"/>
      <c r="H459" s="380"/>
      <c r="I459" s="428"/>
      <c r="J459" s="429"/>
      <c r="K459" s="380"/>
      <c r="L459" s="415"/>
      <c r="M459" s="380"/>
      <c r="N459" s="380"/>
      <c r="O459" s="430"/>
      <c r="P459" s="380"/>
      <c r="Q459" s="380"/>
      <c r="R459" s="380"/>
      <c r="S459" s="380"/>
      <c r="T459" s="380"/>
      <c r="U459" s="380"/>
      <c r="V459" s="380"/>
      <c r="W459" s="380"/>
      <c r="X459" s="380"/>
      <c r="Y459" s="380"/>
      <c r="Z459" s="380"/>
      <c r="AA459" s="380"/>
    </row>
    <row r="460">
      <c r="A460" s="380"/>
      <c r="B460" s="380"/>
      <c r="C460" s="380"/>
      <c r="D460" s="380"/>
      <c r="E460" s="380"/>
      <c r="F460" s="415"/>
      <c r="G460" s="380"/>
      <c r="H460" s="380"/>
      <c r="I460" s="428"/>
      <c r="J460" s="429"/>
      <c r="K460" s="380"/>
      <c r="L460" s="415"/>
      <c r="M460" s="380"/>
      <c r="N460" s="380"/>
      <c r="O460" s="430"/>
      <c r="P460" s="380"/>
      <c r="Q460" s="380"/>
      <c r="R460" s="380"/>
      <c r="S460" s="380"/>
      <c r="T460" s="380"/>
      <c r="U460" s="380"/>
      <c r="V460" s="380"/>
      <c r="W460" s="380"/>
      <c r="X460" s="380"/>
      <c r="Y460" s="380"/>
      <c r="Z460" s="380"/>
      <c r="AA460" s="380"/>
    </row>
    <row r="461">
      <c r="A461" s="380"/>
      <c r="B461" s="380"/>
      <c r="C461" s="380"/>
      <c r="D461" s="380"/>
      <c r="E461" s="380"/>
      <c r="F461" s="415"/>
      <c r="G461" s="380"/>
      <c r="H461" s="380"/>
      <c r="I461" s="428"/>
      <c r="J461" s="429"/>
      <c r="K461" s="380"/>
      <c r="L461" s="415"/>
      <c r="M461" s="380"/>
      <c r="N461" s="380"/>
      <c r="O461" s="430"/>
      <c r="P461" s="380"/>
      <c r="Q461" s="380"/>
      <c r="R461" s="380"/>
      <c r="S461" s="380"/>
      <c r="T461" s="380"/>
      <c r="U461" s="380"/>
      <c r="V461" s="380"/>
      <c r="W461" s="380"/>
      <c r="X461" s="380"/>
      <c r="Y461" s="380"/>
      <c r="Z461" s="380"/>
      <c r="AA461" s="380"/>
    </row>
    <row r="462">
      <c r="A462" s="380"/>
      <c r="B462" s="380"/>
      <c r="C462" s="380"/>
      <c r="D462" s="380"/>
      <c r="E462" s="380"/>
      <c r="F462" s="415"/>
      <c r="G462" s="380"/>
      <c r="H462" s="380"/>
      <c r="I462" s="428"/>
      <c r="J462" s="429"/>
      <c r="K462" s="380"/>
      <c r="L462" s="415"/>
      <c r="M462" s="380"/>
      <c r="N462" s="380"/>
      <c r="O462" s="430"/>
      <c r="P462" s="380"/>
      <c r="Q462" s="380"/>
      <c r="R462" s="380"/>
      <c r="S462" s="380"/>
      <c r="T462" s="380"/>
      <c r="U462" s="380"/>
      <c r="V462" s="380"/>
      <c r="W462" s="380"/>
      <c r="X462" s="380"/>
      <c r="Y462" s="380"/>
      <c r="Z462" s="380"/>
      <c r="AA462" s="380"/>
    </row>
    <row r="463">
      <c r="A463" s="380"/>
      <c r="B463" s="380"/>
      <c r="C463" s="380"/>
      <c r="D463" s="380"/>
      <c r="E463" s="380"/>
      <c r="F463" s="415"/>
      <c r="G463" s="380"/>
      <c r="H463" s="380"/>
      <c r="I463" s="428"/>
      <c r="J463" s="429"/>
      <c r="K463" s="380"/>
      <c r="L463" s="415"/>
      <c r="M463" s="380"/>
      <c r="N463" s="380"/>
      <c r="O463" s="430"/>
      <c r="P463" s="380"/>
      <c r="Q463" s="380"/>
      <c r="R463" s="380"/>
      <c r="S463" s="380"/>
      <c r="T463" s="380"/>
      <c r="U463" s="380"/>
      <c r="V463" s="380"/>
      <c r="W463" s="380"/>
      <c r="X463" s="380"/>
      <c r="Y463" s="380"/>
      <c r="Z463" s="380"/>
      <c r="AA463" s="380"/>
    </row>
    <row r="464">
      <c r="A464" s="380"/>
      <c r="B464" s="380"/>
      <c r="C464" s="380"/>
      <c r="D464" s="380"/>
      <c r="E464" s="380"/>
      <c r="F464" s="415"/>
      <c r="G464" s="380"/>
      <c r="H464" s="380"/>
      <c r="I464" s="428"/>
      <c r="J464" s="429"/>
      <c r="K464" s="380"/>
      <c r="L464" s="415"/>
      <c r="M464" s="380"/>
      <c r="N464" s="380"/>
      <c r="O464" s="430"/>
      <c r="P464" s="380"/>
      <c r="Q464" s="380"/>
      <c r="R464" s="380"/>
      <c r="S464" s="380"/>
      <c r="T464" s="380"/>
      <c r="U464" s="380"/>
      <c r="V464" s="380"/>
      <c r="W464" s="380"/>
      <c r="X464" s="380"/>
      <c r="Y464" s="380"/>
      <c r="Z464" s="380"/>
      <c r="AA464" s="380"/>
    </row>
    <row r="465">
      <c r="A465" s="380"/>
      <c r="B465" s="380"/>
      <c r="C465" s="380"/>
      <c r="D465" s="380"/>
      <c r="E465" s="380"/>
      <c r="F465" s="415"/>
      <c r="G465" s="380"/>
      <c r="H465" s="380"/>
      <c r="I465" s="428"/>
      <c r="J465" s="429"/>
      <c r="K465" s="380"/>
      <c r="L465" s="415"/>
      <c r="M465" s="380"/>
      <c r="N465" s="380"/>
      <c r="O465" s="430"/>
      <c r="P465" s="380"/>
      <c r="Q465" s="380"/>
      <c r="R465" s="380"/>
      <c r="S465" s="380"/>
      <c r="T465" s="380"/>
      <c r="U465" s="380"/>
      <c r="V465" s="380"/>
      <c r="W465" s="380"/>
      <c r="X465" s="380"/>
      <c r="Y465" s="380"/>
      <c r="Z465" s="380"/>
      <c r="AA465" s="380"/>
    </row>
    <row r="466">
      <c r="A466" s="380"/>
      <c r="B466" s="380"/>
      <c r="C466" s="380"/>
      <c r="D466" s="380"/>
      <c r="E466" s="380"/>
      <c r="F466" s="415"/>
      <c r="G466" s="380"/>
      <c r="H466" s="380"/>
      <c r="I466" s="428"/>
      <c r="J466" s="429"/>
      <c r="K466" s="380"/>
      <c r="L466" s="415"/>
      <c r="M466" s="380"/>
      <c r="N466" s="380"/>
      <c r="O466" s="430"/>
      <c r="P466" s="380"/>
      <c r="Q466" s="380"/>
      <c r="R466" s="380"/>
      <c r="S466" s="380"/>
      <c r="T466" s="380"/>
      <c r="U466" s="380"/>
      <c r="V466" s="380"/>
      <c r="W466" s="380"/>
      <c r="X466" s="380"/>
      <c r="Y466" s="380"/>
      <c r="Z466" s="380"/>
      <c r="AA466" s="380"/>
    </row>
    <row r="467">
      <c r="A467" s="380"/>
      <c r="B467" s="380"/>
      <c r="C467" s="380"/>
      <c r="D467" s="380"/>
      <c r="E467" s="380"/>
      <c r="F467" s="415"/>
      <c r="G467" s="380"/>
      <c r="H467" s="380"/>
      <c r="I467" s="428"/>
      <c r="J467" s="429"/>
      <c r="K467" s="380"/>
      <c r="L467" s="415"/>
      <c r="M467" s="380"/>
      <c r="N467" s="380"/>
      <c r="O467" s="430"/>
      <c r="P467" s="380"/>
      <c r="Q467" s="380"/>
      <c r="R467" s="380"/>
      <c r="S467" s="380"/>
      <c r="T467" s="380"/>
      <c r="U467" s="380"/>
      <c r="V467" s="380"/>
      <c r="W467" s="380"/>
      <c r="X467" s="380"/>
      <c r="Y467" s="380"/>
      <c r="Z467" s="380"/>
      <c r="AA467" s="380"/>
    </row>
    <row r="468">
      <c r="A468" s="380"/>
      <c r="B468" s="380"/>
      <c r="C468" s="380"/>
      <c r="D468" s="380"/>
      <c r="E468" s="380"/>
      <c r="F468" s="415"/>
      <c r="G468" s="380"/>
      <c r="H468" s="380"/>
      <c r="I468" s="428"/>
      <c r="J468" s="429"/>
      <c r="K468" s="380"/>
      <c r="L468" s="415"/>
      <c r="M468" s="380"/>
      <c r="N468" s="380"/>
      <c r="O468" s="430"/>
      <c r="P468" s="380"/>
      <c r="Q468" s="380"/>
      <c r="R468" s="380"/>
      <c r="S468" s="380"/>
      <c r="T468" s="380"/>
      <c r="U468" s="380"/>
      <c r="V468" s="380"/>
      <c r="W468" s="380"/>
      <c r="X468" s="380"/>
      <c r="Y468" s="380"/>
      <c r="Z468" s="380"/>
      <c r="AA468" s="380"/>
    </row>
    <row r="469">
      <c r="A469" s="380"/>
      <c r="B469" s="380"/>
      <c r="C469" s="380"/>
      <c r="D469" s="380"/>
      <c r="E469" s="380"/>
      <c r="F469" s="415"/>
      <c r="G469" s="380"/>
      <c r="H469" s="380"/>
      <c r="I469" s="428"/>
      <c r="J469" s="429"/>
      <c r="K469" s="380"/>
      <c r="L469" s="415"/>
      <c r="M469" s="380"/>
      <c r="N469" s="380"/>
      <c r="O469" s="430"/>
      <c r="P469" s="380"/>
      <c r="Q469" s="380"/>
      <c r="R469" s="380"/>
      <c r="S469" s="380"/>
      <c r="T469" s="380"/>
      <c r="U469" s="380"/>
      <c r="V469" s="380"/>
      <c r="W469" s="380"/>
      <c r="X469" s="380"/>
      <c r="Y469" s="380"/>
      <c r="Z469" s="380"/>
      <c r="AA469" s="380"/>
    </row>
    <row r="470">
      <c r="A470" s="380"/>
      <c r="B470" s="380"/>
      <c r="C470" s="380"/>
      <c r="D470" s="380"/>
      <c r="E470" s="380"/>
      <c r="F470" s="415"/>
      <c r="G470" s="380"/>
      <c r="H470" s="380"/>
      <c r="I470" s="428"/>
      <c r="J470" s="429"/>
      <c r="K470" s="380"/>
      <c r="L470" s="415"/>
      <c r="M470" s="380"/>
      <c r="N470" s="380"/>
      <c r="O470" s="430"/>
      <c r="P470" s="380"/>
      <c r="Q470" s="380"/>
      <c r="R470" s="380"/>
      <c r="S470" s="380"/>
      <c r="T470" s="380"/>
      <c r="U470" s="380"/>
      <c r="V470" s="380"/>
      <c r="W470" s="380"/>
      <c r="X470" s="380"/>
      <c r="Y470" s="380"/>
      <c r="Z470" s="380"/>
      <c r="AA470" s="380"/>
    </row>
    <row r="471">
      <c r="A471" s="380"/>
      <c r="B471" s="380"/>
      <c r="C471" s="380"/>
      <c r="D471" s="380"/>
      <c r="E471" s="380"/>
      <c r="F471" s="415"/>
      <c r="G471" s="380"/>
      <c r="H471" s="380"/>
      <c r="I471" s="428"/>
      <c r="J471" s="429"/>
      <c r="K471" s="380"/>
      <c r="L471" s="415"/>
      <c r="M471" s="380"/>
      <c r="N471" s="380"/>
      <c r="O471" s="430"/>
      <c r="P471" s="380"/>
      <c r="Q471" s="380"/>
      <c r="R471" s="380"/>
      <c r="S471" s="380"/>
      <c r="T471" s="380"/>
      <c r="U471" s="380"/>
      <c r="V471" s="380"/>
      <c r="W471" s="380"/>
      <c r="X471" s="380"/>
      <c r="Y471" s="380"/>
      <c r="Z471" s="380"/>
      <c r="AA471" s="380"/>
    </row>
    <row r="472">
      <c r="A472" s="380"/>
      <c r="B472" s="380"/>
      <c r="C472" s="380"/>
      <c r="D472" s="380"/>
      <c r="E472" s="380"/>
      <c r="F472" s="415"/>
      <c r="G472" s="380"/>
      <c r="H472" s="380"/>
      <c r="I472" s="428"/>
      <c r="J472" s="429"/>
      <c r="K472" s="380"/>
      <c r="L472" s="415"/>
      <c r="M472" s="380"/>
      <c r="N472" s="380"/>
      <c r="O472" s="430"/>
      <c r="P472" s="380"/>
      <c r="Q472" s="380"/>
      <c r="R472" s="380"/>
      <c r="S472" s="380"/>
      <c r="T472" s="380"/>
      <c r="U472" s="380"/>
      <c r="V472" s="380"/>
      <c r="W472" s="380"/>
      <c r="X472" s="380"/>
      <c r="Y472" s="380"/>
      <c r="Z472" s="380"/>
      <c r="AA472" s="380"/>
    </row>
    <row r="473">
      <c r="A473" s="380"/>
      <c r="B473" s="380"/>
      <c r="C473" s="380"/>
      <c r="D473" s="380"/>
      <c r="E473" s="380"/>
      <c r="F473" s="415"/>
      <c r="G473" s="380"/>
      <c r="H473" s="380"/>
      <c r="I473" s="428"/>
      <c r="J473" s="429"/>
      <c r="K473" s="380"/>
      <c r="L473" s="415"/>
      <c r="M473" s="380"/>
      <c r="N473" s="380"/>
      <c r="O473" s="430"/>
      <c r="P473" s="380"/>
      <c r="Q473" s="380"/>
      <c r="R473" s="380"/>
      <c r="S473" s="380"/>
      <c r="T473" s="380"/>
      <c r="U473" s="380"/>
      <c r="V473" s="380"/>
      <c r="W473" s="380"/>
      <c r="X473" s="380"/>
      <c r="Y473" s="380"/>
      <c r="Z473" s="380"/>
      <c r="AA473" s="380"/>
    </row>
    <row r="474">
      <c r="A474" s="380"/>
      <c r="B474" s="380"/>
      <c r="C474" s="380"/>
      <c r="D474" s="380"/>
      <c r="E474" s="380"/>
      <c r="F474" s="415"/>
      <c r="G474" s="380"/>
      <c r="H474" s="380"/>
      <c r="I474" s="428"/>
      <c r="J474" s="429"/>
      <c r="K474" s="380"/>
      <c r="L474" s="415"/>
      <c r="M474" s="380"/>
      <c r="N474" s="380"/>
      <c r="O474" s="430"/>
      <c r="P474" s="380"/>
      <c r="Q474" s="380"/>
      <c r="R474" s="380"/>
      <c r="S474" s="380"/>
      <c r="T474" s="380"/>
      <c r="U474" s="380"/>
      <c r="V474" s="380"/>
      <c r="W474" s="380"/>
      <c r="X474" s="380"/>
      <c r="Y474" s="380"/>
      <c r="Z474" s="380"/>
      <c r="AA474" s="380"/>
    </row>
    <row r="475">
      <c r="A475" s="380"/>
      <c r="B475" s="380"/>
      <c r="C475" s="380"/>
      <c r="D475" s="380"/>
      <c r="E475" s="380"/>
      <c r="F475" s="415"/>
      <c r="G475" s="380"/>
      <c r="H475" s="380"/>
      <c r="I475" s="428"/>
      <c r="J475" s="429"/>
      <c r="K475" s="380"/>
      <c r="L475" s="415"/>
      <c r="M475" s="380"/>
      <c r="N475" s="380"/>
      <c r="O475" s="430"/>
      <c r="P475" s="380"/>
      <c r="Q475" s="380"/>
      <c r="R475" s="380"/>
      <c r="S475" s="380"/>
      <c r="T475" s="380"/>
      <c r="U475" s="380"/>
      <c r="V475" s="380"/>
      <c r="W475" s="380"/>
      <c r="X475" s="380"/>
      <c r="Y475" s="380"/>
      <c r="Z475" s="380"/>
      <c r="AA475" s="380"/>
    </row>
    <row r="476">
      <c r="A476" s="380"/>
      <c r="B476" s="380"/>
      <c r="C476" s="380"/>
      <c r="D476" s="380"/>
      <c r="E476" s="380"/>
      <c r="F476" s="415"/>
      <c r="G476" s="380"/>
      <c r="H476" s="380"/>
      <c r="I476" s="428"/>
      <c r="J476" s="429"/>
      <c r="K476" s="380"/>
      <c r="L476" s="415"/>
      <c r="M476" s="380"/>
      <c r="N476" s="380"/>
      <c r="O476" s="430"/>
      <c r="P476" s="380"/>
      <c r="Q476" s="380"/>
      <c r="R476" s="380"/>
      <c r="S476" s="380"/>
      <c r="T476" s="380"/>
      <c r="U476" s="380"/>
      <c r="V476" s="380"/>
      <c r="W476" s="380"/>
      <c r="X476" s="380"/>
      <c r="Y476" s="380"/>
      <c r="Z476" s="380"/>
      <c r="AA476" s="380"/>
    </row>
    <row r="477">
      <c r="A477" s="380"/>
      <c r="B477" s="380"/>
      <c r="C477" s="380"/>
      <c r="D477" s="380"/>
      <c r="E477" s="380"/>
      <c r="F477" s="415"/>
      <c r="G477" s="380"/>
      <c r="H477" s="380"/>
      <c r="I477" s="428"/>
      <c r="J477" s="429"/>
      <c r="K477" s="380"/>
      <c r="L477" s="415"/>
      <c r="M477" s="380"/>
      <c r="N477" s="380"/>
      <c r="O477" s="430"/>
      <c r="P477" s="380"/>
      <c r="Q477" s="380"/>
      <c r="R477" s="380"/>
      <c r="S477" s="380"/>
      <c r="T477" s="380"/>
      <c r="U477" s="380"/>
      <c r="V477" s="380"/>
      <c r="W477" s="380"/>
      <c r="X477" s="380"/>
      <c r="Y477" s="380"/>
      <c r="Z477" s="380"/>
      <c r="AA477" s="380"/>
    </row>
    <row r="478">
      <c r="A478" s="380"/>
      <c r="B478" s="380"/>
      <c r="C478" s="380"/>
      <c r="D478" s="380"/>
      <c r="E478" s="380"/>
      <c r="F478" s="415"/>
      <c r="G478" s="380"/>
      <c r="H478" s="380"/>
      <c r="I478" s="428"/>
      <c r="J478" s="429"/>
      <c r="K478" s="380"/>
      <c r="L478" s="415"/>
      <c r="M478" s="380"/>
      <c r="N478" s="380"/>
      <c r="O478" s="430"/>
      <c r="P478" s="380"/>
      <c r="Q478" s="380"/>
      <c r="R478" s="380"/>
      <c r="S478" s="380"/>
      <c r="T478" s="380"/>
      <c r="U478" s="380"/>
      <c r="V478" s="380"/>
      <c r="W478" s="380"/>
      <c r="X478" s="380"/>
      <c r="Y478" s="380"/>
      <c r="Z478" s="380"/>
      <c r="AA478" s="380"/>
    </row>
    <row r="479">
      <c r="A479" s="380"/>
      <c r="B479" s="380"/>
      <c r="C479" s="380"/>
      <c r="D479" s="380"/>
      <c r="E479" s="380"/>
      <c r="F479" s="415"/>
      <c r="G479" s="380"/>
      <c r="H479" s="380"/>
      <c r="I479" s="428"/>
      <c r="J479" s="429"/>
      <c r="K479" s="380"/>
      <c r="L479" s="415"/>
      <c r="M479" s="380"/>
      <c r="N479" s="380"/>
      <c r="O479" s="430"/>
      <c r="P479" s="380"/>
      <c r="Q479" s="380"/>
      <c r="R479" s="380"/>
      <c r="S479" s="380"/>
      <c r="T479" s="380"/>
      <c r="U479" s="380"/>
      <c r="V479" s="380"/>
      <c r="W479" s="380"/>
      <c r="X479" s="380"/>
      <c r="Y479" s="380"/>
      <c r="Z479" s="380"/>
      <c r="AA479" s="380"/>
    </row>
    <row r="480">
      <c r="A480" s="380"/>
      <c r="B480" s="380"/>
      <c r="C480" s="380"/>
      <c r="D480" s="380"/>
      <c r="E480" s="380"/>
      <c r="F480" s="415"/>
      <c r="G480" s="380"/>
      <c r="H480" s="380"/>
      <c r="I480" s="428"/>
      <c r="J480" s="429"/>
      <c r="K480" s="380"/>
      <c r="L480" s="415"/>
      <c r="M480" s="380"/>
      <c r="N480" s="380"/>
      <c r="O480" s="430"/>
      <c r="P480" s="380"/>
      <c r="Q480" s="380"/>
      <c r="R480" s="380"/>
      <c r="S480" s="380"/>
      <c r="T480" s="380"/>
      <c r="U480" s="380"/>
      <c r="V480" s="380"/>
      <c r="W480" s="380"/>
      <c r="X480" s="380"/>
      <c r="Y480" s="380"/>
      <c r="Z480" s="380"/>
      <c r="AA480" s="380"/>
    </row>
    <row r="481">
      <c r="A481" s="380"/>
      <c r="B481" s="380"/>
      <c r="C481" s="380"/>
      <c r="D481" s="380"/>
      <c r="E481" s="380"/>
      <c r="F481" s="415"/>
      <c r="G481" s="380"/>
      <c r="H481" s="380"/>
      <c r="I481" s="428"/>
      <c r="J481" s="429"/>
      <c r="K481" s="380"/>
      <c r="L481" s="415"/>
      <c r="M481" s="380"/>
      <c r="N481" s="380"/>
      <c r="O481" s="430"/>
      <c r="P481" s="380"/>
      <c r="Q481" s="380"/>
      <c r="R481" s="380"/>
      <c r="S481" s="380"/>
      <c r="T481" s="380"/>
      <c r="U481" s="380"/>
      <c r="V481" s="380"/>
      <c r="W481" s="380"/>
      <c r="X481" s="380"/>
      <c r="Y481" s="380"/>
      <c r="Z481" s="380"/>
      <c r="AA481" s="380"/>
    </row>
    <row r="482">
      <c r="A482" s="380"/>
      <c r="B482" s="380"/>
      <c r="C482" s="380"/>
      <c r="D482" s="380"/>
      <c r="E482" s="380"/>
      <c r="F482" s="415"/>
      <c r="G482" s="380"/>
      <c r="H482" s="380"/>
      <c r="I482" s="428"/>
      <c r="J482" s="429"/>
      <c r="K482" s="380"/>
      <c r="L482" s="415"/>
      <c r="M482" s="380"/>
      <c r="N482" s="380"/>
      <c r="O482" s="430"/>
      <c r="P482" s="380"/>
      <c r="Q482" s="380"/>
      <c r="R482" s="380"/>
      <c r="S482" s="380"/>
      <c r="T482" s="380"/>
      <c r="U482" s="380"/>
      <c r="V482" s="380"/>
      <c r="W482" s="380"/>
      <c r="X482" s="380"/>
      <c r="Y482" s="380"/>
      <c r="Z482" s="380"/>
      <c r="AA482" s="380"/>
    </row>
    <row r="483">
      <c r="A483" s="380"/>
      <c r="B483" s="380"/>
      <c r="C483" s="380"/>
      <c r="D483" s="380"/>
      <c r="E483" s="380"/>
      <c r="F483" s="415"/>
      <c r="G483" s="380"/>
      <c r="H483" s="380"/>
      <c r="I483" s="428"/>
      <c r="J483" s="429"/>
      <c r="K483" s="380"/>
      <c r="L483" s="415"/>
      <c r="M483" s="380"/>
      <c r="N483" s="380"/>
      <c r="O483" s="430"/>
      <c r="P483" s="380"/>
      <c r="Q483" s="380"/>
      <c r="R483" s="380"/>
      <c r="S483" s="380"/>
      <c r="T483" s="380"/>
      <c r="U483" s="380"/>
      <c r="V483" s="380"/>
      <c r="W483" s="380"/>
      <c r="X483" s="380"/>
      <c r="Y483" s="380"/>
      <c r="Z483" s="380"/>
      <c r="AA483" s="380"/>
    </row>
    <row r="484">
      <c r="A484" s="380"/>
      <c r="B484" s="380"/>
      <c r="C484" s="380"/>
      <c r="D484" s="380"/>
      <c r="E484" s="380"/>
      <c r="F484" s="415"/>
      <c r="G484" s="380"/>
      <c r="H484" s="380"/>
      <c r="I484" s="428"/>
      <c r="J484" s="429"/>
      <c r="K484" s="380"/>
      <c r="L484" s="415"/>
      <c r="M484" s="380"/>
      <c r="N484" s="380"/>
      <c r="O484" s="430"/>
      <c r="P484" s="380"/>
      <c r="Q484" s="380"/>
      <c r="R484" s="380"/>
      <c r="S484" s="380"/>
      <c r="T484" s="380"/>
      <c r="U484" s="380"/>
      <c r="V484" s="380"/>
      <c r="W484" s="380"/>
      <c r="X484" s="380"/>
      <c r="Y484" s="380"/>
      <c r="Z484" s="380"/>
      <c r="AA484" s="380"/>
    </row>
    <row r="485">
      <c r="A485" s="380"/>
      <c r="B485" s="380"/>
      <c r="C485" s="380"/>
      <c r="D485" s="380"/>
      <c r="E485" s="380"/>
      <c r="F485" s="415"/>
      <c r="G485" s="380"/>
      <c r="H485" s="380"/>
      <c r="I485" s="428"/>
      <c r="J485" s="429"/>
      <c r="K485" s="380"/>
      <c r="L485" s="415"/>
      <c r="M485" s="380"/>
      <c r="N485" s="380"/>
      <c r="O485" s="430"/>
      <c r="P485" s="380"/>
      <c r="Q485" s="380"/>
      <c r="R485" s="380"/>
      <c r="S485" s="380"/>
      <c r="T485" s="380"/>
      <c r="U485" s="380"/>
      <c r="V485" s="380"/>
      <c r="W485" s="380"/>
      <c r="X485" s="380"/>
      <c r="Y485" s="380"/>
      <c r="Z485" s="380"/>
      <c r="AA485" s="380"/>
    </row>
    <row r="486">
      <c r="A486" s="380"/>
      <c r="B486" s="380"/>
      <c r="C486" s="380"/>
      <c r="D486" s="380"/>
      <c r="E486" s="380"/>
      <c r="F486" s="415"/>
      <c r="G486" s="380"/>
      <c r="H486" s="380"/>
      <c r="I486" s="428"/>
      <c r="J486" s="429"/>
      <c r="K486" s="380"/>
      <c r="L486" s="415"/>
      <c r="M486" s="380"/>
      <c r="N486" s="380"/>
      <c r="O486" s="430"/>
      <c r="P486" s="380"/>
      <c r="Q486" s="380"/>
      <c r="R486" s="380"/>
      <c r="S486" s="380"/>
      <c r="T486" s="380"/>
      <c r="U486" s="380"/>
      <c r="V486" s="380"/>
      <c r="W486" s="380"/>
      <c r="X486" s="380"/>
      <c r="Y486" s="380"/>
      <c r="Z486" s="380"/>
      <c r="AA486" s="380"/>
    </row>
    <row r="487">
      <c r="A487" s="380"/>
      <c r="B487" s="380"/>
      <c r="C487" s="380"/>
      <c r="D487" s="380"/>
      <c r="E487" s="380"/>
      <c r="F487" s="415"/>
      <c r="G487" s="380"/>
      <c r="H487" s="380"/>
      <c r="I487" s="428"/>
      <c r="J487" s="429"/>
      <c r="K487" s="380"/>
      <c r="L487" s="415"/>
      <c r="M487" s="380"/>
      <c r="N487" s="380"/>
      <c r="O487" s="430"/>
      <c r="P487" s="380"/>
      <c r="Q487" s="380"/>
      <c r="R487" s="380"/>
      <c r="S487" s="380"/>
      <c r="T487" s="380"/>
      <c r="U487" s="380"/>
      <c r="V487" s="380"/>
      <c r="W487" s="380"/>
      <c r="X487" s="380"/>
      <c r="Y487" s="380"/>
      <c r="Z487" s="380"/>
      <c r="AA487" s="380"/>
    </row>
    <row r="488">
      <c r="A488" s="380"/>
      <c r="B488" s="380"/>
      <c r="C488" s="380"/>
      <c r="D488" s="380"/>
      <c r="E488" s="380"/>
      <c r="F488" s="415"/>
      <c r="G488" s="380"/>
      <c r="H488" s="380"/>
      <c r="I488" s="428"/>
      <c r="J488" s="429"/>
      <c r="K488" s="380"/>
      <c r="L488" s="415"/>
      <c r="M488" s="380"/>
      <c r="N488" s="380"/>
      <c r="O488" s="430"/>
      <c r="P488" s="380"/>
      <c r="Q488" s="380"/>
      <c r="R488" s="380"/>
      <c r="S488" s="380"/>
      <c r="T488" s="380"/>
      <c r="U488" s="380"/>
      <c r="V488" s="380"/>
      <c r="W488" s="380"/>
      <c r="X488" s="380"/>
      <c r="Y488" s="380"/>
      <c r="Z488" s="380"/>
      <c r="AA488" s="380"/>
    </row>
    <row r="489">
      <c r="A489" s="380"/>
      <c r="B489" s="380"/>
      <c r="C489" s="380"/>
      <c r="D489" s="380"/>
      <c r="E489" s="380"/>
      <c r="F489" s="415"/>
      <c r="G489" s="380"/>
      <c r="H489" s="380"/>
      <c r="I489" s="428"/>
      <c r="J489" s="429"/>
      <c r="K489" s="380"/>
      <c r="L489" s="415"/>
      <c r="M489" s="380"/>
      <c r="N489" s="380"/>
      <c r="O489" s="430"/>
      <c r="P489" s="380"/>
      <c r="Q489" s="380"/>
      <c r="R489" s="380"/>
      <c r="S489" s="380"/>
      <c r="T489" s="380"/>
      <c r="U489" s="380"/>
      <c r="V489" s="380"/>
      <c r="W489" s="380"/>
      <c r="X489" s="380"/>
      <c r="Y489" s="380"/>
      <c r="Z489" s="380"/>
      <c r="AA489" s="380"/>
    </row>
    <row r="490">
      <c r="A490" s="380"/>
      <c r="B490" s="380"/>
      <c r="C490" s="380"/>
      <c r="D490" s="380"/>
      <c r="E490" s="380"/>
      <c r="F490" s="415"/>
      <c r="G490" s="380"/>
      <c r="H490" s="380"/>
      <c r="I490" s="428"/>
      <c r="J490" s="429"/>
      <c r="K490" s="380"/>
      <c r="L490" s="415"/>
      <c r="M490" s="380"/>
      <c r="N490" s="380"/>
      <c r="O490" s="430"/>
      <c r="P490" s="380"/>
      <c r="Q490" s="380"/>
      <c r="R490" s="380"/>
      <c r="S490" s="380"/>
      <c r="T490" s="380"/>
      <c r="U490" s="380"/>
      <c r="V490" s="380"/>
      <c r="W490" s="380"/>
      <c r="X490" s="380"/>
      <c r="Y490" s="380"/>
      <c r="Z490" s="380"/>
      <c r="AA490" s="380"/>
    </row>
    <row r="491">
      <c r="A491" s="380"/>
      <c r="B491" s="380"/>
      <c r="C491" s="380"/>
      <c r="D491" s="380"/>
      <c r="E491" s="380"/>
      <c r="F491" s="415"/>
      <c r="G491" s="380"/>
      <c r="H491" s="380"/>
      <c r="I491" s="428"/>
      <c r="J491" s="429"/>
      <c r="K491" s="380"/>
      <c r="L491" s="415"/>
      <c r="M491" s="380"/>
      <c r="N491" s="380"/>
      <c r="O491" s="430"/>
      <c r="P491" s="380"/>
      <c r="Q491" s="380"/>
      <c r="R491" s="380"/>
      <c r="S491" s="380"/>
      <c r="T491" s="380"/>
      <c r="U491" s="380"/>
      <c r="V491" s="380"/>
      <c r="W491" s="380"/>
      <c r="X491" s="380"/>
      <c r="Y491" s="380"/>
      <c r="Z491" s="380"/>
      <c r="AA491" s="380"/>
    </row>
    <row r="492">
      <c r="A492" s="380"/>
      <c r="B492" s="380"/>
      <c r="C492" s="380"/>
      <c r="D492" s="380"/>
      <c r="E492" s="380"/>
      <c r="F492" s="415"/>
      <c r="G492" s="380"/>
      <c r="H492" s="380"/>
      <c r="I492" s="428"/>
      <c r="J492" s="429"/>
      <c r="K492" s="380"/>
      <c r="L492" s="415"/>
      <c r="M492" s="380"/>
      <c r="N492" s="380"/>
      <c r="O492" s="430"/>
      <c r="P492" s="380"/>
      <c r="Q492" s="380"/>
      <c r="R492" s="380"/>
      <c r="S492" s="380"/>
      <c r="T492" s="380"/>
      <c r="U492" s="380"/>
      <c r="V492" s="380"/>
      <c r="W492" s="380"/>
      <c r="X492" s="380"/>
      <c r="Y492" s="380"/>
      <c r="Z492" s="380"/>
      <c r="AA492" s="380"/>
    </row>
    <row r="493">
      <c r="A493" s="380"/>
      <c r="B493" s="380"/>
      <c r="C493" s="380"/>
      <c r="D493" s="380"/>
      <c r="E493" s="380"/>
      <c r="F493" s="415"/>
      <c r="G493" s="380"/>
      <c r="H493" s="380"/>
      <c r="I493" s="428"/>
      <c r="J493" s="429"/>
      <c r="K493" s="380"/>
      <c r="L493" s="415"/>
      <c r="M493" s="380"/>
      <c r="N493" s="380"/>
      <c r="O493" s="430"/>
      <c r="P493" s="380"/>
      <c r="Q493" s="380"/>
      <c r="R493" s="380"/>
      <c r="S493" s="380"/>
      <c r="T493" s="380"/>
      <c r="U493" s="380"/>
      <c r="V493" s="380"/>
      <c r="W493" s="380"/>
      <c r="X493" s="380"/>
      <c r="Y493" s="380"/>
      <c r="Z493" s="380"/>
      <c r="AA493" s="380"/>
    </row>
    <row r="494">
      <c r="A494" s="380"/>
      <c r="B494" s="380"/>
      <c r="C494" s="380"/>
      <c r="D494" s="380"/>
      <c r="E494" s="380"/>
      <c r="F494" s="415"/>
      <c r="G494" s="380"/>
      <c r="H494" s="380"/>
      <c r="I494" s="428"/>
      <c r="J494" s="429"/>
      <c r="K494" s="380"/>
      <c r="L494" s="415"/>
      <c r="M494" s="380"/>
      <c r="N494" s="380"/>
      <c r="O494" s="430"/>
      <c r="P494" s="380"/>
      <c r="Q494" s="380"/>
      <c r="R494" s="380"/>
      <c r="S494" s="380"/>
      <c r="T494" s="380"/>
      <c r="U494" s="380"/>
      <c r="V494" s="380"/>
      <c r="W494" s="380"/>
      <c r="X494" s="380"/>
      <c r="Y494" s="380"/>
      <c r="Z494" s="380"/>
      <c r="AA494" s="380"/>
    </row>
    <row r="495">
      <c r="A495" s="380"/>
      <c r="B495" s="380"/>
      <c r="C495" s="380"/>
      <c r="D495" s="380"/>
      <c r="E495" s="380"/>
      <c r="F495" s="415"/>
      <c r="G495" s="380"/>
      <c r="H495" s="380"/>
      <c r="I495" s="428"/>
      <c r="J495" s="429"/>
      <c r="K495" s="380"/>
      <c r="L495" s="415"/>
      <c r="M495" s="380"/>
      <c r="N495" s="380"/>
      <c r="O495" s="430"/>
      <c r="P495" s="380"/>
      <c r="Q495" s="380"/>
      <c r="R495" s="380"/>
      <c r="S495" s="380"/>
      <c r="T495" s="380"/>
      <c r="U495" s="380"/>
      <c r="V495" s="380"/>
      <c r="W495" s="380"/>
      <c r="X495" s="380"/>
      <c r="Y495" s="380"/>
      <c r="Z495" s="380"/>
      <c r="AA495" s="380"/>
    </row>
    <row r="496">
      <c r="A496" s="380"/>
      <c r="B496" s="380"/>
      <c r="C496" s="380"/>
      <c r="D496" s="380"/>
      <c r="E496" s="380"/>
      <c r="F496" s="415"/>
      <c r="G496" s="380"/>
      <c r="H496" s="380"/>
      <c r="I496" s="428"/>
      <c r="J496" s="429"/>
      <c r="K496" s="380"/>
      <c r="L496" s="415"/>
      <c r="M496" s="380"/>
      <c r="N496" s="380"/>
      <c r="O496" s="430"/>
      <c r="P496" s="380"/>
      <c r="Q496" s="380"/>
      <c r="R496" s="380"/>
      <c r="S496" s="380"/>
      <c r="T496" s="380"/>
      <c r="U496" s="380"/>
      <c r="V496" s="380"/>
      <c r="W496" s="380"/>
      <c r="X496" s="380"/>
      <c r="Y496" s="380"/>
      <c r="Z496" s="380"/>
      <c r="AA496" s="380"/>
    </row>
    <row r="497">
      <c r="A497" s="380"/>
      <c r="B497" s="380"/>
      <c r="C497" s="380"/>
      <c r="D497" s="380"/>
      <c r="E497" s="380"/>
      <c r="F497" s="415"/>
      <c r="G497" s="380"/>
      <c r="H497" s="380"/>
      <c r="I497" s="428"/>
      <c r="J497" s="429"/>
      <c r="K497" s="380"/>
      <c r="L497" s="415"/>
      <c r="M497" s="380"/>
      <c r="N497" s="380"/>
      <c r="O497" s="430"/>
      <c r="P497" s="380"/>
      <c r="Q497" s="380"/>
      <c r="R497" s="380"/>
      <c r="S497" s="380"/>
      <c r="T497" s="380"/>
      <c r="U497" s="380"/>
      <c r="V497" s="380"/>
      <c r="W497" s="380"/>
      <c r="X497" s="380"/>
      <c r="Y497" s="380"/>
      <c r="Z497" s="380"/>
      <c r="AA497" s="380"/>
    </row>
    <row r="498">
      <c r="A498" s="380"/>
      <c r="B498" s="380"/>
      <c r="C498" s="380"/>
      <c r="D498" s="380"/>
      <c r="E498" s="380"/>
      <c r="F498" s="415"/>
      <c r="G498" s="380"/>
      <c r="H498" s="380"/>
      <c r="I498" s="428"/>
      <c r="J498" s="429"/>
      <c r="K498" s="380"/>
      <c r="L498" s="415"/>
      <c r="M498" s="380"/>
      <c r="N498" s="380"/>
      <c r="O498" s="430"/>
      <c r="P498" s="380"/>
      <c r="Q498" s="380"/>
      <c r="R498" s="380"/>
      <c r="S498" s="380"/>
      <c r="T498" s="380"/>
      <c r="U498" s="380"/>
      <c r="V498" s="380"/>
      <c r="W498" s="380"/>
      <c r="X498" s="380"/>
      <c r="Y498" s="380"/>
      <c r="Z498" s="380"/>
      <c r="AA498" s="380"/>
    </row>
    <row r="499">
      <c r="A499" s="380"/>
      <c r="B499" s="380"/>
      <c r="C499" s="380"/>
      <c r="D499" s="380"/>
      <c r="E499" s="380"/>
      <c r="F499" s="415"/>
      <c r="G499" s="380"/>
      <c r="H499" s="380"/>
      <c r="I499" s="428"/>
      <c r="J499" s="429"/>
      <c r="K499" s="380"/>
      <c r="L499" s="415"/>
      <c r="M499" s="380"/>
      <c r="N499" s="380"/>
      <c r="O499" s="430"/>
      <c r="P499" s="380"/>
      <c r="Q499" s="380"/>
      <c r="R499" s="380"/>
      <c r="S499" s="380"/>
      <c r="T499" s="380"/>
      <c r="U499" s="380"/>
      <c r="V499" s="380"/>
      <c r="W499" s="380"/>
      <c r="X499" s="380"/>
      <c r="Y499" s="380"/>
      <c r="Z499" s="380"/>
      <c r="AA499" s="380"/>
    </row>
    <row r="500">
      <c r="A500" s="380"/>
      <c r="B500" s="380"/>
      <c r="C500" s="380"/>
      <c r="D500" s="380"/>
      <c r="E500" s="380"/>
      <c r="F500" s="415"/>
      <c r="G500" s="380"/>
      <c r="H500" s="380"/>
      <c r="I500" s="428"/>
      <c r="J500" s="429"/>
      <c r="K500" s="380"/>
      <c r="L500" s="415"/>
      <c r="M500" s="380"/>
      <c r="N500" s="380"/>
      <c r="O500" s="430"/>
      <c r="P500" s="380"/>
      <c r="Q500" s="380"/>
      <c r="R500" s="380"/>
      <c r="S500" s="380"/>
      <c r="T500" s="380"/>
      <c r="U500" s="380"/>
      <c r="V500" s="380"/>
      <c r="W500" s="380"/>
      <c r="X500" s="380"/>
      <c r="Y500" s="380"/>
      <c r="Z500" s="380"/>
      <c r="AA500" s="380"/>
    </row>
    <row r="501">
      <c r="A501" s="380"/>
      <c r="B501" s="380"/>
      <c r="C501" s="380"/>
      <c r="D501" s="380"/>
      <c r="E501" s="380"/>
      <c r="F501" s="415"/>
      <c r="G501" s="380"/>
      <c r="H501" s="380"/>
      <c r="I501" s="428"/>
      <c r="J501" s="429"/>
      <c r="K501" s="380"/>
      <c r="L501" s="415"/>
      <c r="M501" s="380"/>
      <c r="N501" s="380"/>
      <c r="O501" s="430"/>
      <c r="P501" s="380"/>
      <c r="Q501" s="380"/>
      <c r="R501" s="380"/>
      <c r="S501" s="380"/>
      <c r="T501" s="380"/>
      <c r="U501" s="380"/>
      <c r="V501" s="380"/>
      <c r="W501" s="380"/>
      <c r="X501" s="380"/>
      <c r="Y501" s="380"/>
      <c r="Z501" s="380"/>
      <c r="AA501" s="380"/>
    </row>
    <row r="502">
      <c r="A502" s="380"/>
      <c r="B502" s="380"/>
      <c r="C502" s="380"/>
      <c r="D502" s="380"/>
      <c r="E502" s="380"/>
      <c r="F502" s="415"/>
      <c r="G502" s="380"/>
      <c r="H502" s="380"/>
      <c r="I502" s="428"/>
      <c r="J502" s="429"/>
      <c r="K502" s="380"/>
      <c r="L502" s="415"/>
      <c r="M502" s="380"/>
      <c r="N502" s="380"/>
      <c r="O502" s="430"/>
      <c r="P502" s="380"/>
      <c r="Q502" s="380"/>
      <c r="R502" s="380"/>
      <c r="S502" s="380"/>
      <c r="T502" s="380"/>
      <c r="U502" s="380"/>
      <c r="V502" s="380"/>
      <c r="W502" s="380"/>
      <c r="X502" s="380"/>
      <c r="Y502" s="380"/>
      <c r="Z502" s="380"/>
      <c r="AA502" s="380"/>
    </row>
    <row r="503">
      <c r="A503" s="380"/>
      <c r="B503" s="380"/>
      <c r="C503" s="380"/>
      <c r="D503" s="380"/>
      <c r="E503" s="380"/>
      <c r="F503" s="415"/>
      <c r="G503" s="380"/>
      <c r="H503" s="380"/>
      <c r="I503" s="428"/>
      <c r="J503" s="429"/>
      <c r="K503" s="380"/>
      <c r="L503" s="415"/>
      <c r="M503" s="380"/>
      <c r="N503" s="380"/>
      <c r="O503" s="430"/>
      <c r="P503" s="380"/>
      <c r="Q503" s="380"/>
      <c r="R503" s="380"/>
      <c r="S503" s="380"/>
      <c r="T503" s="380"/>
      <c r="U503" s="380"/>
      <c r="V503" s="380"/>
      <c r="W503" s="380"/>
      <c r="X503" s="380"/>
      <c r="Y503" s="380"/>
      <c r="Z503" s="380"/>
      <c r="AA503" s="380"/>
    </row>
    <row r="504">
      <c r="A504" s="380"/>
      <c r="B504" s="380"/>
      <c r="C504" s="380"/>
      <c r="D504" s="380"/>
      <c r="E504" s="380"/>
      <c r="F504" s="415"/>
      <c r="G504" s="380"/>
      <c r="H504" s="380"/>
      <c r="I504" s="428"/>
      <c r="J504" s="429"/>
      <c r="K504" s="380"/>
      <c r="L504" s="415"/>
      <c r="M504" s="380"/>
      <c r="N504" s="380"/>
      <c r="O504" s="430"/>
      <c r="P504" s="380"/>
      <c r="Q504" s="380"/>
      <c r="R504" s="380"/>
      <c r="S504" s="380"/>
      <c r="T504" s="380"/>
      <c r="U504" s="380"/>
      <c r="V504" s="380"/>
      <c r="W504" s="380"/>
      <c r="X504" s="380"/>
      <c r="Y504" s="380"/>
      <c r="Z504" s="380"/>
      <c r="AA504" s="380"/>
    </row>
    <row r="505">
      <c r="A505" s="380"/>
      <c r="B505" s="380"/>
      <c r="C505" s="380"/>
      <c r="D505" s="380"/>
      <c r="E505" s="380"/>
      <c r="F505" s="415"/>
      <c r="G505" s="380"/>
      <c r="H505" s="380"/>
      <c r="I505" s="428"/>
      <c r="J505" s="429"/>
      <c r="K505" s="380"/>
      <c r="L505" s="415"/>
      <c r="M505" s="380"/>
      <c r="N505" s="380"/>
      <c r="O505" s="430"/>
      <c r="P505" s="380"/>
      <c r="Q505" s="380"/>
      <c r="R505" s="380"/>
      <c r="S505" s="380"/>
      <c r="T505" s="380"/>
      <c r="U505" s="380"/>
      <c r="V505" s="380"/>
      <c r="W505" s="380"/>
      <c r="X505" s="380"/>
      <c r="Y505" s="380"/>
      <c r="Z505" s="380"/>
      <c r="AA505" s="380"/>
    </row>
    <row r="506">
      <c r="A506" s="380"/>
      <c r="B506" s="380"/>
      <c r="C506" s="380"/>
      <c r="D506" s="380"/>
      <c r="E506" s="380"/>
      <c r="F506" s="415"/>
      <c r="G506" s="380"/>
      <c r="H506" s="380"/>
      <c r="I506" s="428"/>
      <c r="J506" s="429"/>
      <c r="K506" s="380"/>
      <c r="L506" s="415"/>
      <c r="M506" s="380"/>
      <c r="N506" s="380"/>
      <c r="O506" s="430"/>
      <c r="P506" s="380"/>
      <c r="Q506" s="380"/>
      <c r="R506" s="380"/>
      <c r="S506" s="380"/>
      <c r="T506" s="380"/>
      <c r="U506" s="380"/>
      <c r="V506" s="380"/>
      <c r="W506" s="380"/>
      <c r="X506" s="380"/>
      <c r="Y506" s="380"/>
      <c r="Z506" s="380"/>
      <c r="AA506" s="380"/>
    </row>
    <row r="507">
      <c r="A507" s="380"/>
      <c r="B507" s="380"/>
      <c r="C507" s="380"/>
      <c r="D507" s="380"/>
      <c r="E507" s="380"/>
      <c r="F507" s="415"/>
      <c r="G507" s="380"/>
      <c r="H507" s="380"/>
      <c r="I507" s="428"/>
      <c r="J507" s="429"/>
      <c r="K507" s="380"/>
      <c r="L507" s="415"/>
      <c r="M507" s="380"/>
      <c r="N507" s="380"/>
      <c r="O507" s="430"/>
      <c r="P507" s="380"/>
      <c r="Q507" s="380"/>
      <c r="R507" s="380"/>
      <c r="S507" s="380"/>
      <c r="T507" s="380"/>
      <c r="U507" s="380"/>
      <c r="V507" s="380"/>
      <c r="W507" s="380"/>
      <c r="X507" s="380"/>
      <c r="Y507" s="380"/>
      <c r="Z507" s="380"/>
      <c r="AA507" s="380"/>
    </row>
    <row r="508">
      <c r="A508" s="380"/>
      <c r="B508" s="380"/>
      <c r="C508" s="380"/>
      <c r="D508" s="380"/>
      <c r="E508" s="380"/>
      <c r="F508" s="415"/>
      <c r="G508" s="380"/>
      <c r="H508" s="380"/>
      <c r="I508" s="428"/>
      <c r="J508" s="429"/>
      <c r="K508" s="380"/>
      <c r="L508" s="415"/>
      <c r="M508" s="380"/>
      <c r="N508" s="380"/>
      <c r="O508" s="430"/>
      <c r="P508" s="380"/>
      <c r="Q508" s="380"/>
      <c r="R508" s="380"/>
      <c r="S508" s="380"/>
      <c r="T508" s="380"/>
      <c r="U508" s="380"/>
      <c r="V508" s="380"/>
      <c r="W508" s="380"/>
      <c r="X508" s="380"/>
      <c r="Y508" s="380"/>
      <c r="Z508" s="380"/>
      <c r="AA508" s="380"/>
    </row>
    <row r="509">
      <c r="A509" s="380"/>
      <c r="B509" s="380"/>
      <c r="C509" s="380"/>
      <c r="D509" s="380"/>
      <c r="E509" s="380"/>
      <c r="F509" s="415"/>
      <c r="G509" s="380"/>
      <c r="H509" s="380"/>
      <c r="I509" s="428"/>
      <c r="J509" s="429"/>
      <c r="K509" s="380"/>
      <c r="L509" s="415"/>
      <c r="M509" s="380"/>
      <c r="N509" s="380"/>
      <c r="O509" s="430"/>
      <c r="P509" s="380"/>
      <c r="Q509" s="380"/>
      <c r="R509" s="380"/>
      <c r="S509" s="380"/>
      <c r="T509" s="380"/>
      <c r="U509" s="380"/>
      <c r="V509" s="380"/>
      <c r="W509" s="380"/>
      <c r="X509" s="380"/>
      <c r="Y509" s="380"/>
      <c r="Z509" s="380"/>
      <c r="AA509" s="380"/>
    </row>
    <row r="510">
      <c r="A510" s="380"/>
      <c r="B510" s="380"/>
      <c r="C510" s="380"/>
      <c r="D510" s="380"/>
      <c r="E510" s="380"/>
      <c r="F510" s="415"/>
      <c r="G510" s="380"/>
      <c r="H510" s="380"/>
      <c r="I510" s="428"/>
      <c r="J510" s="429"/>
      <c r="K510" s="380"/>
      <c r="L510" s="415"/>
      <c r="M510" s="380"/>
      <c r="N510" s="380"/>
      <c r="O510" s="430"/>
      <c r="P510" s="380"/>
      <c r="Q510" s="380"/>
      <c r="R510" s="380"/>
      <c r="S510" s="380"/>
      <c r="T510" s="380"/>
      <c r="U510" s="380"/>
      <c r="V510" s="380"/>
      <c r="W510" s="380"/>
      <c r="X510" s="380"/>
      <c r="Y510" s="380"/>
      <c r="Z510" s="380"/>
      <c r="AA510" s="380"/>
    </row>
    <row r="511">
      <c r="A511" s="380"/>
      <c r="B511" s="380"/>
      <c r="C511" s="380"/>
      <c r="D511" s="380"/>
      <c r="E511" s="380"/>
      <c r="F511" s="415"/>
      <c r="G511" s="380"/>
      <c r="H511" s="380"/>
      <c r="I511" s="428"/>
      <c r="J511" s="429"/>
      <c r="K511" s="380"/>
      <c r="L511" s="415"/>
      <c r="M511" s="380"/>
      <c r="N511" s="380"/>
      <c r="O511" s="430"/>
      <c r="P511" s="380"/>
      <c r="Q511" s="380"/>
      <c r="R511" s="380"/>
      <c r="S511" s="380"/>
      <c r="T511" s="380"/>
      <c r="U511" s="380"/>
      <c r="V511" s="380"/>
      <c r="W511" s="380"/>
      <c r="X511" s="380"/>
      <c r="Y511" s="380"/>
      <c r="Z511" s="380"/>
      <c r="AA511" s="380"/>
    </row>
    <row r="512">
      <c r="A512" s="380"/>
      <c r="B512" s="380"/>
      <c r="C512" s="380"/>
      <c r="D512" s="380"/>
      <c r="E512" s="380"/>
      <c r="F512" s="415"/>
      <c r="G512" s="380"/>
      <c r="H512" s="380"/>
      <c r="I512" s="428"/>
      <c r="J512" s="429"/>
      <c r="K512" s="380"/>
      <c r="L512" s="415"/>
      <c r="M512" s="380"/>
      <c r="N512" s="380"/>
      <c r="O512" s="430"/>
      <c r="P512" s="380"/>
      <c r="Q512" s="380"/>
      <c r="R512" s="380"/>
      <c r="S512" s="380"/>
      <c r="T512" s="380"/>
      <c r="U512" s="380"/>
      <c r="V512" s="380"/>
      <c r="W512" s="380"/>
      <c r="X512" s="380"/>
      <c r="Y512" s="380"/>
      <c r="Z512" s="380"/>
      <c r="AA512" s="380"/>
    </row>
    <row r="513">
      <c r="A513" s="380"/>
      <c r="B513" s="380"/>
      <c r="C513" s="380"/>
      <c r="D513" s="380"/>
      <c r="E513" s="380"/>
      <c r="F513" s="415"/>
      <c r="G513" s="380"/>
      <c r="H513" s="380"/>
      <c r="I513" s="428"/>
      <c r="J513" s="429"/>
      <c r="K513" s="380"/>
      <c r="L513" s="415"/>
      <c r="M513" s="380"/>
      <c r="N513" s="380"/>
      <c r="O513" s="430"/>
      <c r="P513" s="380"/>
      <c r="Q513" s="380"/>
      <c r="R513" s="380"/>
      <c r="S513" s="380"/>
      <c r="T513" s="380"/>
      <c r="U513" s="380"/>
      <c r="V513" s="380"/>
      <c r="W513" s="380"/>
      <c r="X513" s="380"/>
      <c r="Y513" s="380"/>
      <c r="Z513" s="380"/>
      <c r="AA513" s="380"/>
    </row>
    <row r="514">
      <c r="A514" s="380"/>
      <c r="B514" s="380"/>
      <c r="C514" s="380"/>
      <c r="D514" s="380"/>
      <c r="E514" s="380"/>
      <c r="F514" s="415"/>
      <c r="G514" s="380"/>
      <c r="H514" s="380"/>
      <c r="I514" s="428"/>
      <c r="J514" s="429"/>
      <c r="K514" s="380"/>
      <c r="L514" s="415"/>
      <c r="M514" s="380"/>
      <c r="N514" s="380"/>
      <c r="O514" s="430"/>
      <c r="P514" s="380"/>
      <c r="Q514" s="380"/>
      <c r="R514" s="380"/>
      <c r="S514" s="380"/>
      <c r="T514" s="380"/>
      <c r="U514" s="380"/>
      <c r="V514" s="380"/>
      <c r="W514" s="380"/>
      <c r="X514" s="380"/>
      <c r="Y514" s="380"/>
      <c r="Z514" s="380"/>
      <c r="AA514" s="380"/>
    </row>
    <row r="515">
      <c r="A515" s="380"/>
      <c r="B515" s="380"/>
      <c r="C515" s="380"/>
      <c r="D515" s="380"/>
      <c r="E515" s="380"/>
      <c r="F515" s="415"/>
      <c r="G515" s="380"/>
      <c r="H515" s="380"/>
      <c r="I515" s="428"/>
      <c r="J515" s="429"/>
      <c r="K515" s="380"/>
      <c r="L515" s="415"/>
      <c r="M515" s="380"/>
      <c r="N515" s="380"/>
      <c r="O515" s="430"/>
      <c r="P515" s="380"/>
      <c r="Q515" s="380"/>
      <c r="R515" s="380"/>
      <c r="S515" s="380"/>
      <c r="T515" s="380"/>
      <c r="U515" s="380"/>
      <c r="V515" s="380"/>
      <c r="W515" s="380"/>
      <c r="X515" s="380"/>
      <c r="Y515" s="380"/>
      <c r="Z515" s="380"/>
      <c r="AA515" s="380"/>
    </row>
    <row r="516">
      <c r="A516" s="380"/>
      <c r="B516" s="380"/>
      <c r="C516" s="380"/>
      <c r="D516" s="380"/>
      <c r="E516" s="380"/>
      <c r="F516" s="415"/>
      <c r="G516" s="380"/>
      <c r="H516" s="380"/>
      <c r="I516" s="428"/>
      <c r="J516" s="429"/>
      <c r="K516" s="380"/>
      <c r="L516" s="415"/>
      <c r="M516" s="380"/>
      <c r="N516" s="380"/>
      <c r="O516" s="430"/>
      <c r="P516" s="380"/>
      <c r="Q516" s="380"/>
      <c r="R516" s="380"/>
      <c r="S516" s="380"/>
      <c r="T516" s="380"/>
      <c r="U516" s="380"/>
      <c r="V516" s="380"/>
      <c r="W516" s="380"/>
      <c r="X516" s="380"/>
      <c r="Y516" s="380"/>
      <c r="Z516" s="380"/>
      <c r="AA516" s="380"/>
    </row>
    <row r="517">
      <c r="A517" s="380"/>
      <c r="B517" s="380"/>
      <c r="C517" s="380"/>
      <c r="D517" s="380"/>
      <c r="E517" s="380"/>
      <c r="F517" s="415"/>
      <c r="G517" s="380"/>
      <c r="H517" s="380"/>
      <c r="I517" s="428"/>
      <c r="J517" s="429"/>
      <c r="K517" s="380"/>
      <c r="L517" s="415"/>
      <c r="M517" s="380"/>
      <c r="N517" s="380"/>
      <c r="O517" s="430"/>
      <c r="P517" s="380"/>
      <c r="Q517" s="380"/>
      <c r="R517" s="380"/>
      <c r="S517" s="380"/>
      <c r="T517" s="380"/>
      <c r="U517" s="380"/>
      <c r="V517" s="380"/>
      <c r="W517" s="380"/>
      <c r="X517" s="380"/>
      <c r="Y517" s="380"/>
      <c r="Z517" s="380"/>
      <c r="AA517" s="380"/>
    </row>
    <row r="518">
      <c r="A518" s="380"/>
      <c r="B518" s="380"/>
      <c r="C518" s="380"/>
      <c r="D518" s="380"/>
      <c r="E518" s="380"/>
      <c r="F518" s="415"/>
      <c r="G518" s="380"/>
      <c r="H518" s="380"/>
      <c r="I518" s="428"/>
      <c r="J518" s="429"/>
      <c r="K518" s="380"/>
      <c r="L518" s="415"/>
      <c r="M518" s="380"/>
      <c r="N518" s="380"/>
      <c r="O518" s="430"/>
      <c r="P518" s="380"/>
      <c r="Q518" s="380"/>
      <c r="R518" s="380"/>
      <c r="S518" s="380"/>
      <c r="T518" s="380"/>
      <c r="U518" s="380"/>
      <c r="V518" s="380"/>
      <c r="W518" s="380"/>
      <c r="X518" s="380"/>
      <c r="Y518" s="380"/>
      <c r="Z518" s="380"/>
      <c r="AA518" s="380"/>
    </row>
    <row r="519">
      <c r="A519" s="380"/>
      <c r="B519" s="380"/>
      <c r="C519" s="380"/>
      <c r="D519" s="380"/>
      <c r="E519" s="380"/>
      <c r="F519" s="415"/>
      <c r="G519" s="380"/>
      <c r="H519" s="380"/>
      <c r="I519" s="428"/>
      <c r="J519" s="429"/>
      <c r="K519" s="380"/>
      <c r="L519" s="415"/>
      <c r="M519" s="380"/>
      <c r="N519" s="380"/>
      <c r="O519" s="430"/>
      <c r="P519" s="380"/>
      <c r="Q519" s="380"/>
      <c r="R519" s="380"/>
      <c r="S519" s="380"/>
      <c r="T519" s="380"/>
      <c r="U519" s="380"/>
      <c r="V519" s="380"/>
      <c r="W519" s="380"/>
      <c r="X519" s="380"/>
      <c r="Y519" s="380"/>
      <c r="Z519" s="380"/>
      <c r="AA519" s="380"/>
    </row>
    <row r="520">
      <c r="A520" s="380"/>
      <c r="B520" s="380"/>
      <c r="C520" s="380"/>
      <c r="D520" s="380"/>
      <c r="E520" s="380"/>
      <c r="F520" s="415"/>
      <c r="G520" s="380"/>
      <c r="H520" s="380"/>
      <c r="I520" s="428"/>
      <c r="J520" s="429"/>
      <c r="K520" s="380"/>
      <c r="L520" s="415"/>
      <c r="M520" s="380"/>
      <c r="N520" s="380"/>
      <c r="O520" s="430"/>
      <c r="P520" s="380"/>
      <c r="Q520" s="380"/>
      <c r="R520" s="380"/>
      <c r="S520" s="380"/>
      <c r="T520" s="380"/>
      <c r="U520" s="380"/>
      <c r="V520" s="380"/>
      <c r="W520" s="380"/>
      <c r="X520" s="380"/>
      <c r="Y520" s="380"/>
      <c r="Z520" s="380"/>
      <c r="AA520" s="380"/>
    </row>
    <row r="521">
      <c r="A521" s="380"/>
      <c r="B521" s="380"/>
      <c r="C521" s="380"/>
      <c r="D521" s="380"/>
      <c r="E521" s="380"/>
      <c r="F521" s="415"/>
      <c r="G521" s="380"/>
      <c r="H521" s="380"/>
      <c r="I521" s="428"/>
      <c r="J521" s="429"/>
      <c r="K521" s="380"/>
      <c r="L521" s="415"/>
      <c r="M521" s="380"/>
      <c r="N521" s="380"/>
      <c r="O521" s="430"/>
      <c r="P521" s="380"/>
      <c r="Q521" s="380"/>
      <c r="R521" s="380"/>
      <c r="S521" s="380"/>
      <c r="T521" s="380"/>
      <c r="U521" s="380"/>
      <c r="V521" s="380"/>
      <c r="W521" s="380"/>
      <c r="X521" s="380"/>
      <c r="Y521" s="380"/>
      <c r="Z521" s="380"/>
      <c r="AA521" s="380"/>
    </row>
    <row r="522">
      <c r="A522" s="380"/>
      <c r="B522" s="380"/>
      <c r="C522" s="380"/>
      <c r="D522" s="380"/>
      <c r="E522" s="380"/>
      <c r="F522" s="415"/>
      <c r="G522" s="380"/>
      <c r="H522" s="380"/>
      <c r="I522" s="428"/>
      <c r="J522" s="429"/>
      <c r="K522" s="380"/>
      <c r="L522" s="415"/>
      <c r="M522" s="380"/>
      <c r="N522" s="380"/>
      <c r="O522" s="430"/>
      <c r="P522" s="380"/>
      <c r="Q522" s="380"/>
      <c r="R522" s="380"/>
      <c r="S522" s="380"/>
      <c r="T522" s="380"/>
      <c r="U522" s="380"/>
      <c r="V522" s="380"/>
      <c r="W522" s="380"/>
      <c r="X522" s="380"/>
      <c r="Y522" s="380"/>
      <c r="Z522" s="380"/>
      <c r="AA522" s="380"/>
    </row>
    <row r="523">
      <c r="A523" s="380"/>
      <c r="B523" s="380"/>
      <c r="C523" s="380"/>
      <c r="D523" s="380"/>
      <c r="E523" s="380"/>
      <c r="F523" s="415"/>
      <c r="G523" s="380"/>
      <c r="H523" s="380"/>
      <c r="I523" s="428"/>
      <c r="J523" s="429"/>
      <c r="K523" s="380"/>
      <c r="L523" s="415"/>
      <c r="M523" s="380"/>
      <c r="N523" s="380"/>
      <c r="O523" s="430"/>
      <c r="P523" s="380"/>
      <c r="Q523" s="380"/>
      <c r="R523" s="380"/>
      <c r="S523" s="380"/>
      <c r="T523" s="380"/>
      <c r="U523" s="380"/>
      <c r="V523" s="380"/>
      <c r="W523" s="380"/>
      <c r="X523" s="380"/>
      <c r="Y523" s="380"/>
      <c r="Z523" s="380"/>
      <c r="AA523" s="380"/>
    </row>
    <row r="524">
      <c r="A524" s="380"/>
      <c r="B524" s="380"/>
      <c r="C524" s="380"/>
      <c r="D524" s="380"/>
      <c r="E524" s="380"/>
      <c r="F524" s="415"/>
      <c r="G524" s="380"/>
      <c r="H524" s="380"/>
      <c r="I524" s="428"/>
      <c r="J524" s="429"/>
      <c r="K524" s="380"/>
      <c r="L524" s="415"/>
      <c r="M524" s="380"/>
      <c r="N524" s="380"/>
      <c r="O524" s="430"/>
      <c r="P524" s="380"/>
      <c r="Q524" s="380"/>
      <c r="R524" s="380"/>
      <c r="S524" s="380"/>
      <c r="T524" s="380"/>
      <c r="U524" s="380"/>
      <c r="V524" s="380"/>
      <c r="W524" s="380"/>
      <c r="X524" s="380"/>
      <c r="Y524" s="380"/>
      <c r="Z524" s="380"/>
      <c r="AA524" s="380"/>
    </row>
    <row r="525">
      <c r="A525" s="380"/>
      <c r="B525" s="380"/>
      <c r="C525" s="380"/>
      <c r="D525" s="380"/>
      <c r="E525" s="380"/>
      <c r="F525" s="415"/>
      <c r="G525" s="380"/>
      <c r="H525" s="380"/>
      <c r="I525" s="428"/>
      <c r="J525" s="429"/>
      <c r="K525" s="380"/>
      <c r="L525" s="415"/>
      <c r="M525" s="380"/>
      <c r="N525" s="380"/>
      <c r="O525" s="430"/>
      <c r="P525" s="380"/>
      <c r="Q525" s="380"/>
      <c r="R525" s="380"/>
      <c r="S525" s="380"/>
      <c r="T525" s="380"/>
      <c r="U525" s="380"/>
      <c r="V525" s="380"/>
      <c r="W525" s="380"/>
      <c r="X525" s="380"/>
      <c r="Y525" s="380"/>
      <c r="Z525" s="380"/>
      <c r="AA525" s="380"/>
    </row>
    <row r="526">
      <c r="A526" s="380"/>
      <c r="B526" s="380"/>
      <c r="C526" s="380"/>
      <c r="D526" s="380"/>
      <c r="E526" s="380"/>
      <c r="F526" s="415"/>
      <c r="G526" s="380"/>
      <c r="H526" s="380"/>
      <c r="I526" s="428"/>
      <c r="J526" s="429"/>
      <c r="K526" s="380"/>
      <c r="L526" s="415"/>
      <c r="M526" s="380"/>
      <c r="N526" s="380"/>
      <c r="O526" s="430"/>
      <c r="P526" s="380"/>
      <c r="Q526" s="380"/>
      <c r="R526" s="380"/>
      <c r="S526" s="380"/>
      <c r="T526" s="380"/>
      <c r="U526" s="380"/>
      <c r="V526" s="380"/>
      <c r="W526" s="380"/>
      <c r="X526" s="380"/>
      <c r="Y526" s="380"/>
      <c r="Z526" s="380"/>
      <c r="AA526" s="380"/>
    </row>
    <row r="527">
      <c r="A527" s="380"/>
      <c r="B527" s="380"/>
      <c r="C527" s="380"/>
      <c r="D527" s="380"/>
      <c r="E527" s="380"/>
      <c r="F527" s="415"/>
      <c r="G527" s="380"/>
      <c r="H527" s="380"/>
      <c r="I527" s="428"/>
      <c r="J527" s="429"/>
      <c r="K527" s="380"/>
      <c r="L527" s="415"/>
      <c r="M527" s="380"/>
      <c r="N527" s="380"/>
      <c r="O527" s="430"/>
      <c r="P527" s="380"/>
      <c r="Q527" s="380"/>
      <c r="R527" s="380"/>
      <c r="S527" s="380"/>
      <c r="T527" s="380"/>
      <c r="U527" s="380"/>
      <c r="V527" s="380"/>
      <c r="W527" s="380"/>
      <c r="X527" s="380"/>
      <c r="Y527" s="380"/>
      <c r="Z527" s="380"/>
      <c r="AA527" s="380"/>
    </row>
    <row r="528">
      <c r="A528" s="380"/>
      <c r="B528" s="380"/>
      <c r="C528" s="380"/>
      <c r="D528" s="380"/>
      <c r="E528" s="380"/>
      <c r="F528" s="415"/>
      <c r="G528" s="380"/>
      <c r="H528" s="380"/>
      <c r="I528" s="428"/>
      <c r="J528" s="429"/>
      <c r="K528" s="380"/>
      <c r="L528" s="415"/>
      <c r="M528" s="380"/>
      <c r="N528" s="380"/>
      <c r="O528" s="430"/>
      <c r="P528" s="380"/>
      <c r="Q528" s="380"/>
      <c r="R528" s="380"/>
      <c r="S528" s="380"/>
      <c r="T528" s="380"/>
      <c r="U528" s="380"/>
      <c r="V528" s="380"/>
      <c r="W528" s="380"/>
      <c r="X528" s="380"/>
      <c r="Y528" s="380"/>
      <c r="Z528" s="380"/>
      <c r="AA528" s="380"/>
    </row>
    <row r="529">
      <c r="A529" s="380"/>
      <c r="B529" s="380"/>
      <c r="C529" s="380"/>
      <c r="D529" s="380"/>
      <c r="E529" s="380"/>
      <c r="F529" s="415"/>
      <c r="G529" s="380"/>
      <c r="H529" s="380"/>
      <c r="I529" s="428"/>
      <c r="J529" s="429"/>
      <c r="K529" s="380"/>
      <c r="L529" s="415"/>
      <c r="M529" s="380"/>
      <c r="N529" s="380"/>
      <c r="O529" s="430"/>
      <c r="P529" s="380"/>
      <c r="Q529" s="380"/>
      <c r="R529" s="380"/>
      <c r="S529" s="380"/>
      <c r="T529" s="380"/>
      <c r="U529" s="380"/>
      <c r="V529" s="380"/>
      <c r="W529" s="380"/>
      <c r="X529" s="380"/>
      <c r="Y529" s="380"/>
      <c r="Z529" s="380"/>
      <c r="AA529" s="380"/>
    </row>
    <row r="530">
      <c r="A530" s="380"/>
      <c r="B530" s="380"/>
      <c r="C530" s="380"/>
      <c r="D530" s="380"/>
      <c r="E530" s="380"/>
      <c r="F530" s="415"/>
      <c r="G530" s="380"/>
      <c r="H530" s="380"/>
      <c r="I530" s="428"/>
      <c r="J530" s="429"/>
      <c r="K530" s="380"/>
      <c r="L530" s="415"/>
      <c r="M530" s="380"/>
      <c r="N530" s="380"/>
      <c r="O530" s="430"/>
      <c r="P530" s="380"/>
      <c r="Q530" s="380"/>
      <c r="R530" s="380"/>
      <c r="S530" s="380"/>
      <c r="T530" s="380"/>
      <c r="U530" s="380"/>
      <c r="V530" s="380"/>
      <c r="W530" s="380"/>
      <c r="X530" s="380"/>
      <c r="Y530" s="380"/>
      <c r="Z530" s="380"/>
      <c r="AA530" s="380"/>
    </row>
    <row r="531">
      <c r="A531" s="380"/>
      <c r="B531" s="380"/>
      <c r="C531" s="380"/>
      <c r="D531" s="380"/>
      <c r="E531" s="380"/>
      <c r="F531" s="415"/>
      <c r="G531" s="380"/>
      <c r="H531" s="380"/>
      <c r="I531" s="428"/>
      <c r="J531" s="429"/>
      <c r="K531" s="380"/>
      <c r="L531" s="415"/>
      <c r="M531" s="380"/>
      <c r="N531" s="380"/>
      <c r="O531" s="430"/>
      <c r="P531" s="380"/>
      <c r="Q531" s="380"/>
      <c r="R531" s="380"/>
      <c r="S531" s="380"/>
      <c r="T531" s="380"/>
      <c r="U531" s="380"/>
      <c r="V531" s="380"/>
      <c r="W531" s="380"/>
      <c r="X531" s="380"/>
      <c r="Y531" s="380"/>
      <c r="Z531" s="380"/>
      <c r="AA531" s="380"/>
    </row>
    <row r="532">
      <c r="A532" s="380"/>
      <c r="B532" s="380"/>
      <c r="C532" s="380"/>
      <c r="D532" s="380"/>
      <c r="E532" s="380"/>
      <c r="F532" s="415"/>
      <c r="G532" s="380"/>
      <c r="H532" s="380"/>
      <c r="I532" s="428"/>
      <c r="J532" s="429"/>
      <c r="K532" s="380"/>
      <c r="L532" s="415"/>
      <c r="M532" s="380"/>
      <c r="N532" s="380"/>
      <c r="O532" s="430"/>
      <c r="P532" s="380"/>
      <c r="Q532" s="380"/>
      <c r="R532" s="380"/>
      <c r="S532" s="380"/>
      <c r="T532" s="380"/>
      <c r="U532" s="380"/>
      <c r="V532" s="380"/>
      <c r="W532" s="380"/>
      <c r="X532" s="380"/>
      <c r="Y532" s="380"/>
      <c r="Z532" s="380"/>
      <c r="AA532" s="380"/>
    </row>
    <row r="533">
      <c r="A533" s="380"/>
      <c r="B533" s="380"/>
      <c r="C533" s="380"/>
      <c r="D533" s="380"/>
      <c r="E533" s="380"/>
      <c r="F533" s="415"/>
      <c r="G533" s="380"/>
      <c r="H533" s="380"/>
      <c r="I533" s="428"/>
      <c r="J533" s="429"/>
      <c r="K533" s="380"/>
      <c r="L533" s="415"/>
      <c r="M533" s="380"/>
      <c r="N533" s="380"/>
      <c r="O533" s="430"/>
      <c r="P533" s="380"/>
      <c r="Q533" s="380"/>
      <c r="R533" s="380"/>
      <c r="S533" s="380"/>
      <c r="T533" s="380"/>
      <c r="U533" s="380"/>
      <c r="V533" s="380"/>
      <c r="W533" s="380"/>
      <c r="X533" s="380"/>
      <c r="Y533" s="380"/>
      <c r="Z533" s="380"/>
      <c r="AA533" s="380"/>
    </row>
    <row r="534">
      <c r="A534" s="380"/>
      <c r="B534" s="380"/>
      <c r="C534" s="380"/>
      <c r="D534" s="380"/>
      <c r="E534" s="380"/>
      <c r="F534" s="415"/>
      <c r="G534" s="380"/>
      <c r="H534" s="380"/>
      <c r="I534" s="428"/>
      <c r="J534" s="429"/>
      <c r="K534" s="380"/>
      <c r="L534" s="415"/>
      <c r="M534" s="380"/>
      <c r="N534" s="380"/>
      <c r="O534" s="430"/>
      <c r="P534" s="380"/>
      <c r="Q534" s="380"/>
      <c r="R534" s="380"/>
      <c r="S534" s="380"/>
      <c r="T534" s="380"/>
      <c r="U534" s="380"/>
      <c r="V534" s="380"/>
      <c r="W534" s="380"/>
      <c r="X534" s="380"/>
      <c r="Y534" s="380"/>
      <c r="Z534" s="380"/>
      <c r="AA534" s="380"/>
    </row>
    <row r="535">
      <c r="A535" s="380"/>
      <c r="B535" s="380"/>
      <c r="C535" s="380"/>
      <c r="D535" s="380"/>
      <c r="E535" s="380"/>
      <c r="F535" s="415"/>
      <c r="G535" s="380"/>
      <c r="H535" s="380"/>
      <c r="I535" s="428"/>
      <c r="J535" s="429"/>
      <c r="K535" s="380"/>
      <c r="L535" s="415"/>
      <c r="M535" s="380"/>
      <c r="N535" s="380"/>
      <c r="O535" s="430"/>
      <c r="P535" s="380"/>
      <c r="Q535" s="380"/>
      <c r="R535" s="380"/>
      <c r="S535" s="380"/>
      <c r="T535" s="380"/>
      <c r="U535" s="380"/>
      <c r="V535" s="380"/>
      <c r="W535" s="380"/>
      <c r="X535" s="380"/>
      <c r="Y535" s="380"/>
      <c r="Z535" s="380"/>
      <c r="AA535" s="380"/>
    </row>
    <row r="536">
      <c r="A536" s="380"/>
      <c r="B536" s="380"/>
      <c r="C536" s="380"/>
      <c r="D536" s="380"/>
      <c r="E536" s="380"/>
      <c r="F536" s="415"/>
      <c r="G536" s="380"/>
      <c r="H536" s="380"/>
      <c r="I536" s="428"/>
      <c r="J536" s="429"/>
      <c r="K536" s="380"/>
      <c r="L536" s="415"/>
      <c r="M536" s="380"/>
      <c r="N536" s="380"/>
      <c r="O536" s="430"/>
      <c r="P536" s="380"/>
      <c r="Q536" s="380"/>
      <c r="R536" s="380"/>
      <c r="S536" s="380"/>
      <c r="T536" s="380"/>
      <c r="U536" s="380"/>
      <c r="V536" s="380"/>
      <c r="W536" s="380"/>
      <c r="X536" s="380"/>
      <c r="Y536" s="380"/>
      <c r="Z536" s="380"/>
      <c r="AA536" s="380"/>
    </row>
    <row r="537">
      <c r="A537" s="380"/>
      <c r="B537" s="380"/>
      <c r="C537" s="380"/>
      <c r="D537" s="380"/>
      <c r="E537" s="380"/>
      <c r="F537" s="415"/>
      <c r="G537" s="380"/>
      <c r="H537" s="380"/>
      <c r="I537" s="428"/>
      <c r="J537" s="429"/>
      <c r="K537" s="380"/>
      <c r="L537" s="415"/>
      <c r="M537" s="380"/>
      <c r="N537" s="380"/>
      <c r="O537" s="430"/>
      <c r="P537" s="380"/>
      <c r="Q537" s="380"/>
      <c r="R537" s="380"/>
      <c r="S537" s="380"/>
      <c r="T537" s="380"/>
      <c r="U537" s="380"/>
      <c r="V537" s="380"/>
      <c r="W537" s="380"/>
      <c r="X537" s="380"/>
      <c r="Y537" s="380"/>
      <c r="Z537" s="380"/>
      <c r="AA537" s="380"/>
    </row>
    <row r="538">
      <c r="A538" s="380"/>
      <c r="B538" s="380"/>
      <c r="C538" s="380"/>
      <c r="D538" s="380"/>
      <c r="E538" s="380"/>
      <c r="F538" s="415"/>
      <c r="G538" s="380"/>
      <c r="H538" s="380"/>
      <c r="I538" s="428"/>
      <c r="J538" s="429"/>
      <c r="K538" s="380"/>
      <c r="L538" s="415"/>
      <c r="M538" s="380"/>
      <c r="N538" s="380"/>
      <c r="O538" s="430"/>
      <c r="P538" s="380"/>
      <c r="Q538" s="380"/>
      <c r="R538" s="380"/>
      <c r="S538" s="380"/>
      <c r="T538" s="380"/>
      <c r="U538" s="380"/>
      <c r="V538" s="380"/>
      <c r="W538" s="380"/>
      <c r="X538" s="380"/>
      <c r="Y538" s="380"/>
      <c r="Z538" s="380"/>
      <c r="AA538" s="380"/>
    </row>
    <row r="539">
      <c r="A539" s="380"/>
      <c r="B539" s="380"/>
      <c r="C539" s="380"/>
      <c r="D539" s="380"/>
      <c r="E539" s="380"/>
      <c r="F539" s="415"/>
      <c r="G539" s="380"/>
      <c r="H539" s="380"/>
      <c r="I539" s="428"/>
      <c r="J539" s="429"/>
      <c r="K539" s="380"/>
      <c r="L539" s="415"/>
      <c r="M539" s="380"/>
      <c r="N539" s="380"/>
      <c r="O539" s="430"/>
      <c r="P539" s="380"/>
      <c r="Q539" s="380"/>
      <c r="R539" s="380"/>
      <c r="S539" s="380"/>
      <c r="T539" s="380"/>
      <c r="U539" s="380"/>
      <c r="V539" s="380"/>
      <c r="W539" s="380"/>
      <c r="X539" s="380"/>
      <c r="Y539" s="380"/>
      <c r="Z539" s="380"/>
      <c r="AA539" s="380"/>
    </row>
    <row r="540">
      <c r="A540" s="380"/>
      <c r="B540" s="380"/>
      <c r="C540" s="380"/>
      <c r="D540" s="380"/>
      <c r="E540" s="380"/>
      <c r="F540" s="415"/>
      <c r="G540" s="380"/>
      <c r="H540" s="380"/>
      <c r="I540" s="428"/>
      <c r="J540" s="429"/>
      <c r="K540" s="380"/>
      <c r="L540" s="415"/>
      <c r="M540" s="380"/>
      <c r="N540" s="380"/>
      <c r="O540" s="430"/>
      <c r="P540" s="380"/>
      <c r="Q540" s="380"/>
      <c r="R540" s="380"/>
      <c r="S540" s="380"/>
      <c r="T540" s="380"/>
      <c r="U540" s="380"/>
      <c r="V540" s="380"/>
      <c r="W540" s="380"/>
      <c r="X540" s="380"/>
      <c r="Y540" s="380"/>
      <c r="Z540" s="380"/>
      <c r="AA540" s="380"/>
    </row>
    <row r="541">
      <c r="A541" s="380"/>
      <c r="B541" s="380"/>
      <c r="C541" s="380"/>
      <c r="D541" s="380"/>
      <c r="E541" s="380"/>
      <c r="F541" s="415"/>
      <c r="G541" s="380"/>
      <c r="H541" s="380"/>
      <c r="I541" s="428"/>
      <c r="J541" s="429"/>
      <c r="K541" s="380"/>
      <c r="L541" s="415"/>
      <c r="M541" s="380"/>
      <c r="N541" s="380"/>
      <c r="O541" s="430"/>
      <c r="P541" s="380"/>
      <c r="Q541" s="380"/>
      <c r="R541" s="380"/>
      <c r="S541" s="380"/>
      <c r="T541" s="380"/>
      <c r="U541" s="380"/>
      <c r="V541" s="380"/>
      <c r="W541" s="380"/>
      <c r="X541" s="380"/>
      <c r="Y541" s="380"/>
      <c r="Z541" s="380"/>
      <c r="AA541" s="380"/>
    </row>
    <row r="542">
      <c r="A542" s="380"/>
      <c r="B542" s="380"/>
      <c r="C542" s="380"/>
      <c r="D542" s="380"/>
      <c r="E542" s="380"/>
      <c r="F542" s="415"/>
      <c r="G542" s="380"/>
      <c r="H542" s="380"/>
      <c r="I542" s="428"/>
      <c r="J542" s="429"/>
      <c r="K542" s="380"/>
      <c r="L542" s="415"/>
      <c r="M542" s="380"/>
      <c r="N542" s="380"/>
      <c r="O542" s="430"/>
      <c r="P542" s="380"/>
      <c r="Q542" s="380"/>
      <c r="R542" s="380"/>
      <c r="S542" s="380"/>
      <c r="T542" s="380"/>
      <c r="U542" s="380"/>
      <c r="V542" s="380"/>
      <c r="W542" s="380"/>
      <c r="X542" s="380"/>
      <c r="Y542" s="380"/>
      <c r="Z542" s="380"/>
      <c r="AA542" s="380"/>
    </row>
    <row r="543">
      <c r="A543" s="380"/>
      <c r="B543" s="380"/>
      <c r="C543" s="380"/>
      <c r="D543" s="380"/>
      <c r="E543" s="380"/>
      <c r="F543" s="415"/>
      <c r="G543" s="380"/>
      <c r="H543" s="380"/>
      <c r="I543" s="428"/>
      <c r="J543" s="429"/>
      <c r="K543" s="380"/>
      <c r="L543" s="415"/>
      <c r="M543" s="380"/>
      <c r="N543" s="380"/>
      <c r="O543" s="430"/>
      <c r="P543" s="380"/>
      <c r="Q543" s="380"/>
      <c r="R543" s="380"/>
      <c r="S543" s="380"/>
      <c r="T543" s="380"/>
      <c r="U543" s="380"/>
      <c r="V543" s="380"/>
      <c r="W543" s="380"/>
      <c r="X543" s="380"/>
      <c r="Y543" s="380"/>
      <c r="Z543" s="380"/>
      <c r="AA543" s="380"/>
    </row>
    <row r="544">
      <c r="A544" s="380"/>
      <c r="B544" s="380"/>
      <c r="C544" s="380"/>
      <c r="D544" s="380"/>
      <c r="E544" s="380"/>
      <c r="F544" s="415"/>
      <c r="G544" s="380"/>
      <c r="H544" s="380"/>
      <c r="I544" s="428"/>
      <c r="J544" s="429"/>
      <c r="K544" s="380"/>
      <c r="L544" s="415"/>
      <c r="M544" s="380"/>
      <c r="N544" s="380"/>
      <c r="O544" s="430"/>
      <c r="P544" s="380"/>
      <c r="Q544" s="380"/>
      <c r="R544" s="380"/>
      <c r="S544" s="380"/>
      <c r="T544" s="380"/>
      <c r="U544" s="380"/>
      <c r="V544" s="380"/>
      <c r="W544" s="380"/>
      <c r="X544" s="380"/>
      <c r="Y544" s="380"/>
      <c r="Z544" s="380"/>
      <c r="AA544" s="380"/>
    </row>
    <row r="545">
      <c r="A545" s="380"/>
      <c r="B545" s="380"/>
      <c r="C545" s="380"/>
      <c r="D545" s="380"/>
      <c r="E545" s="380"/>
      <c r="F545" s="415"/>
      <c r="G545" s="380"/>
      <c r="H545" s="380"/>
      <c r="I545" s="428"/>
      <c r="J545" s="429"/>
      <c r="K545" s="380"/>
      <c r="L545" s="415"/>
      <c r="M545" s="380"/>
      <c r="N545" s="380"/>
      <c r="O545" s="430"/>
      <c r="P545" s="380"/>
      <c r="Q545" s="380"/>
      <c r="R545" s="380"/>
      <c r="S545" s="380"/>
      <c r="T545" s="380"/>
      <c r="U545" s="380"/>
      <c r="V545" s="380"/>
      <c r="W545" s="380"/>
      <c r="X545" s="380"/>
      <c r="Y545" s="380"/>
      <c r="Z545" s="380"/>
      <c r="AA545" s="380"/>
    </row>
    <row r="546">
      <c r="A546" s="380"/>
      <c r="B546" s="380"/>
      <c r="C546" s="380"/>
      <c r="D546" s="380"/>
      <c r="E546" s="380"/>
      <c r="F546" s="415"/>
      <c r="G546" s="380"/>
      <c r="H546" s="380"/>
      <c r="I546" s="428"/>
      <c r="J546" s="429"/>
      <c r="K546" s="380"/>
      <c r="L546" s="415"/>
      <c r="M546" s="380"/>
      <c r="N546" s="380"/>
      <c r="O546" s="430"/>
      <c r="P546" s="380"/>
      <c r="Q546" s="380"/>
      <c r="R546" s="380"/>
      <c r="S546" s="380"/>
      <c r="T546" s="380"/>
      <c r="U546" s="380"/>
      <c r="V546" s="380"/>
      <c r="W546" s="380"/>
      <c r="X546" s="380"/>
      <c r="Y546" s="380"/>
      <c r="Z546" s="380"/>
      <c r="AA546" s="380"/>
    </row>
    <row r="547">
      <c r="A547" s="380"/>
      <c r="B547" s="380"/>
      <c r="C547" s="380"/>
      <c r="D547" s="380"/>
      <c r="E547" s="380"/>
      <c r="F547" s="415"/>
      <c r="G547" s="380"/>
      <c r="H547" s="380"/>
      <c r="I547" s="428"/>
      <c r="J547" s="429"/>
      <c r="K547" s="380"/>
      <c r="L547" s="415"/>
      <c r="M547" s="380"/>
      <c r="N547" s="380"/>
      <c r="O547" s="430"/>
      <c r="P547" s="380"/>
      <c r="Q547" s="380"/>
      <c r="R547" s="380"/>
      <c r="S547" s="380"/>
      <c r="T547" s="380"/>
      <c r="U547" s="380"/>
      <c r="V547" s="380"/>
      <c r="W547" s="380"/>
      <c r="X547" s="380"/>
      <c r="Y547" s="380"/>
      <c r="Z547" s="380"/>
      <c r="AA547" s="380"/>
    </row>
    <row r="548">
      <c r="A548" s="380"/>
      <c r="B548" s="380"/>
      <c r="C548" s="380"/>
      <c r="D548" s="380"/>
      <c r="E548" s="380"/>
      <c r="F548" s="415"/>
      <c r="G548" s="380"/>
      <c r="H548" s="380"/>
      <c r="I548" s="428"/>
      <c r="J548" s="429"/>
      <c r="K548" s="380"/>
      <c r="L548" s="415"/>
      <c r="M548" s="380"/>
      <c r="N548" s="380"/>
      <c r="O548" s="430"/>
      <c r="P548" s="380"/>
      <c r="Q548" s="380"/>
      <c r="R548" s="380"/>
      <c r="S548" s="380"/>
      <c r="T548" s="380"/>
      <c r="U548" s="380"/>
      <c r="V548" s="380"/>
      <c r="W548" s="380"/>
      <c r="X548" s="380"/>
      <c r="Y548" s="380"/>
      <c r="Z548" s="380"/>
      <c r="AA548" s="380"/>
    </row>
    <row r="549">
      <c r="A549" s="380"/>
      <c r="B549" s="380"/>
      <c r="C549" s="380"/>
      <c r="D549" s="380"/>
      <c r="E549" s="380"/>
      <c r="F549" s="415"/>
      <c r="G549" s="380"/>
      <c r="H549" s="380"/>
      <c r="I549" s="428"/>
      <c r="J549" s="429"/>
      <c r="K549" s="380"/>
      <c r="L549" s="415"/>
      <c r="M549" s="380"/>
      <c r="N549" s="380"/>
      <c r="O549" s="430"/>
      <c r="P549" s="380"/>
      <c r="Q549" s="380"/>
      <c r="R549" s="380"/>
      <c r="S549" s="380"/>
      <c r="T549" s="380"/>
      <c r="U549" s="380"/>
      <c r="V549" s="380"/>
      <c r="W549" s="380"/>
      <c r="X549" s="380"/>
      <c r="Y549" s="380"/>
      <c r="Z549" s="380"/>
      <c r="AA549" s="380"/>
    </row>
    <row r="550">
      <c r="A550" s="380"/>
      <c r="B550" s="380"/>
      <c r="C550" s="380"/>
      <c r="D550" s="380"/>
      <c r="E550" s="380"/>
      <c r="F550" s="415"/>
      <c r="G550" s="380"/>
      <c r="H550" s="380"/>
      <c r="I550" s="428"/>
      <c r="J550" s="429"/>
      <c r="K550" s="380"/>
      <c r="L550" s="415"/>
      <c r="M550" s="380"/>
      <c r="N550" s="380"/>
      <c r="O550" s="430"/>
      <c r="P550" s="380"/>
      <c r="Q550" s="380"/>
      <c r="R550" s="380"/>
      <c r="S550" s="380"/>
      <c r="T550" s="380"/>
      <c r="U550" s="380"/>
      <c r="V550" s="380"/>
      <c r="W550" s="380"/>
      <c r="X550" s="380"/>
      <c r="Y550" s="380"/>
      <c r="Z550" s="380"/>
      <c r="AA550" s="380"/>
    </row>
    <row r="551">
      <c r="A551" s="380"/>
      <c r="B551" s="380"/>
      <c r="C551" s="380"/>
      <c r="D551" s="380"/>
      <c r="E551" s="380"/>
      <c r="F551" s="415"/>
      <c r="G551" s="380"/>
      <c r="H551" s="380"/>
      <c r="I551" s="428"/>
      <c r="J551" s="429"/>
      <c r="K551" s="380"/>
      <c r="L551" s="415"/>
      <c r="M551" s="380"/>
      <c r="N551" s="380"/>
      <c r="O551" s="430"/>
      <c r="P551" s="380"/>
      <c r="Q551" s="380"/>
      <c r="R551" s="380"/>
      <c r="S551" s="380"/>
      <c r="T551" s="380"/>
      <c r="U551" s="380"/>
      <c r="V551" s="380"/>
      <c r="W551" s="380"/>
      <c r="X551" s="380"/>
      <c r="Y551" s="380"/>
      <c r="Z551" s="380"/>
      <c r="AA551" s="380"/>
    </row>
    <row r="552">
      <c r="A552" s="380"/>
      <c r="B552" s="380"/>
      <c r="C552" s="380"/>
      <c r="D552" s="380"/>
      <c r="E552" s="380"/>
      <c r="F552" s="415"/>
      <c r="G552" s="380"/>
      <c r="H552" s="380"/>
      <c r="I552" s="428"/>
      <c r="J552" s="429"/>
      <c r="K552" s="380"/>
      <c r="L552" s="415"/>
      <c r="M552" s="380"/>
      <c r="N552" s="380"/>
      <c r="O552" s="430"/>
      <c r="P552" s="380"/>
      <c r="Q552" s="380"/>
      <c r="R552" s="380"/>
      <c r="S552" s="380"/>
      <c r="T552" s="380"/>
      <c r="U552" s="380"/>
      <c r="V552" s="380"/>
      <c r="W552" s="380"/>
      <c r="X552" s="380"/>
      <c r="Y552" s="380"/>
      <c r="Z552" s="380"/>
      <c r="AA552" s="380"/>
    </row>
    <row r="553">
      <c r="A553" s="380"/>
      <c r="B553" s="380"/>
      <c r="C553" s="380"/>
      <c r="D553" s="380"/>
      <c r="E553" s="380"/>
      <c r="F553" s="415"/>
      <c r="G553" s="380"/>
      <c r="H553" s="380"/>
      <c r="I553" s="428"/>
      <c r="J553" s="429"/>
      <c r="K553" s="380"/>
      <c r="L553" s="415"/>
      <c r="M553" s="380"/>
      <c r="N553" s="380"/>
      <c r="O553" s="430"/>
      <c r="P553" s="380"/>
      <c r="Q553" s="380"/>
      <c r="R553" s="380"/>
      <c r="S553" s="380"/>
      <c r="T553" s="380"/>
      <c r="U553" s="380"/>
      <c r="V553" s="380"/>
      <c r="W553" s="380"/>
      <c r="X553" s="380"/>
      <c r="Y553" s="380"/>
      <c r="Z553" s="380"/>
      <c r="AA553" s="380"/>
    </row>
    <row r="554">
      <c r="A554" s="380"/>
      <c r="B554" s="380"/>
      <c r="C554" s="380"/>
      <c r="D554" s="380"/>
      <c r="E554" s="380"/>
      <c r="F554" s="415"/>
      <c r="G554" s="380"/>
      <c r="H554" s="380"/>
      <c r="I554" s="428"/>
      <c r="J554" s="429"/>
      <c r="K554" s="380"/>
      <c r="L554" s="415"/>
      <c r="M554" s="380"/>
      <c r="N554" s="380"/>
      <c r="O554" s="430"/>
      <c r="P554" s="380"/>
      <c r="Q554" s="380"/>
      <c r="R554" s="380"/>
      <c r="S554" s="380"/>
      <c r="T554" s="380"/>
      <c r="U554" s="380"/>
      <c r="V554" s="380"/>
      <c r="W554" s="380"/>
      <c r="X554" s="380"/>
      <c r="Y554" s="380"/>
      <c r="Z554" s="380"/>
      <c r="AA554" s="380"/>
    </row>
    <row r="555">
      <c r="A555" s="380"/>
      <c r="B555" s="380"/>
      <c r="C555" s="380"/>
      <c r="D555" s="380"/>
      <c r="E555" s="380"/>
      <c r="F555" s="415"/>
      <c r="G555" s="380"/>
      <c r="H555" s="380"/>
      <c r="I555" s="428"/>
      <c r="J555" s="429"/>
      <c r="K555" s="380"/>
      <c r="L555" s="415"/>
      <c r="M555" s="380"/>
      <c r="N555" s="380"/>
      <c r="O555" s="430"/>
      <c r="P555" s="380"/>
      <c r="Q555" s="380"/>
      <c r="R555" s="380"/>
      <c r="S555" s="380"/>
      <c r="T555" s="380"/>
      <c r="U555" s="380"/>
      <c r="V555" s="380"/>
      <c r="W555" s="380"/>
      <c r="X555" s="380"/>
      <c r="Y555" s="380"/>
      <c r="Z555" s="380"/>
      <c r="AA555" s="380"/>
    </row>
    <row r="556">
      <c r="A556" s="380"/>
      <c r="B556" s="380"/>
      <c r="C556" s="380"/>
      <c r="D556" s="380"/>
      <c r="E556" s="380"/>
      <c r="F556" s="415"/>
      <c r="G556" s="380"/>
      <c r="H556" s="380"/>
      <c r="I556" s="428"/>
      <c r="J556" s="429"/>
      <c r="K556" s="380"/>
      <c r="L556" s="415"/>
      <c r="M556" s="380"/>
      <c r="N556" s="380"/>
      <c r="O556" s="430"/>
      <c r="P556" s="380"/>
      <c r="Q556" s="380"/>
      <c r="R556" s="380"/>
      <c r="S556" s="380"/>
      <c r="T556" s="380"/>
      <c r="U556" s="380"/>
      <c r="V556" s="380"/>
      <c r="W556" s="380"/>
      <c r="X556" s="380"/>
      <c r="Y556" s="380"/>
      <c r="Z556" s="380"/>
      <c r="AA556" s="380"/>
    </row>
    <row r="557">
      <c r="A557" s="380"/>
      <c r="B557" s="380"/>
      <c r="C557" s="380"/>
      <c r="D557" s="380"/>
      <c r="E557" s="380"/>
      <c r="F557" s="415"/>
      <c r="G557" s="380"/>
      <c r="H557" s="380"/>
      <c r="I557" s="428"/>
      <c r="J557" s="429"/>
      <c r="K557" s="380"/>
      <c r="L557" s="415"/>
      <c r="M557" s="380"/>
      <c r="N557" s="380"/>
      <c r="O557" s="430"/>
      <c r="P557" s="380"/>
      <c r="Q557" s="380"/>
      <c r="R557" s="380"/>
      <c r="S557" s="380"/>
      <c r="T557" s="380"/>
      <c r="U557" s="380"/>
      <c r="V557" s="380"/>
      <c r="W557" s="380"/>
      <c r="X557" s="380"/>
      <c r="Y557" s="380"/>
      <c r="Z557" s="380"/>
      <c r="AA557" s="380"/>
    </row>
    <row r="558">
      <c r="A558" s="380"/>
      <c r="B558" s="380"/>
      <c r="C558" s="380"/>
      <c r="D558" s="380"/>
      <c r="E558" s="380"/>
      <c r="F558" s="415"/>
      <c r="G558" s="380"/>
      <c r="H558" s="380"/>
      <c r="I558" s="428"/>
      <c r="J558" s="429"/>
      <c r="K558" s="380"/>
      <c r="L558" s="415"/>
      <c r="M558" s="380"/>
      <c r="N558" s="380"/>
      <c r="O558" s="430"/>
      <c r="P558" s="380"/>
      <c r="Q558" s="380"/>
      <c r="R558" s="380"/>
      <c r="S558" s="380"/>
      <c r="T558" s="380"/>
      <c r="U558" s="380"/>
      <c r="V558" s="380"/>
      <c r="W558" s="380"/>
      <c r="X558" s="380"/>
      <c r="Y558" s="380"/>
      <c r="Z558" s="380"/>
      <c r="AA558" s="380"/>
    </row>
    <row r="559">
      <c r="A559" s="380"/>
      <c r="B559" s="380"/>
      <c r="C559" s="380"/>
      <c r="D559" s="380"/>
      <c r="E559" s="380"/>
      <c r="F559" s="415"/>
      <c r="G559" s="380"/>
      <c r="H559" s="380"/>
      <c r="I559" s="428"/>
      <c r="J559" s="429"/>
      <c r="K559" s="380"/>
      <c r="L559" s="415"/>
      <c r="M559" s="380"/>
      <c r="N559" s="380"/>
      <c r="O559" s="430"/>
      <c r="P559" s="380"/>
      <c r="Q559" s="380"/>
      <c r="R559" s="380"/>
      <c r="S559" s="380"/>
      <c r="T559" s="380"/>
      <c r="U559" s="380"/>
      <c r="V559" s="380"/>
      <c r="W559" s="380"/>
      <c r="X559" s="380"/>
      <c r="Y559" s="380"/>
      <c r="Z559" s="380"/>
      <c r="AA559" s="380"/>
    </row>
    <row r="560">
      <c r="A560" s="380"/>
      <c r="B560" s="380"/>
      <c r="C560" s="380"/>
      <c r="D560" s="380"/>
      <c r="E560" s="380"/>
      <c r="F560" s="415"/>
      <c r="G560" s="380"/>
      <c r="H560" s="380"/>
      <c r="I560" s="428"/>
      <c r="J560" s="429"/>
      <c r="K560" s="380"/>
      <c r="L560" s="415"/>
      <c r="M560" s="380"/>
      <c r="N560" s="380"/>
      <c r="O560" s="430"/>
      <c r="P560" s="380"/>
      <c r="Q560" s="380"/>
      <c r="R560" s="380"/>
      <c r="S560" s="380"/>
      <c r="T560" s="380"/>
      <c r="U560" s="380"/>
      <c r="V560" s="380"/>
      <c r="W560" s="380"/>
      <c r="X560" s="380"/>
      <c r="Y560" s="380"/>
      <c r="Z560" s="380"/>
      <c r="AA560" s="380"/>
    </row>
    <row r="561">
      <c r="A561" s="380"/>
      <c r="B561" s="380"/>
      <c r="C561" s="380"/>
      <c r="D561" s="380"/>
      <c r="E561" s="380"/>
      <c r="F561" s="415"/>
      <c r="G561" s="380"/>
      <c r="H561" s="380"/>
      <c r="I561" s="428"/>
      <c r="J561" s="429"/>
      <c r="K561" s="380"/>
      <c r="L561" s="415"/>
      <c r="M561" s="380"/>
      <c r="N561" s="380"/>
      <c r="O561" s="430"/>
      <c r="P561" s="380"/>
      <c r="Q561" s="380"/>
      <c r="R561" s="380"/>
      <c r="S561" s="380"/>
      <c r="T561" s="380"/>
      <c r="U561" s="380"/>
      <c r="V561" s="380"/>
      <c r="W561" s="380"/>
      <c r="X561" s="380"/>
      <c r="Y561" s="380"/>
      <c r="Z561" s="380"/>
      <c r="AA561" s="380"/>
    </row>
    <row r="562">
      <c r="A562" s="380"/>
      <c r="B562" s="380"/>
      <c r="C562" s="380"/>
      <c r="D562" s="380"/>
      <c r="E562" s="380"/>
      <c r="F562" s="415"/>
      <c r="G562" s="380"/>
      <c r="H562" s="380"/>
      <c r="I562" s="428"/>
      <c r="J562" s="429"/>
      <c r="K562" s="380"/>
      <c r="L562" s="415"/>
      <c r="M562" s="380"/>
      <c r="N562" s="380"/>
      <c r="O562" s="430"/>
      <c r="P562" s="380"/>
      <c r="Q562" s="380"/>
      <c r="R562" s="380"/>
      <c r="S562" s="380"/>
      <c r="T562" s="380"/>
      <c r="U562" s="380"/>
      <c r="V562" s="380"/>
      <c r="W562" s="380"/>
      <c r="X562" s="380"/>
      <c r="Y562" s="380"/>
      <c r="Z562" s="380"/>
      <c r="AA562" s="380"/>
    </row>
    <row r="563">
      <c r="A563" s="380"/>
      <c r="B563" s="380"/>
      <c r="C563" s="380"/>
      <c r="D563" s="380"/>
      <c r="E563" s="380"/>
      <c r="F563" s="415"/>
      <c r="G563" s="380"/>
      <c r="H563" s="380"/>
      <c r="I563" s="428"/>
      <c r="J563" s="429"/>
      <c r="K563" s="380"/>
      <c r="L563" s="415"/>
      <c r="M563" s="380"/>
      <c r="N563" s="380"/>
      <c r="O563" s="430"/>
      <c r="P563" s="380"/>
      <c r="Q563" s="380"/>
      <c r="R563" s="380"/>
      <c r="S563" s="380"/>
      <c r="T563" s="380"/>
      <c r="U563" s="380"/>
      <c r="V563" s="380"/>
      <c r="W563" s="380"/>
      <c r="X563" s="380"/>
      <c r="Y563" s="380"/>
      <c r="Z563" s="380"/>
      <c r="AA563" s="380"/>
    </row>
    <row r="564">
      <c r="A564" s="380"/>
      <c r="B564" s="380"/>
      <c r="C564" s="380"/>
      <c r="D564" s="380"/>
      <c r="E564" s="380"/>
      <c r="F564" s="415"/>
      <c r="G564" s="380"/>
      <c r="H564" s="380"/>
      <c r="I564" s="428"/>
      <c r="J564" s="429"/>
      <c r="K564" s="380"/>
      <c r="L564" s="415"/>
      <c r="M564" s="380"/>
      <c r="N564" s="380"/>
      <c r="O564" s="430"/>
      <c r="P564" s="380"/>
      <c r="Q564" s="380"/>
      <c r="R564" s="380"/>
      <c r="S564" s="380"/>
      <c r="T564" s="380"/>
      <c r="U564" s="380"/>
      <c r="V564" s="380"/>
      <c r="W564" s="380"/>
      <c r="X564" s="380"/>
      <c r="Y564" s="380"/>
      <c r="Z564" s="380"/>
      <c r="AA564" s="380"/>
    </row>
    <row r="565">
      <c r="A565" s="380"/>
      <c r="B565" s="380"/>
      <c r="C565" s="380"/>
      <c r="D565" s="380"/>
      <c r="E565" s="380"/>
      <c r="F565" s="415"/>
      <c r="G565" s="380"/>
      <c r="H565" s="380"/>
      <c r="I565" s="428"/>
      <c r="J565" s="429"/>
      <c r="K565" s="380"/>
      <c r="L565" s="415"/>
      <c r="M565" s="380"/>
      <c r="N565" s="380"/>
      <c r="O565" s="430"/>
      <c r="P565" s="380"/>
      <c r="Q565" s="380"/>
      <c r="R565" s="380"/>
      <c r="S565" s="380"/>
      <c r="T565" s="380"/>
      <c r="U565" s="380"/>
      <c r="V565" s="380"/>
      <c r="W565" s="380"/>
      <c r="X565" s="380"/>
      <c r="Y565" s="380"/>
      <c r="Z565" s="380"/>
      <c r="AA565" s="380"/>
    </row>
    <row r="566">
      <c r="A566" s="380"/>
      <c r="B566" s="380"/>
      <c r="C566" s="380"/>
      <c r="D566" s="380"/>
      <c r="E566" s="380"/>
      <c r="F566" s="415"/>
      <c r="G566" s="380"/>
      <c r="H566" s="380"/>
      <c r="I566" s="428"/>
      <c r="J566" s="429"/>
      <c r="K566" s="380"/>
      <c r="L566" s="415"/>
      <c r="M566" s="380"/>
      <c r="N566" s="380"/>
      <c r="O566" s="430"/>
      <c r="P566" s="380"/>
      <c r="Q566" s="380"/>
      <c r="R566" s="380"/>
      <c r="S566" s="380"/>
      <c r="T566" s="380"/>
      <c r="U566" s="380"/>
      <c r="V566" s="380"/>
      <c r="W566" s="380"/>
      <c r="X566" s="380"/>
      <c r="Y566" s="380"/>
      <c r="Z566" s="380"/>
      <c r="AA566" s="380"/>
    </row>
    <row r="567">
      <c r="A567" s="380"/>
      <c r="B567" s="380"/>
      <c r="C567" s="380"/>
      <c r="D567" s="380"/>
      <c r="E567" s="380"/>
      <c r="F567" s="415"/>
      <c r="G567" s="380"/>
      <c r="H567" s="380"/>
      <c r="I567" s="428"/>
      <c r="J567" s="429"/>
      <c r="K567" s="380"/>
      <c r="L567" s="415"/>
      <c r="M567" s="380"/>
      <c r="N567" s="380"/>
      <c r="O567" s="430"/>
      <c r="P567" s="380"/>
      <c r="Q567" s="380"/>
      <c r="R567" s="380"/>
      <c r="S567" s="380"/>
      <c r="T567" s="380"/>
      <c r="U567" s="380"/>
      <c r="V567" s="380"/>
      <c r="W567" s="380"/>
      <c r="X567" s="380"/>
      <c r="Y567" s="380"/>
      <c r="Z567" s="380"/>
      <c r="AA567" s="380"/>
    </row>
    <row r="568">
      <c r="A568" s="380"/>
      <c r="B568" s="380"/>
      <c r="C568" s="380"/>
      <c r="D568" s="380"/>
      <c r="E568" s="380"/>
      <c r="F568" s="415"/>
      <c r="G568" s="380"/>
      <c r="H568" s="380"/>
      <c r="I568" s="428"/>
      <c r="J568" s="429"/>
      <c r="K568" s="380"/>
      <c r="L568" s="415"/>
      <c r="M568" s="380"/>
      <c r="N568" s="380"/>
      <c r="O568" s="430"/>
      <c r="P568" s="380"/>
      <c r="Q568" s="380"/>
      <c r="R568" s="380"/>
      <c r="S568" s="380"/>
      <c r="T568" s="380"/>
      <c r="U568" s="380"/>
      <c r="V568" s="380"/>
      <c r="W568" s="380"/>
      <c r="X568" s="380"/>
      <c r="Y568" s="380"/>
      <c r="Z568" s="380"/>
      <c r="AA568" s="380"/>
    </row>
    <row r="569">
      <c r="A569" s="380"/>
      <c r="B569" s="380"/>
      <c r="C569" s="380"/>
      <c r="D569" s="380"/>
      <c r="E569" s="380"/>
      <c r="F569" s="415"/>
      <c r="G569" s="380"/>
      <c r="H569" s="380"/>
      <c r="I569" s="428"/>
      <c r="J569" s="429"/>
      <c r="K569" s="380"/>
      <c r="L569" s="415"/>
      <c r="M569" s="380"/>
      <c r="N569" s="380"/>
      <c r="O569" s="430"/>
      <c r="P569" s="380"/>
      <c r="Q569" s="380"/>
      <c r="R569" s="380"/>
      <c r="S569" s="380"/>
      <c r="T569" s="380"/>
      <c r="U569" s="380"/>
      <c r="V569" s="380"/>
      <c r="W569" s="380"/>
      <c r="X569" s="380"/>
      <c r="Y569" s="380"/>
      <c r="Z569" s="380"/>
      <c r="AA569" s="380"/>
    </row>
    <row r="570">
      <c r="A570" s="380"/>
      <c r="B570" s="380"/>
      <c r="C570" s="380"/>
      <c r="D570" s="380"/>
      <c r="E570" s="380"/>
      <c r="F570" s="415"/>
      <c r="G570" s="380"/>
      <c r="H570" s="380"/>
      <c r="I570" s="428"/>
      <c r="J570" s="429"/>
      <c r="K570" s="380"/>
      <c r="L570" s="415"/>
      <c r="M570" s="380"/>
      <c r="N570" s="380"/>
      <c r="O570" s="430"/>
      <c r="P570" s="380"/>
      <c r="Q570" s="380"/>
      <c r="R570" s="380"/>
      <c r="S570" s="380"/>
      <c r="T570" s="380"/>
      <c r="U570" s="380"/>
      <c r="V570" s="380"/>
      <c r="W570" s="380"/>
      <c r="X570" s="380"/>
      <c r="Y570" s="380"/>
      <c r="Z570" s="380"/>
      <c r="AA570" s="380"/>
    </row>
    <row r="571">
      <c r="A571" s="380"/>
      <c r="B571" s="380"/>
      <c r="C571" s="380"/>
      <c r="D571" s="380"/>
      <c r="E571" s="380"/>
      <c r="F571" s="415"/>
      <c r="G571" s="380"/>
      <c r="H571" s="380"/>
      <c r="I571" s="428"/>
      <c r="J571" s="429"/>
      <c r="K571" s="380"/>
      <c r="L571" s="415"/>
      <c r="M571" s="380"/>
      <c r="N571" s="380"/>
      <c r="O571" s="430"/>
      <c r="P571" s="380"/>
      <c r="Q571" s="380"/>
      <c r="R571" s="380"/>
      <c r="S571" s="380"/>
      <c r="T571" s="380"/>
      <c r="U571" s="380"/>
      <c r="V571" s="380"/>
      <c r="W571" s="380"/>
      <c r="X571" s="380"/>
      <c r="Y571" s="380"/>
      <c r="Z571" s="380"/>
      <c r="AA571" s="380"/>
    </row>
    <row r="572">
      <c r="A572" s="380"/>
      <c r="B572" s="380"/>
      <c r="C572" s="380"/>
      <c r="D572" s="380"/>
      <c r="E572" s="380"/>
      <c r="F572" s="415"/>
      <c r="G572" s="380"/>
      <c r="H572" s="380"/>
      <c r="I572" s="428"/>
      <c r="J572" s="429"/>
      <c r="K572" s="380"/>
      <c r="L572" s="415"/>
      <c r="M572" s="380"/>
      <c r="N572" s="380"/>
      <c r="O572" s="430"/>
      <c r="P572" s="380"/>
      <c r="Q572" s="380"/>
      <c r="R572" s="380"/>
      <c r="S572" s="380"/>
      <c r="T572" s="380"/>
      <c r="U572" s="380"/>
      <c r="V572" s="380"/>
      <c r="W572" s="380"/>
      <c r="X572" s="380"/>
      <c r="Y572" s="380"/>
      <c r="Z572" s="380"/>
      <c r="AA572" s="380"/>
    </row>
    <row r="573">
      <c r="A573" s="380"/>
      <c r="B573" s="380"/>
      <c r="C573" s="380"/>
      <c r="D573" s="380"/>
      <c r="E573" s="380"/>
      <c r="F573" s="415"/>
      <c r="G573" s="380"/>
      <c r="H573" s="380"/>
      <c r="I573" s="428"/>
      <c r="J573" s="429"/>
      <c r="K573" s="380"/>
      <c r="L573" s="415"/>
      <c r="M573" s="380"/>
      <c r="N573" s="380"/>
      <c r="O573" s="430"/>
      <c r="P573" s="380"/>
      <c r="Q573" s="380"/>
      <c r="R573" s="380"/>
      <c r="S573" s="380"/>
      <c r="T573" s="380"/>
      <c r="U573" s="380"/>
      <c r="V573" s="380"/>
      <c r="W573" s="380"/>
      <c r="X573" s="380"/>
      <c r="Y573" s="380"/>
      <c r="Z573" s="380"/>
      <c r="AA573" s="380"/>
    </row>
    <row r="574">
      <c r="A574" s="380"/>
      <c r="B574" s="380"/>
      <c r="C574" s="380"/>
      <c r="D574" s="380"/>
      <c r="E574" s="380"/>
      <c r="F574" s="415"/>
      <c r="G574" s="380"/>
      <c r="H574" s="380"/>
      <c r="I574" s="428"/>
      <c r="J574" s="429"/>
      <c r="K574" s="380"/>
      <c r="L574" s="415"/>
      <c r="M574" s="380"/>
      <c r="N574" s="380"/>
      <c r="O574" s="430"/>
      <c r="P574" s="380"/>
      <c r="Q574" s="380"/>
      <c r="R574" s="380"/>
      <c r="S574" s="380"/>
      <c r="T574" s="380"/>
      <c r="U574" s="380"/>
      <c r="V574" s="380"/>
      <c r="W574" s="380"/>
      <c r="X574" s="380"/>
      <c r="Y574" s="380"/>
      <c r="Z574" s="380"/>
      <c r="AA574" s="380"/>
    </row>
    <row r="575">
      <c r="A575" s="380"/>
      <c r="B575" s="380"/>
      <c r="C575" s="380"/>
      <c r="D575" s="380"/>
      <c r="E575" s="380"/>
      <c r="F575" s="415"/>
      <c r="G575" s="380"/>
      <c r="H575" s="380"/>
      <c r="I575" s="428"/>
      <c r="J575" s="429"/>
      <c r="K575" s="380"/>
      <c r="L575" s="415"/>
      <c r="M575" s="380"/>
      <c r="N575" s="380"/>
      <c r="O575" s="430"/>
      <c r="P575" s="380"/>
      <c r="Q575" s="380"/>
      <c r="R575" s="380"/>
      <c r="S575" s="380"/>
      <c r="T575" s="380"/>
      <c r="U575" s="380"/>
      <c r="V575" s="380"/>
      <c r="W575" s="380"/>
      <c r="X575" s="380"/>
      <c r="Y575" s="380"/>
      <c r="Z575" s="380"/>
      <c r="AA575" s="380"/>
    </row>
    <row r="576">
      <c r="A576" s="380"/>
      <c r="B576" s="380"/>
      <c r="C576" s="380"/>
      <c r="D576" s="380"/>
      <c r="E576" s="380"/>
      <c r="F576" s="415"/>
      <c r="G576" s="380"/>
      <c r="H576" s="380"/>
      <c r="I576" s="428"/>
      <c r="J576" s="429"/>
      <c r="K576" s="380"/>
      <c r="L576" s="415"/>
      <c r="M576" s="380"/>
      <c r="N576" s="380"/>
      <c r="O576" s="430"/>
      <c r="P576" s="380"/>
      <c r="Q576" s="380"/>
      <c r="R576" s="380"/>
      <c r="S576" s="380"/>
      <c r="T576" s="380"/>
      <c r="U576" s="380"/>
      <c r="V576" s="380"/>
      <c r="W576" s="380"/>
      <c r="X576" s="380"/>
      <c r="Y576" s="380"/>
      <c r="Z576" s="380"/>
      <c r="AA576" s="380"/>
    </row>
    <row r="577">
      <c r="A577" s="380"/>
      <c r="B577" s="380"/>
      <c r="C577" s="380"/>
      <c r="D577" s="380"/>
      <c r="E577" s="380"/>
      <c r="F577" s="415"/>
      <c r="G577" s="380"/>
      <c r="H577" s="380"/>
      <c r="I577" s="428"/>
      <c r="J577" s="429"/>
      <c r="K577" s="380"/>
      <c r="L577" s="415"/>
      <c r="M577" s="380"/>
      <c r="N577" s="380"/>
      <c r="O577" s="430"/>
      <c r="P577" s="380"/>
      <c r="Q577" s="380"/>
      <c r="R577" s="380"/>
      <c r="S577" s="380"/>
      <c r="T577" s="380"/>
      <c r="U577" s="380"/>
      <c r="V577" s="380"/>
      <c r="W577" s="380"/>
      <c r="X577" s="380"/>
      <c r="Y577" s="380"/>
      <c r="Z577" s="380"/>
      <c r="AA577" s="380"/>
    </row>
    <row r="578">
      <c r="A578" s="380"/>
      <c r="B578" s="380"/>
      <c r="C578" s="380"/>
      <c r="D578" s="380"/>
      <c r="E578" s="380"/>
      <c r="F578" s="415"/>
      <c r="G578" s="380"/>
      <c r="H578" s="380"/>
      <c r="I578" s="428"/>
      <c r="J578" s="429"/>
      <c r="K578" s="380"/>
      <c r="L578" s="415"/>
      <c r="M578" s="380"/>
      <c r="N578" s="380"/>
      <c r="O578" s="430"/>
      <c r="P578" s="380"/>
      <c r="Q578" s="380"/>
      <c r="R578" s="380"/>
      <c r="S578" s="380"/>
      <c r="T578" s="380"/>
      <c r="U578" s="380"/>
      <c r="V578" s="380"/>
      <c r="W578" s="380"/>
      <c r="X578" s="380"/>
      <c r="Y578" s="380"/>
      <c r="Z578" s="380"/>
      <c r="AA578" s="380"/>
    </row>
    <row r="579">
      <c r="A579" s="380"/>
      <c r="B579" s="380"/>
      <c r="C579" s="380"/>
      <c r="D579" s="380"/>
      <c r="E579" s="380"/>
      <c r="F579" s="415"/>
      <c r="G579" s="380"/>
      <c r="H579" s="380"/>
      <c r="I579" s="428"/>
      <c r="J579" s="429"/>
      <c r="K579" s="380"/>
      <c r="L579" s="415"/>
      <c r="M579" s="380"/>
      <c r="N579" s="380"/>
      <c r="O579" s="430"/>
      <c r="P579" s="380"/>
      <c r="Q579" s="380"/>
      <c r="R579" s="380"/>
      <c r="S579" s="380"/>
      <c r="T579" s="380"/>
      <c r="U579" s="380"/>
      <c r="V579" s="380"/>
      <c r="W579" s="380"/>
      <c r="X579" s="380"/>
      <c r="Y579" s="380"/>
      <c r="Z579" s="380"/>
      <c r="AA579" s="380"/>
    </row>
    <row r="580">
      <c r="A580" s="380"/>
      <c r="B580" s="380"/>
      <c r="C580" s="380"/>
      <c r="D580" s="380"/>
      <c r="E580" s="380"/>
      <c r="F580" s="415"/>
      <c r="G580" s="380"/>
      <c r="H580" s="380"/>
      <c r="I580" s="428"/>
      <c r="J580" s="429"/>
      <c r="K580" s="380"/>
      <c r="L580" s="415"/>
      <c r="M580" s="380"/>
      <c r="N580" s="380"/>
      <c r="O580" s="430"/>
      <c r="P580" s="380"/>
      <c r="Q580" s="380"/>
      <c r="R580" s="380"/>
      <c r="S580" s="380"/>
      <c r="T580" s="380"/>
      <c r="U580" s="380"/>
      <c r="V580" s="380"/>
      <c r="W580" s="380"/>
      <c r="X580" s="380"/>
      <c r="Y580" s="380"/>
      <c r="Z580" s="380"/>
      <c r="AA580" s="380"/>
    </row>
    <row r="581">
      <c r="A581" s="380"/>
      <c r="B581" s="380"/>
      <c r="C581" s="380"/>
      <c r="D581" s="380"/>
      <c r="E581" s="380"/>
      <c r="F581" s="415"/>
      <c r="G581" s="380"/>
      <c r="H581" s="380"/>
      <c r="I581" s="428"/>
      <c r="J581" s="429"/>
      <c r="K581" s="380"/>
      <c r="L581" s="415"/>
      <c r="M581" s="380"/>
      <c r="N581" s="380"/>
      <c r="O581" s="430"/>
      <c r="P581" s="380"/>
      <c r="Q581" s="380"/>
      <c r="R581" s="380"/>
      <c r="S581" s="380"/>
      <c r="T581" s="380"/>
      <c r="U581" s="380"/>
      <c r="V581" s="380"/>
      <c r="W581" s="380"/>
      <c r="X581" s="380"/>
      <c r="Y581" s="380"/>
      <c r="Z581" s="380"/>
      <c r="AA581" s="380"/>
    </row>
    <row r="582">
      <c r="A582" s="380"/>
      <c r="B582" s="380"/>
      <c r="C582" s="380"/>
      <c r="D582" s="380"/>
      <c r="E582" s="380"/>
      <c r="F582" s="415"/>
      <c r="G582" s="380"/>
      <c r="H582" s="380"/>
      <c r="I582" s="428"/>
      <c r="J582" s="429"/>
      <c r="K582" s="380"/>
      <c r="L582" s="415"/>
      <c r="M582" s="380"/>
      <c r="N582" s="380"/>
      <c r="O582" s="430"/>
      <c r="P582" s="380"/>
      <c r="Q582" s="380"/>
      <c r="R582" s="380"/>
      <c r="S582" s="380"/>
      <c r="T582" s="380"/>
      <c r="U582" s="380"/>
      <c r="V582" s="380"/>
      <c r="W582" s="380"/>
      <c r="X582" s="380"/>
      <c r="Y582" s="380"/>
      <c r="Z582" s="380"/>
      <c r="AA582" s="380"/>
    </row>
    <row r="583">
      <c r="A583" s="380"/>
      <c r="B583" s="380"/>
      <c r="C583" s="380"/>
      <c r="D583" s="380"/>
      <c r="E583" s="380"/>
      <c r="F583" s="415"/>
      <c r="G583" s="380"/>
      <c r="H583" s="380"/>
      <c r="I583" s="428"/>
      <c r="J583" s="429"/>
      <c r="K583" s="380"/>
      <c r="L583" s="415"/>
      <c r="M583" s="380"/>
      <c r="N583" s="380"/>
      <c r="O583" s="430"/>
      <c r="P583" s="380"/>
      <c r="Q583" s="380"/>
      <c r="R583" s="380"/>
      <c r="S583" s="380"/>
      <c r="T583" s="380"/>
      <c r="U583" s="380"/>
      <c r="V583" s="380"/>
      <c r="W583" s="380"/>
      <c r="X583" s="380"/>
      <c r="Y583" s="380"/>
      <c r="Z583" s="380"/>
      <c r="AA583" s="380"/>
    </row>
    <row r="584">
      <c r="A584" s="380"/>
      <c r="B584" s="380"/>
      <c r="C584" s="380"/>
      <c r="D584" s="380"/>
      <c r="E584" s="380"/>
      <c r="F584" s="415"/>
      <c r="G584" s="380"/>
      <c r="H584" s="380"/>
      <c r="I584" s="428"/>
      <c r="J584" s="429"/>
      <c r="K584" s="380"/>
      <c r="L584" s="415"/>
      <c r="M584" s="380"/>
      <c r="N584" s="380"/>
      <c r="O584" s="430"/>
      <c r="P584" s="380"/>
      <c r="Q584" s="380"/>
      <c r="R584" s="380"/>
      <c r="S584" s="380"/>
      <c r="T584" s="380"/>
      <c r="U584" s="380"/>
      <c r="V584" s="380"/>
      <c r="W584" s="380"/>
      <c r="X584" s="380"/>
      <c r="Y584" s="380"/>
      <c r="Z584" s="380"/>
      <c r="AA584" s="380"/>
    </row>
    <row r="585">
      <c r="A585" s="380"/>
      <c r="B585" s="380"/>
      <c r="C585" s="380"/>
      <c r="D585" s="380"/>
      <c r="E585" s="380"/>
      <c r="F585" s="415"/>
      <c r="G585" s="380"/>
      <c r="H585" s="380"/>
      <c r="I585" s="428"/>
      <c r="J585" s="429"/>
      <c r="K585" s="380"/>
      <c r="L585" s="415"/>
      <c r="M585" s="380"/>
      <c r="N585" s="380"/>
      <c r="O585" s="430"/>
      <c r="P585" s="380"/>
      <c r="Q585" s="380"/>
      <c r="R585" s="380"/>
      <c r="S585" s="380"/>
      <c r="T585" s="380"/>
      <c r="U585" s="380"/>
      <c r="V585" s="380"/>
      <c r="W585" s="380"/>
      <c r="X585" s="380"/>
      <c r="Y585" s="380"/>
      <c r="Z585" s="380"/>
      <c r="AA585" s="380"/>
    </row>
    <row r="586">
      <c r="A586" s="380"/>
      <c r="B586" s="380"/>
      <c r="C586" s="380"/>
      <c r="D586" s="380"/>
      <c r="E586" s="380"/>
      <c r="F586" s="415"/>
      <c r="G586" s="380"/>
      <c r="H586" s="380"/>
      <c r="I586" s="428"/>
      <c r="J586" s="429"/>
      <c r="K586" s="380"/>
      <c r="L586" s="415"/>
      <c r="M586" s="380"/>
      <c r="N586" s="380"/>
      <c r="O586" s="430"/>
      <c r="P586" s="380"/>
      <c r="Q586" s="380"/>
      <c r="R586" s="380"/>
      <c r="S586" s="380"/>
      <c r="T586" s="380"/>
      <c r="U586" s="380"/>
      <c r="V586" s="380"/>
      <c r="W586" s="380"/>
      <c r="X586" s="380"/>
      <c r="Y586" s="380"/>
      <c r="Z586" s="380"/>
      <c r="AA586" s="380"/>
    </row>
    <row r="587">
      <c r="A587" s="380"/>
      <c r="B587" s="380"/>
      <c r="C587" s="380"/>
      <c r="D587" s="380"/>
      <c r="E587" s="380"/>
      <c r="F587" s="415"/>
      <c r="G587" s="380"/>
      <c r="H587" s="380"/>
      <c r="I587" s="428"/>
      <c r="J587" s="429"/>
      <c r="K587" s="380"/>
      <c r="L587" s="415"/>
      <c r="M587" s="380"/>
      <c r="N587" s="380"/>
      <c r="O587" s="430"/>
      <c r="P587" s="380"/>
      <c r="Q587" s="380"/>
      <c r="R587" s="380"/>
      <c r="S587" s="380"/>
      <c r="T587" s="380"/>
      <c r="U587" s="380"/>
      <c r="V587" s="380"/>
      <c r="W587" s="380"/>
      <c r="X587" s="380"/>
      <c r="Y587" s="380"/>
      <c r="Z587" s="380"/>
      <c r="AA587" s="380"/>
    </row>
    <row r="588">
      <c r="A588" s="380"/>
      <c r="B588" s="380"/>
      <c r="C588" s="380"/>
      <c r="D588" s="380"/>
      <c r="E588" s="380"/>
      <c r="F588" s="415"/>
      <c r="G588" s="380"/>
      <c r="H588" s="380"/>
      <c r="I588" s="428"/>
      <c r="J588" s="429"/>
      <c r="K588" s="380"/>
      <c r="L588" s="415"/>
      <c r="M588" s="380"/>
      <c r="N588" s="380"/>
      <c r="O588" s="430"/>
      <c r="P588" s="380"/>
      <c r="Q588" s="380"/>
      <c r="R588" s="380"/>
      <c r="S588" s="380"/>
      <c r="T588" s="380"/>
      <c r="U588" s="380"/>
      <c r="V588" s="380"/>
      <c r="W588" s="380"/>
      <c r="X588" s="380"/>
      <c r="Y588" s="380"/>
      <c r="Z588" s="380"/>
      <c r="AA588" s="380"/>
    </row>
    <row r="589">
      <c r="A589" s="380"/>
      <c r="B589" s="380"/>
      <c r="C589" s="380"/>
      <c r="D589" s="380"/>
      <c r="E589" s="380"/>
      <c r="F589" s="415"/>
      <c r="G589" s="380"/>
      <c r="H589" s="380"/>
      <c r="I589" s="428"/>
      <c r="J589" s="429"/>
      <c r="K589" s="380"/>
      <c r="L589" s="415"/>
      <c r="M589" s="380"/>
      <c r="N589" s="380"/>
      <c r="O589" s="430"/>
      <c r="P589" s="380"/>
      <c r="Q589" s="380"/>
      <c r="R589" s="380"/>
      <c r="S589" s="380"/>
      <c r="T589" s="380"/>
      <c r="U589" s="380"/>
      <c r="V589" s="380"/>
      <c r="W589" s="380"/>
      <c r="X589" s="380"/>
      <c r="Y589" s="380"/>
      <c r="Z589" s="380"/>
      <c r="AA589" s="380"/>
    </row>
    <row r="590">
      <c r="A590" s="380"/>
      <c r="B590" s="380"/>
      <c r="C590" s="380"/>
      <c r="D590" s="380"/>
      <c r="E590" s="380"/>
      <c r="F590" s="415"/>
      <c r="G590" s="380"/>
      <c r="H590" s="380"/>
      <c r="I590" s="428"/>
      <c r="J590" s="429"/>
      <c r="K590" s="380"/>
      <c r="L590" s="415"/>
      <c r="M590" s="380"/>
      <c r="N590" s="380"/>
      <c r="O590" s="430"/>
      <c r="P590" s="380"/>
      <c r="Q590" s="380"/>
      <c r="R590" s="380"/>
      <c r="S590" s="380"/>
      <c r="T590" s="380"/>
      <c r="U590" s="380"/>
      <c r="V590" s="380"/>
      <c r="W590" s="380"/>
      <c r="X590" s="380"/>
      <c r="Y590" s="380"/>
      <c r="Z590" s="380"/>
      <c r="AA590" s="380"/>
    </row>
    <row r="591">
      <c r="A591" s="380"/>
      <c r="B591" s="380"/>
      <c r="C591" s="380"/>
      <c r="D591" s="380"/>
      <c r="E591" s="380"/>
      <c r="F591" s="415"/>
      <c r="G591" s="380"/>
      <c r="H591" s="380"/>
      <c r="I591" s="428"/>
      <c r="J591" s="429"/>
      <c r="K591" s="380"/>
      <c r="L591" s="415"/>
      <c r="M591" s="380"/>
      <c r="N591" s="380"/>
      <c r="O591" s="430"/>
      <c r="P591" s="380"/>
      <c r="Q591" s="380"/>
      <c r="R591" s="380"/>
      <c r="S591" s="380"/>
      <c r="T591" s="380"/>
      <c r="U591" s="380"/>
      <c r="V591" s="380"/>
      <c r="W591" s="380"/>
      <c r="X591" s="380"/>
      <c r="Y591" s="380"/>
      <c r="Z591" s="380"/>
      <c r="AA591" s="380"/>
    </row>
    <row r="592">
      <c r="A592" s="380"/>
      <c r="B592" s="380"/>
      <c r="C592" s="380"/>
      <c r="D592" s="380"/>
      <c r="E592" s="380"/>
      <c r="F592" s="415"/>
      <c r="G592" s="380"/>
      <c r="H592" s="380"/>
      <c r="I592" s="428"/>
      <c r="J592" s="429"/>
      <c r="K592" s="380"/>
      <c r="L592" s="415"/>
      <c r="M592" s="380"/>
      <c r="N592" s="380"/>
      <c r="O592" s="430"/>
      <c r="P592" s="380"/>
      <c r="Q592" s="380"/>
      <c r="R592" s="380"/>
      <c r="S592" s="380"/>
      <c r="T592" s="380"/>
      <c r="U592" s="380"/>
      <c r="V592" s="380"/>
      <c r="W592" s="380"/>
      <c r="X592" s="380"/>
      <c r="Y592" s="380"/>
      <c r="Z592" s="380"/>
      <c r="AA592" s="380"/>
    </row>
    <row r="593">
      <c r="A593" s="380"/>
      <c r="B593" s="380"/>
      <c r="C593" s="380"/>
      <c r="D593" s="380"/>
      <c r="E593" s="380"/>
      <c r="F593" s="415"/>
      <c r="G593" s="380"/>
      <c r="H593" s="380"/>
      <c r="I593" s="428"/>
      <c r="J593" s="429"/>
      <c r="K593" s="380"/>
      <c r="L593" s="415"/>
      <c r="M593" s="380"/>
      <c r="N593" s="380"/>
      <c r="O593" s="430"/>
      <c r="P593" s="380"/>
      <c r="Q593" s="380"/>
      <c r="R593" s="380"/>
      <c r="S593" s="380"/>
      <c r="T593" s="380"/>
      <c r="U593" s="380"/>
      <c r="V593" s="380"/>
      <c r="W593" s="380"/>
      <c r="X593" s="380"/>
      <c r="Y593" s="380"/>
      <c r="Z593" s="380"/>
      <c r="AA593" s="380"/>
    </row>
    <row r="594">
      <c r="A594" s="380"/>
      <c r="B594" s="380"/>
      <c r="C594" s="380"/>
      <c r="D594" s="380"/>
      <c r="E594" s="380"/>
      <c r="F594" s="415"/>
      <c r="G594" s="380"/>
      <c r="H594" s="380"/>
      <c r="I594" s="428"/>
      <c r="J594" s="429"/>
      <c r="K594" s="380"/>
      <c r="L594" s="415"/>
      <c r="M594" s="380"/>
      <c r="N594" s="380"/>
      <c r="O594" s="430"/>
      <c r="P594" s="380"/>
      <c r="Q594" s="380"/>
      <c r="R594" s="380"/>
      <c r="S594" s="380"/>
      <c r="T594" s="380"/>
      <c r="U594" s="380"/>
      <c r="V594" s="380"/>
      <c r="W594" s="380"/>
      <c r="X594" s="380"/>
      <c r="Y594" s="380"/>
      <c r="Z594" s="380"/>
      <c r="AA594" s="380"/>
    </row>
    <row r="595">
      <c r="A595" s="380"/>
      <c r="B595" s="380"/>
      <c r="C595" s="380"/>
      <c r="D595" s="380"/>
      <c r="E595" s="380"/>
      <c r="F595" s="415"/>
      <c r="G595" s="380"/>
      <c r="H595" s="380"/>
      <c r="I595" s="428"/>
      <c r="J595" s="429"/>
      <c r="K595" s="380"/>
      <c r="L595" s="415"/>
      <c r="M595" s="380"/>
      <c r="N595" s="380"/>
      <c r="O595" s="430"/>
      <c r="P595" s="380"/>
      <c r="Q595" s="380"/>
      <c r="R595" s="380"/>
      <c r="S595" s="380"/>
      <c r="T595" s="380"/>
      <c r="U595" s="380"/>
      <c r="V595" s="380"/>
      <c r="W595" s="380"/>
      <c r="X595" s="380"/>
      <c r="Y595" s="380"/>
      <c r="Z595" s="380"/>
      <c r="AA595" s="380"/>
    </row>
    <row r="596">
      <c r="A596" s="380"/>
      <c r="B596" s="380"/>
      <c r="C596" s="380"/>
      <c r="D596" s="380"/>
      <c r="E596" s="380"/>
      <c r="F596" s="415"/>
      <c r="G596" s="380"/>
      <c r="H596" s="380"/>
      <c r="I596" s="428"/>
      <c r="J596" s="429"/>
      <c r="K596" s="380"/>
      <c r="L596" s="415"/>
      <c r="M596" s="380"/>
      <c r="N596" s="380"/>
      <c r="O596" s="430"/>
      <c r="P596" s="380"/>
      <c r="Q596" s="380"/>
      <c r="R596" s="380"/>
      <c r="S596" s="380"/>
      <c r="T596" s="380"/>
      <c r="U596" s="380"/>
      <c r="V596" s="380"/>
      <c r="W596" s="380"/>
      <c r="X596" s="380"/>
      <c r="Y596" s="380"/>
      <c r="Z596" s="380"/>
      <c r="AA596" s="380"/>
    </row>
    <row r="597">
      <c r="A597" s="380"/>
      <c r="B597" s="380"/>
      <c r="C597" s="380"/>
      <c r="D597" s="380"/>
      <c r="E597" s="380"/>
      <c r="F597" s="415"/>
      <c r="G597" s="380"/>
      <c r="H597" s="380"/>
      <c r="I597" s="428"/>
      <c r="J597" s="429"/>
      <c r="K597" s="380"/>
      <c r="L597" s="415"/>
      <c r="M597" s="380"/>
      <c r="N597" s="380"/>
      <c r="O597" s="430"/>
      <c r="P597" s="380"/>
      <c r="Q597" s="380"/>
      <c r="R597" s="380"/>
      <c r="S597" s="380"/>
      <c r="T597" s="380"/>
      <c r="U597" s="380"/>
      <c r="V597" s="380"/>
      <c r="W597" s="380"/>
      <c r="X597" s="380"/>
      <c r="Y597" s="380"/>
      <c r="Z597" s="380"/>
      <c r="AA597" s="380"/>
    </row>
    <row r="598">
      <c r="A598" s="380"/>
      <c r="B598" s="380"/>
      <c r="C598" s="380"/>
      <c r="D598" s="380"/>
      <c r="E598" s="380"/>
      <c r="F598" s="415"/>
      <c r="G598" s="380"/>
      <c r="H598" s="380"/>
      <c r="I598" s="428"/>
      <c r="J598" s="429"/>
      <c r="K598" s="380"/>
      <c r="L598" s="415"/>
      <c r="M598" s="380"/>
      <c r="N598" s="380"/>
      <c r="O598" s="430"/>
      <c r="P598" s="380"/>
      <c r="Q598" s="380"/>
      <c r="R598" s="380"/>
      <c r="S598" s="380"/>
      <c r="T598" s="380"/>
      <c r="U598" s="380"/>
      <c r="V598" s="380"/>
      <c r="W598" s="380"/>
      <c r="X598" s="380"/>
      <c r="Y598" s="380"/>
      <c r="Z598" s="380"/>
      <c r="AA598" s="380"/>
    </row>
    <row r="599">
      <c r="A599" s="380"/>
      <c r="B599" s="380"/>
      <c r="C599" s="380"/>
      <c r="D599" s="380"/>
      <c r="E599" s="380"/>
      <c r="F599" s="415"/>
      <c r="G599" s="380"/>
      <c r="H599" s="380"/>
      <c r="I599" s="428"/>
      <c r="J599" s="429"/>
      <c r="K599" s="380"/>
      <c r="L599" s="415"/>
      <c r="M599" s="380"/>
      <c r="N599" s="380"/>
      <c r="O599" s="430"/>
      <c r="P599" s="380"/>
      <c r="Q599" s="380"/>
      <c r="R599" s="380"/>
      <c r="S599" s="380"/>
      <c r="T599" s="380"/>
      <c r="U599" s="380"/>
      <c r="V599" s="380"/>
      <c r="W599" s="380"/>
      <c r="X599" s="380"/>
      <c r="Y599" s="380"/>
      <c r="Z599" s="380"/>
      <c r="AA599" s="380"/>
    </row>
    <row r="600">
      <c r="A600" s="380"/>
      <c r="B600" s="380"/>
      <c r="C600" s="380"/>
      <c r="D600" s="380"/>
      <c r="E600" s="380"/>
      <c r="F600" s="415"/>
      <c r="G600" s="380"/>
      <c r="H600" s="380"/>
      <c r="I600" s="428"/>
      <c r="J600" s="429"/>
      <c r="K600" s="380"/>
      <c r="L600" s="415"/>
      <c r="M600" s="380"/>
      <c r="N600" s="380"/>
      <c r="O600" s="430"/>
      <c r="P600" s="380"/>
      <c r="Q600" s="380"/>
      <c r="R600" s="380"/>
      <c r="S600" s="380"/>
      <c r="T600" s="380"/>
      <c r="U600" s="380"/>
      <c r="V600" s="380"/>
      <c r="W600" s="380"/>
      <c r="X600" s="380"/>
      <c r="Y600" s="380"/>
      <c r="Z600" s="380"/>
      <c r="AA600" s="380"/>
    </row>
    <row r="601">
      <c r="A601" s="380"/>
      <c r="B601" s="380"/>
      <c r="C601" s="380"/>
      <c r="D601" s="380"/>
      <c r="E601" s="380"/>
      <c r="F601" s="415"/>
      <c r="G601" s="380"/>
      <c r="H601" s="380"/>
      <c r="I601" s="428"/>
      <c r="J601" s="429"/>
      <c r="K601" s="380"/>
      <c r="L601" s="415"/>
      <c r="M601" s="380"/>
      <c r="N601" s="380"/>
      <c r="O601" s="430"/>
      <c r="P601" s="380"/>
      <c r="Q601" s="380"/>
      <c r="R601" s="380"/>
      <c r="S601" s="380"/>
      <c r="T601" s="380"/>
      <c r="U601" s="380"/>
      <c r="V601" s="380"/>
      <c r="W601" s="380"/>
      <c r="X601" s="380"/>
      <c r="Y601" s="380"/>
      <c r="Z601" s="380"/>
      <c r="AA601" s="380"/>
    </row>
    <row r="602">
      <c r="A602" s="380"/>
      <c r="B602" s="380"/>
      <c r="C602" s="380"/>
      <c r="D602" s="380"/>
      <c r="E602" s="380"/>
      <c r="F602" s="415"/>
      <c r="G602" s="380"/>
      <c r="H602" s="380"/>
      <c r="I602" s="428"/>
      <c r="J602" s="429"/>
      <c r="K602" s="380"/>
      <c r="L602" s="415"/>
      <c r="M602" s="380"/>
      <c r="N602" s="380"/>
      <c r="O602" s="430"/>
      <c r="P602" s="380"/>
      <c r="Q602" s="380"/>
      <c r="R602" s="380"/>
      <c r="S602" s="380"/>
      <c r="T602" s="380"/>
      <c r="U602" s="380"/>
      <c r="V602" s="380"/>
      <c r="W602" s="380"/>
      <c r="X602" s="380"/>
      <c r="Y602" s="380"/>
      <c r="Z602" s="380"/>
      <c r="AA602" s="380"/>
    </row>
    <row r="603">
      <c r="A603" s="380"/>
      <c r="B603" s="380"/>
      <c r="C603" s="380"/>
      <c r="D603" s="380"/>
      <c r="E603" s="380"/>
      <c r="F603" s="415"/>
      <c r="G603" s="380"/>
      <c r="H603" s="380"/>
      <c r="I603" s="428"/>
      <c r="J603" s="429"/>
      <c r="K603" s="380"/>
      <c r="L603" s="415"/>
      <c r="M603" s="380"/>
      <c r="N603" s="380"/>
      <c r="O603" s="430"/>
      <c r="P603" s="380"/>
      <c r="Q603" s="380"/>
      <c r="R603" s="380"/>
      <c r="S603" s="380"/>
      <c r="T603" s="380"/>
      <c r="U603" s="380"/>
      <c r="V603" s="380"/>
      <c r="W603" s="380"/>
      <c r="X603" s="380"/>
      <c r="Y603" s="380"/>
      <c r="Z603" s="380"/>
      <c r="AA603" s="380"/>
    </row>
    <row r="604">
      <c r="A604" s="380"/>
      <c r="B604" s="380"/>
      <c r="C604" s="380"/>
      <c r="D604" s="380"/>
      <c r="E604" s="380"/>
      <c r="F604" s="415"/>
      <c r="G604" s="380"/>
      <c r="H604" s="380"/>
      <c r="I604" s="428"/>
      <c r="J604" s="429"/>
      <c r="K604" s="380"/>
      <c r="L604" s="415"/>
      <c r="M604" s="380"/>
      <c r="N604" s="380"/>
      <c r="O604" s="430"/>
      <c r="P604" s="380"/>
      <c r="Q604" s="380"/>
      <c r="R604" s="380"/>
      <c r="S604" s="380"/>
      <c r="T604" s="380"/>
      <c r="U604" s="380"/>
      <c r="V604" s="380"/>
      <c r="W604" s="380"/>
      <c r="X604" s="380"/>
      <c r="Y604" s="380"/>
      <c r="Z604" s="380"/>
      <c r="AA604" s="380"/>
    </row>
    <row r="605">
      <c r="A605" s="380"/>
      <c r="B605" s="380"/>
      <c r="C605" s="380"/>
      <c r="D605" s="380"/>
      <c r="E605" s="380"/>
      <c r="F605" s="415"/>
      <c r="G605" s="380"/>
      <c r="H605" s="380"/>
      <c r="I605" s="428"/>
      <c r="J605" s="429"/>
      <c r="K605" s="380"/>
      <c r="L605" s="415"/>
      <c r="M605" s="380"/>
      <c r="N605" s="380"/>
      <c r="O605" s="430"/>
      <c r="P605" s="380"/>
      <c r="Q605" s="380"/>
      <c r="R605" s="380"/>
      <c r="S605" s="380"/>
      <c r="T605" s="380"/>
      <c r="U605" s="380"/>
      <c r="V605" s="380"/>
      <c r="W605" s="380"/>
      <c r="X605" s="380"/>
      <c r="Y605" s="380"/>
      <c r="Z605" s="380"/>
      <c r="AA605" s="380"/>
    </row>
    <row r="606">
      <c r="A606" s="380"/>
      <c r="B606" s="380"/>
      <c r="C606" s="380"/>
      <c r="D606" s="380"/>
      <c r="E606" s="380"/>
      <c r="F606" s="415"/>
      <c r="G606" s="380"/>
      <c r="H606" s="380"/>
      <c r="I606" s="428"/>
      <c r="J606" s="429"/>
      <c r="K606" s="380"/>
      <c r="L606" s="415"/>
      <c r="M606" s="380"/>
      <c r="N606" s="380"/>
      <c r="O606" s="430"/>
      <c r="P606" s="380"/>
      <c r="Q606" s="380"/>
      <c r="R606" s="380"/>
      <c r="S606" s="380"/>
      <c r="T606" s="380"/>
      <c r="U606" s="380"/>
      <c r="V606" s="380"/>
      <c r="W606" s="380"/>
      <c r="X606" s="380"/>
      <c r="Y606" s="380"/>
      <c r="Z606" s="380"/>
      <c r="AA606" s="380"/>
    </row>
    <row r="607">
      <c r="A607" s="380"/>
      <c r="B607" s="380"/>
      <c r="C607" s="380"/>
      <c r="D607" s="380"/>
      <c r="E607" s="380"/>
      <c r="F607" s="415"/>
      <c r="G607" s="380"/>
      <c r="H607" s="380"/>
      <c r="I607" s="428"/>
      <c r="J607" s="429"/>
      <c r="K607" s="380"/>
      <c r="L607" s="415"/>
      <c r="M607" s="380"/>
      <c r="N607" s="380"/>
      <c r="O607" s="430"/>
      <c r="P607" s="380"/>
      <c r="Q607" s="380"/>
      <c r="R607" s="380"/>
      <c r="S607" s="380"/>
      <c r="T607" s="380"/>
      <c r="U607" s="380"/>
      <c r="V607" s="380"/>
      <c r="W607" s="380"/>
      <c r="X607" s="380"/>
      <c r="Y607" s="380"/>
      <c r="Z607" s="380"/>
      <c r="AA607" s="380"/>
    </row>
    <row r="608">
      <c r="A608" s="380"/>
      <c r="B608" s="380"/>
      <c r="C608" s="380"/>
      <c r="D608" s="380"/>
      <c r="E608" s="380"/>
      <c r="F608" s="415"/>
      <c r="G608" s="380"/>
      <c r="H608" s="380"/>
      <c r="I608" s="428"/>
      <c r="J608" s="429"/>
      <c r="K608" s="380"/>
      <c r="L608" s="415"/>
      <c r="M608" s="380"/>
      <c r="N608" s="380"/>
      <c r="O608" s="430"/>
      <c r="P608" s="380"/>
      <c r="Q608" s="380"/>
      <c r="R608" s="380"/>
      <c r="S608" s="380"/>
      <c r="T608" s="380"/>
      <c r="U608" s="380"/>
      <c r="V608" s="380"/>
      <c r="W608" s="380"/>
      <c r="X608" s="380"/>
      <c r="Y608" s="380"/>
      <c r="Z608" s="380"/>
      <c r="AA608" s="380"/>
    </row>
    <row r="609">
      <c r="A609" s="380"/>
      <c r="B609" s="380"/>
      <c r="C609" s="380"/>
      <c r="D609" s="380"/>
      <c r="E609" s="380"/>
      <c r="F609" s="415"/>
      <c r="G609" s="380"/>
      <c r="H609" s="380"/>
      <c r="I609" s="428"/>
      <c r="J609" s="429"/>
      <c r="K609" s="380"/>
      <c r="L609" s="415"/>
      <c r="M609" s="380"/>
      <c r="N609" s="380"/>
      <c r="O609" s="430"/>
      <c r="P609" s="380"/>
      <c r="Q609" s="380"/>
      <c r="R609" s="380"/>
      <c r="S609" s="380"/>
      <c r="T609" s="380"/>
      <c r="U609" s="380"/>
      <c r="V609" s="380"/>
      <c r="W609" s="380"/>
      <c r="X609" s="380"/>
      <c r="Y609" s="380"/>
      <c r="Z609" s="380"/>
      <c r="AA609" s="380"/>
    </row>
    <row r="610">
      <c r="A610" s="380"/>
      <c r="B610" s="380"/>
      <c r="C610" s="380"/>
      <c r="D610" s="380"/>
      <c r="E610" s="380"/>
      <c r="F610" s="415"/>
      <c r="G610" s="380"/>
      <c r="H610" s="380"/>
      <c r="I610" s="428"/>
      <c r="J610" s="429"/>
      <c r="K610" s="380"/>
      <c r="L610" s="415"/>
      <c r="M610" s="380"/>
      <c r="N610" s="380"/>
      <c r="O610" s="430"/>
      <c r="P610" s="380"/>
      <c r="Q610" s="380"/>
      <c r="R610" s="380"/>
      <c r="S610" s="380"/>
      <c r="T610" s="380"/>
      <c r="U610" s="380"/>
      <c r="V610" s="380"/>
      <c r="W610" s="380"/>
      <c r="X610" s="380"/>
      <c r="Y610" s="380"/>
      <c r="Z610" s="380"/>
      <c r="AA610" s="380"/>
    </row>
    <row r="611">
      <c r="A611" s="380"/>
      <c r="B611" s="380"/>
      <c r="C611" s="380"/>
      <c r="D611" s="380"/>
      <c r="E611" s="380"/>
      <c r="F611" s="415"/>
      <c r="G611" s="380"/>
      <c r="H611" s="380"/>
      <c r="I611" s="428"/>
      <c r="J611" s="429"/>
      <c r="K611" s="380"/>
      <c r="L611" s="415"/>
      <c r="M611" s="380"/>
      <c r="N611" s="380"/>
      <c r="O611" s="430"/>
      <c r="P611" s="380"/>
      <c r="Q611" s="380"/>
      <c r="R611" s="380"/>
      <c r="S611" s="380"/>
      <c r="T611" s="380"/>
      <c r="U611" s="380"/>
      <c r="V611" s="380"/>
      <c r="W611" s="380"/>
      <c r="X611" s="380"/>
      <c r="Y611" s="380"/>
      <c r="Z611" s="380"/>
      <c r="AA611" s="380"/>
    </row>
    <row r="612">
      <c r="A612" s="380"/>
      <c r="B612" s="380"/>
      <c r="C612" s="380"/>
      <c r="D612" s="380"/>
      <c r="E612" s="380"/>
      <c r="F612" s="415"/>
      <c r="G612" s="380"/>
      <c r="H612" s="380"/>
      <c r="I612" s="428"/>
      <c r="J612" s="429"/>
      <c r="K612" s="380"/>
      <c r="L612" s="415"/>
      <c r="M612" s="380"/>
      <c r="N612" s="380"/>
      <c r="O612" s="430"/>
      <c r="P612" s="380"/>
      <c r="Q612" s="380"/>
      <c r="R612" s="380"/>
      <c r="S612" s="380"/>
      <c r="T612" s="380"/>
      <c r="U612" s="380"/>
      <c r="V612" s="380"/>
      <c r="W612" s="380"/>
      <c r="X612" s="380"/>
      <c r="Y612" s="380"/>
      <c r="Z612" s="380"/>
      <c r="AA612" s="380"/>
    </row>
    <row r="613">
      <c r="A613" s="380"/>
      <c r="B613" s="380"/>
      <c r="C613" s="380"/>
      <c r="D613" s="380"/>
      <c r="E613" s="380"/>
      <c r="F613" s="415"/>
      <c r="G613" s="380"/>
      <c r="H613" s="380"/>
      <c r="I613" s="428"/>
      <c r="J613" s="429"/>
      <c r="K613" s="380"/>
      <c r="L613" s="415"/>
      <c r="M613" s="380"/>
      <c r="N613" s="380"/>
      <c r="O613" s="430"/>
      <c r="P613" s="380"/>
      <c r="Q613" s="380"/>
      <c r="R613" s="380"/>
      <c r="S613" s="380"/>
      <c r="T613" s="380"/>
      <c r="U613" s="380"/>
      <c r="V613" s="380"/>
      <c r="W613" s="380"/>
      <c r="X613" s="380"/>
      <c r="Y613" s="380"/>
      <c r="Z613" s="380"/>
      <c r="AA613" s="380"/>
    </row>
    <row r="614">
      <c r="A614" s="380"/>
      <c r="B614" s="380"/>
      <c r="C614" s="380"/>
      <c r="D614" s="380"/>
      <c r="E614" s="380"/>
      <c r="F614" s="415"/>
      <c r="G614" s="380"/>
      <c r="H614" s="380"/>
      <c r="I614" s="428"/>
      <c r="J614" s="429"/>
      <c r="K614" s="380"/>
      <c r="L614" s="415"/>
      <c r="M614" s="380"/>
      <c r="N614" s="380"/>
      <c r="O614" s="430"/>
      <c r="P614" s="380"/>
      <c r="Q614" s="380"/>
      <c r="R614" s="380"/>
      <c r="S614" s="380"/>
      <c r="T614" s="380"/>
      <c r="U614" s="380"/>
      <c r="V614" s="380"/>
      <c r="W614" s="380"/>
      <c r="X614" s="380"/>
      <c r="Y614" s="380"/>
      <c r="Z614" s="380"/>
      <c r="AA614" s="380"/>
    </row>
    <row r="615">
      <c r="A615" s="380"/>
      <c r="B615" s="380"/>
      <c r="C615" s="380"/>
      <c r="D615" s="380"/>
      <c r="E615" s="380"/>
      <c r="F615" s="415"/>
      <c r="G615" s="380"/>
      <c r="H615" s="380"/>
      <c r="I615" s="428"/>
      <c r="J615" s="429"/>
      <c r="K615" s="380"/>
      <c r="L615" s="415"/>
      <c r="M615" s="380"/>
      <c r="N615" s="380"/>
      <c r="O615" s="430"/>
      <c r="P615" s="380"/>
      <c r="Q615" s="380"/>
      <c r="R615" s="380"/>
      <c r="S615" s="380"/>
      <c r="T615" s="380"/>
      <c r="U615" s="380"/>
      <c r="V615" s="380"/>
      <c r="W615" s="380"/>
      <c r="X615" s="380"/>
      <c r="Y615" s="380"/>
      <c r="Z615" s="380"/>
      <c r="AA615" s="380"/>
    </row>
    <row r="616">
      <c r="A616" s="380"/>
      <c r="B616" s="380"/>
      <c r="C616" s="380"/>
      <c r="D616" s="380"/>
      <c r="E616" s="380"/>
      <c r="F616" s="415"/>
      <c r="G616" s="380"/>
      <c r="H616" s="380"/>
      <c r="I616" s="428"/>
      <c r="J616" s="429"/>
      <c r="K616" s="380"/>
      <c r="L616" s="415"/>
      <c r="M616" s="380"/>
      <c r="N616" s="380"/>
      <c r="O616" s="430"/>
      <c r="P616" s="380"/>
      <c r="Q616" s="380"/>
      <c r="R616" s="380"/>
      <c r="S616" s="380"/>
      <c r="T616" s="380"/>
      <c r="U616" s="380"/>
      <c r="V616" s="380"/>
      <c r="W616" s="380"/>
      <c r="X616" s="380"/>
      <c r="Y616" s="380"/>
      <c r="Z616" s="380"/>
      <c r="AA616" s="380"/>
    </row>
    <row r="617">
      <c r="A617" s="380"/>
      <c r="B617" s="380"/>
      <c r="C617" s="380"/>
      <c r="D617" s="380"/>
      <c r="E617" s="380"/>
      <c r="F617" s="415"/>
      <c r="G617" s="380"/>
      <c r="H617" s="380"/>
      <c r="I617" s="428"/>
      <c r="J617" s="429"/>
      <c r="K617" s="380"/>
      <c r="L617" s="415"/>
      <c r="M617" s="380"/>
      <c r="N617" s="380"/>
      <c r="O617" s="430"/>
      <c r="P617" s="380"/>
      <c r="Q617" s="380"/>
      <c r="R617" s="380"/>
      <c r="S617" s="380"/>
      <c r="T617" s="380"/>
      <c r="U617" s="380"/>
      <c r="V617" s="380"/>
      <c r="W617" s="380"/>
      <c r="X617" s="380"/>
      <c r="Y617" s="380"/>
      <c r="Z617" s="380"/>
      <c r="AA617" s="380"/>
    </row>
    <row r="618">
      <c r="A618" s="380"/>
      <c r="B618" s="380"/>
      <c r="C618" s="380"/>
      <c r="D618" s="380"/>
      <c r="E618" s="380"/>
      <c r="F618" s="415"/>
      <c r="G618" s="380"/>
      <c r="H618" s="380"/>
      <c r="I618" s="428"/>
      <c r="J618" s="429"/>
      <c r="K618" s="380"/>
      <c r="L618" s="415"/>
      <c r="M618" s="380"/>
      <c r="N618" s="380"/>
      <c r="O618" s="430"/>
      <c r="P618" s="380"/>
      <c r="Q618" s="380"/>
      <c r="R618" s="380"/>
      <c r="S618" s="380"/>
      <c r="T618" s="380"/>
      <c r="U618" s="380"/>
      <c r="V618" s="380"/>
      <c r="W618" s="380"/>
      <c r="X618" s="380"/>
      <c r="Y618" s="380"/>
      <c r="Z618" s="380"/>
      <c r="AA618" s="380"/>
    </row>
    <row r="619">
      <c r="A619" s="380"/>
      <c r="B619" s="380"/>
      <c r="C619" s="380"/>
      <c r="D619" s="380"/>
      <c r="E619" s="380"/>
      <c r="F619" s="415"/>
      <c r="G619" s="380"/>
      <c r="H619" s="380"/>
      <c r="I619" s="428"/>
      <c r="J619" s="429"/>
      <c r="K619" s="380"/>
      <c r="L619" s="415"/>
      <c r="M619" s="380"/>
      <c r="N619" s="380"/>
      <c r="O619" s="430"/>
      <c r="P619" s="380"/>
      <c r="Q619" s="380"/>
      <c r="R619" s="380"/>
      <c r="S619" s="380"/>
      <c r="T619" s="380"/>
      <c r="U619" s="380"/>
      <c r="V619" s="380"/>
      <c r="W619" s="380"/>
      <c r="X619" s="380"/>
      <c r="Y619" s="380"/>
      <c r="Z619" s="380"/>
      <c r="AA619" s="380"/>
    </row>
    <row r="620">
      <c r="A620" s="380"/>
      <c r="B620" s="380"/>
      <c r="C620" s="380"/>
      <c r="D620" s="380"/>
      <c r="E620" s="380"/>
      <c r="F620" s="415"/>
      <c r="G620" s="380"/>
      <c r="H620" s="380"/>
      <c r="I620" s="428"/>
      <c r="J620" s="429"/>
      <c r="K620" s="380"/>
      <c r="L620" s="415"/>
      <c r="M620" s="380"/>
      <c r="N620" s="380"/>
      <c r="O620" s="430"/>
      <c r="P620" s="380"/>
      <c r="Q620" s="380"/>
      <c r="R620" s="380"/>
      <c r="S620" s="380"/>
      <c r="T620" s="380"/>
      <c r="U620" s="380"/>
      <c r="V620" s="380"/>
      <c r="W620" s="380"/>
      <c r="X620" s="380"/>
      <c r="Y620" s="380"/>
      <c r="Z620" s="380"/>
      <c r="AA620" s="380"/>
    </row>
    <row r="621">
      <c r="A621" s="380"/>
      <c r="B621" s="380"/>
      <c r="C621" s="380"/>
      <c r="D621" s="380"/>
      <c r="E621" s="380"/>
      <c r="F621" s="415"/>
      <c r="G621" s="380"/>
      <c r="H621" s="380"/>
      <c r="I621" s="428"/>
      <c r="J621" s="429"/>
      <c r="K621" s="380"/>
      <c r="L621" s="415"/>
      <c r="M621" s="380"/>
      <c r="N621" s="380"/>
      <c r="O621" s="430"/>
      <c r="P621" s="380"/>
      <c r="Q621" s="380"/>
      <c r="R621" s="380"/>
      <c r="S621" s="380"/>
      <c r="T621" s="380"/>
      <c r="U621" s="380"/>
      <c r="V621" s="380"/>
      <c r="W621" s="380"/>
      <c r="X621" s="380"/>
      <c r="Y621" s="380"/>
      <c r="Z621" s="380"/>
      <c r="AA621" s="380"/>
    </row>
    <row r="622">
      <c r="A622" s="380"/>
      <c r="B622" s="380"/>
      <c r="C622" s="380"/>
      <c r="D622" s="380"/>
      <c r="E622" s="380"/>
      <c r="F622" s="415"/>
      <c r="G622" s="380"/>
      <c r="H622" s="380"/>
      <c r="I622" s="428"/>
      <c r="J622" s="429"/>
      <c r="K622" s="380"/>
      <c r="L622" s="415"/>
      <c r="M622" s="380"/>
      <c r="N622" s="380"/>
      <c r="O622" s="430"/>
      <c r="P622" s="380"/>
      <c r="Q622" s="380"/>
      <c r="R622" s="380"/>
      <c r="S622" s="380"/>
      <c r="T622" s="380"/>
      <c r="U622" s="380"/>
      <c r="V622" s="380"/>
      <c r="W622" s="380"/>
      <c r="X622" s="380"/>
      <c r="Y622" s="380"/>
      <c r="Z622" s="380"/>
      <c r="AA622" s="380"/>
    </row>
    <row r="623">
      <c r="A623" s="380"/>
      <c r="B623" s="380"/>
      <c r="C623" s="380"/>
      <c r="D623" s="380"/>
      <c r="E623" s="380"/>
      <c r="F623" s="415"/>
      <c r="G623" s="380"/>
      <c r="H623" s="380"/>
      <c r="I623" s="428"/>
      <c r="J623" s="429"/>
      <c r="K623" s="380"/>
      <c r="L623" s="415"/>
      <c r="M623" s="380"/>
      <c r="N623" s="380"/>
      <c r="O623" s="430"/>
      <c r="P623" s="380"/>
      <c r="Q623" s="380"/>
      <c r="R623" s="380"/>
      <c r="S623" s="380"/>
      <c r="T623" s="380"/>
      <c r="U623" s="380"/>
      <c r="V623" s="380"/>
      <c r="W623" s="380"/>
      <c r="X623" s="380"/>
      <c r="Y623" s="380"/>
      <c r="Z623" s="380"/>
      <c r="AA623" s="380"/>
    </row>
    <row r="624">
      <c r="A624" s="380"/>
      <c r="B624" s="380"/>
      <c r="C624" s="380"/>
      <c r="D624" s="380"/>
      <c r="E624" s="380"/>
      <c r="F624" s="415"/>
      <c r="G624" s="380"/>
      <c r="H624" s="380"/>
      <c r="I624" s="428"/>
      <c r="J624" s="429"/>
      <c r="K624" s="380"/>
      <c r="L624" s="415"/>
      <c r="M624" s="380"/>
      <c r="N624" s="380"/>
      <c r="O624" s="430"/>
      <c r="P624" s="380"/>
      <c r="Q624" s="380"/>
      <c r="R624" s="380"/>
      <c r="S624" s="380"/>
      <c r="T624" s="380"/>
      <c r="U624" s="380"/>
      <c r="V624" s="380"/>
      <c r="W624" s="380"/>
      <c r="X624" s="380"/>
      <c r="Y624" s="380"/>
      <c r="Z624" s="380"/>
      <c r="AA624" s="380"/>
    </row>
    <row r="625">
      <c r="A625" s="380"/>
      <c r="B625" s="380"/>
      <c r="C625" s="380"/>
      <c r="D625" s="380"/>
      <c r="E625" s="380"/>
      <c r="F625" s="415"/>
      <c r="G625" s="380"/>
      <c r="H625" s="380"/>
      <c r="I625" s="428"/>
      <c r="J625" s="429"/>
      <c r="K625" s="380"/>
      <c r="L625" s="415"/>
      <c r="M625" s="380"/>
      <c r="N625" s="380"/>
      <c r="O625" s="430"/>
      <c r="P625" s="380"/>
      <c r="Q625" s="380"/>
      <c r="R625" s="380"/>
      <c r="S625" s="380"/>
      <c r="T625" s="380"/>
      <c r="U625" s="380"/>
      <c r="V625" s="380"/>
      <c r="W625" s="380"/>
      <c r="X625" s="380"/>
      <c r="Y625" s="380"/>
      <c r="Z625" s="380"/>
      <c r="AA625" s="380"/>
    </row>
    <row r="626">
      <c r="A626" s="380"/>
      <c r="B626" s="380"/>
      <c r="C626" s="380"/>
      <c r="D626" s="380"/>
      <c r="E626" s="380"/>
      <c r="F626" s="415"/>
      <c r="G626" s="380"/>
      <c r="H626" s="380"/>
      <c r="I626" s="428"/>
      <c r="J626" s="429"/>
      <c r="K626" s="380"/>
      <c r="L626" s="415"/>
      <c r="M626" s="380"/>
      <c r="N626" s="380"/>
      <c r="O626" s="430"/>
      <c r="P626" s="380"/>
      <c r="Q626" s="380"/>
      <c r="R626" s="380"/>
      <c r="S626" s="380"/>
      <c r="T626" s="380"/>
      <c r="U626" s="380"/>
      <c r="V626" s="380"/>
      <c r="W626" s="380"/>
      <c r="X626" s="380"/>
      <c r="Y626" s="380"/>
      <c r="Z626" s="380"/>
      <c r="AA626" s="380"/>
    </row>
    <row r="627">
      <c r="A627" s="380"/>
      <c r="B627" s="380"/>
      <c r="C627" s="380"/>
      <c r="D627" s="380"/>
      <c r="E627" s="380"/>
      <c r="F627" s="415"/>
      <c r="G627" s="380"/>
      <c r="H627" s="380"/>
      <c r="I627" s="428"/>
      <c r="J627" s="429"/>
      <c r="K627" s="380"/>
      <c r="L627" s="415"/>
      <c r="M627" s="380"/>
      <c r="N627" s="380"/>
      <c r="O627" s="430"/>
      <c r="P627" s="380"/>
      <c r="Q627" s="380"/>
      <c r="R627" s="380"/>
      <c r="S627" s="380"/>
      <c r="T627" s="380"/>
      <c r="U627" s="380"/>
      <c r="V627" s="380"/>
      <c r="W627" s="380"/>
      <c r="X627" s="380"/>
      <c r="Y627" s="380"/>
      <c r="Z627" s="380"/>
      <c r="AA627" s="380"/>
    </row>
    <row r="628">
      <c r="A628" s="380"/>
      <c r="B628" s="380"/>
      <c r="C628" s="380"/>
      <c r="D628" s="380"/>
      <c r="E628" s="380"/>
      <c r="F628" s="415"/>
      <c r="G628" s="380"/>
      <c r="H628" s="380"/>
      <c r="I628" s="428"/>
      <c r="J628" s="429"/>
      <c r="K628" s="380"/>
      <c r="L628" s="415"/>
      <c r="M628" s="380"/>
      <c r="N628" s="380"/>
      <c r="O628" s="430"/>
      <c r="P628" s="380"/>
      <c r="Q628" s="380"/>
      <c r="R628" s="380"/>
      <c r="S628" s="380"/>
      <c r="T628" s="380"/>
      <c r="U628" s="380"/>
      <c r="V628" s="380"/>
      <c r="W628" s="380"/>
      <c r="X628" s="380"/>
      <c r="Y628" s="380"/>
      <c r="Z628" s="380"/>
      <c r="AA628" s="380"/>
    </row>
    <row r="629">
      <c r="A629" s="380"/>
      <c r="B629" s="380"/>
      <c r="C629" s="380"/>
      <c r="D629" s="380"/>
      <c r="E629" s="380"/>
      <c r="F629" s="415"/>
      <c r="G629" s="380"/>
      <c r="H629" s="380"/>
      <c r="I629" s="428"/>
      <c r="J629" s="429"/>
      <c r="K629" s="380"/>
      <c r="L629" s="415"/>
      <c r="M629" s="380"/>
      <c r="N629" s="380"/>
      <c r="O629" s="430"/>
      <c r="P629" s="380"/>
      <c r="Q629" s="380"/>
      <c r="R629" s="380"/>
      <c r="S629" s="380"/>
      <c r="T629" s="380"/>
      <c r="U629" s="380"/>
      <c r="V629" s="380"/>
      <c r="W629" s="380"/>
      <c r="X629" s="380"/>
      <c r="Y629" s="380"/>
      <c r="Z629" s="380"/>
      <c r="AA629" s="380"/>
    </row>
    <row r="630">
      <c r="A630" s="380"/>
      <c r="B630" s="380"/>
      <c r="C630" s="380"/>
      <c r="D630" s="380"/>
      <c r="E630" s="380"/>
      <c r="F630" s="415"/>
      <c r="G630" s="380"/>
      <c r="H630" s="380"/>
      <c r="I630" s="428"/>
      <c r="J630" s="429"/>
      <c r="K630" s="380"/>
      <c r="L630" s="415"/>
      <c r="M630" s="380"/>
      <c r="N630" s="380"/>
      <c r="O630" s="430"/>
      <c r="P630" s="380"/>
      <c r="Q630" s="380"/>
      <c r="R630" s="380"/>
      <c r="S630" s="380"/>
      <c r="T630" s="380"/>
      <c r="U630" s="380"/>
      <c r="V630" s="380"/>
      <c r="W630" s="380"/>
      <c r="X630" s="380"/>
      <c r="Y630" s="380"/>
      <c r="Z630" s="380"/>
      <c r="AA630" s="380"/>
    </row>
    <row r="631">
      <c r="A631" s="380"/>
      <c r="B631" s="380"/>
      <c r="C631" s="380"/>
      <c r="D631" s="380"/>
      <c r="E631" s="380"/>
      <c r="F631" s="415"/>
      <c r="G631" s="380"/>
      <c r="H631" s="380"/>
      <c r="I631" s="428"/>
      <c r="J631" s="429"/>
      <c r="K631" s="380"/>
      <c r="L631" s="415"/>
      <c r="M631" s="380"/>
      <c r="N631" s="380"/>
      <c r="O631" s="430"/>
      <c r="P631" s="380"/>
      <c r="Q631" s="380"/>
      <c r="R631" s="380"/>
      <c r="S631" s="380"/>
      <c r="T631" s="380"/>
      <c r="U631" s="380"/>
      <c r="V631" s="380"/>
      <c r="W631" s="380"/>
      <c r="X631" s="380"/>
      <c r="Y631" s="380"/>
      <c r="Z631" s="380"/>
      <c r="AA631" s="380"/>
    </row>
    <row r="632">
      <c r="A632" s="380"/>
      <c r="B632" s="380"/>
      <c r="C632" s="380"/>
      <c r="D632" s="380"/>
      <c r="E632" s="380"/>
      <c r="F632" s="415"/>
      <c r="G632" s="380"/>
      <c r="H632" s="380"/>
      <c r="I632" s="428"/>
      <c r="J632" s="429"/>
      <c r="K632" s="380"/>
      <c r="L632" s="415"/>
      <c r="M632" s="380"/>
      <c r="N632" s="380"/>
      <c r="O632" s="430"/>
      <c r="P632" s="380"/>
      <c r="Q632" s="380"/>
      <c r="R632" s="380"/>
      <c r="S632" s="380"/>
      <c r="T632" s="380"/>
      <c r="U632" s="380"/>
      <c r="V632" s="380"/>
      <c r="W632" s="380"/>
      <c r="X632" s="380"/>
      <c r="Y632" s="380"/>
      <c r="Z632" s="380"/>
      <c r="AA632" s="380"/>
    </row>
    <row r="633">
      <c r="A633" s="380"/>
      <c r="B633" s="380"/>
      <c r="C633" s="380"/>
      <c r="D633" s="380"/>
      <c r="E633" s="380"/>
      <c r="F633" s="415"/>
      <c r="G633" s="380"/>
      <c r="H633" s="380"/>
      <c r="I633" s="428"/>
      <c r="J633" s="429"/>
      <c r="K633" s="380"/>
      <c r="L633" s="415"/>
      <c r="M633" s="380"/>
      <c r="N633" s="380"/>
      <c r="O633" s="430"/>
      <c r="P633" s="380"/>
      <c r="Q633" s="380"/>
      <c r="R633" s="380"/>
      <c r="S633" s="380"/>
      <c r="T633" s="380"/>
      <c r="U633" s="380"/>
      <c r="V633" s="380"/>
      <c r="W633" s="380"/>
      <c r="X633" s="380"/>
      <c r="Y633" s="380"/>
      <c r="Z633" s="380"/>
      <c r="AA633" s="380"/>
    </row>
    <row r="634">
      <c r="A634" s="380"/>
      <c r="B634" s="380"/>
      <c r="C634" s="380"/>
      <c r="D634" s="380"/>
      <c r="E634" s="380"/>
      <c r="F634" s="415"/>
      <c r="G634" s="380"/>
      <c r="H634" s="380"/>
      <c r="I634" s="428"/>
      <c r="J634" s="429"/>
      <c r="K634" s="380"/>
      <c r="L634" s="415"/>
      <c r="M634" s="380"/>
      <c r="N634" s="380"/>
      <c r="O634" s="430"/>
      <c r="P634" s="380"/>
      <c r="Q634" s="380"/>
      <c r="R634" s="380"/>
      <c r="S634" s="380"/>
      <c r="T634" s="380"/>
      <c r="U634" s="380"/>
      <c r="V634" s="380"/>
      <c r="W634" s="380"/>
      <c r="X634" s="380"/>
      <c r="Y634" s="380"/>
      <c r="Z634" s="380"/>
      <c r="AA634" s="380"/>
    </row>
    <row r="635">
      <c r="A635" s="380"/>
      <c r="B635" s="380"/>
      <c r="C635" s="380"/>
      <c r="D635" s="380"/>
      <c r="E635" s="380"/>
      <c r="F635" s="415"/>
      <c r="G635" s="380"/>
      <c r="H635" s="380"/>
      <c r="I635" s="428"/>
      <c r="J635" s="429"/>
      <c r="K635" s="380"/>
      <c r="L635" s="415"/>
      <c r="M635" s="380"/>
      <c r="N635" s="380"/>
      <c r="O635" s="430"/>
      <c r="P635" s="380"/>
      <c r="Q635" s="380"/>
      <c r="R635" s="380"/>
      <c r="S635" s="380"/>
      <c r="T635" s="380"/>
      <c r="U635" s="380"/>
      <c r="V635" s="380"/>
      <c r="W635" s="380"/>
      <c r="X635" s="380"/>
      <c r="Y635" s="380"/>
      <c r="Z635" s="380"/>
      <c r="AA635" s="380"/>
    </row>
    <row r="636">
      <c r="A636" s="380"/>
      <c r="B636" s="380"/>
      <c r="C636" s="380"/>
      <c r="D636" s="380"/>
      <c r="E636" s="380"/>
      <c r="F636" s="415"/>
      <c r="G636" s="380"/>
      <c r="H636" s="380"/>
      <c r="I636" s="428"/>
      <c r="J636" s="429"/>
      <c r="K636" s="380"/>
      <c r="L636" s="415"/>
      <c r="M636" s="380"/>
      <c r="N636" s="380"/>
      <c r="O636" s="430"/>
      <c r="P636" s="380"/>
      <c r="Q636" s="380"/>
      <c r="R636" s="380"/>
      <c r="S636" s="380"/>
      <c r="T636" s="380"/>
      <c r="U636" s="380"/>
      <c r="V636" s="380"/>
      <c r="W636" s="380"/>
      <c r="X636" s="380"/>
      <c r="Y636" s="380"/>
      <c r="Z636" s="380"/>
      <c r="AA636" s="380"/>
    </row>
    <row r="637">
      <c r="A637" s="380"/>
      <c r="B637" s="380"/>
      <c r="C637" s="380"/>
      <c r="D637" s="380"/>
      <c r="E637" s="380"/>
      <c r="F637" s="415"/>
      <c r="G637" s="380"/>
      <c r="H637" s="380"/>
      <c r="I637" s="428"/>
      <c r="J637" s="429"/>
      <c r="K637" s="380"/>
      <c r="L637" s="415"/>
      <c r="M637" s="380"/>
      <c r="N637" s="380"/>
      <c r="O637" s="430"/>
      <c r="P637" s="380"/>
      <c r="Q637" s="380"/>
      <c r="R637" s="380"/>
      <c r="S637" s="380"/>
      <c r="T637" s="380"/>
      <c r="U637" s="380"/>
      <c r="V637" s="380"/>
      <c r="W637" s="380"/>
      <c r="X637" s="380"/>
      <c r="Y637" s="380"/>
      <c r="Z637" s="380"/>
      <c r="AA637" s="380"/>
    </row>
    <row r="638">
      <c r="A638" s="380"/>
      <c r="B638" s="380"/>
      <c r="C638" s="380"/>
      <c r="D638" s="380"/>
      <c r="E638" s="380"/>
      <c r="F638" s="415"/>
      <c r="G638" s="380"/>
      <c r="H638" s="380"/>
      <c r="I638" s="428"/>
      <c r="J638" s="429"/>
      <c r="K638" s="380"/>
      <c r="L638" s="415"/>
      <c r="M638" s="380"/>
      <c r="N638" s="380"/>
      <c r="O638" s="430"/>
      <c r="P638" s="380"/>
      <c r="Q638" s="380"/>
      <c r="R638" s="380"/>
      <c r="S638" s="380"/>
      <c r="T638" s="380"/>
      <c r="U638" s="380"/>
      <c r="V638" s="380"/>
      <c r="W638" s="380"/>
      <c r="X638" s="380"/>
      <c r="Y638" s="380"/>
      <c r="Z638" s="380"/>
      <c r="AA638" s="380"/>
    </row>
    <row r="639">
      <c r="A639" s="380"/>
      <c r="B639" s="380"/>
      <c r="C639" s="380"/>
      <c r="D639" s="380"/>
      <c r="E639" s="380"/>
      <c r="F639" s="415"/>
      <c r="G639" s="380"/>
      <c r="H639" s="380"/>
      <c r="I639" s="428"/>
      <c r="J639" s="429"/>
      <c r="K639" s="380"/>
      <c r="L639" s="415"/>
      <c r="M639" s="380"/>
      <c r="N639" s="380"/>
      <c r="O639" s="430"/>
      <c r="P639" s="380"/>
      <c r="Q639" s="380"/>
      <c r="R639" s="380"/>
      <c r="S639" s="380"/>
      <c r="T639" s="380"/>
      <c r="U639" s="380"/>
      <c r="V639" s="380"/>
      <c r="W639" s="380"/>
      <c r="X639" s="380"/>
      <c r="Y639" s="380"/>
      <c r="Z639" s="380"/>
      <c r="AA639" s="380"/>
    </row>
    <row r="640">
      <c r="A640" s="380"/>
      <c r="B640" s="380"/>
      <c r="C640" s="380"/>
      <c r="D640" s="380"/>
      <c r="E640" s="380"/>
      <c r="F640" s="415"/>
      <c r="G640" s="380"/>
      <c r="H640" s="380"/>
      <c r="I640" s="428"/>
      <c r="J640" s="429"/>
      <c r="K640" s="380"/>
      <c r="L640" s="415"/>
      <c r="M640" s="380"/>
      <c r="N640" s="380"/>
      <c r="O640" s="430"/>
      <c r="P640" s="380"/>
      <c r="Q640" s="380"/>
      <c r="R640" s="380"/>
      <c r="S640" s="380"/>
      <c r="T640" s="380"/>
      <c r="U640" s="380"/>
      <c r="V640" s="380"/>
      <c r="W640" s="380"/>
      <c r="X640" s="380"/>
      <c r="Y640" s="380"/>
      <c r="Z640" s="380"/>
      <c r="AA640" s="380"/>
    </row>
    <row r="641">
      <c r="A641" s="380"/>
      <c r="B641" s="380"/>
      <c r="C641" s="380"/>
      <c r="D641" s="380"/>
      <c r="E641" s="380"/>
      <c r="F641" s="415"/>
      <c r="G641" s="380"/>
      <c r="H641" s="380"/>
      <c r="I641" s="428"/>
      <c r="J641" s="429"/>
      <c r="K641" s="380"/>
      <c r="L641" s="415"/>
      <c r="M641" s="380"/>
      <c r="N641" s="380"/>
      <c r="O641" s="430"/>
      <c r="P641" s="380"/>
      <c r="Q641" s="380"/>
      <c r="R641" s="380"/>
      <c r="S641" s="380"/>
      <c r="T641" s="380"/>
      <c r="U641" s="380"/>
      <c r="V641" s="380"/>
      <c r="W641" s="380"/>
      <c r="X641" s="380"/>
      <c r="Y641" s="380"/>
      <c r="Z641" s="380"/>
      <c r="AA641" s="380"/>
    </row>
    <row r="642">
      <c r="A642" s="380"/>
      <c r="B642" s="380"/>
      <c r="C642" s="380"/>
      <c r="D642" s="380"/>
      <c r="E642" s="380"/>
      <c r="F642" s="415"/>
      <c r="G642" s="380"/>
      <c r="H642" s="380"/>
      <c r="I642" s="428"/>
      <c r="J642" s="429"/>
      <c r="K642" s="380"/>
      <c r="L642" s="415"/>
      <c r="M642" s="380"/>
      <c r="N642" s="380"/>
      <c r="O642" s="430"/>
      <c r="P642" s="380"/>
      <c r="Q642" s="380"/>
      <c r="R642" s="380"/>
      <c r="S642" s="380"/>
      <c r="T642" s="380"/>
      <c r="U642" s="380"/>
      <c r="V642" s="380"/>
      <c r="W642" s="380"/>
      <c r="X642" s="380"/>
      <c r="Y642" s="380"/>
      <c r="Z642" s="380"/>
      <c r="AA642" s="380"/>
    </row>
    <row r="643">
      <c r="A643" s="380"/>
      <c r="B643" s="380"/>
      <c r="C643" s="380"/>
      <c r="D643" s="380"/>
      <c r="E643" s="380"/>
      <c r="F643" s="415"/>
      <c r="G643" s="380"/>
      <c r="H643" s="380"/>
      <c r="I643" s="428"/>
      <c r="J643" s="429"/>
      <c r="K643" s="380"/>
      <c r="L643" s="415"/>
      <c r="M643" s="380"/>
      <c r="N643" s="380"/>
      <c r="O643" s="430"/>
      <c r="P643" s="380"/>
      <c r="Q643" s="380"/>
      <c r="R643" s="380"/>
      <c r="S643" s="380"/>
      <c r="T643" s="380"/>
      <c r="U643" s="380"/>
      <c r="V643" s="380"/>
      <c r="W643" s="380"/>
      <c r="X643" s="380"/>
      <c r="Y643" s="380"/>
      <c r="Z643" s="380"/>
      <c r="AA643" s="380"/>
    </row>
    <row r="644">
      <c r="A644" s="380"/>
      <c r="B644" s="380"/>
      <c r="C644" s="380"/>
      <c r="D644" s="380"/>
      <c r="E644" s="380"/>
      <c r="F644" s="415"/>
      <c r="G644" s="380"/>
      <c r="H644" s="380"/>
      <c r="I644" s="428"/>
      <c r="J644" s="429"/>
      <c r="K644" s="380"/>
      <c r="L644" s="415"/>
      <c r="M644" s="380"/>
      <c r="N644" s="380"/>
      <c r="O644" s="430"/>
      <c r="P644" s="380"/>
      <c r="Q644" s="380"/>
      <c r="R644" s="380"/>
      <c r="S644" s="380"/>
      <c r="T644" s="380"/>
      <c r="U644" s="380"/>
      <c r="V644" s="380"/>
      <c r="W644" s="380"/>
      <c r="X644" s="380"/>
      <c r="Y644" s="380"/>
      <c r="Z644" s="380"/>
      <c r="AA644" s="380"/>
    </row>
    <row r="645">
      <c r="A645" s="380"/>
      <c r="B645" s="380"/>
      <c r="C645" s="380"/>
      <c r="D645" s="380"/>
      <c r="E645" s="380"/>
      <c r="F645" s="415"/>
      <c r="G645" s="380"/>
      <c r="H645" s="380"/>
      <c r="I645" s="428"/>
      <c r="J645" s="429"/>
      <c r="K645" s="380"/>
      <c r="L645" s="415"/>
      <c r="M645" s="380"/>
      <c r="N645" s="380"/>
      <c r="O645" s="430"/>
      <c r="P645" s="380"/>
      <c r="Q645" s="380"/>
      <c r="R645" s="380"/>
      <c r="S645" s="380"/>
      <c r="T645" s="380"/>
      <c r="U645" s="380"/>
      <c r="V645" s="380"/>
      <c r="W645" s="380"/>
      <c r="X645" s="380"/>
      <c r="Y645" s="380"/>
      <c r="Z645" s="380"/>
      <c r="AA645" s="380"/>
    </row>
    <row r="646">
      <c r="A646" s="380"/>
      <c r="B646" s="380"/>
      <c r="C646" s="380"/>
      <c r="D646" s="380"/>
      <c r="E646" s="380"/>
      <c r="F646" s="415"/>
      <c r="G646" s="380"/>
      <c r="H646" s="380"/>
      <c r="I646" s="428"/>
      <c r="J646" s="429"/>
      <c r="K646" s="380"/>
      <c r="L646" s="415"/>
      <c r="M646" s="380"/>
      <c r="N646" s="380"/>
      <c r="O646" s="430"/>
      <c r="P646" s="380"/>
      <c r="Q646" s="380"/>
      <c r="R646" s="380"/>
      <c r="S646" s="380"/>
      <c r="T646" s="380"/>
      <c r="U646" s="380"/>
      <c r="V646" s="380"/>
      <c r="W646" s="380"/>
      <c r="X646" s="380"/>
      <c r="Y646" s="380"/>
      <c r="Z646" s="380"/>
      <c r="AA646" s="380"/>
    </row>
    <row r="647">
      <c r="A647" s="380"/>
      <c r="B647" s="380"/>
      <c r="C647" s="380"/>
      <c r="D647" s="380"/>
      <c r="E647" s="380"/>
      <c r="F647" s="415"/>
      <c r="G647" s="380"/>
      <c r="H647" s="380"/>
      <c r="I647" s="428"/>
      <c r="J647" s="429"/>
      <c r="K647" s="380"/>
      <c r="L647" s="415"/>
      <c r="M647" s="380"/>
      <c r="N647" s="380"/>
      <c r="O647" s="430"/>
      <c r="P647" s="380"/>
      <c r="Q647" s="380"/>
      <c r="R647" s="380"/>
      <c r="S647" s="380"/>
      <c r="T647" s="380"/>
      <c r="U647" s="380"/>
      <c r="V647" s="380"/>
      <c r="W647" s="380"/>
      <c r="X647" s="380"/>
      <c r="Y647" s="380"/>
      <c r="Z647" s="380"/>
      <c r="AA647" s="380"/>
    </row>
    <row r="648">
      <c r="A648" s="380"/>
      <c r="B648" s="380"/>
      <c r="C648" s="380"/>
      <c r="D648" s="380"/>
      <c r="E648" s="380"/>
      <c r="F648" s="415"/>
      <c r="G648" s="380"/>
      <c r="H648" s="380"/>
      <c r="I648" s="428"/>
      <c r="J648" s="429"/>
      <c r="K648" s="380"/>
      <c r="L648" s="415"/>
      <c r="M648" s="380"/>
      <c r="N648" s="380"/>
      <c r="O648" s="430"/>
      <c r="P648" s="380"/>
      <c r="Q648" s="380"/>
      <c r="R648" s="380"/>
      <c r="S648" s="380"/>
      <c r="T648" s="380"/>
      <c r="U648" s="380"/>
      <c r="V648" s="380"/>
      <c r="W648" s="380"/>
      <c r="X648" s="380"/>
      <c r="Y648" s="380"/>
      <c r="Z648" s="380"/>
      <c r="AA648" s="380"/>
    </row>
    <row r="649">
      <c r="A649" s="380"/>
      <c r="B649" s="380"/>
      <c r="C649" s="380"/>
      <c r="D649" s="380"/>
      <c r="E649" s="380"/>
      <c r="F649" s="415"/>
      <c r="G649" s="380"/>
      <c r="H649" s="380"/>
      <c r="I649" s="428"/>
      <c r="J649" s="429"/>
      <c r="K649" s="380"/>
      <c r="L649" s="415"/>
      <c r="M649" s="380"/>
      <c r="N649" s="380"/>
      <c r="O649" s="430"/>
      <c r="P649" s="380"/>
      <c r="Q649" s="380"/>
      <c r="R649" s="380"/>
      <c r="S649" s="380"/>
      <c r="T649" s="380"/>
      <c r="U649" s="380"/>
      <c r="V649" s="380"/>
      <c r="W649" s="380"/>
      <c r="X649" s="380"/>
      <c r="Y649" s="380"/>
      <c r="Z649" s="380"/>
      <c r="AA649" s="380"/>
    </row>
    <row r="650">
      <c r="A650" s="380"/>
      <c r="B650" s="380"/>
      <c r="C650" s="380"/>
      <c r="D650" s="380"/>
      <c r="E650" s="380"/>
      <c r="F650" s="415"/>
      <c r="G650" s="380"/>
      <c r="H650" s="380"/>
      <c r="I650" s="428"/>
      <c r="J650" s="429"/>
      <c r="K650" s="380"/>
      <c r="L650" s="415"/>
      <c r="M650" s="380"/>
      <c r="N650" s="380"/>
      <c r="O650" s="430"/>
      <c r="P650" s="380"/>
      <c r="Q650" s="380"/>
      <c r="R650" s="380"/>
      <c r="S650" s="380"/>
      <c r="T650" s="380"/>
      <c r="U650" s="380"/>
      <c r="V650" s="380"/>
      <c r="W650" s="380"/>
      <c r="X650" s="380"/>
      <c r="Y650" s="380"/>
      <c r="Z650" s="380"/>
      <c r="AA650" s="380"/>
    </row>
    <row r="651">
      <c r="A651" s="380"/>
      <c r="B651" s="380"/>
      <c r="C651" s="380"/>
      <c r="D651" s="380"/>
      <c r="E651" s="380"/>
      <c r="F651" s="415"/>
      <c r="G651" s="380"/>
      <c r="H651" s="380"/>
      <c r="I651" s="428"/>
      <c r="J651" s="429"/>
      <c r="K651" s="380"/>
      <c r="L651" s="415"/>
      <c r="M651" s="380"/>
      <c r="N651" s="380"/>
      <c r="O651" s="430"/>
      <c r="P651" s="380"/>
      <c r="Q651" s="380"/>
      <c r="R651" s="380"/>
      <c r="S651" s="380"/>
      <c r="T651" s="380"/>
      <c r="U651" s="380"/>
      <c r="V651" s="380"/>
      <c r="W651" s="380"/>
      <c r="X651" s="380"/>
      <c r="Y651" s="380"/>
      <c r="Z651" s="380"/>
      <c r="AA651" s="380"/>
    </row>
    <row r="652">
      <c r="A652" s="380"/>
      <c r="B652" s="380"/>
      <c r="C652" s="380"/>
      <c r="D652" s="380"/>
      <c r="E652" s="380"/>
      <c r="F652" s="415"/>
      <c r="G652" s="380"/>
      <c r="H652" s="380"/>
      <c r="I652" s="428"/>
      <c r="J652" s="429"/>
      <c r="K652" s="380"/>
      <c r="L652" s="415"/>
      <c r="M652" s="380"/>
      <c r="N652" s="380"/>
      <c r="O652" s="430"/>
      <c r="P652" s="380"/>
      <c r="Q652" s="380"/>
      <c r="R652" s="380"/>
      <c r="S652" s="380"/>
      <c r="T652" s="380"/>
      <c r="U652" s="380"/>
      <c r="V652" s="380"/>
      <c r="W652" s="380"/>
      <c r="X652" s="380"/>
      <c r="Y652" s="380"/>
      <c r="Z652" s="380"/>
      <c r="AA652" s="380"/>
    </row>
    <row r="653">
      <c r="A653" s="380"/>
      <c r="B653" s="380"/>
      <c r="C653" s="380"/>
      <c r="D653" s="380"/>
      <c r="E653" s="380"/>
      <c r="F653" s="415"/>
      <c r="G653" s="380"/>
      <c r="H653" s="380"/>
      <c r="I653" s="428"/>
      <c r="J653" s="429"/>
      <c r="K653" s="380"/>
      <c r="L653" s="415"/>
      <c r="M653" s="380"/>
      <c r="N653" s="380"/>
      <c r="O653" s="430"/>
      <c r="P653" s="380"/>
      <c r="Q653" s="380"/>
      <c r="R653" s="380"/>
      <c r="S653" s="380"/>
      <c r="T653" s="380"/>
      <c r="U653" s="380"/>
      <c r="V653" s="380"/>
      <c r="W653" s="380"/>
      <c r="X653" s="380"/>
      <c r="Y653" s="380"/>
      <c r="Z653" s="380"/>
      <c r="AA653" s="380"/>
    </row>
    <row r="654">
      <c r="A654" s="380"/>
      <c r="B654" s="380"/>
      <c r="C654" s="380"/>
      <c r="D654" s="380"/>
      <c r="E654" s="380"/>
      <c r="F654" s="415"/>
      <c r="G654" s="380"/>
      <c r="H654" s="380"/>
      <c r="I654" s="428"/>
      <c r="J654" s="429"/>
      <c r="K654" s="380"/>
      <c r="L654" s="415"/>
      <c r="M654" s="380"/>
      <c r="N654" s="380"/>
      <c r="O654" s="430"/>
      <c r="P654" s="380"/>
      <c r="Q654" s="380"/>
      <c r="R654" s="380"/>
      <c r="S654" s="380"/>
      <c r="T654" s="380"/>
      <c r="U654" s="380"/>
      <c r="V654" s="380"/>
      <c r="W654" s="380"/>
      <c r="X654" s="380"/>
      <c r="Y654" s="380"/>
      <c r="Z654" s="380"/>
      <c r="AA654" s="380"/>
    </row>
    <row r="655">
      <c r="A655" s="380"/>
      <c r="B655" s="380"/>
      <c r="C655" s="380"/>
      <c r="D655" s="380"/>
      <c r="E655" s="380"/>
      <c r="F655" s="415"/>
      <c r="G655" s="380"/>
      <c r="H655" s="380"/>
      <c r="I655" s="428"/>
      <c r="J655" s="429"/>
      <c r="K655" s="380"/>
      <c r="L655" s="415"/>
      <c r="M655" s="380"/>
      <c r="N655" s="380"/>
      <c r="O655" s="430"/>
      <c r="P655" s="380"/>
      <c r="Q655" s="380"/>
      <c r="R655" s="380"/>
      <c r="S655" s="380"/>
      <c r="T655" s="380"/>
      <c r="U655" s="380"/>
      <c r="V655" s="380"/>
      <c r="W655" s="380"/>
      <c r="X655" s="380"/>
      <c r="Y655" s="380"/>
      <c r="Z655" s="380"/>
      <c r="AA655" s="380"/>
    </row>
    <row r="656">
      <c r="A656" s="380"/>
      <c r="B656" s="380"/>
      <c r="C656" s="380"/>
      <c r="D656" s="380"/>
      <c r="E656" s="380"/>
      <c r="F656" s="415"/>
      <c r="G656" s="380"/>
      <c r="H656" s="380"/>
      <c r="I656" s="428"/>
      <c r="J656" s="429"/>
      <c r="K656" s="380"/>
      <c r="L656" s="415"/>
      <c r="M656" s="380"/>
      <c r="N656" s="380"/>
      <c r="O656" s="430"/>
      <c r="P656" s="380"/>
      <c r="Q656" s="380"/>
      <c r="R656" s="380"/>
      <c r="S656" s="380"/>
      <c r="T656" s="380"/>
      <c r="U656" s="380"/>
      <c r="V656" s="380"/>
      <c r="W656" s="380"/>
      <c r="X656" s="380"/>
      <c r="Y656" s="380"/>
      <c r="Z656" s="380"/>
      <c r="AA656" s="380"/>
    </row>
    <row r="657">
      <c r="A657" s="380"/>
      <c r="B657" s="380"/>
      <c r="C657" s="380"/>
      <c r="D657" s="380"/>
      <c r="E657" s="380"/>
      <c r="F657" s="415"/>
      <c r="G657" s="380"/>
      <c r="H657" s="380"/>
      <c r="I657" s="428"/>
      <c r="J657" s="429"/>
      <c r="K657" s="380"/>
      <c r="L657" s="415"/>
      <c r="M657" s="380"/>
      <c r="N657" s="380"/>
      <c r="O657" s="430"/>
      <c r="P657" s="380"/>
      <c r="Q657" s="380"/>
      <c r="R657" s="380"/>
      <c r="S657" s="380"/>
      <c r="T657" s="380"/>
      <c r="U657" s="380"/>
      <c r="V657" s="380"/>
      <c r="W657" s="380"/>
      <c r="X657" s="380"/>
      <c r="Y657" s="380"/>
      <c r="Z657" s="380"/>
      <c r="AA657" s="380"/>
    </row>
    <row r="658">
      <c r="A658" s="380"/>
      <c r="B658" s="380"/>
      <c r="C658" s="380"/>
      <c r="D658" s="380"/>
      <c r="E658" s="380"/>
      <c r="F658" s="415"/>
      <c r="G658" s="380"/>
      <c r="H658" s="380"/>
      <c r="I658" s="428"/>
      <c r="J658" s="429"/>
      <c r="K658" s="380"/>
      <c r="L658" s="415"/>
      <c r="M658" s="380"/>
      <c r="N658" s="380"/>
      <c r="O658" s="430"/>
      <c r="P658" s="380"/>
      <c r="Q658" s="380"/>
      <c r="R658" s="380"/>
      <c r="S658" s="380"/>
      <c r="T658" s="380"/>
      <c r="U658" s="380"/>
      <c r="V658" s="380"/>
      <c r="W658" s="380"/>
      <c r="X658" s="380"/>
      <c r="Y658" s="380"/>
      <c r="Z658" s="380"/>
      <c r="AA658" s="380"/>
    </row>
    <row r="659">
      <c r="A659" s="380"/>
      <c r="B659" s="380"/>
      <c r="C659" s="380"/>
      <c r="D659" s="380"/>
      <c r="E659" s="380"/>
      <c r="F659" s="415"/>
      <c r="G659" s="380"/>
      <c r="H659" s="380"/>
      <c r="I659" s="428"/>
      <c r="J659" s="429"/>
      <c r="K659" s="380"/>
      <c r="L659" s="415"/>
      <c r="M659" s="380"/>
      <c r="N659" s="380"/>
      <c r="O659" s="430"/>
      <c r="P659" s="380"/>
      <c r="Q659" s="380"/>
      <c r="R659" s="380"/>
      <c r="S659" s="380"/>
      <c r="T659" s="380"/>
      <c r="U659" s="380"/>
      <c r="V659" s="380"/>
      <c r="W659" s="380"/>
      <c r="X659" s="380"/>
      <c r="Y659" s="380"/>
      <c r="Z659" s="380"/>
      <c r="AA659" s="380"/>
    </row>
    <row r="660">
      <c r="A660" s="380"/>
      <c r="B660" s="380"/>
      <c r="C660" s="380"/>
      <c r="D660" s="380"/>
      <c r="E660" s="380"/>
      <c r="F660" s="415"/>
      <c r="G660" s="380"/>
      <c r="H660" s="380"/>
      <c r="I660" s="428"/>
      <c r="J660" s="429"/>
      <c r="K660" s="380"/>
      <c r="L660" s="415"/>
      <c r="M660" s="380"/>
      <c r="N660" s="380"/>
      <c r="O660" s="430"/>
      <c r="P660" s="380"/>
      <c r="Q660" s="380"/>
      <c r="R660" s="380"/>
      <c r="S660" s="380"/>
      <c r="T660" s="380"/>
      <c r="U660" s="380"/>
      <c r="V660" s="380"/>
      <c r="W660" s="380"/>
      <c r="X660" s="380"/>
      <c r="Y660" s="380"/>
      <c r="Z660" s="380"/>
      <c r="AA660" s="380"/>
    </row>
    <row r="661">
      <c r="A661" s="380"/>
      <c r="B661" s="380"/>
      <c r="C661" s="380"/>
      <c r="D661" s="380"/>
      <c r="E661" s="380"/>
      <c r="F661" s="415"/>
      <c r="G661" s="380"/>
      <c r="H661" s="380"/>
      <c r="I661" s="428"/>
      <c r="J661" s="429"/>
      <c r="K661" s="380"/>
      <c r="L661" s="415"/>
      <c r="M661" s="380"/>
      <c r="N661" s="380"/>
      <c r="O661" s="430"/>
      <c r="P661" s="380"/>
      <c r="Q661" s="380"/>
      <c r="R661" s="380"/>
      <c r="S661" s="380"/>
      <c r="T661" s="380"/>
      <c r="U661" s="380"/>
      <c r="V661" s="380"/>
      <c r="W661" s="380"/>
      <c r="X661" s="380"/>
      <c r="Y661" s="380"/>
      <c r="Z661" s="380"/>
      <c r="AA661" s="380"/>
    </row>
    <row r="662">
      <c r="A662" s="380"/>
      <c r="B662" s="380"/>
      <c r="C662" s="380"/>
      <c r="D662" s="380"/>
      <c r="E662" s="380"/>
      <c r="F662" s="415"/>
      <c r="G662" s="380"/>
      <c r="H662" s="380"/>
      <c r="I662" s="428"/>
      <c r="J662" s="429"/>
      <c r="K662" s="380"/>
      <c r="L662" s="415"/>
      <c r="M662" s="380"/>
      <c r="N662" s="380"/>
      <c r="O662" s="430"/>
      <c r="P662" s="380"/>
      <c r="Q662" s="380"/>
      <c r="R662" s="380"/>
      <c r="S662" s="380"/>
      <c r="T662" s="380"/>
      <c r="U662" s="380"/>
      <c r="V662" s="380"/>
      <c r="W662" s="380"/>
      <c r="X662" s="380"/>
      <c r="Y662" s="380"/>
      <c r="Z662" s="380"/>
      <c r="AA662" s="380"/>
    </row>
    <row r="663">
      <c r="A663" s="380"/>
      <c r="B663" s="380"/>
      <c r="C663" s="380"/>
      <c r="D663" s="380"/>
      <c r="E663" s="380"/>
      <c r="F663" s="415"/>
      <c r="G663" s="380"/>
      <c r="H663" s="380"/>
      <c r="I663" s="428"/>
      <c r="J663" s="429"/>
      <c r="K663" s="380"/>
      <c r="L663" s="415"/>
      <c r="M663" s="380"/>
      <c r="N663" s="380"/>
      <c r="O663" s="430"/>
      <c r="P663" s="380"/>
      <c r="Q663" s="380"/>
      <c r="R663" s="380"/>
      <c r="S663" s="380"/>
      <c r="T663" s="380"/>
      <c r="U663" s="380"/>
      <c r="V663" s="380"/>
      <c r="W663" s="380"/>
      <c r="X663" s="380"/>
      <c r="Y663" s="380"/>
      <c r="Z663" s="380"/>
      <c r="AA663" s="380"/>
    </row>
    <row r="664">
      <c r="A664" s="380"/>
      <c r="B664" s="380"/>
      <c r="C664" s="380"/>
      <c r="D664" s="380"/>
      <c r="E664" s="380"/>
      <c r="F664" s="415"/>
      <c r="G664" s="380"/>
      <c r="H664" s="380"/>
      <c r="I664" s="428"/>
      <c r="J664" s="429"/>
      <c r="K664" s="380"/>
      <c r="L664" s="415"/>
      <c r="M664" s="380"/>
      <c r="N664" s="380"/>
      <c r="O664" s="430"/>
      <c r="P664" s="380"/>
      <c r="Q664" s="380"/>
      <c r="R664" s="380"/>
      <c r="S664" s="380"/>
      <c r="T664" s="380"/>
      <c r="U664" s="380"/>
      <c r="V664" s="380"/>
      <c r="W664" s="380"/>
      <c r="X664" s="380"/>
      <c r="Y664" s="380"/>
      <c r="Z664" s="380"/>
      <c r="AA664" s="380"/>
    </row>
    <row r="665">
      <c r="A665" s="380"/>
      <c r="B665" s="380"/>
      <c r="C665" s="380"/>
      <c r="D665" s="380"/>
      <c r="E665" s="380"/>
      <c r="F665" s="415"/>
      <c r="G665" s="380"/>
      <c r="H665" s="380"/>
      <c r="I665" s="428"/>
      <c r="J665" s="429"/>
      <c r="K665" s="380"/>
      <c r="L665" s="415"/>
      <c r="M665" s="380"/>
      <c r="N665" s="380"/>
      <c r="O665" s="430"/>
      <c r="P665" s="380"/>
      <c r="Q665" s="380"/>
      <c r="R665" s="380"/>
      <c r="S665" s="380"/>
      <c r="T665" s="380"/>
      <c r="U665" s="380"/>
      <c r="V665" s="380"/>
      <c r="W665" s="380"/>
      <c r="X665" s="380"/>
      <c r="Y665" s="380"/>
      <c r="Z665" s="380"/>
      <c r="AA665" s="380"/>
    </row>
    <row r="666">
      <c r="A666" s="380"/>
      <c r="B666" s="380"/>
      <c r="C666" s="380"/>
      <c r="D666" s="380"/>
      <c r="E666" s="380"/>
      <c r="F666" s="415"/>
      <c r="G666" s="380"/>
      <c r="H666" s="380"/>
      <c r="I666" s="428"/>
      <c r="J666" s="429"/>
      <c r="K666" s="380"/>
      <c r="L666" s="415"/>
      <c r="M666" s="380"/>
      <c r="N666" s="380"/>
      <c r="O666" s="430"/>
      <c r="P666" s="380"/>
      <c r="Q666" s="380"/>
      <c r="R666" s="380"/>
      <c r="S666" s="380"/>
      <c r="T666" s="380"/>
      <c r="U666" s="380"/>
      <c r="V666" s="380"/>
      <c r="W666" s="380"/>
      <c r="X666" s="380"/>
      <c r="Y666" s="380"/>
      <c r="Z666" s="380"/>
      <c r="AA666" s="380"/>
    </row>
    <row r="667">
      <c r="A667" s="380"/>
      <c r="B667" s="380"/>
      <c r="C667" s="380"/>
      <c r="D667" s="380"/>
      <c r="E667" s="380"/>
      <c r="F667" s="415"/>
      <c r="G667" s="380"/>
      <c r="H667" s="380"/>
      <c r="I667" s="428"/>
      <c r="J667" s="429"/>
      <c r="K667" s="380"/>
      <c r="L667" s="415"/>
      <c r="M667" s="380"/>
      <c r="N667" s="380"/>
      <c r="O667" s="430"/>
      <c r="P667" s="380"/>
      <c r="Q667" s="380"/>
      <c r="R667" s="380"/>
      <c r="S667" s="380"/>
      <c r="T667" s="380"/>
      <c r="U667" s="380"/>
      <c r="V667" s="380"/>
      <c r="W667" s="380"/>
      <c r="X667" s="380"/>
      <c r="Y667" s="380"/>
      <c r="Z667" s="380"/>
      <c r="AA667" s="380"/>
    </row>
    <row r="668">
      <c r="A668" s="380"/>
      <c r="B668" s="380"/>
      <c r="C668" s="380"/>
      <c r="D668" s="380"/>
      <c r="E668" s="380"/>
      <c r="F668" s="415"/>
      <c r="G668" s="380"/>
      <c r="H668" s="380"/>
      <c r="I668" s="428"/>
      <c r="J668" s="429"/>
      <c r="K668" s="380"/>
      <c r="L668" s="415"/>
      <c r="M668" s="380"/>
      <c r="N668" s="380"/>
      <c r="O668" s="430"/>
      <c r="P668" s="380"/>
      <c r="Q668" s="380"/>
      <c r="R668" s="380"/>
      <c r="S668" s="380"/>
      <c r="T668" s="380"/>
      <c r="U668" s="380"/>
      <c r="V668" s="380"/>
      <c r="W668" s="380"/>
      <c r="X668" s="380"/>
      <c r="Y668" s="380"/>
      <c r="Z668" s="380"/>
      <c r="AA668" s="380"/>
    </row>
    <row r="669">
      <c r="A669" s="380"/>
      <c r="B669" s="380"/>
      <c r="C669" s="380"/>
      <c r="D669" s="380"/>
      <c r="E669" s="380"/>
      <c r="F669" s="415"/>
      <c r="G669" s="380"/>
      <c r="H669" s="380"/>
      <c r="I669" s="428"/>
      <c r="J669" s="429"/>
      <c r="K669" s="380"/>
      <c r="L669" s="415"/>
      <c r="M669" s="380"/>
      <c r="N669" s="380"/>
      <c r="O669" s="430"/>
      <c r="P669" s="380"/>
      <c r="Q669" s="380"/>
      <c r="R669" s="380"/>
      <c r="S669" s="380"/>
      <c r="T669" s="380"/>
      <c r="U669" s="380"/>
      <c r="V669" s="380"/>
      <c r="W669" s="380"/>
      <c r="X669" s="380"/>
      <c r="Y669" s="380"/>
      <c r="Z669" s="380"/>
      <c r="AA669" s="380"/>
    </row>
    <row r="670">
      <c r="A670" s="380"/>
      <c r="B670" s="380"/>
      <c r="C670" s="380"/>
      <c r="D670" s="380"/>
      <c r="E670" s="380"/>
      <c r="F670" s="415"/>
      <c r="G670" s="380"/>
      <c r="H670" s="380"/>
      <c r="I670" s="428"/>
      <c r="J670" s="429"/>
      <c r="K670" s="380"/>
      <c r="L670" s="415"/>
      <c r="M670" s="380"/>
      <c r="N670" s="380"/>
      <c r="O670" s="430"/>
      <c r="P670" s="380"/>
      <c r="Q670" s="380"/>
      <c r="R670" s="380"/>
      <c r="S670" s="380"/>
      <c r="T670" s="380"/>
      <c r="U670" s="380"/>
      <c r="V670" s="380"/>
      <c r="W670" s="380"/>
      <c r="X670" s="380"/>
      <c r="Y670" s="380"/>
      <c r="Z670" s="380"/>
      <c r="AA670" s="380"/>
    </row>
    <row r="671">
      <c r="A671" s="380"/>
      <c r="B671" s="380"/>
      <c r="C671" s="380"/>
      <c r="D671" s="380"/>
      <c r="E671" s="380"/>
      <c r="F671" s="415"/>
      <c r="G671" s="380"/>
      <c r="H671" s="380"/>
      <c r="I671" s="428"/>
      <c r="J671" s="429"/>
      <c r="K671" s="380"/>
      <c r="L671" s="415"/>
      <c r="M671" s="380"/>
      <c r="N671" s="380"/>
      <c r="O671" s="430"/>
      <c r="P671" s="380"/>
      <c r="Q671" s="380"/>
      <c r="R671" s="380"/>
      <c r="S671" s="380"/>
      <c r="T671" s="380"/>
      <c r="U671" s="380"/>
      <c r="V671" s="380"/>
      <c r="W671" s="380"/>
      <c r="X671" s="380"/>
      <c r="Y671" s="380"/>
      <c r="Z671" s="380"/>
      <c r="AA671" s="380"/>
    </row>
    <row r="672">
      <c r="A672" s="380"/>
      <c r="B672" s="380"/>
      <c r="C672" s="380"/>
      <c r="D672" s="380"/>
      <c r="E672" s="380"/>
      <c r="F672" s="415"/>
      <c r="G672" s="380"/>
      <c r="H672" s="380"/>
      <c r="I672" s="428"/>
      <c r="J672" s="429"/>
      <c r="K672" s="380"/>
      <c r="L672" s="415"/>
      <c r="M672" s="380"/>
      <c r="N672" s="380"/>
      <c r="O672" s="430"/>
      <c r="P672" s="380"/>
      <c r="Q672" s="380"/>
      <c r="R672" s="380"/>
      <c r="S672" s="380"/>
      <c r="T672" s="380"/>
      <c r="U672" s="380"/>
      <c r="V672" s="380"/>
      <c r="W672" s="380"/>
      <c r="X672" s="380"/>
      <c r="Y672" s="380"/>
      <c r="Z672" s="380"/>
      <c r="AA672" s="380"/>
    </row>
    <row r="673">
      <c r="A673" s="380"/>
      <c r="B673" s="380"/>
      <c r="C673" s="380"/>
      <c r="D673" s="380"/>
      <c r="E673" s="380"/>
      <c r="F673" s="415"/>
      <c r="G673" s="380"/>
      <c r="H673" s="380"/>
      <c r="I673" s="428"/>
      <c r="J673" s="429"/>
      <c r="K673" s="380"/>
      <c r="L673" s="415"/>
      <c r="M673" s="380"/>
      <c r="N673" s="380"/>
      <c r="O673" s="430"/>
      <c r="P673" s="380"/>
      <c r="Q673" s="380"/>
      <c r="R673" s="380"/>
      <c r="S673" s="380"/>
      <c r="T673" s="380"/>
      <c r="U673" s="380"/>
      <c r="V673" s="380"/>
      <c r="W673" s="380"/>
      <c r="X673" s="380"/>
      <c r="Y673" s="380"/>
      <c r="Z673" s="380"/>
      <c r="AA673" s="380"/>
    </row>
    <row r="674">
      <c r="A674" s="380"/>
      <c r="B674" s="380"/>
      <c r="C674" s="380"/>
      <c r="D674" s="380"/>
      <c r="E674" s="380"/>
      <c r="F674" s="415"/>
      <c r="G674" s="380"/>
      <c r="H674" s="380"/>
      <c r="I674" s="428"/>
      <c r="J674" s="429"/>
      <c r="K674" s="380"/>
      <c r="L674" s="415"/>
      <c r="M674" s="380"/>
      <c r="N674" s="380"/>
      <c r="O674" s="430"/>
      <c r="P674" s="380"/>
      <c r="Q674" s="380"/>
      <c r="R674" s="380"/>
      <c r="S674" s="380"/>
      <c r="T674" s="380"/>
      <c r="U674" s="380"/>
      <c r="V674" s="380"/>
      <c r="W674" s="380"/>
      <c r="X674" s="380"/>
      <c r="Y674" s="380"/>
      <c r="Z674" s="380"/>
      <c r="AA674" s="380"/>
    </row>
    <row r="675">
      <c r="A675" s="380"/>
      <c r="B675" s="380"/>
      <c r="C675" s="380"/>
      <c r="D675" s="380"/>
      <c r="E675" s="380"/>
      <c r="F675" s="415"/>
      <c r="G675" s="380"/>
      <c r="H675" s="380"/>
      <c r="I675" s="428"/>
      <c r="J675" s="429"/>
      <c r="K675" s="380"/>
      <c r="L675" s="415"/>
      <c r="M675" s="380"/>
      <c r="N675" s="380"/>
      <c r="O675" s="430"/>
      <c r="P675" s="380"/>
      <c r="Q675" s="380"/>
      <c r="R675" s="380"/>
      <c r="S675" s="380"/>
      <c r="T675" s="380"/>
      <c r="U675" s="380"/>
      <c r="V675" s="380"/>
      <c r="W675" s="380"/>
      <c r="X675" s="380"/>
      <c r="Y675" s="380"/>
      <c r="Z675" s="380"/>
      <c r="AA675" s="380"/>
    </row>
    <row r="676">
      <c r="A676" s="380"/>
      <c r="B676" s="380"/>
      <c r="C676" s="380"/>
      <c r="D676" s="380"/>
      <c r="E676" s="380"/>
      <c r="F676" s="415"/>
      <c r="G676" s="380"/>
      <c r="H676" s="380"/>
      <c r="I676" s="428"/>
      <c r="J676" s="429"/>
      <c r="K676" s="380"/>
      <c r="L676" s="415"/>
      <c r="M676" s="380"/>
      <c r="N676" s="380"/>
      <c r="O676" s="430"/>
      <c r="P676" s="380"/>
      <c r="Q676" s="380"/>
      <c r="R676" s="380"/>
      <c r="S676" s="380"/>
      <c r="T676" s="380"/>
      <c r="U676" s="380"/>
      <c r="V676" s="380"/>
      <c r="W676" s="380"/>
      <c r="X676" s="380"/>
      <c r="Y676" s="380"/>
      <c r="Z676" s="380"/>
      <c r="AA676" s="380"/>
    </row>
    <row r="677">
      <c r="A677" s="380"/>
      <c r="B677" s="380"/>
      <c r="C677" s="380"/>
      <c r="D677" s="380"/>
      <c r="E677" s="380"/>
      <c r="F677" s="415"/>
      <c r="G677" s="380"/>
      <c r="H677" s="380"/>
      <c r="I677" s="428"/>
      <c r="J677" s="429"/>
      <c r="K677" s="380"/>
      <c r="L677" s="415"/>
      <c r="M677" s="380"/>
      <c r="N677" s="380"/>
      <c r="O677" s="430"/>
      <c r="P677" s="380"/>
      <c r="Q677" s="380"/>
      <c r="R677" s="380"/>
      <c r="S677" s="380"/>
      <c r="T677" s="380"/>
      <c r="U677" s="380"/>
      <c r="V677" s="380"/>
      <c r="W677" s="380"/>
      <c r="X677" s="380"/>
      <c r="Y677" s="380"/>
      <c r="Z677" s="380"/>
      <c r="AA677" s="380"/>
    </row>
    <row r="678">
      <c r="A678" s="380"/>
      <c r="B678" s="380"/>
      <c r="C678" s="380"/>
      <c r="D678" s="380"/>
      <c r="E678" s="380"/>
      <c r="F678" s="415"/>
      <c r="G678" s="380"/>
      <c r="H678" s="380"/>
      <c r="I678" s="428"/>
      <c r="J678" s="429"/>
      <c r="K678" s="380"/>
      <c r="L678" s="415"/>
      <c r="M678" s="380"/>
      <c r="N678" s="380"/>
      <c r="O678" s="430"/>
      <c r="P678" s="380"/>
      <c r="Q678" s="380"/>
      <c r="R678" s="380"/>
      <c r="S678" s="380"/>
      <c r="T678" s="380"/>
      <c r="U678" s="380"/>
      <c r="V678" s="380"/>
      <c r="W678" s="380"/>
      <c r="X678" s="380"/>
      <c r="Y678" s="380"/>
      <c r="Z678" s="380"/>
      <c r="AA678" s="380"/>
    </row>
    <row r="679">
      <c r="A679" s="380"/>
      <c r="B679" s="380"/>
      <c r="C679" s="380"/>
      <c r="D679" s="380"/>
      <c r="E679" s="380"/>
      <c r="F679" s="415"/>
      <c r="G679" s="380"/>
      <c r="H679" s="380"/>
      <c r="I679" s="428"/>
      <c r="J679" s="429"/>
      <c r="K679" s="380"/>
      <c r="L679" s="415"/>
      <c r="M679" s="380"/>
      <c r="N679" s="380"/>
      <c r="O679" s="430"/>
      <c r="P679" s="380"/>
      <c r="Q679" s="380"/>
      <c r="R679" s="380"/>
      <c r="S679" s="380"/>
      <c r="T679" s="380"/>
      <c r="U679" s="380"/>
      <c r="V679" s="380"/>
      <c r="W679" s="380"/>
      <c r="X679" s="380"/>
      <c r="Y679" s="380"/>
      <c r="Z679" s="380"/>
      <c r="AA679" s="380"/>
    </row>
    <row r="680">
      <c r="A680" s="380"/>
      <c r="B680" s="380"/>
      <c r="C680" s="380"/>
      <c r="D680" s="380"/>
      <c r="E680" s="380"/>
      <c r="F680" s="415"/>
      <c r="G680" s="380"/>
      <c r="H680" s="380"/>
      <c r="I680" s="428"/>
      <c r="J680" s="429"/>
      <c r="K680" s="380"/>
      <c r="L680" s="415"/>
      <c r="M680" s="380"/>
      <c r="N680" s="380"/>
      <c r="O680" s="430"/>
      <c r="P680" s="380"/>
      <c r="Q680" s="380"/>
      <c r="R680" s="380"/>
      <c r="S680" s="380"/>
      <c r="T680" s="380"/>
      <c r="U680" s="380"/>
      <c r="V680" s="380"/>
      <c r="W680" s="380"/>
      <c r="X680" s="380"/>
      <c r="Y680" s="380"/>
      <c r="Z680" s="380"/>
      <c r="AA680" s="380"/>
    </row>
    <row r="681">
      <c r="A681" s="380"/>
      <c r="B681" s="380"/>
      <c r="C681" s="380"/>
      <c r="D681" s="380"/>
      <c r="E681" s="380"/>
      <c r="F681" s="415"/>
      <c r="G681" s="380"/>
      <c r="H681" s="380"/>
      <c r="I681" s="428"/>
      <c r="J681" s="429"/>
      <c r="K681" s="380"/>
      <c r="L681" s="415"/>
      <c r="M681" s="380"/>
      <c r="N681" s="380"/>
      <c r="O681" s="430"/>
      <c r="P681" s="380"/>
      <c r="Q681" s="380"/>
      <c r="R681" s="380"/>
      <c r="S681" s="380"/>
      <c r="T681" s="380"/>
      <c r="U681" s="380"/>
      <c r="V681" s="380"/>
      <c r="W681" s="380"/>
      <c r="X681" s="380"/>
      <c r="Y681" s="380"/>
      <c r="Z681" s="380"/>
      <c r="AA681" s="380"/>
    </row>
    <row r="682">
      <c r="A682" s="380"/>
      <c r="B682" s="380"/>
      <c r="C682" s="380"/>
      <c r="D682" s="380"/>
      <c r="E682" s="380"/>
      <c r="F682" s="415"/>
      <c r="G682" s="380"/>
      <c r="H682" s="380"/>
      <c r="I682" s="428"/>
      <c r="J682" s="429"/>
      <c r="K682" s="380"/>
      <c r="L682" s="415"/>
      <c r="M682" s="380"/>
      <c r="N682" s="380"/>
      <c r="O682" s="430"/>
      <c r="P682" s="380"/>
      <c r="Q682" s="380"/>
      <c r="R682" s="380"/>
      <c r="S682" s="380"/>
      <c r="T682" s="380"/>
      <c r="U682" s="380"/>
      <c r="V682" s="380"/>
      <c r="W682" s="380"/>
      <c r="X682" s="380"/>
      <c r="Y682" s="380"/>
      <c r="Z682" s="380"/>
      <c r="AA682" s="380"/>
    </row>
    <row r="683">
      <c r="A683" s="380"/>
      <c r="B683" s="380"/>
      <c r="C683" s="380"/>
      <c r="D683" s="380"/>
      <c r="E683" s="380"/>
      <c r="F683" s="415"/>
      <c r="G683" s="380"/>
      <c r="H683" s="380"/>
      <c r="I683" s="428"/>
      <c r="J683" s="429"/>
      <c r="K683" s="380"/>
      <c r="L683" s="415"/>
      <c r="M683" s="380"/>
      <c r="N683" s="380"/>
      <c r="O683" s="430"/>
      <c r="P683" s="380"/>
      <c r="Q683" s="380"/>
      <c r="R683" s="380"/>
      <c r="S683" s="380"/>
      <c r="T683" s="380"/>
      <c r="U683" s="380"/>
      <c r="V683" s="380"/>
      <c r="W683" s="380"/>
      <c r="X683" s="380"/>
      <c r="Y683" s="380"/>
      <c r="Z683" s="380"/>
      <c r="AA683" s="380"/>
    </row>
    <row r="684">
      <c r="A684" s="380"/>
      <c r="B684" s="380"/>
      <c r="C684" s="380"/>
      <c r="D684" s="380"/>
      <c r="E684" s="380"/>
      <c r="F684" s="415"/>
      <c r="G684" s="380"/>
      <c r="H684" s="380"/>
      <c r="I684" s="428"/>
      <c r="J684" s="429"/>
      <c r="K684" s="380"/>
      <c r="L684" s="415"/>
      <c r="M684" s="380"/>
      <c r="N684" s="380"/>
      <c r="O684" s="430"/>
      <c r="P684" s="380"/>
      <c r="Q684" s="380"/>
      <c r="R684" s="380"/>
      <c r="S684" s="380"/>
      <c r="T684" s="380"/>
      <c r="U684" s="380"/>
      <c r="V684" s="380"/>
      <c r="W684" s="380"/>
      <c r="X684" s="380"/>
      <c r="Y684" s="380"/>
      <c r="Z684" s="380"/>
      <c r="AA684" s="380"/>
    </row>
    <row r="685">
      <c r="A685" s="380"/>
      <c r="B685" s="380"/>
      <c r="C685" s="380"/>
      <c r="D685" s="380"/>
      <c r="E685" s="380"/>
      <c r="F685" s="415"/>
      <c r="G685" s="380"/>
      <c r="H685" s="380"/>
      <c r="I685" s="428"/>
      <c r="J685" s="429"/>
      <c r="K685" s="380"/>
      <c r="L685" s="415"/>
      <c r="M685" s="380"/>
      <c r="N685" s="380"/>
      <c r="O685" s="430"/>
      <c r="P685" s="380"/>
      <c r="Q685" s="380"/>
      <c r="R685" s="380"/>
      <c r="S685" s="380"/>
      <c r="T685" s="380"/>
      <c r="U685" s="380"/>
      <c r="V685" s="380"/>
      <c r="W685" s="380"/>
      <c r="X685" s="380"/>
      <c r="Y685" s="380"/>
      <c r="Z685" s="380"/>
      <c r="AA685" s="380"/>
    </row>
    <row r="686">
      <c r="A686" s="380"/>
      <c r="B686" s="380"/>
      <c r="C686" s="380"/>
      <c r="D686" s="380"/>
      <c r="E686" s="380"/>
      <c r="F686" s="415"/>
      <c r="G686" s="380"/>
      <c r="H686" s="380"/>
      <c r="I686" s="428"/>
      <c r="J686" s="429"/>
      <c r="K686" s="380"/>
      <c r="L686" s="415"/>
      <c r="M686" s="380"/>
      <c r="N686" s="380"/>
      <c r="O686" s="430"/>
      <c r="P686" s="380"/>
      <c r="Q686" s="380"/>
      <c r="R686" s="380"/>
      <c r="S686" s="380"/>
      <c r="T686" s="380"/>
      <c r="U686" s="380"/>
      <c r="V686" s="380"/>
      <c r="W686" s="380"/>
      <c r="X686" s="380"/>
      <c r="Y686" s="380"/>
      <c r="Z686" s="380"/>
      <c r="AA686" s="380"/>
    </row>
    <row r="687">
      <c r="A687" s="380"/>
      <c r="B687" s="380"/>
      <c r="C687" s="380"/>
      <c r="D687" s="380"/>
      <c r="E687" s="380"/>
      <c r="F687" s="415"/>
      <c r="G687" s="380"/>
      <c r="H687" s="380"/>
      <c r="I687" s="428"/>
      <c r="J687" s="429"/>
      <c r="K687" s="380"/>
      <c r="L687" s="415"/>
      <c r="M687" s="380"/>
      <c r="N687" s="380"/>
      <c r="O687" s="430"/>
      <c r="P687" s="380"/>
      <c r="Q687" s="380"/>
      <c r="R687" s="380"/>
      <c r="S687" s="380"/>
      <c r="T687" s="380"/>
      <c r="U687" s="380"/>
      <c r="V687" s="380"/>
      <c r="W687" s="380"/>
      <c r="X687" s="380"/>
      <c r="Y687" s="380"/>
      <c r="Z687" s="380"/>
      <c r="AA687" s="380"/>
    </row>
    <row r="688">
      <c r="A688" s="380"/>
      <c r="B688" s="380"/>
      <c r="C688" s="380"/>
      <c r="D688" s="380"/>
      <c r="E688" s="380"/>
      <c r="F688" s="415"/>
      <c r="G688" s="380"/>
      <c r="H688" s="380"/>
      <c r="I688" s="428"/>
      <c r="J688" s="429"/>
      <c r="K688" s="380"/>
      <c r="L688" s="415"/>
      <c r="M688" s="380"/>
      <c r="N688" s="380"/>
      <c r="O688" s="430"/>
      <c r="P688" s="380"/>
      <c r="Q688" s="380"/>
      <c r="R688" s="380"/>
      <c r="S688" s="380"/>
      <c r="T688" s="380"/>
      <c r="U688" s="380"/>
      <c r="V688" s="380"/>
      <c r="W688" s="380"/>
      <c r="X688" s="380"/>
      <c r="Y688" s="380"/>
      <c r="Z688" s="380"/>
      <c r="AA688" s="380"/>
    </row>
    <row r="689">
      <c r="A689" s="380"/>
      <c r="B689" s="380"/>
      <c r="C689" s="380"/>
      <c r="D689" s="380"/>
      <c r="E689" s="380"/>
      <c r="F689" s="415"/>
      <c r="G689" s="380"/>
      <c r="H689" s="380"/>
      <c r="I689" s="428"/>
      <c r="J689" s="429"/>
      <c r="K689" s="380"/>
      <c r="L689" s="415"/>
      <c r="M689" s="380"/>
      <c r="N689" s="380"/>
      <c r="O689" s="430"/>
      <c r="P689" s="380"/>
      <c r="Q689" s="380"/>
      <c r="R689" s="380"/>
      <c r="S689" s="380"/>
      <c r="T689" s="380"/>
      <c r="U689" s="380"/>
      <c r="V689" s="380"/>
      <c r="W689" s="380"/>
      <c r="X689" s="380"/>
      <c r="Y689" s="380"/>
      <c r="Z689" s="380"/>
      <c r="AA689" s="380"/>
    </row>
    <row r="690">
      <c r="A690" s="380"/>
      <c r="B690" s="380"/>
      <c r="C690" s="380"/>
      <c r="D690" s="380"/>
      <c r="E690" s="380"/>
      <c r="F690" s="415"/>
      <c r="G690" s="380"/>
      <c r="H690" s="380"/>
      <c r="I690" s="428"/>
      <c r="J690" s="429"/>
      <c r="K690" s="380"/>
      <c r="L690" s="415"/>
      <c r="M690" s="380"/>
      <c r="N690" s="380"/>
      <c r="O690" s="430"/>
      <c r="P690" s="380"/>
      <c r="Q690" s="380"/>
      <c r="R690" s="380"/>
      <c r="S690" s="380"/>
      <c r="T690" s="380"/>
      <c r="U690" s="380"/>
      <c r="V690" s="380"/>
      <c r="W690" s="380"/>
      <c r="X690" s="380"/>
      <c r="Y690" s="380"/>
      <c r="Z690" s="380"/>
      <c r="AA690" s="380"/>
    </row>
    <row r="691">
      <c r="A691" s="380"/>
      <c r="B691" s="380"/>
      <c r="C691" s="380"/>
      <c r="D691" s="380"/>
      <c r="E691" s="380"/>
      <c r="F691" s="415"/>
      <c r="G691" s="380"/>
      <c r="H691" s="380"/>
      <c r="I691" s="428"/>
      <c r="J691" s="429"/>
      <c r="K691" s="380"/>
      <c r="L691" s="415"/>
      <c r="M691" s="380"/>
      <c r="N691" s="380"/>
      <c r="O691" s="430"/>
      <c r="P691" s="380"/>
      <c r="Q691" s="380"/>
      <c r="R691" s="380"/>
      <c r="S691" s="380"/>
      <c r="T691" s="380"/>
      <c r="U691" s="380"/>
      <c r="V691" s="380"/>
      <c r="W691" s="380"/>
      <c r="X691" s="380"/>
      <c r="Y691" s="380"/>
      <c r="Z691" s="380"/>
      <c r="AA691" s="380"/>
    </row>
    <row r="692">
      <c r="A692" s="380"/>
      <c r="B692" s="380"/>
      <c r="C692" s="380"/>
      <c r="D692" s="380"/>
      <c r="E692" s="380"/>
      <c r="F692" s="415"/>
      <c r="G692" s="380"/>
      <c r="H692" s="380"/>
      <c r="I692" s="428"/>
      <c r="J692" s="429"/>
      <c r="K692" s="380"/>
      <c r="L692" s="415"/>
      <c r="M692" s="380"/>
      <c r="N692" s="380"/>
      <c r="O692" s="430"/>
      <c r="P692" s="380"/>
      <c r="Q692" s="380"/>
      <c r="R692" s="380"/>
      <c r="S692" s="380"/>
      <c r="T692" s="380"/>
      <c r="U692" s="380"/>
      <c r="V692" s="380"/>
      <c r="W692" s="380"/>
      <c r="X692" s="380"/>
      <c r="Y692" s="380"/>
      <c r="Z692" s="380"/>
      <c r="AA692" s="380"/>
    </row>
    <row r="693">
      <c r="A693" s="380"/>
      <c r="B693" s="380"/>
      <c r="C693" s="380"/>
      <c r="D693" s="380"/>
      <c r="E693" s="380"/>
      <c r="F693" s="415"/>
      <c r="G693" s="380"/>
      <c r="H693" s="380"/>
      <c r="I693" s="428"/>
      <c r="J693" s="429"/>
      <c r="K693" s="380"/>
      <c r="L693" s="415"/>
      <c r="M693" s="380"/>
      <c r="N693" s="380"/>
      <c r="O693" s="430"/>
      <c r="P693" s="380"/>
      <c r="Q693" s="380"/>
      <c r="R693" s="380"/>
      <c r="S693" s="380"/>
      <c r="T693" s="380"/>
      <c r="U693" s="380"/>
      <c r="V693" s="380"/>
      <c r="W693" s="380"/>
      <c r="X693" s="380"/>
      <c r="Y693" s="380"/>
      <c r="Z693" s="380"/>
      <c r="AA693" s="380"/>
    </row>
    <row r="694">
      <c r="A694" s="380"/>
      <c r="B694" s="380"/>
      <c r="C694" s="380"/>
      <c r="D694" s="380"/>
      <c r="E694" s="380"/>
      <c r="F694" s="415"/>
      <c r="G694" s="380"/>
      <c r="H694" s="380"/>
      <c r="I694" s="428"/>
      <c r="J694" s="429"/>
      <c r="K694" s="380"/>
      <c r="L694" s="415"/>
      <c r="M694" s="380"/>
      <c r="N694" s="380"/>
      <c r="O694" s="430"/>
      <c r="P694" s="380"/>
      <c r="Q694" s="380"/>
      <c r="R694" s="380"/>
      <c r="S694" s="380"/>
      <c r="T694" s="380"/>
      <c r="U694" s="380"/>
      <c r="V694" s="380"/>
      <c r="W694" s="380"/>
      <c r="X694" s="380"/>
      <c r="Y694" s="380"/>
      <c r="Z694" s="380"/>
      <c r="AA694" s="380"/>
    </row>
    <row r="695">
      <c r="A695" s="380"/>
      <c r="B695" s="380"/>
      <c r="C695" s="380"/>
      <c r="D695" s="380"/>
      <c r="E695" s="380"/>
      <c r="F695" s="415"/>
      <c r="G695" s="380"/>
      <c r="H695" s="380"/>
      <c r="I695" s="428"/>
      <c r="J695" s="429"/>
      <c r="K695" s="380"/>
      <c r="L695" s="415"/>
      <c r="M695" s="380"/>
      <c r="N695" s="380"/>
      <c r="O695" s="430"/>
      <c r="P695" s="380"/>
      <c r="Q695" s="380"/>
      <c r="R695" s="380"/>
      <c r="S695" s="380"/>
      <c r="T695" s="380"/>
      <c r="U695" s="380"/>
      <c r="V695" s="380"/>
      <c r="W695" s="380"/>
      <c r="X695" s="380"/>
      <c r="Y695" s="380"/>
      <c r="Z695" s="380"/>
      <c r="AA695" s="380"/>
    </row>
    <row r="696">
      <c r="A696" s="380"/>
      <c r="B696" s="380"/>
      <c r="C696" s="380"/>
      <c r="D696" s="380"/>
      <c r="E696" s="380"/>
      <c r="F696" s="415"/>
      <c r="G696" s="380"/>
      <c r="H696" s="380"/>
      <c r="I696" s="428"/>
      <c r="J696" s="429"/>
      <c r="K696" s="380"/>
      <c r="L696" s="415"/>
      <c r="M696" s="380"/>
      <c r="N696" s="380"/>
      <c r="O696" s="430"/>
      <c r="P696" s="380"/>
      <c r="Q696" s="380"/>
      <c r="R696" s="380"/>
      <c r="S696" s="380"/>
      <c r="T696" s="380"/>
      <c r="U696" s="380"/>
      <c r="V696" s="380"/>
      <c r="W696" s="380"/>
      <c r="X696" s="380"/>
      <c r="Y696" s="380"/>
      <c r="Z696" s="380"/>
      <c r="AA696" s="380"/>
    </row>
    <row r="697">
      <c r="A697" s="380"/>
      <c r="B697" s="380"/>
      <c r="C697" s="380"/>
      <c r="D697" s="380"/>
      <c r="E697" s="380"/>
      <c r="F697" s="415"/>
      <c r="G697" s="380"/>
      <c r="H697" s="380"/>
      <c r="I697" s="428"/>
      <c r="J697" s="429"/>
      <c r="K697" s="380"/>
      <c r="L697" s="415"/>
      <c r="M697" s="380"/>
      <c r="N697" s="380"/>
      <c r="O697" s="430"/>
      <c r="P697" s="380"/>
      <c r="Q697" s="380"/>
      <c r="R697" s="380"/>
      <c r="S697" s="380"/>
      <c r="T697" s="380"/>
      <c r="U697" s="380"/>
      <c r="V697" s="380"/>
      <c r="W697" s="380"/>
      <c r="X697" s="380"/>
      <c r="Y697" s="380"/>
      <c r="Z697" s="380"/>
      <c r="AA697" s="380"/>
    </row>
    <row r="698">
      <c r="A698" s="380"/>
      <c r="B698" s="380"/>
      <c r="C698" s="380"/>
      <c r="D698" s="380"/>
      <c r="E698" s="380"/>
      <c r="F698" s="415"/>
      <c r="G698" s="380"/>
      <c r="H698" s="380"/>
      <c r="I698" s="428"/>
      <c r="J698" s="429"/>
      <c r="K698" s="380"/>
      <c r="L698" s="415"/>
      <c r="M698" s="380"/>
      <c r="N698" s="380"/>
      <c r="O698" s="430"/>
      <c r="P698" s="380"/>
      <c r="Q698" s="380"/>
      <c r="R698" s="380"/>
      <c r="S698" s="380"/>
      <c r="T698" s="380"/>
      <c r="U698" s="380"/>
      <c r="V698" s="380"/>
      <c r="W698" s="380"/>
      <c r="X698" s="380"/>
      <c r="Y698" s="380"/>
      <c r="Z698" s="380"/>
      <c r="AA698" s="380"/>
    </row>
    <row r="699">
      <c r="A699" s="380"/>
      <c r="B699" s="380"/>
      <c r="C699" s="380"/>
      <c r="D699" s="380"/>
      <c r="E699" s="380"/>
      <c r="F699" s="415"/>
      <c r="G699" s="380"/>
      <c r="H699" s="380"/>
      <c r="I699" s="428"/>
      <c r="J699" s="429"/>
      <c r="K699" s="380"/>
      <c r="L699" s="415"/>
      <c r="M699" s="380"/>
      <c r="N699" s="380"/>
      <c r="O699" s="430"/>
      <c r="P699" s="380"/>
      <c r="Q699" s="380"/>
      <c r="R699" s="380"/>
      <c r="S699" s="380"/>
      <c r="T699" s="380"/>
      <c r="U699" s="380"/>
      <c r="V699" s="380"/>
      <c r="W699" s="380"/>
      <c r="X699" s="380"/>
      <c r="Y699" s="380"/>
      <c r="Z699" s="380"/>
      <c r="AA699" s="380"/>
    </row>
    <row r="700">
      <c r="A700" s="380"/>
      <c r="B700" s="380"/>
      <c r="C700" s="380"/>
      <c r="D700" s="380"/>
      <c r="E700" s="380"/>
      <c r="F700" s="415"/>
      <c r="G700" s="380"/>
      <c r="H700" s="380"/>
      <c r="I700" s="428"/>
      <c r="J700" s="429"/>
      <c r="K700" s="380"/>
      <c r="L700" s="415"/>
      <c r="M700" s="380"/>
      <c r="N700" s="380"/>
      <c r="O700" s="430"/>
      <c r="P700" s="380"/>
      <c r="Q700" s="380"/>
      <c r="R700" s="380"/>
      <c r="S700" s="380"/>
      <c r="T700" s="380"/>
      <c r="U700" s="380"/>
      <c r="V700" s="380"/>
      <c r="W700" s="380"/>
      <c r="X700" s="380"/>
      <c r="Y700" s="380"/>
      <c r="Z700" s="380"/>
      <c r="AA700" s="380"/>
    </row>
    <row r="701">
      <c r="A701" s="380"/>
      <c r="B701" s="380"/>
      <c r="C701" s="380"/>
      <c r="D701" s="380"/>
      <c r="E701" s="380"/>
      <c r="F701" s="415"/>
      <c r="G701" s="380"/>
      <c r="H701" s="380"/>
      <c r="I701" s="428"/>
      <c r="J701" s="429"/>
      <c r="K701" s="380"/>
      <c r="L701" s="415"/>
      <c r="M701" s="380"/>
      <c r="N701" s="380"/>
      <c r="O701" s="430"/>
      <c r="P701" s="380"/>
      <c r="Q701" s="380"/>
      <c r="R701" s="380"/>
      <c r="S701" s="380"/>
      <c r="T701" s="380"/>
      <c r="U701" s="380"/>
      <c r="V701" s="380"/>
      <c r="W701" s="380"/>
      <c r="X701" s="380"/>
      <c r="Y701" s="380"/>
      <c r="Z701" s="380"/>
      <c r="AA701" s="380"/>
    </row>
    <row r="702">
      <c r="A702" s="380"/>
      <c r="B702" s="380"/>
      <c r="C702" s="380"/>
      <c r="D702" s="380"/>
      <c r="E702" s="380"/>
      <c r="F702" s="415"/>
      <c r="G702" s="380"/>
      <c r="H702" s="380"/>
      <c r="I702" s="428"/>
      <c r="J702" s="429"/>
      <c r="K702" s="380"/>
      <c r="L702" s="415"/>
      <c r="M702" s="380"/>
      <c r="N702" s="380"/>
      <c r="O702" s="430"/>
      <c r="P702" s="380"/>
      <c r="Q702" s="380"/>
      <c r="R702" s="380"/>
      <c r="S702" s="380"/>
      <c r="T702" s="380"/>
      <c r="U702" s="380"/>
      <c r="V702" s="380"/>
      <c r="W702" s="380"/>
      <c r="X702" s="380"/>
      <c r="Y702" s="380"/>
      <c r="Z702" s="380"/>
      <c r="AA702" s="380"/>
    </row>
    <row r="703">
      <c r="A703" s="380"/>
      <c r="B703" s="380"/>
      <c r="C703" s="380"/>
      <c r="D703" s="380"/>
      <c r="E703" s="380"/>
      <c r="F703" s="415"/>
      <c r="G703" s="380"/>
      <c r="H703" s="380"/>
      <c r="I703" s="428"/>
      <c r="J703" s="429"/>
      <c r="K703" s="380"/>
      <c r="L703" s="415"/>
      <c r="M703" s="380"/>
      <c r="N703" s="380"/>
      <c r="O703" s="430"/>
      <c r="P703" s="380"/>
      <c r="Q703" s="380"/>
      <c r="R703" s="380"/>
      <c r="S703" s="380"/>
      <c r="T703" s="380"/>
      <c r="U703" s="380"/>
      <c r="V703" s="380"/>
      <c r="W703" s="380"/>
      <c r="X703" s="380"/>
      <c r="Y703" s="380"/>
      <c r="Z703" s="380"/>
      <c r="AA703" s="380"/>
    </row>
    <row r="704">
      <c r="A704" s="380"/>
      <c r="B704" s="380"/>
      <c r="C704" s="380"/>
      <c r="D704" s="380"/>
      <c r="E704" s="380"/>
      <c r="F704" s="415"/>
      <c r="G704" s="380"/>
      <c r="H704" s="380"/>
      <c r="I704" s="428"/>
      <c r="J704" s="429"/>
      <c r="K704" s="380"/>
      <c r="L704" s="415"/>
      <c r="M704" s="380"/>
      <c r="N704" s="380"/>
      <c r="O704" s="430"/>
      <c r="P704" s="380"/>
      <c r="Q704" s="380"/>
      <c r="R704" s="380"/>
      <c r="S704" s="380"/>
      <c r="T704" s="380"/>
      <c r="U704" s="380"/>
      <c r="V704" s="380"/>
      <c r="W704" s="380"/>
      <c r="X704" s="380"/>
      <c r="Y704" s="380"/>
      <c r="Z704" s="380"/>
      <c r="AA704" s="380"/>
    </row>
    <row r="705">
      <c r="A705" s="380"/>
      <c r="B705" s="380"/>
      <c r="C705" s="380"/>
      <c r="D705" s="380"/>
      <c r="E705" s="380"/>
      <c r="F705" s="415"/>
      <c r="G705" s="380"/>
      <c r="H705" s="380"/>
      <c r="I705" s="428"/>
      <c r="J705" s="429"/>
      <c r="K705" s="380"/>
      <c r="L705" s="415"/>
      <c r="M705" s="380"/>
      <c r="N705" s="380"/>
      <c r="O705" s="430"/>
      <c r="P705" s="380"/>
      <c r="Q705" s="380"/>
      <c r="R705" s="380"/>
      <c r="S705" s="380"/>
      <c r="T705" s="380"/>
      <c r="U705" s="380"/>
      <c r="V705" s="380"/>
      <c r="W705" s="380"/>
      <c r="X705" s="380"/>
      <c r="Y705" s="380"/>
      <c r="Z705" s="380"/>
      <c r="AA705" s="380"/>
    </row>
    <row r="706">
      <c r="A706" s="380"/>
      <c r="B706" s="380"/>
      <c r="C706" s="380"/>
      <c r="D706" s="380"/>
      <c r="E706" s="380"/>
      <c r="F706" s="415"/>
      <c r="G706" s="380"/>
      <c r="H706" s="380"/>
      <c r="I706" s="428"/>
      <c r="J706" s="429"/>
      <c r="K706" s="380"/>
      <c r="L706" s="415"/>
      <c r="M706" s="380"/>
      <c r="N706" s="380"/>
      <c r="O706" s="430"/>
      <c r="P706" s="380"/>
      <c r="Q706" s="380"/>
      <c r="R706" s="380"/>
      <c r="S706" s="380"/>
      <c r="T706" s="380"/>
      <c r="U706" s="380"/>
      <c r="V706" s="380"/>
      <c r="W706" s="380"/>
      <c r="X706" s="380"/>
      <c r="Y706" s="380"/>
      <c r="Z706" s="380"/>
      <c r="AA706" s="380"/>
    </row>
    <row r="707">
      <c r="A707" s="380"/>
      <c r="B707" s="380"/>
      <c r="C707" s="380"/>
      <c r="D707" s="380"/>
      <c r="E707" s="380"/>
      <c r="F707" s="415"/>
      <c r="G707" s="380"/>
      <c r="H707" s="380"/>
      <c r="I707" s="428"/>
      <c r="J707" s="429"/>
      <c r="K707" s="380"/>
      <c r="L707" s="415"/>
      <c r="M707" s="380"/>
      <c r="N707" s="380"/>
      <c r="O707" s="430"/>
      <c r="P707" s="380"/>
      <c r="Q707" s="380"/>
      <c r="R707" s="380"/>
      <c r="S707" s="380"/>
      <c r="T707" s="380"/>
      <c r="U707" s="380"/>
      <c r="V707" s="380"/>
      <c r="W707" s="380"/>
      <c r="X707" s="380"/>
      <c r="Y707" s="380"/>
      <c r="Z707" s="380"/>
      <c r="AA707" s="380"/>
    </row>
    <row r="708">
      <c r="A708" s="380"/>
      <c r="B708" s="380"/>
      <c r="C708" s="380"/>
      <c r="D708" s="380"/>
      <c r="E708" s="380"/>
      <c r="F708" s="415"/>
      <c r="G708" s="380"/>
      <c r="H708" s="380"/>
      <c r="I708" s="428"/>
      <c r="J708" s="429"/>
      <c r="K708" s="380"/>
      <c r="L708" s="415"/>
      <c r="M708" s="380"/>
      <c r="N708" s="380"/>
      <c r="O708" s="430"/>
      <c r="P708" s="380"/>
      <c r="Q708" s="380"/>
      <c r="R708" s="380"/>
      <c r="S708" s="380"/>
      <c r="T708" s="380"/>
      <c r="U708" s="380"/>
      <c r="V708" s="380"/>
      <c r="W708" s="380"/>
      <c r="X708" s="380"/>
      <c r="Y708" s="380"/>
      <c r="Z708" s="380"/>
      <c r="AA708" s="380"/>
    </row>
    <row r="709">
      <c r="A709" s="380"/>
      <c r="B709" s="380"/>
      <c r="C709" s="380"/>
      <c r="D709" s="380"/>
      <c r="E709" s="380"/>
      <c r="F709" s="415"/>
      <c r="G709" s="380"/>
      <c r="H709" s="380"/>
      <c r="I709" s="428"/>
      <c r="J709" s="429"/>
      <c r="K709" s="380"/>
      <c r="L709" s="415"/>
      <c r="M709" s="380"/>
      <c r="N709" s="380"/>
      <c r="O709" s="430"/>
      <c r="P709" s="380"/>
      <c r="Q709" s="380"/>
      <c r="R709" s="380"/>
      <c r="S709" s="380"/>
      <c r="T709" s="380"/>
      <c r="U709" s="380"/>
      <c r="V709" s="380"/>
      <c r="W709" s="380"/>
      <c r="X709" s="380"/>
      <c r="Y709" s="380"/>
      <c r="Z709" s="380"/>
      <c r="AA709" s="380"/>
    </row>
    <row r="710">
      <c r="A710" s="380"/>
      <c r="B710" s="380"/>
      <c r="C710" s="380"/>
      <c r="D710" s="380"/>
      <c r="E710" s="380"/>
      <c r="F710" s="415"/>
      <c r="G710" s="380"/>
      <c r="H710" s="380"/>
      <c r="I710" s="428"/>
      <c r="J710" s="429"/>
      <c r="K710" s="380"/>
      <c r="L710" s="415"/>
      <c r="M710" s="380"/>
      <c r="N710" s="380"/>
      <c r="O710" s="430"/>
      <c r="P710" s="380"/>
      <c r="Q710" s="380"/>
      <c r="R710" s="380"/>
      <c r="S710" s="380"/>
      <c r="T710" s="380"/>
      <c r="U710" s="380"/>
      <c r="V710" s="380"/>
      <c r="W710" s="380"/>
      <c r="X710" s="380"/>
      <c r="Y710" s="380"/>
      <c r="Z710" s="380"/>
      <c r="AA710" s="380"/>
    </row>
    <row r="711">
      <c r="A711" s="380"/>
      <c r="B711" s="380"/>
      <c r="C711" s="380"/>
      <c r="D711" s="380"/>
      <c r="E711" s="380"/>
      <c r="F711" s="415"/>
      <c r="G711" s="380"/>
      <c r="H711" s="380"/>
      <c r="I711" s="428"/>
      <c r="J711" s="429"/>
      <c r="K711" s="380"/>
      <c r="L711" s="415"/>
      <c r="M711" s="380"/>
      <c r="N711" s="380"/>
      <c r="O711" s="430"/>
      <c r="P711" s="380"/>
      <c r="Q711" s="380"/>
      <c r="R711" s="380"/>
      <c r="S711" s="380"/>
      <c r="T711" s="380"/>
      <c r="U711" s="380"/>
      <c r="V711" s="380"/>
      <c r="W711" s="380"/>
      <c r="X711" s="380"/>
      <c r="Y711" s="380"/>
      <c r="Z711" s="380"/>
      <c r="AA711" s="380"/>
    </row>
    <row r="712">
      <c r="A712" s="380"/>
      <c r="B712" s="380"/>
      <c r="C712" s="380"/>
      <c r="D712" s="380"/>
      <c r="E712" s="380"/>
      <c r="F712" s="415"/>
      <c r="G712" s="380"/>
      <c r="H712" s="380"/>
      <c r="I712" s="428"/>
      <c r="J712" s="429"/>
      <c r="K712" s="380"/>
      <c r="L712" s="415"/>
      <c r="M712" s="380"/>
      <c r="N712" s="380"/>
      <c r="O712" s="430"/>
      <c r="P712" s="380"/>
      <c r="Q712" s="380"/>
      <c r="R712" s="380"/>
      <c r="S712" s="380"/>
      <c r="T712" s="380"/>
      <c r="U712" s="380"/>
      <c r="V712" s="380"/>
      <c r="W712" s="380"/>
      <c r="X712" s="380"/>
      <c r="Y712" s="380"/>
      <c r="Z712" s="380"/>
      <c r="AA712" s="380"/>
    </row>
    <row r="713">
      <c r="A713" s="380"/>
      <c r="B713" s="380"/>
      <c r="C713" s="380"/>
      <c r="D713" s="380"/>
      <c r="E713" s="380"/>
      <c r="F713" s="415"/>
      <c r="G713" s="380"/>
      <c r="H713" s="380"/>
      <c r="I713" s="428"/>
      <c r="J713" s="429"/>
      <c r="K713" s="380"/>
      <c r="L713" s="415"/>
      <c r="M713" s="380"/>
      <c r="N713" s="380"/>
      <c r="O713" s="430"/>
      <c r="P713" s="380"/>
      <c r="Q713" s="380"/>
      <c r="R713" s="380"/>
      <c r="S713" s="380"/>
      <c r="T713" s="380"/>
      <c r="U713" s="380"/>
      <c r="V713" s="380"/>
      <c r="W713" s="380"/>
      <c r="X713" s="380"/>
      <c r="Y713" s="380"/>
      <c r="Z713" s="380"/>
      <c r="AA713" s="380"/>
    </row>
    <row r="714">
      <c r="A714" s="380"/>
      <c r="B714" s="380"/>
      <c r="C714" s="380"/>
      <c r="D714" s="380"/>
      <c r="E714" s="380"/>
      <c r="F714" s="415"/>
      <c r="G714" s="380"/>
      <c r="H714" s="380"/>
      <c r="I714" s="428"/>
      <c r="J714" s="429"/>
      <c r="K714" s="380"/>
      <c r="L714" s="415"/>
      <c r="M714" s="380"/>
      <c r="N714" s="380"/>
      <c r="O714" s="430"/>
      <c r="P714" s="380"/>
      <c r="Q714" s="380"/>
      <c r="R714" s="380"/>
      <c r="S714" s="380"/>
      <c r="T714" s="380"/>
      <c r="U714" s="380"/>
      <c r="V714" s="380"/>
      <c r="W714" s="380"/>
      <c r="X714" s="380"/>
      <c r="Y714" s="380"/>
      <c r="Z714" s="380"/>
      <c r="AA714" s="380"/>
    </row>
    <row r="715">
      <c r="A715" s="380"/>
      <c r="B715" s="380"/>
      <c r="C715" s="380"/>
      <c r="D715" s="380"/>
      <c r="E715" s="380"/>
      <c r="F715" s="415"/>
      <c r="G715" s="380"/>
      <c r="H715" s="380"/>
      <c r="I715" s="428"/>
      <c r="J715" s="429"/>
      <c r="K715" s="380"/>
      <c r="L715" s="415"/>
      <c r="M715" s="380"/>
      <c r="N715" s="380"/>
      <c r="O715" s="430"/>
      <c r="P715" s="380"/>
      <c r="Q715" s="380"/>
      <c r="R715" s="380"/>
      <c r="S715" s="380"/>
      <c r="T715" s="380"/>
      <c r="U715" s="380"/>
      <c r="V715" s="380"/>
      <c r="W715" s="380"/>
      <c r="X715" s="380"/>
      <c r="Y715" s="380"/>
      <c r="Z715" s="380"/>
      <c r="AA715" s="380"/>
    </row>
    <row r="716">
      <c r="A716" s="380"/>
      <c r="B716" s="380"/>
      <c r="C716" s="380"/>
      <c r="D716" s="380"/>
      <c r="E716" s="380"/>
      <c r="F716" s="415"/>
      <c r="G716" s="380"/>
      <c r="H716" s="380"/>
      <c r="I716" s="428"/>
      <c r="J716" s="429"/>
      <c r="K716" s="380"/>
      <c r="L716" s="415"/>
      <c r="M716" s="380"/>
      <c r="N716" s="380"/>
      <c r="O716" s="430"/>
      <c r="P716" s="380"/>
      <c r="Q716" s="380"/>
      <c r="R716" s="380"/>
      <c r="S716" s="380"/>
      <c r="T716" s="380"/>
      <c r="U716" s="380"/>
      <c r="V716" s="380"/>
      <c r="W716" s="380"/>
      <c r="X716" s="380"/>
      <c r="Y716" s="380"/>
      <c r="Z716" s="380"/>
      <c r="AA716" s="380"/>
    </row>
    <row r="717">
      <c r="A717" s="380"/>
      <c r="B717" s="380"/>
      <c r="C717" s="380"/>
      <c r="D717" s="380"/>
      <c r="E717" s="380"/>
      <c r="F717" s="415"/>
      <c r="G717" s="380"/>
      <c r="H717" s="380"/>
      <c r="I717" s="428"/>
      <c r="J717" s="429"/>
      <c r="K717" s="380"/>
      <c r="L717" s="415"/>
      <c r="M717" s="380"/>
      <c r="N717" s="380"/>
      <c r="O717" s="430"/>
      <c r="P717" s="380"/>
      <c r="Q717" s="380"/>
      <c r="R717" s="380"/>
      <c r="S717" s="380"/>
      <c r="T717" s="380"/>
      <c r="U717" s="380"/>
      <c r="V717" s="380"/>
      <c r="W717" s="380"/>
      <c r="X717" s="380"/>
      <c r="Y717" s="380"/>
      <c r="Z717" s="380"/>
      <c r="AA717" s="380"/>
    </row>
    <row r="718">
      <c r="A718" s="380"/>
      <c r="B718" s="380"/>
      <c r="C718" s="380"/>
      <c r="D718" s="380"/>
      <c r="E718" s="380"/>
      <c r="F718" s="415"/>
      <c r="G718" s="380"/>
      <c r="H718" s="380"/>
      <c r="I718" s="428"/>
      <c r="J718" s="429"/>
      <c r="K718" s="380"/>
      <c r="L718" s="415"/>
      <c r="M718" s="380"/>
      <c r="N718" s="380"/>
      <c r="O718" s="430"/>
      <c r="P718" s="380"/>
      <c r="Q718" s="380"/>
      <c r="R718" s="380"/>
      <c r="S718" s="380"/>
      <c r="T718" s="380"/>
      <c r="U718" s="380"/>
      <c r="V718" s="380"/>
      <c r="W718" s="380"/>
      <c r="X718" s="380"/>
      <c r="Y718" s="380"/>
      <c r="Z718" s="380"/>
      <c r="AA718" s="380"/>
    </row>
    <row r="719">
      <c r="A719" s="380"/>
      <c r="B719" s="380"/>
      <c r="C719" s="380"/>
      <c r="D719" s="380"/>
      <c r="E719" s="380"/>
      <c r="F719" s="415"/>
      <c r="G719" s="380"/>
      <c r="H719" s="380"/>
      <c r="I719" s="428"/>
      <c r="J719" s="429"/>
      <c r="K719" s="380"/>
      <c r="L719" s="415"/>
      <c r="M719" s="380"/>
      <c r="N719" s="380"/>
      <c r="O719" s="430"/>
      <c r="P719" s="380"/>
      <c r="Q719" s="380"/>
      <c r="R719" s="380"/>
      <c r="S719" s="380"/>
      <c r="T719" s="380"/>
      <c r="U719" s="380"/>
      <c r="V719" s="380"/>
      <c r="W719" s="380"/>
      <c r="X719" s="380"/>
      <c r="Y719" s="380"/>
      <c r="Z719" s="380"/>
      <c r="AA719" s="380"/>
    </row>
    <row r="720">
      <c r="A720" s="380"/>
      <c r="B720" s="380"/>
      <c r="C720" s="380"/>
      <c r="D720" s="380"/>
      <c r="E720" s="380"/>
      <c r="F720" s="415"/>
      <c r="G720" s="380"/>
      <c r="H720" s="380"/>
      <c r="I720" s="428"/>
      <c r="J720" s="429"/>
      <c r="K720" s="380"/>
      <c r="L720" s="415"/>
      <c r="M720" s="380"/>
      <c r="N720" s="380"/>
      <c r="O720" s="430"/>
      <c r="P720" s="380"/>
      <c r="Q720" s="380"/>
      <c r="R720" s="380"/>
      <c r="S720" s="380"/>
      <c r="T720" s="380"/>
      <c r="U720" s="380"/>
      <c r="V720" s="380"/>
      <c r="W720" s="380"/>
      <c r="X720" s="380"/>
      <c r="Y720" s="380"/>
      <c r="Z720" s="380"/>
      <c r="AA720" s="380"/>
    </row>
    <row r="721">
      <c r="A721" s="380"/>
      <c r="B721" s="380"/>
      <c r="C721" s="380"/>
      <c r="D721" s="380"/>
      <c r="E721" s="380"/>
      <c r="F721" s="415"/>
      <c r="G721" s="380"/>
      <c r="H721" s="380"/>
      <c r="I721" s="428"/>
      <c r="J721" s="429"/>
      <c r="K721" s="380"/>
      <c r="L721" s="415"/>
      <c r="M721" s="380"/>
      <c r="N721" s="380"/>
      <c r="O721" s="430"/>
      <c r="P721" s="380"/>
      <c r="Q721" s="380"/>
      <c r="R721" s="380"/>
      <c r="S721" s="380"/>
      <c r="T721" s="380"/>
      <c r="U721" s="380"/>
      <c r="V721" s="380"/>
      <c r="W721" s="380"/>
      <c r="X721" s="380"/>
      <c r="Y721" s="380"/>
      <c r="Z721" s="380"/>
      <c r="AA721" s="380"/>
    </row>
    <row r="722">
      <c r="A722" s="380"/>
      <c r="B722" s="380"/>
      <c r="C722" s="380"/>
      <c r="D722" s="380"/>
      <c r="E722" s="380"/>
      <c r="F722" s="415"/>
      <c r="G722" s="380"/>
      <c r="H722" s="380"/>
      <c r="I722" s="428"/>
      <c r="J722" s="429"/>
      <c r="K722" s="380"/>
      <c r="L722" s="415"/>
      <c r="M722" s="380"/>
      <c r="N722" s="380"/>
      <c r="O722" s="430"/>
      <c r="P722" s="380"/>
      <c r="Q722" s="380"/>
      <c r="R722" s="380"/>
      <c r="S722" s="380"/>
      <c r="T722" s="380"/>
      <c r="U722" s="380"/>
      <c r="V722" s="380"/>
      <c r="W722" s="380"/>
      <c r="X722" s="380"/>
      <c r="Y722" s="380"/>
      <c r="Z722" s="380"/>
      <c r="AA722" s="380"/>
    </row>
    <row r="723">
      <c r="A723" s="380"/>
      <c r="B723" s="380"/>
      <c r="C723" s="380"/>
      <c r="D723" s="380"/>
      <c r="E723" s="380"/>
      <c r="F723" s="415"/>
      <c r="G723" s="380"/>
      <c r="H723" s="380"/>
      <c r="I723" s="428"/>
      <c r="J723" s="429"/>
      <c r="K723" s="380"/>
      <c r="L723" s="415"/>
      <c r="M723" s="380"/>
      <c r="N723" s="380"/>
      <c r="O723" s="430"/>
      <c r="P723" s="380"/>
      <c r="Q723" s="380"/>
      <c r="R723" s="380"/>
      <c r="S723" s="380"/>
      <c r="T723" s="380"/>
      <c r="U723" s="380"/>
      <c r="V723" s="380"/>
      <c r="W723" s="380"/>
      <c r="X723" s="380"/>
      <c r="Y723" s="380"/>
      <c r="Z723" s="380"/>
      <c r="AA723" s="380"/>
    </row>
    <row r="724">
      <c r="A724" s="380"/>
      <c r="B724" s="380"/>
      <c r="C724" s="380"/>
      <c r="D724" s="380"/>
      <c r="E724" s="380"/>
      <c r="F724" s="415"/>
      <c r="G724" s="380"/>
      <c r="H724" s="380"/>
      <c r="I724" s="428"/>
      <c r="J724" s="429"/>
      <c r="K724" s="380"/>
      <c r="L724" s="415"/>
      <c r="M724" s="380"/>
      <c r="N724" s="380"/>
      <c r="O724" s="430"/>
      <c r="P724" s="380"/>
      <c r="Q724" s="380"/>
      <c r="R724" s="380"/>
      <c r="S724" s="380"/>
      <c r="T724" s="380"/>
      <c r="U724" s="380"/>
      <c r="V724" s="380"/>
      <c r="W724" s="380"/>
      <c r="X724" s="380"/>
      <c r="Y724" s="380"/>
      <c r="Z724" s="380"/>
      <c r="AA724" s="380"/>
    </row>
    <row r="725">
      <c r="A725" s="380"/>
      <c r="B725" s="380"/>
      <c r="C725" s="380"/>
      <c r="D725" s="380"/>
      <c r="E725" s="380"/>
      <c r="F725" s="415"/>
      <c r="G725" s="380"/>
      <c r="H725" s="380"/>
      <c r="I725" s="428"/>
      <c r="J725" s="429"/>
      <c r="K725" s="380"/>
      <c r="L725" s="415"/>
      <c r="M725" s="380"/>
      <c r="N725" s="380"/>
      <c r="O725" s="430"/>
      <c r="P725" s="380"/>
      <c r="Q725" s="380"/>
      <c r="R725" s="380"/>
      <c r="S725" s="380"/>
      <c r="T725" s="380"/>
      <c r="U725" s="380"/>
      <c r="V725" s="380"/>
      <c r="W725" s="380"/>
      <c r="X725" s="380"/>
      <c r="Y725" s="380"/>
      <c r="Z725" s="380"/>
      <c r="AA725" s="380"/>
    </row>
    <row r="726">
      <c r="A726" s="380"/>
      <c r="B726" s="380"/>
      <c r="C726" s="380"/>
      <c r="D726" s="380"/>
      <c r="E726" s="380"/>
      <c r="F726" s="415"/>
      <c r="G726" s="380"/>
      <c r="H726" s="380"/>
      <c r="I726" s="428"/>
      <c r="J726" s="429"/>
      <c r="K726" s="380"/>
      <c r="L726" s="415"/>
      <c r="M726" s="380"/>
      <c r="N726" s="380"/>
      <c r="O726" s="430"/>
      <c r="P726" s="380"/>
      <c r="Q726" s="380"/>
      <c r="R726" s="380"/>
      <c r="S726" s="380"/>
      <c r="T726" s="380"/>
      <c r="U726" s="380"/>
      <c r="V726" s="380"/>
      <c r="W726" s="380"/>
      <c r="X726" s="380"/>
      <c r="Y726" s="380"/>
      <c r="Z726" s="380"/>
      <c r="AA726" s="380"/>
    </row>
    <row r="727">
      <c r="A727" s="380"/>
      <c r="B727" s="380"/>
      <c r="C727" s="380"/>
      <c r="D727" s="380"/>
      <c r="E727" s="380"/>
      <c r="F727" s="415"/>
      <c r="G727" s="380"/>
      <c r="H727" s="380"/>
      <c r="I727" s="428"/>
      <c r="J727" s="429"/>
      <c r="K727" s="380"/>
      <c r="L727" s="415"/>
      <c r="M727" s="380"/>
      <c r="N727" s="380"/>
      <c r="O727" s="430"/>
      <c r="P727" s="380"/>
      <c r="Q727" s="380"/>
      <c r="R727" s="380"/>
      <c r="S727" s="380"/>
      <c r="T727" s="380"/>
      <c r="U727" s="380"/>
      <c r="V727" s="380"/>
      <c r="W727" s="380"/>
      <c r="X727" s="380"/>
      <c r="Y727" s="380"/>
      <c r="Z727" s="380"/>
      <c r="AA727" s="380"/>
    </row>
    <row r="728">
      <c r="A728" s="380"/>
      <c r="B728" s="380"/>
      <c r="C728" s="380"/>
      <c r="D728" s="380"/>
      <c r="E728" s="380"/>
      <c r="F728" s="415"/>
      <c r="G728" s="380"/>
      <c r="H728" s="380"/>
      <c r="I728" s="428"/>
      <c r="J728" s="429"/>
      <c r="K728" s="380"/>
      <c r="L728" s="415"/>
      <c r="M728" s="380"/>
      <c r="N728" s="380"/>
      <c r="O728" s="430"/>
      <c r="P728" s="380"/>
      <c r="Q728" s="380"/>
      <c r="R728" s="380"/>
      <c r="S728" s="380"/>
      <c r="T728" s="380"/>
      <c r="U728" s="380"/>
      <c r="V728" s="380"/>
      <c r="W728" s="380"/>
      <c r="X728" s="380"/>
      <c r="Y728" s="380"/>
      <c r="Z728" s="380"/>
      <c r="AA728" s="380"/>
    </row>
    <row r="729">
      <c r="A729" s="380"/>
      <c r="B729" s="380"/>
      <c r="C729" s="380"/>
      <c r="D729" s="380"/>
      <c r="E729" s="380"/>
      <c r="F729" s="415"/>
      <c r="G729" s="380"/>
      <c r="H729" s="380"/>
      <c r="I729" s="428"/>
      <c r="J729" s="429"/>
      <c r="K729" s="380"/>
      <c r="L729" s="415"/>
      <c r="M729" s="380"/>
      <c r="N729" s="380"/>
      <c r="O729" s="430"/>
      <c r="P729" s="380"/>
      <c r="Q729" s="380"/>
      <c r="R729" s="380"/>
      <c r="S729" s="380"/>
      <c r="T729" s="380"/>
      <c r="U729" s="380"/>
      <c r="V729" s="380"/>
      <c r="W729" s="380"/>
      <c r="X729" s="380"/>
      <c r="Y729" s="380"/>
      <c r="Z729" s="380"/>
      <c r="AA729" s="380"/>
    </row>
    <row r="730">
      <c r="A730" s="380"/>
      <c r="B730" s="380"/>
      <c r="C730" s="380"/>
      <c r="D730" s="380"/>
      <c r="E730" s="380"/>
      <c r="F730" s="415"/>
      <c r="G730" s="380"/>
      <c r="H730" s="380"/>
      <c r="I730" s="428"/>
      <c r="J730" s="429"/>
      <c r="K730" s="380"/>
      <c r="L730" s="415"/>
      <c r="M730" s="380"/>
      <c r="N730" s="380"/>
      <c r="O730" s="430"/>
      <c r="P730" s="380"/>
      <c r="Q730" s="380"/>
      <c r="R730" s="380"/>
      <c r="S730" s="380"/>
      <c r="T730" s="380"/>
      <c r="U730" s="380"/>
      <c r="V730" s="380"/>
      <c r="W730" s="380"/>
      <c r="X730" s="380"/>
      <c r="Y730" s="380"/>
      <c r="Z730" s="380"/>
      <c r="AA730" s="380"/>
    </row>
    <row r="731">
      <c r="A731" s="380"/>
      <c r="B731" s="380"/>
      <c r="C731" s="380"/>
      <c r="D731" s="380"/>
      <c r="E731" s="380"/>
      <c r="F731" s="415"/>
      <c r="G731" s="380"/>
      <c r="H731" s="380"/>
      <c r="I731" s="428"/>
      <c r="J731" s="429"/>
      <c r="K731" s="380"/>
      <c r="L731" s="415"/>
      <c r="M731" s="380"/>
      <c r="N731" s="380"/>
      <c r="O731" s="430"/>
      <c r="P731" s="380"/>
      <c r="Q731" s="380"/>
      <c r="R731" s="380"/>
      <c r="S731" s="380"/>
      <c r="T731" s="380"/>
      <c r="U731" s="380"/>
      <c r="V731" s="380"/>
      <c r="W731" s="380"/>
      <c r="X731" s="380"/>
      <c r="Y731" s="380"/>
      <c r="Z731" s="380"/>
      <c r="AA731" s="380"/>
    </row>
    <row r="732">
      <c r="A732" s="380"/>
      <c r="B732" s="380"/>
      <c r="C732" s="380"/>
      <c r="D732" s="380"/>
      <c r="E732" s="380"/>
      <c r="F732" s="415"/>
      <c r="G732" s="380"/>
      <c r="H732" s="380"/>
      <c r="I732" s="428"/>
      <c r="J732" s="429"/>
      <c r="K732" s="380"/>
      <c r="L732" s="415"/>
      <c r="M732" s="380"/>
      <c r="N732" s="380"/>
      <c r="O732" s="430"/>
      <c r="P732" s="380"/>
      <c r="Q732" s="380"/>
      <c r="R732" s="380"/>
      <c r="S732" s="380"/>
      <c r="T732" s="380"/>
      <c r="U732" s="380"/>
      <c r="V732" s="380"/>
      <c r="W732" s="380"/>
      <c r="X732" s="380"/>
      <c r="Y732" s="380"/>
      <c r="Z732" s="380"/>
      <c r="AA732" s="380"/>
    </row>
    <row r="733">
      <c r="A733" s="380"/>
      <c r="B733" s="380"/>
      <c r="C733" s="380"/>
      <c r="D733" s="380"/>
      <c r="E733" s="380"/>
      <c r="F733" s="415"/>
      <c r="G733" s="380"/>
      <c r="H733" s="380"/>
      <c r="I733" s="428"/>
      <c r="J733" s="429"/>
      <c r="K733" s="380"/>
      <c r="L733" s="415"/>
      <c r="M733" s="380"/>
      <c r="N733" s="380"/>
      <c r="O733" s="430"/>
      <c r="P733" s="380"/>
      <c r="Q733" s="380"/>
      <c r="R733" s="380"/>
      <c r="S733" s="380"/>
      <c r="T733" s="380"/>
      <c r="U733" s="380"/>
      <c r="V733" s="380"/>
      <c r="W733" s="380"/>
      <c r="X733" s="380"/>
      <c r="Y733" s="380"/>
      <c r="Z733" s="380"/>
      <c r="AA733" s="380"/>
    </row>
    <row r="734">
      <c r="A734" s="380"/>
      <c r="B734" s="380"/>
      <c r="C734" s="380"/>
      <c r="D734" s="380"/>
      <c r="E734" s="380"/>
      <c r="F734" s="415"/>
      <c r="G734" s="380"/>
      <c r="H734" s="380"/>
      <c r="I734" s="428"/>
      <c r="J734" s="429"/>
      <c r="K734" s="380"/>
      <c r="L734" s="415"/>
      <c r="M734" s="380"/>
      <c r="N734" s="380"/>
      <c r="O734" s="430"/>
      <c r="P734" s="380"/>
      <c r="Q734" s="380"/>
      <c r="R734" s="380"/>
      <c r="S734" s="380"/>
      <c r="T734" s="380"/>
      <c r="U734" s="380"/>
      <c r="V734" s="380"/>
      <c r="W734" s="380"/>
      <c r="X734" s="380"/>
      <c r="Y734" s="380"/>
      <c r="Z734" s="380"/>
      <c r="AA734" s="380"/>
    </row>
    <row r="735">
      <c r="A735" s="380"/>
      <c r="B735" s="380"/>
      <c r="C735" s="380"/>
      <c r="D735" s="380"/>
      <c r="E735" s="380"/>
      <c r="F735" s="415"/>
      <c r="G735" s="380"/>
      <c r="H735" s="380"/>
      <c r="I735" s="428"/>
      <c r="J735" s="429"/>
      <c r="K735" s="380"/>
      <c r="L735" s="415"/>
      <c r="M735" s="380"/>
      <c r="N735" s="380"/>
      <c r="O735" s="430"/>
      <c r="P735" s="380"/>
      <c r="Q735" s="380"/>
      <c r="R735" s="380"/>
      <c r="S735" s="380"/>
      <c r="T735" s="380"/>
      <c r="U735" s="380"/>
      <c r="V735" s="380"/>
      <c r="W735" s="380"/>
      <c r="X735" s="380"/>
      <c r="Y735" s="380"/>
      <c r="Z735" s="380"/>
      <c r="AA735" s="380"/>
    </row>
    <row r="736">
      <c r="A736" s="380"/>
      <c r="B736" s="380"/>
      <c r="C736" s="380"/>
      <c r="D736" s="380"/>
      <c r="E736" s="380"/>
      <c r="F736" s="415"/>
      <c r="G736" s="380"/>
      <c r="H736" s="380"/>
      <c r="I736" s="428"/>
      <c r="J736" s="429"/>
      <c r="K736" s="380"/>
      <c r="L736" s="415"/>
      <c r="M736" s="380"/>
      <c r="N736" s="380"/>
      <c r="O736" s="430"/>
      <c r="P736" s="380"/>
      <c r="Q736" s="380"/>
      <c r="R736" s="380"/>
      <c r="S736" s="380"/>
      <c r="T736" s="380"/>
      <c r="U736" s="380"/>
      <c r="V736" s="380"/>
      <c r="W736" s="380"/>
      <c r="X736" s="380"/>
      <c r="Y736" s="380"/>
      <c r="Z736" s="380"/>
      <c r="AA736" s="380"/>
    </row>
    <row r="737">
      <c r="A737" s="380"/>
      <c r="B737" s="380"/>
      <c r="C737" s="380"/>
      <c r="D737" s="380"/>
      <c r="E737" s="380"/>
      <c r="F737" s="415"/>
      <c r="G737" s="380"/>
      <c r="H737" s="380"/>
      <c r="I737" s="428"/>
      <c r="J737" s="429"/>
      <c r="K737" s="380"/>
      <c r="L737" s="415"/>
      <c r="M737" s="380"/>
      <c r="N737" s="380"/>
      <c r="O737" s="430"/>
      <c r="P737" s="380"/>
      <c r="Q737" s="380"/>
      <c r="R737" s="380"/>
      <c r="S737" s="380"/>
      <c r="T737" s="380"/>
      <c r="U737" s="380"/>
      <c r="V737" s="380"/>
      <c r="W737" s="380"/>
      <c r="X737" s="380"/>
      <c r="Y737" s="380"/>
      <c r="Z737" s="380"/>
      <c r="AA737" s="380"/>
    </row>
    <row r="738">
      <c r="A738" s="380"/>
      <c r="B738" s="380"/>
      <c r="C738" s="380"/>
      <c r="D738" s="380"/>
      <c r="E738" s="380"/>
      <c r="F738" s="415"/>
      <c r="G738" s="380"/>
      <c r="H738" s="380"/>
      <c r="I738" s="428"/>
      <c r="J738" s="429"/>
      <c r="K738" s="380"/>
      <c r="L738" s="415"/>
      <c r="M738" s="380"/>
      <c r="N738" s="380"/>
      <c r="O738" s="430"/>
      <c r="P738" s="380"/>
      <c r="Q738" s="380"/>
      <c r="R738" s="380"/>
      <c r="S738" s="380"/>
      <c r="T738" s="380"/>
      <c r="U738" s="380"/>
      <c r="V738" s="380"/>
      <c r="W738" s="380"/>
      <c r="X738" s="380"/>
      <c r="Y738" s="380"/>
      <c r="Z738" s="380"/>
      <c r="AA738" s="380"/>
    </row>
    <row r="739">
      <c r="A739" s="380"/>
      <c r="B739" s="380"/>
      <c r="C739" s="380"/>
      <c r="D739" s="380"/>
      <c r="E739" s="380"/>
      <c r="F739" s="415"/>
      <c r="G739" s="380"/>
      <c r="H739" s="380"/>
      <c r="I739" s="428"/>
      <c r="J739" s="429"/>
      <c r="K739" s="380"/>
      <c r="L739" s="415"/>
      <c r="M739" s="380"/>
      <c r="N739" s="380"/>
      <c r="O739" s="430"/>
      <c r="P739" s="380"/>
      <c r="Q739" s="380"/>
      <c r="R739" s="380"/>
      <c r="S739" s="380"/>
      <c r="T739" s="380"/>
      <c r="U739" s="380"/>
      <c r="V739" s="380"/>
      <c r="W739" s="380"/>
      <c r="X739" s="380"/>
      <c r="Y739" s="380"/>
      <c r="Z739" s="380"/>
      <c r="AA739" s="380"/>
    </row>
    <row r="740">
      <c r="A740" s="380"/>
      <c r="B740" s="380"/>
      <c r="C740" s="380"/>
      <c r="D740" s="380"/>
      <c r="E740" s="380"/>
      <c r="F740" s="415"/>
      <c r="G740" s="380"/>
      <c r="H740" s="380"/>
      <c r="I740" s="428"/>
      <c r="J740" s="429"/>
      <c r="K740" s="380"/>
      <c r="L740" s="415"/>
      <c r="M740" s="380"/>
      <c r="N740" s="380"/>
      <c r="O740" s="430"/>
      <c r="P740" s="380"/>
      <c r="Q740" s="380"/>
      <c r="R740" s="380"/>
      <c r="S740" s="380"/>
      <c r="T740" s="380"/>
      <c r="U740" s="380"/>
      <c r="V740" s="380"/>
      <c r="W740" s="380"/>
      <c r="X740" s="380"/>
      <c r="Y740" s="380"/>
      <c r="Z740" s="380"/>
      <c r="AA740" s="380"/>
    </row>
    <row r="741">
      <c r="A741" s="380"/>
      <c r="B741" s="380"/>
      <c r="C741" s="380"/>
      <c r="D741" s="380"/>
      <c r="E741" s="380"/>
      <c r="F741" s="415"/>
      <c r="G741" s="380"/>
      <c r="H741" s="380"/>
      <c r="I741" s="428"/>
      <c r="J741" s="429"/>
      <c r="K741" s="380"/>
      <c r="L741" s="415"/>
      <c r="M741" s="380"/>
      <c r="N741" s="380"/>
      <c r="O741" s="430"/>
      <c r="P741" s="380"/>
      <c r="Q741" s="380"/>
      <c r="R741" s="380"/>
      <c r="S741" s="380"/>
      <c r="T741" s="380"/>
      <c r="U741" s="380"/>
      <c r="V741" s="380"/>
      <c r="W741" s="380"/>
      <c r="X741" s="380"/>
      <c r="Y741" s="380"/>
      <c r="Z741" s="380"/>
      <c r="AA741" s="380"/>
    </row>
    <row r="742">
      <c r="A742" s="380"/>
      <c r="B742" s="380"/>
      <c r="C742" s="380"/>
      <c r="D742" s="380"/>
      <c r="E742" s="380"/>
      <c r="F742" s="415"/>
      <c r="G742" s="380"/>
      <c r="H742" s="380"/>
      <c r="I742" s="428"/>
      <c r="J742" s="429"/>
      <c r="K742" s="380"/>
      <c r="L742" s="415"/>
      <c r="M742" s="380"/>
      <c r="N742" s="380"/>
      <c r="O742" s="430"/>
      <c r="P742" s="380"/>
      <c r="Q742" s="380"/>
      <c r="R742" s="380"/>
      <c r="S742" s="380"/>
      <c r="T742" s="380"/>
      <c r="U742" s="380"/>
      <c r="V742" s="380"/>
      <c r="W742" s="380"/>
      <c r="X742" s="380"/>
      <c r="Y742" s="380"/>
      <c r="Z742" s="380"/>
      <c r="AA742" s="380"/>
    </row>
    <row r="743">
      <c r="A743" s="380"/>
      <c r="B743" s="380"/>
      <c r="C743" s="380"/>
      <c r="D743" s="380"/>
      <c r="E743" s="380"/>
      <c r="F743" s="415"/>
      <c r="G743" s="380"/>
      <c r="H743" s="380"/>
      <c r="I743" s="428"/>
      <c r="J743" s="429"/>
      <c r="K743" s="380"/>
      <c r="L743" s="415"/>
      <c r="M743" s="380"/>
      <c r="N743" s="380"/>
      <c r="O743" s="430"/>
      <c r="P743" s="380"/>
      <c r="Q743" s="380"/>
      <c r="R743" s="380"/>
      <c r="S743" s="380"/>
      <c r="T743" s="380"/>
      <c r="U743" s="380"/>
      <c r="V743" s="380"/>
      <c r="W743" s="380"/>
      <c r="X743" s="380"/>
      <c r="Y743" s="380"/>
      <c r="Z743" s="380"/>
      <c r="AA743" s="380"/>
    </row>
    <row r="744">
      <c r="A744" s="380"/>
      <c r="B744" s="380"/>
      <c r="C744" s="380"/>
      <c r="D744" s="380"/>
      <c r="E744" s="380"/>
      <c r="F744" s="415"/>
      <c r="G744" s="380"/>
      <c r="H744" s="380"/>
      <c r="I744" s="428"/>
      <c r="J744" s="429"/>
      <c r="K744" s="380"/>
      <c r="L744" s="415"/>
      <c r="M744" s="380"/>
      <c r="N744" s="380"/>
      <c r="O744" s="430"/>
      <c r="P744" s="380"/>
      <c r="Q744" s="380"/>
      <c r="R744" s="380"/>
      <c r="S744" s="380"/>
      <c r="T744" s="380"/>
      <c r="U744" s="380"/>
      <c r="V744" s="380"/>
      <c r="W744" s="380"/>
      <c r="X744" s="380"/>
      <c r="Y744" s="380"/>
      <c r="Z744" s="380"/>
      <c r="AA744" s="380"/>
    </row>
    <row r="745">
      <c r="A745" s="380"/>
      <c r="B745" s="380"/>
      <c r="C745" s="380"/>
      <c r="D745" s="380"/>
      <c r="E745" s="380"/>
      <c r="F745" s="415"/>
      <c r="G745" s="380"/>
      <c r="H745" s="380"/>
      <c r="I745" s="428"/>
      <c r="J745" s="429"/>
      <c r="K745" s="380"/>
      <c r="L745" s="415"/>
      <c r="M745" s="380"/>
      <c r="N745" s="380"/>
      <c r="O745" s="430"/>
      <c r="P745" s="380"/>
      <c r="Q745" s="380"/>
      <c r="R745" s="380"/>
      <c r="S745" s="380"/>
      <c r="T745" s="380"/>
      <c r="U745" s="380"/>
      <c r="V745" s="380"/>
      <c r="W745" s="380"/>
      <c r="X745" s="380"/>
      <c r="Y745" s="380"/>
      <c r="Z745" s="380"/>
      <c r="AA745" s="380"/>
    </row>
    <row r="746">
      <c r="A746" s="380"/>
      <c r="B746" s="380"/>
      <c r="C746" s="380"/>
      <c r="D746" s="380"/>
      <c r="E746" s="380"/>
      <c r="F746" s="415"/>
      <c r="G746" s="380"/>
      <c r="H746" s="380"/>
      <c r="I746" s="428"/>
      <c r="J746" s="429"/>
      <c r="K746" s="380"/>
      <c r="L746" s="415"/>
      <c r="M746" s="380"/>
      <c r="N746" s="380"/>
      <c r="O746" s="430"/>
      <c r="P746" s="380"/>
      <c r="Q746" s="380"/>
      <c r="R746" s="380"/>
      <c r="S746" s="380"/>
      <c r="T746" s="380"/>
      <c r="U746" s="380"/>
      <c r="V746" s="380"/>
      <c r="W746" s="380"/>
      <c r="X746" s="380"/>
      <c r="Y746" s="380"/>
      <c r="Z746" s="380"/>
      <c r="AA746" s="380"/>
    </row>
    <row r="747">
      <c r="A747" s="380"/>
      <c r="B747" s="380"/>
      <c r="C747" s="380"/>
      <c r="D747" s="380"/>
      <c r="E747" s="380"/>
      <c r="F747" s="415"/>
      <c r="G747" s="380"/>
      <c r="H747" s="380"/>
      <c r="I747" s="428"/>
      <c r="J747" s="429"/>
      <c r="K747" s="380"/>
      <c r="L747" s="415"/>
      <c r="M747" s="380"/>
      <c r="N747" s="380"/>
      <c r="O747" s="430"/>
      <c r="P747" s="380"/>
      <c r="Q747" s="380"/>
      <c r="R747" s="380"/>
      <c r="S747" s="380"/>
      <c r="T747" s="380"/>
      <c r="U747" s="380"/>
      <c r="V747" s="380"/>
      <c r="W747" s="380"/>
      <c r="X747" s="380"/>
      <c r="Y747" s="380"/>
      <c r="Z747" s="380"/>
      <c r="AA747" s="380"/>
    </row>
    <row r="748">
      <c r="A748" s="380"/>
      <c r="B748" s="380"/>
      <c r="C748" s="380"/>
      <c r="D748" s="380"/>
      <c r="E748" s="380"/>
      <c r="F748" s="415"/>
      <c r="G748" s="380"/>
      <c r="H748" s="380"/>
      <c r="I748" s="428"/>
      <c r="J748" s="429"/>
      <c r="K748" s="380"/>
      <c r="L748" s="415"/>
      <c r="M748" s="380"/>
      <c r="N748" s="380"/>
      <c r="O748" s="430"/>
      <c r="P748" s="380"/>
      <c r="Q748" s="380"/>
      <c r="R748" s="380"/>
      <c r="S748" s="380"/>
      <c r="T748" s="380"/>
      <c r="U748" s="380"/>
      <c r="V748" s="380"/>
      <c r="W748" s="380"/>
      <c r="X748" s="380"/>
      <c r="Y748" s="380"/>
      <c r="Z748" s="380"/>
      <c r="AA748" s="380"/>
    </row>
    <row r="749">
      <c r="A749" s="380"/>
      <c r="B749" s="380"/>
      <c r="C749" s="380"/>
      <c r="D749" s="380"/>
      <c r="E749" s="380"/>
      <c r="F749" s="415"/>
      <c r="G749" s="380"/>
      <c r="H749" s="380"/>
      <c r="I749" s="428"/>
      <c r="J749" s="429"/>
      <c r="K749" s="380"/>
      <c r="L749" s="415"/>
      <c r="M749" s="380"/>
      <c r="N749" s="380"/>
      <c r="O749" s="430"/>
      <c r="P749" s="380"/>
      <c r="Q749" s="380"/>
      <c r="R749" s="380"/>
      <c r="S749" s="380"/>
      <c r="T749" s="380"/>
      <c r="U749" s="380"/>
      <c r="V749" s="380"/>
      <c r="W749" s="380"/>
      <c r="X749" s="380"/>
      <c r="Y749" s="380"/>
      <c r="Z749" s="380"/>
      <c r="AA749" s="380"/>
    </row>
    <row r="750">
      <c r="A750" s="380"/>
      <c r="B750" s="380"/>
      <c r="C750" s="380"/>
      <c r="D750" s="380"/>
      <c r="E750" s="380"/>
      <c r="F750" s="415"/>
      <c r="G750" s="380"/>
      <c r="H750" s="380"/>
      <c r="I750" s="428"/>
      <c r="J750" s="429"/>
      <c r="K750" s="380"/>
      <c r="L750" s="415"/>
      <c r="M750" s="380"/>
      <c r="N750" s="380"/>
      <c r="O750" s="430"/>
      <c r="P750" s="380"/>
      <c r="Q750" s="380"/>
      <c r="R750" s="380"/>
      <c r="S750" s="380"/>
      <c r="T750" s="380"/>
      <c r="U750" s="380"/>
      <c r="V750" s="380"/>
      <c r="W750" s="380"/>
      <c r="X750" s="380"/>
      <c r="Y750" s="380"/>
      <c r="Z750" s="380"/>
      <c r="AA750" s="380"/>
    </row>
    <row r="751">
      <c r="A751" s="380"/>
      <c r="B751" s="380"/>
      <c r="C751" s="380"/>
      <c r="D751" s="380"/>
      <c r="E751" s="380"/>
      <c r="F751" s="415"/>
      <c r="G751" s="380"/>
      <c r="H751" s="380"/>
      <c r="I751" s="428"/>
      <c r="J751" s="429"/>
      <c r="K751" s="380"/>
      <c r="L751" s="415"/>
      <c r="M751" s="380"/>
      <c r="N751" s="380"/>
      <c r="O751" s="430"/>
      <c r="P751" s="380"/>
      <c r="Q751" s="380"/>
      <c r="R751" s="380"/>
      <c r="S751" s="380"/>
      <c r="T751" s="380"/>
      <c r="U751" s="380"/>
      <c r="V751" s="380"/>
      <c r="W751" s="380"/>
      <c r="X751" s="380"/>
      <c r="Y751" s="380"/>
      <c r="Z751" s="380"/>
      <c r="AA751" s="380"/>
    </row>
    <row r="752">
      <c r="A752" s="380"/>
      <c r="B752" s="380"/>
      <c r="C752" s="380"/>
      <c r="D752" s="380"/>
      <c r="E752" s="380"/>
      <c r="F752" s="415"/>
      <c r="G752" s="380"/>
      <c r="H752" s="380"/>
      <c r="I752" s="428"/>
      <c r="J752" s="429"/>
      <c r="K752" s="380"/>
      <c r="L752" s="415"/>
      <c r="M752" s="380"/>
      <c r="N752" s="380"/>
      <c r="O752" s="430"/>
      <c r="P752" s="380"/>
      <c r="Q752" s="380"/>
      <c r="R752" s="380"/>
      <c r="S752" s="380"/>
      <c r="T752" s="380"/>
      <c r="U752" s="380"/>
      <c r="V752" s="380"/>
      <c r="W752" s="380"/>
      <c r="X752" s="380"/>
      <c r="Y752" s="380"/>
      <c r="Z752" s="380"/>
      <c r="AA752" s="380"/>
    </row>
    <row r="753">
      <c r="A753" s="380"/>
      <c r="B753" s="380"/>
      <c r="C753" s="380"/>
      <c r="D753" s="380"/>
      <c r="E753" s="380"/>
      <c r="F753" s="415"/>
      <c r="G753" s="380"/>
      <c r="H753" s="380"/>
      <c r="I753" s="428"/>
      <c r="J753" s="429"/>
      <c r="K753" s="380"/>
      <c r="L753" s="415"/>
      <c r="M753" s="380"/>
      <c r="N753" s="380"/>
      <c r="O753" s="430"/>
      <c r="P753" s="380"/>
      <c r="Q753" s="380"/>
      <c r="R753" s="380"/>
      <c r="S753" s="380"/>
      <c r="T753" s="380"/>
      <c r="U753" s="380"/>
      <c r="V753" s="380"/>
      <c r="W753" s="380"/>
      <c r="X753" s="380"/>
      <c r="Y753" s="380"/>
      <c r="Z753" s="380"/>
      <c r="AA753" s="380"/>
    </row>
    <row r="754">
      <c r="A754" s="380"/>
      <c r="B754" s="380"/>
      <c r="C754" s="380"/>
      <c r="D754" s="380"/>
      <c r="E754" s="380"/>
      <c r="F754" s="415"/>
      <c r="G754" s="380"/>
      <c r="H754" s="380"/>
      <c r="I754" s="428"/>
      <c r="J754" s="429"/>
      <c r="K754" s="380"/>
      <c r="L754" s="415"/>
      <c r="M754" s="380"/>
      <c r="N754" s="380"/>
      <c r="O754" s="430"/>
      <c r="P754" s="380"/>
      <c r="Q754" s="380"/>
      <c r="R754" s="380"/>
      <c r="S754" s="380"/>
      <c r="T754" s="380"/>
      <c r="U754" s="380"/>
      <c r="V754" s="380"/>
      <c r="W754" s="380"/>
      <c r="X754" s="380"/>
      <c r="Y754" s="380"/>
      <c r="Z754" s="380"/>
      <c r="AA754" s="380"/>
    </row>
    <row r="755">
      <c r="A755" s="380"/>
      <c r="B755" s="380"/>
      <c r="C755" s="380"/>
      <c r="D755" s="380"/>
      <c r="E755" s="380"/>
      <c r="F755" s="415"/>
      <c r="G755" s="380"/>
      <c r="H755" s="380"/>
      <c r="I755" s="428"/>
      <c r="J755" s="429"/>
      <c r="K755" s="380"/>
      <c r="L755" s="415"/>
      <c r="M755" s="380"/>
      <c r="N755" s="380"/>
      <c r="O755" s="430"/>
      <c r="P755" s="380"/>
      <c r="Q755" s="380"/>
      <c r="R755" s="380"/>
      <c r="S755" s="380"/>
      <c r="T755" s="380"/>
      <c r="U755" s="380"/>
      <c r="V755" s="380"/>
      <c r="W755" s="380"/>
      <c r="X755" s="380"/>
      <c r="Y755" s="380"/>
      <c r="Z755" s="380"/>
      <c r="AA755" s="380"/>
    </row>
    <row r="756">
      <c r="A756" s="380"/>
      <c r="B756" s="380"/>
      <c r="C756" s="380"/>
      <c r="D756" s="380"/>
      <c r="E756" s="380"/>
      <c r="F756" s="415"/>
      <c r="G756" s="380"/>
      <c r="H756" s="380"/>
      <c r="I756" s="428"/>
      <c r="J756" s="429"/>
      <c r="K756" s="380"/>
      <c r="L756" s="415"/>
      <c r="M756" s="380"/>
      <c r="N756" s="380"/>
      <c r="O756" s="430"/>
      <c r="P756" s="380"/>
      <c r="Q756" s="380"/>
      <c r="R756" s="380"/>
      <c r="S756" s="380"/>
      <c r="T756" s="380"/>
      <c r="U756" s="380"/>
      <c r="V756" s="380"/>
      <c r="W756" s="380"/>
      <c r="X756" s="380"/>
      <c r="Y756" s="380"/>
      <c r="Z756" s="380"/>
      <c r="AA756" s="380"/>
    </row>
    <row r="757">
      <c r="A757" s="380"/>
      <c r="B757" s="380"/>
      <c r="C757" s="380"/>
      <c r="D757" s="380"/>
      <c r="E757" s="380"/>
      <c r="F757" s="415"/>
      <c r="G757" s="380"/>
      <c r="H757" s="380"/>
      <c r="I757" s="428"/>
      <c r="J757" s="429"/>
      <c r="K757" s="380"/>
      <c r="L757" s="415"/>
      <c r="M757" s="380"/>
      <c r="N757" s="380"/>
      <c r="O757" s="430"/>
      <c r="P757" s="380"/>
      <c r="Q757" s="380"/>
      <c r="R757" s="380"/>
      <c r="S757" s="380"/>
      <c r="T757" s="380"/>
      <c r="U757" s="380"/>
      <c r="V757" s="380"/>
      <c r="W757" s="380"/>
      <c r="X757" s="380"/>
      <c r="Y757" s="380"/>
      <c r="Z757" s="380"/>
      <c r="AA757" s="380"/>
    </row>
    <row r="758">
      <c r="A758" s="380"/>
      <c r="B758" s="380"/>
      <c r="C758" s="380"/>
      <c r="D758" s="380"/>
      <c r="E758" s="380"/>
      <c r="F758" s="415"/>
      <c r="G758" s="380"/>
      <c r="H758" s="380"/>
      <c r="I758" s="428"/>
      <c r="J758" s="429"/>
      <c r="K758" s="380"/>
      <c r="L758" s="415"/>
      <c r="M758" s="380"/>
      <c r="N758" s="380"/>
      <c r="O758" s="430"/>
      <c r="P758" s="380"/>
      <c r="Q758" s="380"/>
      <c r="R758" s="380"/>
      <c r="S758" s="380"/>
      <c r="T758" s="380"/>
      <c r="U758" s="380"/>
      <c r="V758" s="380"/>
      <c r="W758" s="380"/>
      <c r="X758" s="380"/>
      <c r="Y758" s="380"/>
      <c r="Z758" s="380"/>
      <c r="AA758" s="380"/>
    </row>
    <row r="759">
      <c r="A759" s="380"/>
      <c r="B759" s="380"/>
      <c r="C759" s="380"/>
      <c r="D759" s="380"/>
      <c r="E759" s="380"/>
      <c r="F759" s="415"/>
      <c r="G759" s="380"/>
      <c r="H759" s="380"/>
      <c r="I759" s="428"/>
      <c r="J759" s="429"/>
      <c r="K759" s="380"/>
      <c r="L759" s="415"/>
      <c r="M759" s="380"/>
      <c r="N759" s="380"/>
      <c r="O759" s="430"/>
      <c r="P759" s="380"/>
      <c r="Q759" s="380"/>
      <c r="R759" s="380"/>
      <c r="S759" s="380"/>
      <c r="T759" s="380"/>
      <c r="U759" s="380"/>
      <c r="V759" s="380"/>
      <c r="W759" s="380"/>
      <c r="X759" s="380"/>
      <c r="Y759" s="380"/>
      <c r="Z759" s="380"/>
      <c r="AA759" s="380"/>
    </row>
    <row r="760">
      <c r="A760" s="380"/>
      <c r="B760" s="380"/>
      <c r="C760" s="380"/>
      <c r="D760" s="380"/>
      <c r="E760" s="380"/>
      <c r="F760" s="415"/>
      <c r="G760" s="380"/>
      <c r="H760" s="380"/>
      <c r="I760" s="428"/>
      <c r="J760" s="429"/>
      <c r="K760" s="380"/>
      <c r="L760" s="415"/>
      <c r="M760" s="380"/>
      <c r="N760" s="380"/>
      <c r="O760" s="430"/>
      <c r="P760" s="380"/>
      <c r="Q760" s="380"/>
      <c r="R760" s="380"/>
      <c r="S760" s="380"/>
      <c r="T760" s="380"/>
      <c r="U760" s="380"/>
      <c r="V760" s="380"/>
      <c r="W760" s="380"/>
      <c r="X760" s="380"/>
      <c r="Y760" s="380"/>
      <c r="Z760" s="380"/>
      <c r="AA760" s="380"/>
    </row>
    <row r="761">
      <c r="A761" s="380"/>
      <c r="B761" s="380"/>
      <c r="C761" s="380"/>
      <c r="D761" s="380"/>
      <c r="E761" s="380"/>
      <c r="F761" s="415"/>
      <c r="G761" s="380"/>
      <c r="H761" s="380"/>
      <c r="I761" s="428"/>
      <c r="J761" s="429"/>
      <c r="K761" s="380"/>
      <c r="L761" s="415"/>
      <c r="M761" s="380"/>
      <c r="N761" s="380"/>
      <c r="O761" s="430"/>
      <c r="P761" s="380"/>
      <c r="Q761" s="380"/>
      <c r="R761" s="380"/>
      <c r="S761" s="380"/>
      <c r="T761" s="380"/>
      <c r="U761" s="380"/>
      <c r="V761" s="380"/>
      <c r="W761" s="380"/>
      <c r="X761" s="380"/>
      <c r="Y761" s="380"/>
      <c r="Z761" s="380"/>
      <c r="AA761" s="380"/>
    </row>
    <row r="762">
      <c r="A762" s="380"/>
      <c r="B762" s="380"/>
      <c r="C762" s="380"/>
      <c r="D762" s="380"/>
      <c r="E762" s="380"/>
      <c r="F762" s="415"/>
      <c r="G762" s="380"/>
      <c r="H762" s="380"/>
      <c r="I762" s="428"/>
      <c r="J762" s="429"/>
      <c r="K762" s="380"/>
      <c r="L762" s="415"/>
      <c r="M762" s="380"/>
      <c r="N762" s="380"/>
      <c r="O762" s="430"/>
      <c r="P762" s="380"/>
      <c r="Q762" s="380"/>
      <c r="R762" s="380"/>
      <c r="S762" s="380"/>
      <c r="T762" s="380"/>
      <c r="U762" s="380"/>
      <c r="V762" s="380"/>
      <c r="W762" s="380"/>
      <c r="X762" s="380"/>
      <c r="Y762" s="380"/>
      <c r="Z762" s="380"/>
      <c r="AA762" s="380"/>
    </row>
    <row r="763">
      <c r="A763" s="380"/>
      <c r="B763" s="380"/>
      <c r="C763" s="380"/>
      <c r="D763" s="380"/>
      <c r="E763" s="380"/>
      <c r="F763" s="415"/>
      <c r="G763" s="380"/>
      <c r="H763" s="380"/>
      <c r="I763" s="428"/>
      <c r="J763" s="429"/>
      <c r="K763" s="380"/>
      <c r="L763" s="415"/>
      <c r="M763" s="380"/>
      <c r="N763" s="380"/>
      <c r="O763" s="430"/>
      <c r="P763" s="380"/>
      <c r="Q763" s="380"/>
      <c r="R763" s="380"/>
      <c r="S763" s="380"/>
      <c r="T763" s="380"/>
      <c r="U763" s="380"/>
      <c r="V763" s="380"/>
      <c r="W763" s="380"/>
      <c r="X763" s="380"/>
      <c r="Y763" s="380"/>
      <c r="Z763" s="380"/>
      <c r="AA763" s="380"/>
    </row>
    <row r="764">
      <c r="A764" s="380"/>
      <c r="B764" s="380"/>
      <c r="C764" s="380"/>
      <c r="D764" s="380"/>
      <c r="E764" s="380"/>
      <c r="F764" s="415"/>
      <c r="G764" s="380"/>
      <c r="H764" s="380"/>
      <c r="I764" s="428"/>
      <c r="J764" s="429"/>
      <c r="K764" s="380"/>
      <c r="L764" s="415"/>
      <c r="M764" s="380"/>
      <c r="N764" s="380"/>
      <c r="O764" s="430"/>
      <c r="P764" s="380"/>
      <c r="Q764" s="380"/>
      <c r="R764" s="380"/>
      <c r="S764" s="380"/>
      <c r="T764" s="380"/>
      <c r="U764" s="380"/>
      <c r="V764" s="380"/>
      <c r="W764" s="380"/>
      <c r="X764" s="380"/>
      <c r="Y764" s="380"/>
      <c r="Z764" s="380"/>
      <c r="AA764" s="380"/>
    </row>
    <row r="765">
      <c r="A765" s="380"/>
      <c r="B765" s="380"/>
      <c r="C765" s="380"/>
      <c r="D765" s="380"/>
      <c r="E765" s="380"/>
      <c r="F765" s="415"/>
      <c r="G765" s="380"/>
      <c r="H765" s="380"/>
      <c r="I765" s="428"/>
      <c r="J765" s="429"/>
      <c r="K765" s="380"/>
      <c r="L765" s="415"/>
      <c r="M765" s="380"/>
      <c r="N765" s="380"/>
      <c r="O765" s="430"/>
      <c r="P765" s="380"/>
      <c r="Q765" s="380"/>
      <c r="R765" s="380"/>
      <c r="S765" s="380"/>
      <c r="T765" s="380"/>
      <c r="U765" s="380"/>
      <c r="V765" s="380"/>
      <c r="W765" s="380"/>
      <c r="X765" s="380"/>
      <c r="Y765" s="380"/>
      <c r="Z765" s="380"/>
      <c r="AA765" s="380"/>
    </row>
    <row r="766">
      <c r="A766" s="380"/>
      <c r="B766" s="380"/>
      <c r="C766" s="380"/>
      <c r="D766" s="380"/>
      <c r="E766" s="380"/>
      <c r="F766" s="415"/>
      <c r="G766" s="380"/>
      <c r="H766" s="380"/>
      <c r="I766" s="428"/>
      <c r="J766" s="429"/>
      <c r="K766" s="380"/>
      <c r="L766" s="415"/>
      <c r="M766" s="380"/>
      <c r="N766" s="380"/>
      <c r="O766" s="430"/>
      <c r="P766" s="380"/>
      <c r="Q766" s="380"/>
      <c r="R766" s="380"/>
      <c r="S766" s="380"/>
      <c r="T766" s="380"/>
      <c r="U766" s="380"/>
      <c r="V766" s="380"/>
      <c r="W766" s="380"/>
      <c r="X766" s="380"/>
      <c r="Y766" s="380"/>
      <c r="Z766" s="380"/>
      <c r="AA766" s="380"/>
    </row>
    <row r="767">
      <c r="A767" s="380"/>
      <c r="B767" s="380"/>
      <c r="C767" s="380"/>
      <c r="D767" s="380"/>
      <c r="E767" s="380"/>
      <c r="F767" s="415"/>
      <c r="G767" s="380"/>
      <c r="H767" s="380"/>
      <c r="I767" s="428"/>
      <c r="J767" s="429"/>
      <c r="K767" s="380"/>
      <c r="L767" s="415"/>
      <c r="M767" s="380"/>
      <c r="N767" s="380"/>
      <c r="O767" s="430"/>
      <c r="P767" s="380"/>
      <c r="Q767" s="380"/>
      <c r="R767" s="380"/>
      <c r="S767" s="380"/>
      <c r="T767" s="380"/>
      <c r="U767" s="380"/>
      <c r="V767" s="380"/>
      <c r="W767" s="380"/>
      <c r="X767" s="380"/>
      <c r="Y767" s="380"/>
      <c r="Z767" s="380"/>
      <c r="AA767" s="380"/>
    </row>
    <row r="768">
      <c r="A768" s="380"/>
      <c r="B768" s="380"/>
      <c r="C768" s="380"/>
      <c r="D768" s="380"/>
      <c r="E768" s="380"/>
      <c r="F768" s="415"/>
      <c r="G768" s="380"/>
      <c r="H768" s="380"/>
      <c r="I768" s="428"/>
      <c r="J768" s="429"/>
      <c r="K768" s="380"/>
      <c r="L768" s="415"/>
      <c r="M768" s="380"/>
      <c r="N768" s="380"/>
      <c r="O768" s="430"/>
      <c r="P768" s="380"/>
      <c r="Q768" s="380"/>
      <c r="R768" s="380"/>
      <c r="S768" s="380"/>
      <c r="T768" s="380"/>
      <c r="U768" s="380"/>
      <c r="V768" s="380"/>
      <c r="W768" s="380"/>
      <c r="X768" s="380"/>
      <c r="Y768" s="380"/>
      <c r="Z768" s="380"/>
      <c r="AA768" s="380"/>
    </row>
    <row r="769">
      <c r="A769" s="380"/>
      <c r="B769" s="380"/>
      <c r="C769" s="380"/>
      <c r="D769" s="380"/>
      <c r="E769" s="380"/>
      <c r="F769" s="415"/>
      <c r="G769" s="380"/>
      <c r="H769" s="380"/>
      <c r="I769" s="428"/>
      <c r="J769" s="429"/>
      <c r="K769" s="380"/>
      <c r="L769" s="415"/>
      <c r="M769" s="380"/>
      <c r="N769" s="380"/>
      <c r="O769" s="430"/>
      <c r="P769" s="380"/>
      <c r="Q769" s="380"/>
      <c r="R769" s="380"/>
      <c r="S769" s="380"/>
      <c r="T769" s="380"/>
      <c r="U769" s="380"/>
      <c r="V769" s="380"/>
      <c r="W769" s="380"/>
      <c r="X769" s="380"/>
      <c r="Y769" s="380"/>
      <c r="Z769" s="380"/>
      <c r="AA769" s="380"/>
    </row>
    <row r="770">
      <c r="A770" s="380"/>
      <c r="B770" s="380"/>
      <c r="C770" s="380"/>
      <c r="D770" s="380"/>
      <c r="E770" s="380"/>
      <c r="F770" s="415"/>
      <c r="G770" s="380"/>
      <c r="H770" s="380"/>
      <c r="I770" s="428"/>
      <c r="J770" s="429"/>
      <c r="K770" s="380"/>
      <c r="L770" s="415"/>
      <c r="M770" s="380"/>
      <c r="N770" s="380"/>
      <c r="O770" s="430"/>
      <c r="P770" s="380"/>
      <c r="Q770" s="380"/>
      <c r="R770" s="380"/>
      <c r="S770" s="380"/>
      <c r="T770" s="380"/>
      <c r="U770" s="380"/>
      <c r="V770" s="380"/>
      <c r="W770" s="380"/>
      <c r="X770" s="380"/>
      <c r="Y770" s="380"/>
      <c r="Z770" s="380"/>
      <c r="AA770" s="380"/>
    </row>
    <row r="771">
      <c r="A771" s="380"/>
      <c r="B771" s="380"/>
      <c r="C771" s="380"/>
      <c r="D771" s="380"/>
      <c r="E771" s="380"/>
      <c r="F771" s="415"/>
      <c r="G771" s="380"/>
      <c r="H771" s="380"/>
      <c r="I771" s="428"/>
      <c r="J771" s="429"/>
      <c r="K771" s="380"/>
      <c r="L771" s="415"/>
      <c r="M771" s="380"/>
      <c r="N771" s="380"/>
      <c r="O771" s="430"/>
      <c r="P771" s="380"/>
      <c r="Q771" s="380"/>
      <c r="R771" s="380"/>
      <c r="S771" s="380"/>
      <c r="T771" s="380"/>
      <c r="U771" s="380"/>
      <c r="V771" s="380"/>
      <c r="W771" s="380"/>
      <c r="X771" s="380"/>
      <c r="Y771" s="380"/>
      <c r="Z771" s="380"/>
      <c r="AA771" s="380"/>
    </row>
    <row r="772">
      <c r="A772" s="380"/>
      <c r="B772" s="380"/>
      <c r="C772" s="380"/>
      <c r="D772" s="380"/>
      <c r="E772" s="380"/>
      <c r="F772" s="415"/>
      <c r="G772" s="380"/>
      <c r="H772" s="380"/>
      <c r="I772" s="428"/>
      <c r="J772" s="429"/>
      <c r="K772" s="380"/>
      <c r="L772" s="415"/>
      <c r="M772" s="380"/>
      <c r="N772" s="380"/>
      <c r="O772" s="430"/>
      <c r="P772" s="380"/>
      <c r="Q772" s="380"/>
      <c r="R772" s="380"/>
      <c r="S772" s="380"/>
      <c r="T772" s="380"/>
      <c r="U772" s="380"/>
      <c r="V772" s="380"/>
      <c r="W772" s="380"/>
      <c r="X772" s="380"/>
      <c r="Y772" s="380"/>
      <c r="Z772" s="380"/>
      <c r="AA772" s="380"/>
    </row>
    <row r="773">
      <c r="A773" s="380"/>
      <c r="B773" s="380"/>
      <c r="C773" s="380"/>
      <c r="D773" s="380"/>
      <c r="E773" s="380"/>
      <c r="F773" s="415"/>
      <c r="G773" s="380"/>
      <c r="H773" s="380"/>
      <c r="I773" s="428"/>
      <c r="J773" s="429"/>
      <c r="K773" s="380"/>
      <c r="L773" s="415"/>
      <c r="M773" s="380"/>
      <c r="N773" s="380"/>
      <c r="O773" s="430"/>
      <c r="P773" s="380"/>
      <c r="Q773" s="380"/>
      <c r="R773" s="380"/>
      <c r="S773" s="380"/>
      <c r="T773" s="380"/>
      <c r="U773" s="380"/>
      <c r="V773" s="380"/>
      <c r="W773" s="380"/>
      <c r="X773" s="380"/>
      <c r="Y773" s="380"/>
      <c r="Z773" s="380"/>
      <c r="AA773" s="380"/>
    </row>
    <row r="774">
      <c r="A774" s="380"/>
      <c r="B774" s="380"/>
      <c r="C774" s="380"/>
      <c r="D774" s="380"/>
      <c r="E774" s="380"/>
      <c r="F774" s="415"/>
      <c r="G774" s="380"/>
      <c r="H774" s="380"/>
      <c r="I774" s="428"/>
      <c r="J774" s="429"/>
      <c r="K774" s="380"/>
      <c r="L774" s="415"/>
      <c r="M774" s="380"/>
      <c r="N774" s="380"/>
      <c r="O774" s="430"/>
      <c r="P774" s="380"/>
      <c r="Q774" s="380"/>
      <c r="R774" s="380"/>
      <c r="S774" s="380"/>
      <c r="T774" s="380"/>
      <c r="U774" s="380"/>
      <c r="V774" s="380"/>
      <c r="W774" s="380"/>
      <c r="X774" s="380"/>
      <c r="Y774" s="380"/>
      <c r="Z774" s="380"/>
      <c r="AA774" s="380"/>
    </row>
    <row r="775">
      <c r="A775" s="380"/>
      <c r="B775" s="380"/>
      <c r="C775" s="380"/>
      <c r="D775" s="380"/>
      <c r="E775" s="380"/>
      <c r="F775" s="415"/>
      <c r="G775" s="380"/>
      <c r="H775" s="380"/>
      <c r="I775" s="428"/>
      <c r="J775" s="429"/>
      <c r="K775" s="380"/>
      <c r="L775" s="415"/>
      <c r="M775" s="380"/>
      <c r="N775" s="380"/>
      <c r="O775" s="430"/>
      <c r="P775" s="380"/>
      <c r="Q775" s="380"/>
      <c r="R775" s="380"/>
      <c r="S775" s="380"/>
      <c r="T775" s="380"/>
      <c r="U775" s="380"/>
      <c r="V775" s="380"/>
      <c r="W775" s="380"/>
      <c r="X775" s="380"/>
      <c r="Y775" s="380"/>
      <c r="Z775" s="380"/>
      <c r="AA775" s="380"/>
    </row>
    <row r="776">
      <c r="A776" s="380"/>
      <c r="B776" s="380"/>
      <c r="C776" s="380"/>
      <c r="D776" s="380"/>
      <c r="E776" s="380"/>
      <c r="F776" s="415"/>
      <c r="G776" s="380"/>
      <c r="H776" s="380"/>
      <c r="I776" s="428"/>
      <c r="J776" s="429"/>
      <c r="K776" s="380"/>
      <c r="L776" s="415"/>
      <c r="M776" s="380"/>
      <c r="N776" s="380"/>
      <c r="O776" s="430"/>
      <c r="P776" s="380"/>
      <c r="Q776" s="380"/>
      <c r="R776" s="380"/>
      <c r="S776" s="380"/>
      <c r="T776" s="380"/>
      <c r="U776" s="380"/>
      <c r="V776" s="380"/>
      <c r="W776" s="380"/>
      <c r="X776" s="380"/>
      <c r="Y776" s="380"/>
      <c r="Z776" s="380"/>
      <c r="AA776" s="380"/>
    </row>
    <row r="777">
      <c r="A777" s="380"/>
      <c r="B777" s="380"/>
      <c r="C777" s="380"/>
      <c r="D777" s="380"/>
      <c r="E777" s="380"/>
      <c r="F777" s="415"/>
      <c r="G777" s="380"/>
      <c r="H777" s="380"/>
      <c r="I777" s="428"/>
      <c r="J777" s="429"/>
      <c r="K777" s="380"/>
      <c r="L777" s="415"/>
      <c r="M777" s="380"/>
      <c r="N777" s="380"/>
      <c r="O777" s="430"/>
      <c r="P777" s="380"/>
      <c r="Q777" s="380"/>
      <c r="R777" s="380"/>
      <c r="S777" s="380"/>
      <c r="T777" s="380"/>
      <c r="U777" s="380"/>
      <c r="V777" s="380"/>
      <c r="W777" s="380"/>
      <c r="X777" s="380"/>
      <c r="Y777" s="380"/>
      <c r="Z777" s="380"/>
      <c r="AA777" s="380"/>
    </row>
    <row r="778">
      <c r="A778" s="380"/>
      <c r="B778" s="380"/>
      <c r="C778" s="380"/>
      <c r="D778" s="380"/>
      <c r="E778" s="380"/>
      <c r="F778" s="415"/>
      <c r="G778" s="380"/>
      <c r="H778" s="380"/>
      <c r="I778" s="428"/>
      <c r="J778" s="429"/>
      <c r="K778" s="380"/>
      <c r="L778" s="415"/>
      <c r="M778" s="380"/>
      <c r="N778" s="380"/>
      <c r="O778" s="430"/>
      <c r="P778" s="380"/>
      <c r="Q778" s="380"/>
      <c r="R778" s="380"/>
      <c r="S778" s="380"/>
      <c r="T778" s="380"/>
      <c r="U778" s="380"/>
      <c r="V778" s="380"/>
      <c r="W778" s="380"/>
      <c r="X778" s="380"/>
      <c r="Y778" s="380"/>
      <c r="Z778" s="380"/>
      <c r="AA778" s="380"/>
    </row>
    <row r="779">
      <c r="A779" s="380"/>
      <c r="B779" s="380"/>
      <c r="C779" s="380"/>
      <c r="D779" s="380"/>
      <c r="E779" s="380"/>
      <c r="F779" s="415"/>
      <c r="G779" s="380"/>
      <c r="H779" s="380"/>
      <c r="I779" s="428"/>
      <c r="J779" s="429"/>
      <c r="K779" s="380"/>
      <c r="L779" s="415"/>
      <c r="M779" s="380"/>
      <c r="N779" s="380"/>
      <c r="O779" s="430"/>
      <c r="P779" s="380"/>
      <c r="Q779" s="380"/>
      <c r="R779" s="380"/>
      <c r="S779" s="380"/>
      <c r="T779" s="380"/>
      <c r="U779" s="380"/>
      <c r="V779" s="380"/>
      <c r="W779" s="380"/>
      <c r="X779" s="380"/>
      <c r="Y779" s="380"/>
      <c r="Z779" s="380"/>
      <c r="AA779" s="380"/>
    </row>
    <row r="780">
      <c r="A780" s="380"/>
      <c r="B780" s="380"/>
      <c r="C780" s="380"/>
      <c r="D780" s="380"/>
      <c r="E780" s="380"/>
      <c r="F780" s="415"/>
      <c r="G780" s="380"/>
      <c r="H780" s="380"/>
      <c r="I780" s="428"/>
      <c r="J780" s="429"/>
      <c r="K780" s="380"/>
      <c r="L780" s="415"/>
      <c r="M780" s="380"/>
      <c r="N780" s="380"/>
      <c r="O780" s="430"/>
      <c r="P780" s="380"/>
      <c r="Q780" s="380"/>
      <c r="R780" s="380"/>
      <c r="S780" s="380"/>
      <c r="T780" s="380"/>
      <c r="U780" s="380"/>
      <c r="V780" s="380"/>
      <c r="W780" s="380"/>
      <c r="X780" s="380"/>
      <c r="Y780" s="380"/>
      <c r="Z780" s="380"/>
      <c r="AA780" s="380"/>
    </row>
    <row r="781">
      <c r="A781" s="380"/>
      <c r="B781" s="380"/>
      <c r="C781" s="380"/>
      <c r="D781" s="380"/>
      <c r="E781" s="380"/>
      <c r="F781" s="415"/>
      <c r="G781" s="380"/>
      <c r="H781" s="380"/>
      <c r="I781" s="428"/>
      <c r="J781" s="429"/>
      <c r="K781" s="380"/>
      <c r="L781" s="415"/>
      <c r="M781" s="380"/>
      <c r="N781" s="380"/>
      <c r="O781" s="430"/>
      <c r="P781" s="380"/>
      <c r="Q781" s="380"/>
      <c r="R781" s="380"/>
      <c r="S781" s="380"/>
      <c r="T781" s="380"/>
      <c r="U781" s="380"/>
      <c r="V781" s="380"/>
      <c r="W781" s="380"/>
      <c r="X781" s="380"/>
      <c r="Y781" s="380"/>
      <c r="Z781" s="380"/>
      <c r="AA781" s="380"/>
    </row>
    <row r="782">
      <c r="A782" s="380"/>
      <c r="B782" s="380"/>
      <c r="C782" s="380"/>
      <c r="D782" s="380"/>
      <c r="E782" s="380"/>
      <c r="F782" s="415"/>
      <c r="G782" s="380"/>
      <c r="H782" s="380"/>
      <c r="I782" s="428"/>
      <c r="J782" s="429"/>
      <c r="K782" s="380"/>
      <c r="L782" s="415"/>
      <c r="M782" s="380"/>
      <c r="N782" s="380"/>
      <c r="O782" s="430"/>
      <c r="P782" s="380"/>
      <c r="Q782" s="380"/>
      <c r="R782" s="380"/>
      <c r="S782" s="380"/>
      <c r="T782" s="380"/>
      <c r="U782" s="380"/>
      <c r="V782" s="380"/>
      <c r="W782" s="380"/>
      <c r="X782" s="380"/>
      <c r="Y782" s="380"/>
      <c r="Z782" s="380"/>
      <c r="AA782" s="380"/>
    </row>
    <row r="783">
      <c r="A783" s="380"/>
      <c r="B783" s="380"/>
      <c r="C783" s="380"/>
      <c r="D783" s="380"/>
      <c r="E783" s="380"/>
      <c r="F783" s="415"/>
      <c r="G783" s="380"/>
      <c r="H783" s="380"/>
      <c r="I783" s="428"/>
      <c r="J783" s="429"/>
      <c r="K783" s="380"/>
      <c r="L783" s="415"/>
      <c r="M783" s="380"/>
      <c r="N783" s="380"/>
      <c r="O783" s="430"/>
      <c r="P783" s="380"/>
      <c r="Q783" s="380"/>
      <c r="R783" s="380"/>
      <c r="S783" s="380"/>
      <c r="T783" s="380"/>
      <c r="U783" s="380"/>
      <c r="V783" s="380"/>
      <c r="W783" s="380"/>
      <c r="X783" s="380"/>
      <c r="Y783" s="380"/>
      <c r="Z783" s="380"/>
      <c r="AA783" s="380"/>
    </row>
    <row r="784">
      <c r="A784" s="380"/>
      <c r="B784" s="380"/>
      <c r="C784" s="380"/>
      <c r="D784" s="380"/>
      <c r="E784" s="380"/>
      <c r="F784" s="415"/>
      <c r="G784" s="380"/>
      <c r="H784" s="380"/>
      <c r="I784" s="428"/>
      <c r="J784" s="429"/>
      <c r="K784" s="380"/>
      <c r="L784" s="415"/>
      <c r="M784" s="380"/>
      <c r="N784" s="380"/>
      <c r="O784" s="430"/>
      <c r="P784" s="380"/>
      <c r="Q784" s="380"/>
      <c r="R784" s="380"/>
      <c r="S784" s="380"/>
      <c r="T784" s="380"/>
      <c r="U784" s="380"/>
      <c r="V784" s="380"/>
      <c r="W784" s="380"/>
      <c r="X784" s="380"/>
      <c r="Y784" s="380"/>
      <c r="Z784" s="380"/>
      <c r="AA784" s="380"/>
    </row>
    <row r="785">
      <c r="A785" s="380"/>
      <c r="B785" s="380"/>
      <c r="C785" s="380"/>
      <c r="D785" s="380"/>
      <c r="E785" s="380"/>
      <c r="F785" s="415"/>
      <c r="G785" s="380"/>
      <c r="H785" s="380"/>
      <c r="I785" s="428"/>
      <c r="J785" s="429"/>
      <c r="K785" s="380"/>
      <c r="L785" s="415"/>
      <c r="M785" s="380"/>
      <c r="N785" s="380"/>
      <c r="O785" s="430"/>
      <c r="P785" s="380"/>
      <c r="Q785" s="380"/>
      <c r="R785" s="380"/>
      <c r="S785" s="380"/>
      <c r="T785" s="380"/>
      <c r="U785" s="380"/>
      <c r="V785" s="380"/>
      <c r="W785" s="380"/>
      <c r="X785" s="380"/>
      <c r="Y785" s="380"/>
      <c r="Z785" s="380"/>
      <c r="AA785" s="380"/>
    </row>
    <row r="786">
      <c r="A786" s="380"/>
      <c r="B786" s="380"/>
      <c r="C786" s="380"/>
      <c r="D786" s="380"/>
      <c r="E786" s="380"/>
      <c r="F786" s="415"/>
      <c r="G786" s="380"/>
      <c r="H786" s="380"/>
      <c r="I786" s="428"/>
      <c r="J786" s="429"/>
      <c r="K786" s="380"/>
      <c r="L786" s="415"/>
      <c r="M786" s="380"/>
      <c r="N786" s="380"/>
      <c r="O786" s="430"/>
      <c r="P786" s="380"/>
      <c r="Q786" s="380"/>
      <c r="R786" s="380"/>
      <c r="S786" s="380"/>
      <c r="T786" s="380"/>
      <c r="U786" s="380"/>
      <c r="V786" s="380"/>
      <c r="W786" s="380"/>
      <c r="X786" s="380"/>
      <c r="Y786" s="380"/>
      <c r="Z786" s="380"/>
      <c r="AA786" s="380"/>
    </row>
    <row r="787">
      <c r="A787" s="380"/>
      <c r="B787" s="380"/>
      <c r="C787" s="380"/>
      <c r="D787" s="380"/>
      <c r="E787" s="380"/>
      <c r="F787" s="415"/>
      <c r="G787" s="380"/>
      <c r="H787" s="380"/>
      <c r="I787" s="428"/>
      <c r="J787" s="429"/>
      <c r="K787" s="380"/>
      <c r="L787" s="415"/>
      <c r="M787" s="380"/>
      <c r="N787" s="380"/>
      <c r="O787" s="430"/>
      <c r="P787" s="380"/>
      <c r="Q787" s="380"/>
      <c r="R787" s="380"/>
      <c r="S787" s="380"/>
      <c r="T787" s="380"/>
      <c r="U787" s="380"/>
      <c r="V787" s="380"/>
      <c r="W787" s="380"/>
      <c r="X787" s="380"/>
      <c r="Y787" s="380"/>
      <c r="Z787" s="380"/>
      <c r="AA787" s="380"/>
    </row>
    <row r="788">
      <c r="A788" s="380"/>
      <c r="B788" s="380"/>
      <c r="C788" s="380"/>
      <c r="D788" s="380"/>
      <c r="E788" s="380"/>
      <c r="F788" s="415"/>
      <c r="G788" s="380"/>
      <c r="H788" s="380"/>
      <c r="I788" s="428"/>
      <c r="J788" s="429"/>
      <c r="K788" s="380"/>
      <c r="L788" s="415"/>
      <c r="M788" s="380"/>
      <c r="N788" s="380"/>
      <c r="O788" s="430"/>
      <c r="P788" s="380"/>
      <c r="Q788" s="380"/>
      <c r="R788" s="380"/>
      <c r="S788" s="380"/>
      <c r="T788" s="380"/>
      <c r="U788" s="380"/>
      <c r="V788" s="380"/>
      <c r="W788" s="380"/>
      <c r="X788" s="380"/>
      <c r="Y788" s="380"/>
      <c r="Z788" s="380"/>
      <c r="AA788" s="380"/>
    </row>
    <row r="789">
      <c r="A789" s="380"/>
      <c r="B789" s="380"/>
      <c r="C789" s="380"/>
      <c r="D789" s="380"/>
      <c r="E789" s="380"/>
      <c r="F789" s="415"/>
      <c r="G789" s="380"/>
      <c r="H789" s="380"/>
      <c r="I789" s="428"/>
      <c r="J789" s="429"/>
      <c r="K789" s="380"/>
      <c r="L789" s="415"/>
      <c r="M789" s="380"/>
      <c r="N789" s="380"/>
      <c r="O789" s="430"/>
      <c r="P789" s="380"/>
      <c r="Q789" s="380"/>
      <c r="R789" s="380"/>
      <c r="S789" s="380"/>
      <c r="T789" s="380"/>
      <c r="U789" s="380"/>
      <c r="V789" s="380"/>
      <c r="W789" s="380"/>
      <c r="X789" s="380"/>
      <c r="Y789" s="380"/>
      <c r="Z789" s="380"/>
      <c r="AA789" s="380"/>
    </row>
    <row r="790">
      <c r="A790" s="380"/>
      <c r="B790" s="380"/>
      <c r="C790" s="380"/>
      <c r="D790" s="380"/>
      <c r="E790" s="380"/>
      <c r="F790" s="415"/>
      <c r="G790" s="380"/>
      <c r="H790" s="380"/>
      <c r="I790" s="428"/>
      <c r="J790" s="429"/>
      <c r="K790" s="380"/>
      <c r="L790" s="415"/>
      <c r="M790" s="380"/>
      <c r="N790" s="380"/>
      <c r="O790" s="430"/>
      <c r="P790" s="380"/>
      <c r="Q790" s="380"/>
      <c r="R790" s="380"/>
      <c r="S790" s="380"/>
      <c r="T790" s="380"/>
      <c r="U790" s="380"/>
      <c r="V790" s="380"/>
      <c r="W790" s="380"/>
      <c r="X790" s="380"/>
      <c r="Y790" s="380"/>
      <c r="Z790" s="380"/>
      <c r="AA790" s="380"/>
    </row>
    <row r="791">
      <c r="A791" s="380"/>
      <c r="B791" s="380"/>
      <c r="C791" s="380"/>
      <c r="D791" s="380"/>
      <c r="E791" s="380"/>
      <c r="F791" s="415"/>
      <c r="G791" s="380"/>
      <c r="H791" s="380"/>
      <c r="I791" s="428"/>
      <c r="J791" s="429"/>
      <c r="K791" s="380"/>
      <c r="L791" s="415"/>
      <c r="M791" s="380"/>
      <c r="N791" s="380"/>
      <c r="O791" s="430"/>
      <c r="P791" s="380"/>
      <c r="Q791" s="380"/>
      <c r="R791" s="380"/>
      <c r="S791" s="380"/>
      <c r="T791" s="380"/>
      <c r="U791" s="380"/>
      <c r="V791" s="380"/>
      <c r="W791" s="380"/>
      <c r="X791" s="380"/>
      <c r="Y791" s="380"/>
      <c r="Z791" s="380"/>
      <c r="AA791" s="380"/>
    </row>
    <row r="792">
      <c r="A792" s="380"/>
      <c r="B792" s="380"/>
      <c r="C792" s="380"/>
      <c r="D792" s="380"/>
      <c r="E792" s="380"/>
      <c r="F792" s="415"/>
      <c r="G792" s="380"/>
      <c r="H792" s="380"/>
      <c r="I792" s="428"/>
      <c r="J792" s="429"/>
      <c r="K792" s="380"/>
      <c r="L792" s="415"/>
      <c r="M792" s="380"/>
      <c r="N792" s="380"/>
      <c r="O792" s="430"/>
      <c r="P792" s="380"/>
      <c r="Q792" s="380"/>
      <c r="R792" s="380"/>
      <c r="S792" s="380"/>
      <c r="T792" s="380"/>
      <c r="U792" s="380"/>
      <c r="V792" s="380"/>
      <c r="W792" s="380"/>
      <c r="X792" s="380"/>
      <c r="Y792" s="380"/>
      <c r="Z792" s="380"/>
      <c r="AA792" s="380"/>
    </row>
    <row r="793">
      <c r="A793" s="380"/>
      <c r="B793" s="380"/>
      <c r="C793" s="380"/>
      <c r="D793" s="380"/>
      <c r="E793" s="380"/>
      <c r="F793" s="415"/>
      <c r="G793" s="380"/>
      <c r="H793" s="380"/>
      <c r="I793" s="428"/>
      <c r="J793" s="429"/>
      <c r="K793" s="380"/>
      <c r="L793" s="415"/>
      <c r="M793" s="380"/>
      <c r="N793" s="380"/>
      <c r="O793" s="430"/>
      <c r="P793" s="380"/>
      <c r="Q793" s="380"/>
      <c r="R793" s="380"/>
      <c r="S793" s="380"/>
      <c r="T793" s="380"/>
      <c r="U793" s="380"/>
      <c r="V793" s="380"/>
      <c r="W793" s="380"/>
      <c r="X793" s="380"/>
      <c r="Y793" s="380"/>
      <c r="Z793" s="380"/>
      <c r="AA793" s="380"/>
    </row>
    <row r="794">
      <c r="A794" s="380"/>
      <c r="B794" s="380"/>
      <c r="C794" s="380"/>
      <c r="D794" s="380"/>
      <c r="E794" s="380"/>
      <c r="F794" s="415"/>
      <c r="G794" s="380"/>
      <c r="H794" s="380"/>
      <c r="I794" s="428"/>
      <c r="J794" s="429"/>
      <c r="K794" s="380"/>
      <c r="L794" s="415"/>
      <c r="M794" s="380"/>
      <c r="N794" s="380"/>
      <c r="O794" s="430"/>
      <c r="P794" s="380"/>
      <c r="Q794" s="380"/>
      <c r="R794" s="380"/>
      <c r="S794" s="380"/>
      <c r="T794" s="380"/>
      <c r="U794" s="380"/>
      <c r="V794" s="380"/>
      <c r="W794" s="380"/>
      <c r="X794" s="380"/>
      <c r="Y794" s="380"/>
      <c r="Z794" s="380"/>
      <c r="AA794" s="380"/>
    </row>
    <row r="795">
      <c r="A795" s="380"/>
      <c r="B795" s="380"/>
      <c r="C795" s="380"/>
      <c r="D795" s="380"/>
      <c r="E795" s="380"/>
      <c r="F795" s="415"/>
      <c r="G795" s="380"/>
      <c r="H795" s="380"/>
      <c r="I795" s="428"/>
      <c r="J795" s="429"/>
      <c r="K795" s="380"/>
      <c r="L795" s="415"/>
      <c r="M795" s="380"/>
      <c r="N795" s="380"/>
      <c r="O795" s="430"/>
      <c r="P795" s="380"/>
      <c r="Q795" s="380"/>
      <c r="R795" s="380"/>
      <c r="S795" s="380"/>
      <c r="T795" s="380"/>
      <c r="U795" s="380"/>
      <c r="V795" s="380"/>
      <c r="W795" s="380"/>
      <c r="X795" s="380"/>
      <c r="Y795" s="380"/>
      <c r="Z795" s="380"/>
      <c r="AA795" s="380"/>
    </row>
    <row r="796">
      <c r="A796" s="380"/>
      <c r="B796" s="380"/>
      <c r="C796" s="380"/>
      <c r="D796" s="380"/>
      <c r="E796" s="380"/>
      <c r="F796" s="415"/>
      <c r="G796" s="380"/>
      <c r="H796" s="380"/>
      <c r="I796" s="428"/>
      <c r="J796" s="429"/>
      <c r="K796" s="380"/>
      <c r="L796" s="415"/>
      <c r="M796" s="380"/>
      <c r="N796" s="380"/>
      <c r="O796" s="430"/>
      <c r="P796" s="380"/>
      <c r="Q796" s="380"/>
      <c r="R796" s="380"/>
      <c r="S796" s="380"/>
      <c r="T796" s="380"/>
      <c r="U796" s="380"/>
      <c r="V796" s="380"/>
      <c r="W796" s="380"/>
      <c r="X796" s="380"/>
      <c r="Y796" s="380"/>
      <c r="Z796" s="380"/>
      <c r="AA796" s="380"/>
    </row>
    <row r="797">
      <c r="A797" s="380"/>
      <c r="B797" s="380"/>
      <c r="C797" s="380"/>
      <c r="D797" s="380"/>
      <c r="E797" s="380"/>
      <c r="F797" s="415"/>
      <c r="G797" s="380"/>
      <c r="H797" s="380"/>
      <c r="I797" s="428"/>
      <c r="J797" s="429"/>
      <c r="K797" s="380"/>
      <c r="L797" s="415"/>
      <c r="M797" s="380"/>
      <c r="N797" s="380"/>
      <c r="O797" s="430"/>
      <c r="P797" s="380"/>
      <c r="Q797" s="380"/>
      <c r="R797" s="380"/>
      <c r="S797" s="380"/>
      <c r="T797" s="380"/>
      <c r="U797" s="380"/>
      <c r="V797" s="380"/>
      <c r="W797" s="380"/>
      <c r="X797" s="380"/>
      <c r="Y797" s="380"/>
      <c r="Z797" s="380"/>
      <c r="AA797" s="380"/>
    </row>
    <row r="798">
      <c r="A798" s="380"/>
      <c r="B798" s="380"/>
      <c r="C798" s="380"/>
      <c r="D798" s="380"/>
      <c r="E798" s="380"/>
      <c r="F798" s="415"/>
      <c r="G798" s="380"/>
      <c r="H798" s="380"/>
      <c r="I798" s="428"/>
      <c r="J798" s="429"/>
      <c r="K798" s="380"/>
      <c r="L798" s="415"/>
      <c r="M798" s="380"/>
      <c r="N798" s="380"/>
      <c r="O798" s="430"/>
      <c r="P798" s="380"/>
      <c r="Q798" s="380"/>
      <c r="R798" s="380"/>
      <c r="S798" s="380"/>
      <c r="T798" s="380"/>
      <c r="U798" s="380"/>
      <c r="V798" s="380"/>
      <c r="W798" s="380"/>
      <c r="X798" s="380"/>
      <c r="Y798" s="380"/>
      <c r="Z798" s="380"/>
      <c r="AA798" s="380"/>
    </row>
    <row r="799">
      <c r="A799" s="380"/>
      <c r="B799" s="380"/>
      <c r="C799" s="380"/>
      <c r="D799" s="380"/>
      <c r="E799" s="380"/>
      <c r="F799" s="415"/>
      <c r="G799" s="380"/>
      <c r="H799" s="380"/>
      <c r="I799" s="428"/>
      <c r="J799" s="429"/>
      <c r="K799" s="380"/>
      <c r="L799" s="415"/>
      <c r="M799" s="380"/>
      <c r="N799" s="380"/>
      <c r="O799" s="430"/>
      <c r="P799" s="380"/>
      <c r="Q799" s="380"/>
      <c r="R799" s="380"/>
      <c r="S799" s="380"/>
      <c r="T799" s="380"/>
      <c r="U799" s="380"/>
      <c r="V799" s="380"/>
      <c r="W799" s="380"/>
      <c r="X799" s="380"/>
      <c r="Y799" s="380"/>
      <c r="Z799" s="380"/>
      <c r="AA799" s="380"/>
    </row>
    <row r="800">
      <c r="A800" s="380"/>
      <c r="B800" s="380"/>
      <c r="C800" s="380"/>
      <c r="D800" s="380"/>
      <c r="E800" s="380"/>
      <c r="F800" s="415"/>
      <c r="G800" s="380"/>
      <c r="H800" s="380"/>
      <c r="I800" s="428"/>
      <c r="J800" s="429"/>
      <c r="K800" s="380"/>
      <c r="L800" s="415"/>
      <c r="M800" s="380"/>
      <c r="N800" s="380"/>
      <c r="O800" s="430"/>
      <c r="P800" s="380"/>
      <c r="Q800" s="380"/>
      <c r="R800" s="380"/>
      <c r="S800" s="380"/>
      <c r="T800" s="380"/>
      <c r="U800" s="380"/>
      <c r="V800" s="380"/>
      <c r="W800" s="380"/>
      <c r="X800" s="380"/>
      <c r="Y800" s="380"/>
      <c r="Z800" s="380"/>
      <c r="AA800" s="380"/>
    </row>
    <row r="801">
      <c r="A801" s="380"/>
      <c r="B801" s="380"/>
      <c r="C801" s="380"/>
      <c r="D801" s="380"/>
      <c r="E801" s="380"/>
      <c r="F801" s="415"/>
      <c r="G801" s="380"/>
      <c r="H801" s="380"/>
      <c r="I801" s="428"/>
      <c r="J801" s="429"/>
      <c r="K801" s="380"/>
      <c r="L801" s="415"/>
      <c r="M801" s="380"/>
      <c r="N801" s="380"/>
      <c r="O801" s="430"/>
      <c r="P801" s="380"/>
      <c r="Q801" s="380"/>
      <c r="R801" s="380"/>
      <c r="S801" s="380"/>
      <c r="T801" s="380"/>
      <c r="U801" s="380"/>
      <c r="V801" s="380"/>
      <c r="W801" s="380"/>
      <c r="X801" s="380"/>
      <c r="Y801" s="380"/>
      <c r="Z801" s="380"/>
      <c r="AA801" s="380"/>
    </row>
    <row r="802">
      <c r="A802" s="380"/>
      <c r="B802" s="380"/>
      <c r="C802" s="380"/>
      <c r="D802" s="380"/>
      <c r="E802" s="380"/>
      <c r="F802" s="415"/>
      <c r="G802" s="380"/>
      <c r="H802" s="380"/>
      <c r="I802" s="428"/>
      <c r="J802" s="429"/>
      <c r="K802" s="380"/>
      <c r="L802" s="415"/>
      <c r="M802" s="380"/>
      <c r="N802" s="380"/>
      <c r="O802" s="430"/>
      <c r="P802" s="380"/>
      <c r="Q802" s="380"/>
      <c r="R802" s="380"/>
      <c r="S802" s="380"/>
      <c r="T802" s="380"/>
      <c r="U802" s="380"/>
      <c r="V802" s="380"/>
      <c r="W802" s="380"/>
      <c r="X802" s="380"/>
      <c r="Y802" s="380"/>
      <c r="Z802" s="380"/>
      <c r="AA802" s="380"/>
    </row>
    <row r="803">
      <c r="A803" s="380"/>
      <c r="B803" s="380"/>
      <c r="C803" s="380"/>
      <c r="D803" s="380"/>
      <c r="E803" s="380"/>
      <c r="F803" s="415"/>
      <c r="G803" s="380"/>
      <c r="H803" s="380"/>
      <c r="I803" s="428"/>
      <c r="J803" s="429"/>
      <c r="K803" s="380"/>
      <c r="L803" s="415"/>
      <c r="M803" s="380"/>
      <c r="N803" s="380"/>
      <c r="O803" s="430"/>
      <c r="P803" s="380"/>
      <c r="Q803" s="380"/>
      <c r="R803" s="380"/>
      <c r="S803" s="380"/>
      <c r="T803" s="380"/>
      <c r="U803" s="380"/>
      <c r="V803" s="380"/>
      <c r="W803" s="380"/>
      <c r="X803" s="380"/>
      <c r="Y803" s="380"/>
      <c r="Z803" s="380"/>
      <c r="AA803" s="380"/>
    </row>
    <row r="804">
      <c r="A804" s="380"/>
      <c r="B804" s="380"/>
      <c r="C804" s="380"/>
      <c r="D804" s="380"/>
      <c r="E804" s="380"/>
      <c r="F804" s="415"/>
      <c r="G804" s="380"/>
      <c r="H804" s="380"/>
      <c r="I804" s="428"/>
      <c r="J804" s="429"/>
      <c r="K804" s="380"/>
      <c r="L804" s="415"/>
      <c r="M804" s="380"/>
      <c r="N804" s="380"/>
      <c r="O804" s="430"/>
      <c r="P804" s="380"/>
      <c r="Q804" s="380"/>
      <c r="R804" s="380"/>
      <c r="S804" s="380"/>
      <c r="T804" s="380"/>
      <c r="U804" s="380"/>
      <c r="V804" s="380"/>
      <c r="W804" s="380"/>
      <c r="X804" s="380"/>
      <c r="Y804" s="380"/>
      <c r="Z804" s="380"/>
      <c r="AA804" s="380"/>
    </row>
    <row r="805">
      <c r="A805" s="380"/>
      <c r="B805" s="380"/>
      <c r="C805" s="380"/>
      <c r="D805" s="380"/>
      <c r="E805" s="380"/>
      <c r="F805" s="415"/>
      <c r="G805" s="380"/>
      <c r="H805" s="380"/>
      <c r="I805" s="428"/>
      <c r="J805" s="429"/>
      <c r="K805" s="380"/>
      <c r="L805" s="415"/>
      <c r="M805" s="380"/>
      <c r="N805" s="380"/>
      <c r="O805" s="430"/>
      <c r="P805" s="380"/>
      <c r="Q805" s="380"/>
      <c r="R805" s="380"/>
      <c r="S805" s="380"/>
      <c r="T805" s="380"/>
      <c r="U805" s="380"/>
      <c r="V805" s="380"/>
      <c r="W805" s="380"/>
      <c r="X805" s="380"/>
      <c r="Y805" s="380"/>
      <c r="Z805" s="380"/>
      <c r="AA805" s="380"/>
    </row>
    <row r="806">
      <c r="A806" s="380"/>
      <c r="B806" s="380"/>
      <c r="C806" s="380"/>
      <c r="D806" s="380"/>
      <c r="E806" s="380"/>
      <c r="F806" s="415"/>
      <c r="G806" s="380"/>
      <c r="H806" s="380"/>
      <c r="I806" s="428"/>
      <c r="J806" s="429"/>
      <c r="K806" s="380"/>
      <c r="L806" s="415"/>
      <c r="M806" s="380"/>
      <c r="N806" s="380"/>
      <c r="O806" s="430"/>
      <c r="P806" s="380"/>
      <c r="Q806" s="380"/>
      <c r="R806" s="380"/>
      <c r="S806" s="380"/>
      <c r="T806" s="380"/>
      <c r="U806" s="380"/>
      <c r="V806" s="380"/>
      <c r="W806" s="380"/>
      <c r="X806" s="380"/>
      <c r="Y806" s="380"/>
      <c r="Z806" s="380"/>
      <c r="AA806" s="380"/>
    </row>
    <row r="807">
      <c r="A807" s="380"/>
      <c r="B807" s="380"/>
      <c r="C807" s="380"/>
      <c r="D807" s="380"/>
      <c r="E807" s="380"/>
      <c r="F807" s="415"/>
      <c r="G807" s="380"/>
      <c r="H807" s="380"/>
      <c r="I807" s="428"/>
      <c r="J807" s="429"/>
      <c r="K807" s="380"/>
      <c r="L807" s="415"/>
      <c r="M807" s="380"/>
      <c r="N807" s="380"/>
      <c r="O807" s="430"/>
      <c r="P807" s="380"/>
      <c r="Q807" s="380"/>
      <c r="R807" s="380"/>
      <c r="S807" s="380"/>
      <c r="T807" s="380"/>
      <c r="U807" s="380"/>
      <c r="V807" s="380"/>
      <c r="W807" s="380"/>
      <c r="X807" s="380"/>
      <c r="Y807" s="380"/>
      <c r="Z807" s="380"/>
      <c r="AA807" s="380"/>
    </row>
    <row r="808">
      <c r="A808" s="380"/>
      <c r="B808" s="380"/>
      <c r="C808" s="380"/>
      <c r="D808" s="380"/>
      <c r="E808" s="380"/>
      <c r="F808" s="415"/>
      <c r="G808" s="380"/>
      <c r="H808" s="380"/>
      <c r="I808" s="428"/>
      <c r="J808" s="429"/>
      <c r="K808" s="380"/>
      <c r="L808" s="415"/>
      <c r="M808" s="380"/>
      <c r="N808" s="380"/>
      <c r="O808" s="430"/>
      <c r="P808" s="380"/>
      <c r="Q808" s="380"/>
      <c r="R808" s="380"/>
      <c r="S808" s="380"/>
      <c r="T808" s="380"/>
      <c r="U808" s="380"/>
      <c r="V808" s="380"/>
      <c r="W808" s="380"/>
      <c r="X808" s="380"/>
      <c r="Y808" s="380"/>
      <c r="Z808" s="380"/>
      <c r="AA808" s="380"/>
    </row>
    <row r="809">
      <c r="A809" s="380"/>
      <c r="B809" s="380"/>
      <c r="C809" s="380"/>
      <c r="D809" s="380"/>
      <c r="E809" s="380"/>
      <c r="F809" s="415"/>
      <c r="G809" s="380"/>
      <c r="H809" s="380"/>
      <c r="I809" s="428"/>
      <c r="J809" s="429"/>
      <c r="K809" s="380"/>
      <c r="L809" s="415"/>
      <c r="M809" s="380"/>
      <c r="N809" s="380"/>
      <c r="O809" s="430"/>
      <c r="P809" s="380"/>
      <c r="Q809" s="380"/>
      <c r="R809" s="380"/>
      <c r="S809" s="380"/>
      <c r="T809" s="380"/>
      <c r="U809" s="380"/>
      <c r="V809" s="380"/>
      <c r="W809" s="380"/>
      <c r="X809" s="380"/>
      <c r="Y809" s="380"/>
      <c r="Z809" s="380"/>
      <c r="AA809" s="380"/>
    </row>
    <row r="810">
      <c r="A810" s="380"/>
      <c r="B810" s="380"/>
      <c r="C810" s="380"/>
      <c r="D810" s="380"/>
      <c r="E810" s="380"/>
      <c r="F810" s="415"/>
      <c r="G810" s="380"/>
      <c r="H810" s="380"/>
      <c r="I810" s="428"/>
      <c r="J810" s="429"/>
      <c r="K810" s="380"/>
      <c r="L810" s="415"/>
      <c r="M810" s="380"/>
      <c r="N810" s="380"/>
      <c r="O810" s="430"/>
      <c r="P810" s="380"/>
      <c r="Q810" s="380"/>
      <c r="R810" s="380"/>
      <c r="S810" s="380"/>
      <c r="T810" s="380"/>
      <c r="U810" s="380"/>
      <c r="V810" s="380"/>
      <c r="W810" s="380"/>
      <c r="X810" s="380"/>
      <c r="Y810" s="380"/>
      <c r="Z810" s="380"/>
      <c r="AA810" s="380"/>
    </row>
    <row r="811">
      <c r="A811" s="380"/>
      <c r="B811" s="380"/>
      <c r="C811" s="380"/>
      <c r="D811" s="380"/>
      <c r="E811" s="380"/>
      <c r="F811" s="415"/>
      <c r="G811" s="380"/>
      <c r="H811" s="380"/>
      <c r="I811" s="428"/>
      <c r="J811" s="429"/>
      <c r="K811" s="380"/>
      <c r="L811" s="415"/>
      <c r="M811" s="380"/>
      <c r="N811" s="380"/>
      <c r="O811" s="430"/>
      <c r="P811" s="380"/>
      <c r="Q811" s="380"/>
      <c r="R811" s="380"/>
      <c r="S811" s="380"/>
      <c r="T811" s="380"/>
      <c r="U811" s="380"/>
      <c r="V811" s="380"/>
      <c r="W811" s="380"/>
      <c r="X811" s="380"/>
      <c r="Y811" s="380"/>
      <c r="Z811" s="380"/>
      <c r="AA811" s="380"/>
    </row>
    <row r="812">
      <c r="A812" s="380"/>
      <c r="B812" s="380"/>
      <c r="C812" s="380"/>
      <c r="D812" s="380"/>
      <c r="E812" s="380"/>
      <c r="F812" s="415"/>
      <c r="G812" s="380"/>
      <c r="H812" s="380"/>
      <c r="I812" s="428"/>
      <c r="J812" s="429"/>
      <c r="K812" s="380"/>
      <c r="L812" s="415"/>
      <c r="M812" s="380"/>
      <c r="N812" s="380"/>
      <c r="O812" s="430"/>
      <c r="P812" s="380"/>
      <c r="Q812" s="380"/>
      <c r="R812" s="380"/>
      <c r="S812" s="380"/>
      <c r="T812" s="380"/>
      <c r="U812" s="380"/>
      <c r="V812" s="380"/>
      <c r="W812" s="380"/>
      <c r="X812" s="380"/>
      <c r="Y812" s="380"/>
      <c r="Z812" s="380"/>
      <c r="AA812" s="380"/>
    </row>
    <row r="813">
      <c r="A813" s="380"/>
      <c r="B813" s="380"/>
      <c r="C813" s="380"/>
      <c r="D813" s="380"/>
      <c r="E813" s="380"/>
      <c r="F813" s="415"/>
      <c r="G813" s="380"/>
      <c r="H813" s="380"/>
      <c r="I813" s="428"/>
      <c r="J813" s="429"/>
      <c r="K813" s="380"/>
      <c r="L813" s="415"/>
      <c r="M813" s="380"/>
      <c r="N813" s="380"/>
      <c r="O813" s="430"/>
      <c r="P813" s="380"/>
      <c r="Q813" s="380"/>
      <c r="R813" s="380"/>
      <c r="S813" s="380"/>
      <c r="T813" s="380"/>
      <c r="U813" s="380"/>
      <c r="V813" s="380"/>
      <c r="W813" s="380"/>
      <c r="X813" s="380"/>
      <c r="Y813" s="380"/>
      <c r="Z813" s="380"/>
      <c r="AA813" s="380"/>
    </row>
    <row r="814">
      <c r="A814" s="380"/>
      <c r="B814" s="380"/>
      <c r="C814" s="380"/>
      <c r="D814" s="380"/>
      <c r="E814" s="380"/>
      <c r="F814" s="415"/>
      <c r="G814" s="380"/>
      <c r="H814" s="380"/>
      <c r="I814" s="428"/>
      <c r="J814" s="429"/>
      <c r="K814" s="380"/>
      <c r="L814" s="415"/>
      <c r="M814" s="380"/>
      <c r="N814" s="380"/>
      <c r="O814" s="430"/>
      <c r="P814" s="380"/>
      <c r="Q814" s="380"/>
      <c r="R814" s="380"/>
      <c r="S814" s="380"/>
      <c r="T814" s="380"/>
      <c r="U814" s="380"/>
      <c r="V814" s="380"/>
      <c r="W814" s="380"/>
      <c r="X814" s="380"/>
      <c r="Y814" s="380"/>
      <c r="Z814" s="380"/>
      <c r="AA814" s="380"/>
    </row>
    <row r="815">
      <c r="A815" s="380"/>
      <c r="B815" s="380"/>
      <c r="C815" s="380"/>
      <c r="D815" s="380"/>
      <c r="E815" s="380"/>
      <c r="F815" s="415"/>
      <c r="G815" s="380"/>
      <c r="H815" s="380"/>
      <c r="I815" s="428"/>
      <c r="J815" s="429"/>
      <c r="K815" s="380"/>
      <c r="L815" s="415"/>
      <c r="M815" s="380"/>
      <c r="N815" s="380"/>
      <c r="O815" s="430"/>
      <c r="P815" s="380"/>
      <c r="Q815" s="380"/>
      <c r="R815" s="380"/>
      <c r="S815" s="380"/>
      <c r="T815" s="380"/>
      <c r="U815" s="380"/>
      <c r="V815" s="380"/>
      <c r="W815" s="380"/>
      <c r="X815" s="380"/>
      <c r="Y815" s="380"/>
      <c r="Z815" s="380"/>
      <c r="AA815" s="380"/>
    </row>
    <row r="816">
      <c r="A816" s="380"/>
      <c r="B816" s="380"/>
      <c r="C816" s="380"/>
      <c r="D816" s="380"/>
      <c r="E816" s="380"/>
      <c r="F816" s="415"/>
      <c r="G816" s="380"/>
      <c r="H816" s="380"/>
      <c r="I816" s="428"/>
      <c r="J816" s="429"/>
      <c r="K816" s="380"/>
      <c r="L816" s="415"/>
      <c r="M816" s="380"/>
      <c r="N816" s="380"/>
      <c r="O816" s="430"/>
      <c r="P816" s="380"/>
      <c r="Q816" s="380"/>
      <c r="R816" s="380"/>
      <c r="S816" s="380"/>
      <c r="T816" s="380"/>
      <c r="U816" s="380"/>
      <c r="V816" s="380"/>
      <c r="W816" s="380"/>
      <c r="X816" s="380"/>
      <c r="Y816" s="380"/>
      <c r="Z816" s="380"/>
      <c r="AA816" s="380"/>
    </row>
    <row r="817">
      <c r="A817" s="380"/>
      <c r="B817" s="380"/>
      <c r="C817" s="380"/>
      <c r="D817" s="380"/>
      <c r="E817" s="380"/>
      <c r="F817" s="415"/>
      <c r="G817" s="380"/>
      <c r="H817" s="380"/>
      <c r="I817" s="428"/>
      <c r="J817" s="429"/>
      <c r="K817" s="380"/>
      <c r="L817" s="415"/>
      <c r="M817" s="380"/>
      <c r="N817" s="380"/>
      <c r="O817" s="430"/>
      <c r="P817" s="380"/>
      <c r="Q817" s="380"/>
      <c r="R817" s="380"/>
      <c r="S817" s="380"/>
      <c r="T817" s="380"/>
      <c r="U817" s="380"/>
      <c r="V817" s="380"/>
      <c r="W817" s="380"/>
      <c r="X817" s="380"/>
      <c r="Y817" s="380"/>
      <c r="Z817" s="380"/>
      <c r="AA817" s="380"/>
    </row>
    <row r="818">
      <c r="A818" s="380"/>
      <c r="B818" s="380"/>
      <c r="C818" s="380"/>
      <c r="D818" s="380"/>
      <c r="E818" s="380"/>
      <c r="F818" s="415"/>
      <c r="G818" s="380"/>
      <c r="H818" s="380"/>
      <c r="I818" s="428"/>
      <c r="J818" s="429"/>
      <c r="K818" s="380"/>
      <c r="L818" s="415"/>
      <c r="M818" s="380"/>
      <c r="N818" s="380"/>
      <c r="O818" s="430"/>
      <c r="P818" s="380"/>
      <c r="Q818" s="380"/>
      <c r="R818" s="380"/>
      <c r="S818" s="380"/>
      <c r="T818" s="380"/>
      <c r="U818" s="380"/>
      <c r="V818" s="380"/>
      <c r="W818" s="380"/>
      <c r="X818" s="380"/>
      <c r="Y818" s="380"/>
      <c r="Z818" s="380"/>
      <c r="AA818" s="380"/>
    </row>
    <row r="819">
      <c r="A819" s="380"/>
      <c r="B819" s="380"/>
      <c r="C819" s="380"/>
      <c r="D819" s="380"/>
      <c r="E819" s="380"/>
      <c r="F819" s="415"/>
      <c r="G819" s="380"/>
      <c r="H819" s="380"/>
      <c r="I819" s="428"/>
      <c r="J819" s="429"/>
      <c r="K819" s="380"/>
      <c r="L819" s="415"/>
      <c r="M819" s="380"/>
      <c r="N819" s="380"/>
      <c r="O819" s="430"/>
      <c r="P819" s="380"/>
      <c r="Q819" s="380"/>
      <c r="R819" s="380"/>
      <c r="S819" s="380"/>
      <c r="T819" s="380"/>
      <c r="U819" s="380"/>
      <c r="V819" s="380"/>
      <c r="W819" s="380"/>
      <c r="X819" s="380"/>
      <c r="Y819" s="380"/>
      <c r="Z819" s="380"/>
      <c r="AA819" s="380"/>
    </row>
    <row r="820">
      <c r="A820" s="380"/>
      <c r="B820" s="380"/>
      <c r="C820" s="380"/>
      <c r="D820" s="380"/>
      <c r="E820" s="380"/>
      <c r="F820" s="415"/>
      <c r="G820" s="380"/>
      <c r="H820" s="380"/>
      <c r="I820" s="428"/>
      <c r="J820" s="429"/>
      <c r="K820" s="380"/>
      <c r="L820" s="415"/>
      <c r="M820" s="380"/>
      <c r="N820" s="380"/>
      <c r="O820" s="430"/>
      <c r="P820" s="380"/>
      <c r="Q820" s="380"/>
      <c r="R820" s="380"/>
      <c r="S820" s="380"/>
      <c r="T820" s="380"/>
      <c r="U820" s="380"/>
      <c r="V820" s="380"/>
      <c r="W820" s="380"/>
      <c r="X820" s="380"/>
      <c r="Y820" s="380"/>
      <c r="Z820" s="380"/>
      <c r="AA820" s="380"/>
    </row>
    <row r="821">
      <c r="A821" s="380"/>
      <c r="B821" s="380"/>
      <c r="C821" s="380"/>
      <c r="D821" s="380"/>
      <c r="E821" s="380"/>
      <c r="F821" s="415"/>
      <c r="G821" s="380"/>
      <c r="H821" s="380"/>
      <c r="I821" s="428"/>
      <c r="J821" s="429"/>
      <c r="K821" s="380"/>
      <c r="L821" s="415"/>
      <c r="M821" s="380"/>
      <c r="N821" s="380"/>
      <c r="O821" s="430"/>
      <c r="P821" s="380"/>
      <c r="Q821" s="380"/>
      <c r="R821" s="380"/>
      <c r="S821" s="380"/>
      <c r="T821" s="380"/>
      <c r="U821" s="380"/>
      <c r="V821" s="380"/>
      <c r="W821" s="380"/>
      <c r="X821" s="380"/>
      <c r="Y821" s="380"/>
      <c r="Z821" s="380"/>
      <c r="AA821" s="380"/>
    </row>
    <row r="822">
      <c r="A822" s="380"/>
      <c r="B822" s="380"/>
      <c r="C822" s="380"/>
      <c r="D822" s="380"/>
      <c r="E822" s="380"/>
      <c r="F822" s="415"/>
      <c r="G822" s="380"/>
      <c r="H822" s="380"/>
      <c r="I822" s="428"/>
      <c r="J822" s="429"/>
      <c r="K822" s="380"/>
      <c r="L822" s="415"/>
      <c r="M822" s="380"/>
      <c r="N822" s="380"/>
      <c r="O822" s="430"/>
      <c r="P822" s="380"/>
      <c r="Q822" s="380"/>
      <c r="R822" s="380"/>
      <c r="S822" s="380"/>
      <c r="T822" s="380"/>
      <c r="U822" s="380"/>
      <c r="V822" s="380"/>
      <c r="W822" s="380"/>
      <c r="X822" s="380"/>
      <c r="Y822" s="380"/>
      <c r="Z822" s="380"/>
      <c r="AA822" s="380"/>
    </row>
    <row r="823">
      <c r="A823" s="380"/>
      <c r="B823" s="380"/>
      <c r="C823" s="380"/>
      <c r="D823" s="380"/>
      <c r="E823" s="380"/>
      <c r="F823" s="415"/>
      <c r="G823" s="380"/>
      <c r="H823" s="380"/>
      <c r="I823" s="428"/>
      <c r="J823" s="429"/>
      <c r="K823" s="380"/>
      <c r="L823" s="415"/>
      <c r="M823" s="380"/>
      <c r="N823" s="380"/>
      <c r="O823" s="430"/>
      <c r="P823" s="380"/>
      <c r="Q823" s="380"/>
      <c r="R823" s="380"/>
      <c r="S823" s="380"/>
      <c r="T823" s="380"/>
      <c r="U823" s="380"/>
      <c r="V823" s="380"/>
      <c r="W823" s="380"/>
      <c r="X823" s="380"/>
      <c r="Y823" s="380"/>
      <c r="Z823" s="380"/>
      <c r="AA823" s="380"/>
    </row>
    <row r="824">
      <c r="A824" s="380"/>
      <c r="B824" s="380"/>
      <c r="C824" s="380"/>
      <c r="D824" s="380"/>
      <c r="E824" s="380"/>
      <c r="F824" s="415"/>
      <c r="G824" s="380"/>
      <c r="H824" s="380"/>
      <c r="I824" s="428"/>
      <c r="J824" s="429"/>
      <c r="K824" s="380"/>
      <c r="L824" s="415"/>
      <c r="M824" s="380"/>
      <c r="N824" s="380"/>
      <c r="O824" s="430"/>
      <c r="P824" s="380"/>
      <c r="Q824" s="380"/>
      <c r="R824" s="380"/>
      <c r="S824" s="380"/>
      <c r="T824" s="380"/>
      <c r="U824" s="380"/>
      <c r="V824" s="380"/>
      <c r="W824" s="380"/>
      <c r="X824" s="380"/>
      <c r="Y824" s="380"/>
      <c r="Z824" s="380"/>
      <c r="AA824" s="380"/>
    </row>
    <row r="825">
      <c r="A825" s="380"/>
      <c r="B825" s="380"/>
      <c r="C825" s="380"/>
      <c r="D825" s="380"/>
      <c r="E825" s="380"/>
      <c r="F825" s="415"/>
      <c r="G825" s="380"/>
      <c r="H825" s="380"/>
      <c r="I825" s="428"/>
      <c r="J825" s="429"/>
      <c r="K825" s="380"/>
      <c r="L825" s="415"/>
      <c r="M825" s="380"/>
      <c r="N825" s="380"/>
      <c r="O825" s="430"/>
      <c r="P825" s="380"/>
      <c r="Q825" s="380"/>
      <c r="R825" s="380"/>
      <c r="S825" s="380"/>
      <c r="T825" s="380"/>
      <c r="U825" s="380"/>
      <c r="V825" s="380"/>
      <c r="W825" s="380"/>
      <c r="X825" s="380"/>
      <c r="Y825" s="380"/>
      <c r="Z825" s="380"/>
      <c r="AA825" s="380"/>
    </row>
    <row r="826">
      <c r="A826" s="380"/>
      <c r="B826" s="380"/>
      <c r="C826" s="380"/>
      <c r="D826" s="380"/>
      <c r="E826" s="380"/>
      <c r="F826" s="415"/>
      <c r="G826" s="380"/>
      <c r="H826" s="380"/>
      <c r="I826" s="428"/>
      <c r="J826" s="429"/>
      <c r="K826" s="380"/>
      <c r="L826" s="415"/>
      <c r="M826" s="380"/>
      <c r="N826" s="380"/>
      <c r="O826" s="430"/>
      <c r="P826" s="380"/>
      <c r="Q826" s="380"/>
      <c r="R826" s="380"/>
      <c r="S826" s="380"/>
      <c r="T826" s="380"/>
      <c r="U826" s="380"/>
      <c r="V826" s="380"/>
      <c r="W826" s="380"/>
      <c r="X826" s="380"/>
      <c r="Y826" s="380"/>
      <c r="Z826" s="380"/>
      <c r="AA826" s="380"/>
    </row>
    <row r="827">
      <c r="A827" s="380"/>
      <c r="B827" s="380"/>
      <c r="C827" s="380"/>
      <c r="D827" s="380"/>
      <c r="E827" s="380"/>
      <c r="F827" s="415"/>
      <c r="G827" s="380"/>
      <c r="H827" s="380"/>
      <c r="I827" s="428"/>
      <c r="J827" s="429"/>
      <c r="K827" s="380"/>
      <c r="L827" s="415"/>
      <c r="M827" s="380"/>
      <c r="N827" s="380"/>
      <c r="O827" s="430"/>
      <c r="P827" s="380"/>
      <c r="Q827" s="380"/>
      <c r="R827" s="380"/>
      <c r="S827" s="380"/>
      <c r="T827" s="380"/>
      <c r="U827" s="380"/>
      <c r="V827" s="380"/>
      <c r="W827" s="380"/>
      <c r="X827" s="380"/>
      <c r="Y827" s="380"/>
      <c r="Z827" s="380"/>
      <c r="AA827" s="380"/>
    </row>
    <row r="828">
      <c r="A828" s="380"/>
      <c r="B828" s="380"/>
      <c r="C828" s="380"/>
      <c r="D828" s="380"/>
      <c r="E828" s="380"/>
      <c r="F828" s="415"/>
      <c r="G828" s="380"/>
      <c r="H828" s="380"/>
      <c r="I828" s="428"/>
      <c r="J828" s="429"/>
      <c r="K828" s="380"/>
      <c r="L828" s="415"/>
      <c r="M828" s="380"/>
      <c r="N828" s="380"/>
      <c r="O828" s="430"/>
      <c r="P828" s="380"/>
      <c r="Q828" s="380"/>
      <c r="R828" s="380"/>
      <c r="S828" s="380"/>
      <c r="T828" s="380"/>
      <c r="U828" s="380"/>
      <c r="V828" s="380"/>
      <c r="W828" s="380"/>
      <c r="X828" s="380"/>
      <c r="Y828" s="380"/>
      <c r="Z828" s="380"/>
      <c r="AA828" s="380"/>
    </row>
    <row r="829">
      <c r="A829" s="380"/>
      <c r="B829" s="380"/>
      <c r="C829" s="380"/>
      <c r="D829" s="380"/>
      <c r="E829" s="380"/>
      <c r="F829" s="415"/>
      <c r="G829" s="380"/>
      <c r="H829" s="380"/>
      <c r="I829" s="428"/>
      <c r="J829" s="429"/>
      <c r="K829" s="380"/>
      <c r="L829" s="415"/>
      <c r="M829" s="380"/>
      <c r="N829" s="380"/>
      <c r="O829" s="430"/>
      <c r="P829" s="380"/>
      <c r="Q829" s="380"/>
      <c r="R829" s="380"/>
      <c r="S829" s="380"/>
      <c r="T829" s="380"/>
      <c r="U829" s="380"/>
      <c r="V829" s="380"/>
      <c r="W829" s="380"/>
      <c r="X829" s="380"/>
      <c r="Y829" s="380"/>
      <c r="Z829" s="380"/>
      <c r="AA829" s="380"/>
    </row>
    <row r="830">
      <c r="A830" s="380"/>
      <c r="B830" s="380"/>
      <c r="C830" s="380"/>
      <c r="D830" s="380"/>
      <c r="E830" s="380"/>
      <c r="F830" s="415"/>
      <c r="G830" s="380"/>
      <c r="H830" s="380"/>
      <c r="I830" s="428"/>
      <c r="J830" s="429"/>
      <c r="K830" s="380"/>
      <c r="L830" s="415"/>
      <c r="M830" s="380"/>
      <c r="N830" s="380"/>
      <c r="O830" s="430"/>
      <c r="P830" s="380"/>
      <c r="Q830" s="380"/>
      <c r="R830" s="380"/>
      <c r="S830" s="380"/>
      <c r="T830" s="380"/>
      <c r="U830" s="380"/>
      <c r="V830" s="380"/>
      <c r="W830" s="380"/>
      <c r="X830" s="380"/>
      <c r="Y830" s="380"/>
      <c r="Z830" s="380"/>
      <c r="AA830" s="380"/>
    </row>
    <row r="831">
      <c r="A831" s="380"/>
      <c r="B831" s="380"/>
      <c r="C831" s="380"/>
      <c r="D831" s="380"/>
      <c r="E831" s="380"/>
      <c r="F831" s="415"/>
      <c r="G831" s="380"/>
      <c r="H831" s="380"/>
      <c r="I831" s="428"/>
      <c r="J831" s="429"/>
      <c r="K831" s="380"/>
      <c r="L831" s="415"/>
      <c r="M831" s="380"/>
      <c r="N831" s="380"/>
      <c r="O831" s="430"/>
      <c r="P831" s="380"/>
      <c r="Q831" s="380"/>
      <c r="R831" s="380"/>
      <c r="S831" s="380"/>
      <c r="T831" s="380"/>
      <c r="U831" s="380"/>
      <c r="V831" s="380"/>
      <c r="W831" s="380"/>
      <c r="X831" s="380"/>
      <c r="Y831" s="380"/>
      <c r="Z831" s="380"/>
      <c r="AA831" s="380"/>
    </row>
    <row r="832">
      <c r="A832" s="380"/>
      <c r="B832" s="380"/>
      <c r="C832" s="380"/>
      <c r="D832" s="380"/>
      <c r="E832" s="380"/>
      <c r="F832" s="415"/>
      <c r="G832" s="380"/>
      <c r="H832" s="380"/>
      <c r="I832" s="428"/>
      <c r="J832" s="429"/>
      <c r="K832" s="380"/>
      <c r="L832" s="415"/>
      <c r="M832" s="380"/>
      <c r="N832" s="380"/>
      <c r="O832" s="430"/>
      <c r="P832" s="380"/>
      <c r="Q832" s="380"/>
      <c r="R832" s="380"/>
      <c r="S832" s="380"/>
      <c r="T832" s="380"/>
      <c r="U832" s="380"/>
      <c r="V832" s="380"/>
      <c r="W832" s="380"/>
      <c r="X832" s="380"/>
      <c r="Y832" s="380"/>
      <c r="Z832" s="380"/>
      <c r="AA832" s="380"/>
    </row>
    <row r="833">
      <c r="A833" s="380"/>
      <c r="B833" s="380"/>
      <c r="C833" s="380"/>
      <c r="D833" s="380"/>
      <c r="E833" s="380"/>
      <c r="F833" s="415"/>
      <c r="G833" s="380"/>
      <c r="H833" s="380"/>
      <c r="I833" s="428"/>
      <c r="J833" s="429"/>
      <c r="K833" s="380"/>
      <c r="L833" s="415"/>
      <c r="M833" s="380"/>
      <c r="N833" s="380"/>
      <c r="O833" s="430"/>
      <c r="P833" s="380"/>
      <c r="Q833" s="380"/>
      <c r="R833" s="380"/>
      <c r="S833" s="380"/>
      <c r="T833" s="380"/>
      <c r="U833" s="380"/>
      <c r="V833" s="380"/>
      <c r="W833" s="380"/>
      <c r="X833" s="380"/>
      <c r="Y833" s="380"/>
      <c r="Z833" s="380"/>
      <c r="AA833" s="380"/>
    </row>
    <row r="834">
      <c r="A834" s="380"/>
      <c r="B834" s="380"/>
      <c r="C834" s="380"/>
      <c r="D834" s="380"/>
      <c r="E834" s="380"/>
      <c r="F834" s="415"/>
      <c r="G834" s="380"/>
      <c r="H834" s="380"/>
      <c r="I834" s="428"/>
      <c r="J834" s="429"/>
      <c r="K834" s="380"/>
      <c r="L834" s="415"/>
      <c r="M834" s="380"/>
      <c r="N834" s="380"/>
      <c r="O834" s="430"/>
      <c r="P834" s="380"/>
      <c r="Q834" s="380"/>
      <c r="R834" s="380"/>
      <c r="S834" s="380"/>
      <c r="T834" s="380"/>
      <c r="U834" s="380"/>
      <c r="V834" s="380"/>
      <c r="W834" s="380"/>
      <c r="X834" s="380"/>
      <c r="Y834" s="380"/>
      <c r="Z834" s="380"/>
      <c r="AA834" s="380"/>
    </row>
    <row r="835">
      <c r="A835" s="380"/>
      <c r="B835" s="380"/>
      <c r="C835" s="380"/>
      <c r="D835" s="380"/>
      <c r="E835" s="380"/>
      <c r="F835" s="415"/>
      <c r="G835" s="380"/>
      <c r="H835" s="380"/>
      <c r="I835" s="428"/>
      <c r="J835" s="429"/>
      <c r="K835" s="380"/>
      <c r="L835" s="415"/>
      <c r="M835" s="380"/>
      <c r="N835" s="380"/>
      <c r="O835" s="430"/>
      <c r="P835" s="380"/>
      <c r="Q835" s="380"/>
      <c r="R835" s="380"/>
      <c r="S835" s="380"/>
      <c r="T835" s="380"/>
      <c r="U835" s="380"/>
      <c r="V835" s="380"/>
      <c r="W835" s="380"/>
      <c r="X835" s="380"/>
      <c r="Y835" s="380"/>
      <c r="Z835" s="380"/>
      <c r="AA835" s="380"/>
    </row>
    <row r="836">
      <c r="A836" s="380"/>
      <c r="B836" s="380"/>
      <c r="C836" s="380"/>
      <c r="D836" s="380"/>
      <c r="E836" s="380"/>
      <c r="F836" s="415"/>
      <c r="G836" s="380"/>
      <c r="H836" s="380"/>
      <c r="I836" s="428"/>
      <c r="J836" s="429"/>
      <c r="K836" s="380"/>
      <c r="L836" s="415"/>
      <c r="M836" s="380"/>
      <c r="N836" s="380"/>
      <c r="O836" s="430"/>
      <c r="P836" s="380"/>
      <c r="Q836" s="380"/>
      <c r="R836" s="380"/>
      <c r="S836" s="380"/>
      <c r="T836" s="380"/>
      <c r="U836" s="380"/>
      <c r="V836" s="380"/>
      <c r="W836" s="380"/>
      <c r="X836" s="380"/>
      <c r="Y836" s="380"/>
      <c r="Z836" s="380"/>
      <c r="AA836" s="380"/>
    </row>
    <row r="837">
      <c r="A837" s="380"/>
      <c r="B837" s="380"/>
      <c r="C837" s="380"/>
      <c r="D837" s="380"/>
      <c r="E837" s="380"/>
      <c r="F837" s="415"/>
      <c r="G837" s="380"/>
      <c r="H837" s="380"/>
      <c r="I837" s="428"/>
      <c r="J837" s="429"/>
      <c r="K837" s="380"/>
      <c r="L837" s="415"/>
      <c r="M837" s="380"/>
      <c r="N837" s="380"/>
      <c r="O837" s="430"/>
      <c r="P837" s="380"/>
      <c r="Q837" s="380"/>
      <c r="R837" s="380"/>
      <c r="S837" s="380"/>
      <c r="T837" s="380"/>
      <c r="U837" s="380"/>
      <c r="V837" s="380"/>
      <c r="W837" s="380"/>
      <c r="X837" s="380"/>
      <c r="Y837" s="380"/>
      <c r="Z837" s="380"/>
      <c r="AA837" s="380"/>
    </row>
    <row r="838">
      <c r="A838" s="380"/>
      <c r="B838" s="380"/>
      <c r="C838" s="380"/>
      <c r="D838" s="380"/>
      <c r="E838" s="380"/>
      <c r="F838" s="415"/>
      <c r="G838" s="380"/>
      <c r="H838" s="380"/>
      <c r="I838" s="428"/>
      <c r="J838" s="429"/>
      <c r="K838" s="380"/>
      <c r="L838" s="415"/>
      <c r="M838" s="380"/>
      <c r="N838" s="380"/>
      <c r="O838" s="430"/>
      <c r="P838" s="380"/>
      <c r="Q838" s="380"/>
      <c r="R838" s="380"/>
      <c r="S838" s="380"/>
      <c r="T838" s="380"/>
      <c r="U838" s="380"/>
      <c r="V838" s="380"/>
      <c r="W838" s="380"/>
      <c r="X838" s="380"/>
      <c r="Y838" s="380"/>
      <c r="Z838" s="380"/>
      <c r="AA838" s="380"/>
    </row>
    <row r="839">
      <c r="A839" s="380"/>
      <c r="B839" s="380"/>
      <c r="C839" s="380"/>
      <c r="D839" s="380"/>
      <c r="E839" s="380"/>
      <c r="F839" s="415"/>
      <c r="G839" s="380"/>
      <c r="H839" s="380"/>
      <c r="I839" s="428"/>
      <c r="J839" s="429"/>
      <c r="K839" s="380"/>
      <c r="L839" s="415"/>
      <c r="M839" s="380"/>
      <c r="N839" s="380"/>
      <c r="O839" s="430"/>
      <c r="P839" s="380"/>
      <c r="Q839" s="380"/>
      <c r="R839" s="380"/>
      <c r="S839" s="380"/>
      <c r="T839" s="380"/>
      <c r="U839" s="380"/>
      <c r="V839" s="380"/>
      <c r="W839" s="380"/>
      <c r="X839" s="380"/>
      <c r="Y839" s="380"/>
      <c r="Z839" s="380"/>
      <c r="AA839" s="380"/>
    </row>
    <row r="840">
      <c r="A840" s="380"/>
      <c r="B840" s="380"/>
      <c r="C840" s="380"/>
      <c r="D840" s="380"/>
      <c r="E840" s="380"/>
      <c r="F840" s="415"/>
      <c r="G840" s="380"/>
      <c r="H840" s="380"/>
      <c r="I840" s="428"/>
      <c r="J840" s="429"/>
      <c r="K840" s="380"/>
      <c r="L840" s="415"/>
      <c r="M840" s="380"/>
      <c r="N840" s="380"/>
      <c r="O840" s="430"/>
      <c r="P840" s="380"/>
      <c r="Q840" s="380"/>
      <c r="R840" s="380"/>
      <c r="S840" s="380"/>
      <c r="T840" s="380"/>
      <c r="U840" s="380"/>
      <c r="V840" s="380"/>
      <c r="W840" s="380"/>
      <c r="X840" s="380"/>
      <c r="Y840" s="380"/>
      <c r="Z840" s="380"/>
      <c r="AA840" s="380"/>
    </row>
    <row r="841">
      <c r="A841" s="380"/>
      <c r="B841" s="380"/>
      <c r="C841" s="380"/>
      <c r="D841" s="380"/>
      <c r="E841" s="380"/>
      <c r="F841" s="415"/>
      <c r="G841" s="380"/>
      <c r="H841" s="380"/>
      <c r="I841" s="428"/>
      <c r="J841" s="429"/>
      <c r="K841" s="380"/>
      <c r="L841" s="415"/>
      <c r="M841" s="380"/>
      <c r="N841" s="380"/>
      <c r="O841" s="430"/>
      <c r="P841" s="380"/>
      <c r="Q841" s="380"/>
      <c r="R841" s="380"/>
      <c r="S841" s="380"/>
      <c r="T841" s="380"/>
      <c r="U841" s="380"/>
      <c r="V841" s="380"/>
      <c r="W841" s="380"/>
      <c r="X841" s="380"/>
      <c r="Y841" s="380"/>
      <c r="Z841" s="380"/>
      <c r="AA841" s="380"/>
    </row>
    <row r="842">
      <c r="A842" s="380"/>
      <c r="B842" s="380"/>
      <c r="C842" s="380"/>
      <c r="D842" s="380"/>
      <c r="E842" s="380"/>
      <c r="F842" s="415"/>
      <c r="G842" s="380"/>
      <c r="H842" s="380"/>
      <c r="I842" s="428"/>
      <c r="J842" s="429"/>
      <c r="K842" s="380"/>
      <c r="L842" s="415"/>
      <c r="M842" s="380"/>
      <c r="N842" s="380"/>
      <c r="O842" s="430"/>
      <c r="P842" s="380"/>
      <c r="Q842" s="380"/>
      <c r="R842" s="380"/>
      <c r="S842" s="380"/>
      <c r="T842" s="380"/>
      <c r="U842" s="380"/>
      <c r="V842" s="380"/>
      <c r="W842" s="380"/>
      <c r="X842" s="380"/>
      <c r="Y842" s="380"/>
      <c r="Z842" s="380"/>
      <c r="AA842" s="380"/>
    </row>
    <row r="843">
      <c r="A843" s="380"/>
      <c r="B843" s="380"/>
      <c r="C843" s="380"/>
      <c r="D843" s="380"/>
      <c r="E843" s="380"/>
      <c r="F843" s="415"/>
      <c r="G843" s="380"/>
      <c r="H843" s="380"/>
      <c r="I843" s="428"/>
      <c r="J843" s="429"/>
      <c r="K843" s="380"/>
      <c r="L843" s="415"/>
      <c r="M843" s="380"/>
      <c r="N843" s="380"/>
      <c r="O843" s="430"/>
      <c r="P843" s="380"/>
      <c r="Q843" s="380"/>
      <c r="R843" s="380"/>
      <c r="S843" s="380"/>
      <c r="T843" s="380"/>
      <c r="U843" s="380"/>
      <c r="V843" s="380"/>
      <c r="W843" s="380"/>
      <c r="X843" s="380"/>
      <c r="Y843" s="380"/>
      <c r="Z843" s="380"/>
      <c r="AA843" s="380"/>
    </row>
    <row r="844">
      <c r="A844" s="380"/>
      <c r="B844" s="380"/>
      <c r="C844" s="380"/>
      <c r="D844" s="380"/>
      <c r="E844" s="380"/>
      <c r="F844" s="415"/>
      <c r="G844" s="380"/>
      <c r="H844" s="380"/>
      <c r="I844" s="428"/>
      <c r="J844" s="429"/>
      <c r="K844" s="380"/>
      <c r="L844" s="415"/>
      <c r="M844" s="380"/>
      <c r="N844" s="380"/>
      <c r="O844" s="430"/>
      <c r="P844" s="380"/>
      <c r="Q844" s="380"/>
      <c r="R844" s="380"/>
      <c r="S844" s="380"/>
      <c r="T844" s="380"/>
      <c r="U844" s="380"/>
      <c r="V844" s="380"/>
      <c r="W844" s="380"/>
      <c r="X844" s="380"/>
      <c r="Y844" s="380"/>
      <c r="Z844" s="380"/>
      <c r="AA844" s="380"/>
    </row>
    <row r="845">
      <c r="A845" s="380"/>
      <c r="B845" s="380"/>
      <c r="C845" s="380"/>
      <c r="D845" s="380"/>
      <c r="E845" s="380"/>
      <c r="F845" s="415"/>
      <c r="G845" s="380"/>
      <c r="H845" s="380"/>
      <c r="I845" s="428"/>
      <c r="J845" s="429"/>
      <c r="K845" s="380"/>
      <c r="L845" s="415"/>
      <c r="M845" s="380"/>
      <c r="N845" s="380"/>
      <c r="O845" s="430"/>
      <c r="P845" s="380"/>
      <c r="Q845" s="380"/>
      <c r="R845" s="380"/>
      <c r="S845" s="380"/>
      <c r="T845" s="380"/>
      <c r="U845" s="380"/>
      <c r="V845" s="380"/>
      <c r="W845" s="380"/>
      <c r="X845" s="380"/>
      <c r="Y845" s="380"/>
      <c r="Z845" s="380"/>
      <c r="AA845" s="380"/>
    </row>
    <row r="846">
      <c r="A846" s="380"/>
      <c r="B846" s="380"/>
      <c r="C846" s="380"/>
      <c r="D846" s="380"/>
      <c r="E846" s="380"/>
      <c r="F846" s="415"/>
      <c r="G846" s="380"/>
      <c r="H846" s="380"/>
      <c r="I846" s="428"/>
      <c r="J846" s="429"/>
      <c r="K846" s="380"/>
      <c r="L846" s="415"/>
      <c r="M846" s="380"/>
      <c r="N846" s="380"/>
      <c r="O846" s="430"/>
      <c r="P846" s="380"/>
      <c r="Q846" s="380"/>
      <c r="R846" s="380"/>
      <c r="S846" s="380"/>
      <c r="T846" s="380"/>
      <c r="U846" s="380"/>
      <c r="V846" s="380"/>
      <c r="W846" s="380"/>
      <c r="X846" s="380"/>
      <c r="Y846" s="380"/>
      <c r="Z846" s="380"/>
      <c r="AA846" s="380"/>
    </row>
    <row r="847">
      <c r="A847" s="380"/>
      <c r="B847" s="380"/>
      <c r="C847" s="380"/>
      <c r="D847" s="380"/>
      <c r="E847" s="380"/>
      <c r="F847" s="415"/>
      <c r="G847" s="380"/>
      <c r="H847" s="380"/>
      <c r="I847" s="428"/>
      <c r="J847" s="429"/>
      <c r="K847" s="380"/>
      <c r="L847" s="415"/>
      <c r="M847" s="380"/>
      <c r="N847" s="380"/>
      <c r="O847" s="430"/>
      <c r="P847" s="380"/>
      <c r="Q847" s="380"/>
      <c r="R847" s="380"/>
      <c r="S847" s="380"/>
      <c r="T847" s="380"/>
      <c r="U847" s="380"/>
      <c r="V847" s="380"/>
      <c r="W847" s="380"/>
      <c r="X847" s="380"/>
      <c r="Y847" s="380"/>
      <c r="Z847" s="380"/>
      <c r="AA847" s="380"/>
    </row>
    <row r="848">
      <c r="A848" s="380"/>
      <c r="B848" s="380"/>
      <c r="C848" s="380"/>
      <c r="D848" s="380"/>
      <c r="E848" s="380"/>
      <c r="F848" s="415"/>
      <c r="G848" s="380"/>
      <c r="H848" s="380"/>
      <c r="I848" s="428"/>
      <c r="J848" s="429"/>
      <c r="K848" s="380"/>
      <c r="L848" s="415"/>
      <c r="M848" s="380"/>
      <c r="N848" s="380"/>
      <c r="O848" s="430"/>
      <c r="P848" s="380"/>
      <c r="Q848" s="380"/>
      <c r="R848" s="380"/>
      <c r="S848" s="380"/>
      <c r="T848" s="380"/>
      <c r="U848" s="380"/>
      <c r="V848" s="380"/>
      <c r="W848" s="380"/>
      <c r="X848" s="380"/>
      <c r="Y848" s="380"/>
      <c r="Z848" s="380"/>
      <c r="AA848" s="380"/>
    </row>
    <row r="849">
      <c r="A849" s="380"/>
      <c r="B849" s="380"/>
      <c r="C849" s="380"/>
      <c r="D849" s="380"/>
      <c r="E849" s="380"/>
      <c r="F849" s="415"/>
      <c r="G849" s="380"/>
      <c r="H849" s="380"/>
      <c r="I849" s="428"/>
      <c r="J849" s="429"/>
      <c r="K849" s="380"/>
      <c r="L849" s="415"/>
      <c r="M849" s="380"/>
      <c r="N849" s="380"/>
      <c r="O849" s="430"/>
      <c r="P849" s="380"/>
      <c r="Q849" s="380"/>
      <c r="R849" s="380"/>
      <c r="S849" s="380"/>
      <c r="T849" s="380"/>
      <c r="U849" s="380"/>
      <c r="V849" s="380"/>
      <c r="W849" s="380"/>
      <c r="X849" s="380"/>
      <c r="Y849" s="380"/>
      <c r="Z849" s="380"/>
      <c r="AA849" s="380"/>
    </row>
    <row r="850">
      <c r="A850" s="380"/>
      <c r="B850" s="380"/>
      <c r="C850" s="380"/>
      <c r="D850" s="380"/>
      <c r="E850" s="380"/>
      <c r="F850" s="415"/>
      <c r="G850" s="380"/>
      <c r="H850" s="380"/>
      <c r="I850" s="428"/>
      <c r="J850" s="429"/>
      <c r="K850" s="380"/>
      <c r="L850" s="415"/>
      <c r="M850" s="380"/>
      <c r="N850" s="380"/>
      <c r="O850" s="430"/>
      <c r="P850" s="380"/>
      <c r="Q850" s="380"/>
      <c r="R850" s="380"/>
      <c r="S850" s="380"/>
      <c r="T850" s="380"/>
      <c r="U850" s="380"/>
      <c r="V850" s="380"/>
      <c r="W850" s="380"/>
      <c r="X850" s="380"/>
      <c r="Y850" s="380"/>
      <c r="Z850" s="380"/>
      <c r="AA850" s="380"/>
    </row>
    <row r="851">
      <c r="A851" s="380"/>
      <c r="B851" s="380"/>
      <c r="C851" s="380"/>
      <c r="D851" s="380"/>
      <c r="E851" s="380"/>
      <c r="F851" s="415"/>
      <c r="G851" s="380"/>
      <c r="H851" s="380"/>
      <c r="I851" s="428"/>
      <c r="J851" s="429"/>
      <c r="K851" s="380"/>
      <c r="L851" s="415"/>
      <c r="M851" s="380"/>
      <c r="N851" s="380"/>
      <c r="O851" s="430"/>
      <c r="P851" s="380"/>
      <c r="Q851" s="380"/>
      <c r="R851" s="380"/>
      <c r="S851" s="380"/>
      <c r="T851" s="380"/>
      <c r="U851" s="380"/>
      <c r="V851" s="380"/>
      <c r="W851" s="380"/>
      <c r="X851" s="380"/>
      <c r="Y851" s="380"/>
      <c r="Z851" s="380"/>
      <c r="AA851" s="380"/>
    </row>
    <row r="852">
      <c r="A852" s="380"/>
      <c r="B852" s="380"/>
      <c r="C852" s="380"/>
      <c r="D852" s="380"/>
      <c r="E852" s="380"/>
      <c r="F852" s="415"/>
      <c r="G852" s="380"/>
      <c r="H852" s="380"/>
      <c r="I852" s="428"/>
      <c r="J852" s="429"/>
      <c r="K852" s="380"/>
      <c r="L852" s="415"/>
      <c r="M852" s="380"/>
      <c r="N852" s="380"/>
      <c r="O852" s="430"/>
      <c r="P852" s="380"/>
      <c r="Q852" s="380"/>
      <c r="R852" s="380"/>
      <c r="S852" s="380"/>
      <c r="T852" s="380"/>
      <c r="U852" s="380"/>
      <c r="V852" s="380"/>
      <c r="W852" s="380"/>
      <c r="X852" s="380"/>
      <c r="Y852" s="380"/>
      <c r="Z852" s="380"/>
      <c r="AA852" s="380"/>
    </row>
    <row r="853">
      <c r="A853" s="380"/>
      <c r="B853" s="380"/>
      <c r="C853" s="380"/>
      <c r="D853" s="380"/>
      <c r="E853" s="380"/>
      <c r="F853" s="415"/>
      <c r="G853" s="380"/>
      <c r="H853" s="380"/>
      <c r="I853" s="428"/>
      <c r="J853" s="429"/>
      <c r="K853" s="380"/>
      <c r="L853" s="415"/>
      <c r="M853" s="380"/>
      <c r="N853" s="380"/>
      <c r="O853" s="430"/>
      <c r="P853" s="380"/>
      <c r="Q853" s="380"/>
      <c r="R853" s="380"/>
      <c r="S853" s="380"/>
      <c r="T853" s="380"/>
      <c r="U853" s="380"/>
      <c r="V853" s="380"/>
      <c r="W853" s="380"/>
      <c r="X853" s="380"/>
      <c r="Y853" s="380"/>
      <c r="Z853" s="380"/>
      <c r="AA853" s="380"/>
    </row>
    <row r="854">
      <c r="A854" s="380"/>
      <c r="B854" s="380"/>
      <c r="C854" s="380"/>
      <c r="D854" s="380"/>
      <c r="E854" s="380"/>
      <c r="F854" s="415"/>
      <c r="G854" s="380"/>
      <c r="H854" s="380"/>
      <c r="I854" s="428"/>
      <c r="J854" s="429"/>
      <c r="K854" s="380"/>
      <c r="L854" s="415"/>
      <c r="M854" s="380"/>
      <c r="N854" s="380"/>
      <c r="O854" s="430"/>
      <c r="P854" s="380"/>
      <c r="Q854" s="380"/>
      <c r="R854" s="380"/>
      <c r="S854" s="380"/>
      <c r="T854" s="380"/>
      <c r="U854" s="380"/>
      <c r="V854" s="380"/>
      <c r="W854" s="380"/>
      <c r="X854" s="380"/>
      <c r="Y854" s="380"/>
      <c r="Z854" s="380"/>
      <c r="AA854" s="380"/>
    </row>
    <row r="855">
      <c r="A855" s="380"/>
      <c r="B855" s="380"/>
      <c r="C855" s="380"/>
      <c r="D855" s="380"/>
      <c r="E855" s="380"/>
      <c r="F855" s="415"/>
      <c r="G855" s="380"/>
      <c r="H855" s="380"/>
      <c r="I855" s="428"/>
      <c r="J855" s="429"/>
      <c r="K855" s="380"/>
      <c r="L855" s="415"/>
      <c r="M855" s="380"/>
      <c r="N855" s="380"/>
      <c r="O855" s="430"/>
      <c r="P855" s="380"/>
      <c r="Q855" s="380"/>
      <c r="R855" s="380"/>
      <c r="S855" s="380"/>
      <c r="T855" s="380"/>
      <c r="U855" s="380"/>
      <c r="V855" s="380"/>
      <c r="W855" s="380"/>
      <c r="X855" s="380"/>
      <c r="Y855" s="380"/>
      <c r="Z855" s="380"/>
      <c r="AA855" s="380"/>
    </row>
    <row r="856">
      <c r="A856" s="380"/>
      <c r="B856" s="380"/>
      <c r="C856" s="380"/>
      <c r="D856" s="380"/>
      <c r="E856" s="380"/>
      <c r="F856" s="415"/>
      <c r="G856" s="380"/>
      <c r="H856" s="380"/>
      <c r="I856" s="428"/>
      <c r="J856" s="429"/>
      <c r="K856" s="380"/>
      <c r="L856" s="415"/>
      <c r="M856" s="380"/>
      <c r="N856" s="380"/>
      <c r="O856" s="430"/>
      <c r="P856" s="380"/>
      <c r="Q856" s="380"/>
      <c r="R856" s="380"/>
      <c r="S856" s="380"/>
      <c r="T856" s="380"/>
      <c r="U856" s="380"/>
      <c r="V856" s="380"/>
      <c r="W856" s="380"/>
      <c r="X856" s="380"/>
      <c r="Y856" s="380"/>
      <c r="Z856" s="380"/>
      <c r="AA856" s="380"/>
    </row>
    <row r="857">
      <c r="A857" s="380"/>
      <c r="B857" s="380"/>
      <c r="C857" s="380"/>
      <c r="D857" s="380"/>
      <c r="E857" s="380"/>
      <c r="F857" s="415"/>
      <c r="G857" s="380"/>
      <c r="H857" s="380"/>
      <c r="I857" s="428"/>
      <c r="J857" s="429"/>
      <c r="K857" s="380"/>
      <c r="L857" s="415"/>
      <c r="M857" s="380"/>
      <c r="N857" s="380"/>
      <c r="O857" s="430"/>
      <c r="P857" s="380"/>
      <c r="Q857" s="380"/>
      <c r="R857" s="380"/>
      <c r="S857" s="380"/>
      <c r="T857" s="380"/>
      <c r="U857" s="380"/>
      <c r="V857" s="380"/>
      <c r="W857" s="380"/>
      <c r="X857" s="380"/>
      <c r="Y857" s="380"/>
      <c r="Z857" s="380"/>
      <c r="AA857" s="380"/>
    </row>
    <row r="858">
      <c r="A858" s="380"/>
      <c r="B858" s="380"/>
      <c r="C858" s="380"/>
      <c r="D858" s="380"/>
      <c r="E858" s="380"/>
      <c r="F858" s="415"/>
      <c r="G858" s="380"/>
      <c r="H858" s="380"/>
      <c r="I858" s="428"/>
      <c r="J858" s="429"/>
      <c r="K858" s="380"/>
      <c r="L858" s="415"/>
      <c r="M858" s="380"/>
      <c r="N858" s="380"/>
      <c r="O858" s="430"/>
      <c r="P858" s="380"/>
      <c r="Q858" s="380"/>
      <c r="R858" s="380"/>
      <c r="S858" s="380"/>
      <c r="T858" s="380"/>
      <c r="U858" s="380"/>
      <c r="V858" s="380"/>
      <c r="W858" s="380"/>
      <c r="X858" s="380"/>
      <c r="Y858" s="380"/>
      <c r="Z858" s="380"/>
      <c r="AA858" s="380"/>
    </row>
    <row r="859">
      <c r="A859" s="380"/>
      <c r="B859" s="380"/>
      <c r="C859" s="380"/>
      <c r="D859" s="380"/>
      <c r="E859" s="380"/>
      <c r="F859" s="415"/>
      <c r="G859" s="380"/>
      <c r="H859" s="380"/>
      <c r="I859" s="428"/>
      <c r="J859" s="429"/>
      <c r="K859" s="380"/>
      <c r="L859" s="415"/>
      <c r="M859" s="380"/>
      <c r="N859" s="380"/>
      <c r="O859" s="430"/>
      <c r="P859" s="380"/>
      <c r="Q859" s="380"/>
      <c r="R859" s="380"/>
      <c r="S859" s="380"/>
      <c r="T859" s="380"/>
      <c r="U859" s="380"/>
      <c r="V859" s="380"/>
      <c r="W859" s="380"/>
      <c r="X859" s="380"/>
      <c r="Y859" s="380"/>
      <c r="Z859" s="380"/>
      <c r="AA859" s="380"/>
    </row>
    <row r="860">
      <c r="A860" s="380"/>
      <c r="B860" s="380"/>
      <c r="C860" s="380"/>
      <c r="D860" s="380"/>
      <c r="E860" s="380"/>
      <c r="F860" s="415"/>
      <c r="G860" s="380"/>
      <c r="H860" s="380"/>
      <c r="I860" s="428"/>
      <c r="J860" s="429"/>
      <c r="K860" s="380"/>
      <c r="L860" s="415"/>
      <c r="M860" s="380"/>
      <c r="N860" s="380"/>
      <c r="O860" s="430"/>
      <c r="P860" s="380"/>
      <c r="Q860" s="380"/>
      <c r="R860" s="380"/>
      <c r="S860" s="380"/>
      <c r="T860" s="380"/>
      <c r="U860" s="380"/>
      <c r="V860" s="380"/>
      <c r="W860" s="380"/>
      <c r="X860" s="380"/>
      <c r="Y860" s="380"/>
      <c r="Z860" s="380"/>
      <c r="AA860" s="380"/>
    </row>
    <row r="861">
      <c r="A861" s="380"/>
      <c r="B861" s="380"/>
      <c r="C861" s="380"/>
      <c r="D861" s="380"/>
      <c r="E861" s="380"/>
      <c r="F861" s="415"/>
      <c r="G861" s="380"/>
      <c r="H861" s="380"/>
      <c r="I861" s="428"/>
      <c r="J861" s="429"/>
      <c r="K861" s="380"/>
      <c r="L861" s="415"/>
      <c r="M861" s="380"/>
      <c r="N861" s="380"/>
      <c r="O861" s="430"/>
      <c r="P861" s="380"/>
      <c r="Q861" s="380"/>
      <c r="R861" s="380"/>
      <c r="S861" s="380"/>
      <c r="T861" s="380"/>
      <c r="U861" s="380"/>
      <c r="V861" s="380"/>
      <c r="W861" s="380"/>
      <c r="X861" s="380"/>
      <c r="Y861" s="380"/>
      <c r="Z861" s="380"/>
      <c r="AA861" s="380"/>
    </row>
    <row r="862">
      <c r="A862" s="380"/>
      <c r="B862" s="380"/>
      <c r="C862" s="380"/>
      <c r="D862" s="380"/>
      <c r="E862" s="380"/>
      <c r="F862" s="415"/>
      <c r="G862" s="380"/>
      <c r="H862" s="380"/>
      <c r="I862" s="428"/>
      <c r="J862" s="429"/>
      <c r="K862" s="380"/>
      <c r="L862" s="415"/>
      <c r="M862" s="380"/>
      <c r="N862" s="380"/>
      <c r="O862" s="430"/>
      <c r="P862" s="380"/>
      <c r="Q862" s="380"/>
      <c r="R862" s="380"/>
      <c r="S862" s="380"/>
      <c r="T862" s="380"/>
      <c r="U862" s="380"/>
      <c r="V862" s="380"/>
      <c r="W862" s="380"/>
      <c r="X862" s="380"/>
      <c r="Y862" s="380"/>
      <c r="Z862" s="380"/>
      <c r="AA862" s="380"/>
    </row>
    <row r="863">
      <c r="A863" s="380"/>
      <c r="B863" s="380"/>
      <c r="C863" s="380"/>
      <c r="D863" s="380"/>
      <c r="E863" s="380"/>
      <c r="F863" s="415"/>
      <c r="G863" s="380"/>
      <c r="H863" s="380"/>
      <c r="I863" s="428"/>
      <c r="J863" s="429"/>
      <c r="K863" s="380"/>
      <c r="L863" s="415"/>
      <c r="M863" s="380"/>
      <c r="N863" s="380"/>
      <c r="O863" s="430"/>
      <c r="P863" s="380"/>
      <c r="Q863" s="380"/>
      <c r="R863" s="380"/>
      <c r="S863" s="380"/>
      <c r="T863" s="380"/>
      <c r="U863" s="380"/>
      <c r="V863" s="380"/>
      <c r="W863" s="380"/>
      <c r="X863" s="380"/>
      <c r="Y863" s="380"/>
      <c r="Z863" s="380"/>
      <c r="AA863" s="380"/>
    </row>
    <row r="864">
      <c r="A864" s="380"/>
      <c r="B864" s="380"/>
      <c r="C864" s="380"/>
      <c r="D864" s="380"/>
      <c r="E864" s="380"/>
      <c r="F864" s="415"/>
      <c r="G864" s="380"/>
      <c r="H864" s="380"/>
      <c r="I864" s="428"/>
      <c r="J864" s="429"/>
      <c r="K864" s="380"/>
      <c r="L864" s="415"/>
      <c r="M864" s="380"/>
      <c r="N864" s="380"/>
      <c r="O864" s="430"/>
      <c r="P864" s="380"/>
      <c r="Q864" s="380"/>
      <c r="R864" s="380"/>
      <c r="S864" s="380"/>
      <c r="T864" s="380"/>
      <c r="U864" s="380"/>
      <c r="V864" s="380"/>
      <c r="W864" s="380"/>
      <c r="X864" s="380"/>
      <c r="Y864" s="380"/>
      <c r="Z864" s="380"/>
      <c r="AA864" s="380"/>
    </row>
    <row r="865">
      <c r="A865" s="380"/>
      <c r="B865" s="380"/>
      <c r="C865" s="380"/>
      <c r="D865" s="380"/>
      <c r="E865" s="380"/>
      <c r="F865" s="415"/>
      <c r="G865" s="380"/>
      <c r="H865" s="380"/>
      <c r="I865" s="428"/>
      <c r="J865" s="429"/>
      <c r="K865" s="380"/>
      <c r="L865" s="415"/>
      <c r="M865" s="380"/>
      <c r="N865" s="380"/>
      <c r="O865" s="430"/>
      <c r="P865" s="380"/>
      <c r="Q865" s="380"/>
      <c r="R865" s="380"/>
      <c r="S865" s="380"/>
      <c r="T865" s="380"/>
      <c r="U865" s="380"/>
      <c r="V865" s="380"/>
      <c r="W865" s="380"/>
      <c r="X865" s="380"/>
      <c r="Y865" s="380"/>
      <c r="Z865" s="380"/>
      <c r="AA865" s="380"/>
    </row>
    <row r="866">
      <c r="A866" s="380"/>
      <c r="B866" s="380"/>
      <c r="C866" s="380"/>
      <c r="D866" s="380"/>
      <c r="E866" s="380"/>
      <c r="F866" s="415"/>
      <c r="G866" s="380"/>
      <c r="H866" s="380"/>
      <c r="I866" s="428"/>
      <c r="J866" s="429"/>
      <c r="K866" s="380"/>
      <c r="L866" s="415"/>
      <c r="M866" s="380"/>
      <c r="N866" s="380"/>
      <c r="O866" s="430"/>
      <c r="P866" s="380"/>
      <c r="Q866" s="380"/>
      <c r="R866" s="380"/>
      <c r="S866" s="380"/>
      <c r="T866" s="380"/>
      <c r="U866" s="380"/>
      <c r="V866" s="380"/>
      <c r="W866" s="380"/>
      <c r="X866" s="380"/>
      <c r="Y866" s="380"/>
      <c r="Z866" s="380"/>
      <c r="AA866" s="380"/>
    </row>
    <row r="867">
      <c r="A867" s="380"/>
      <c r="B867" s="380"/>
      <c r="C867" s="380"/>
      <c r="D867" s="380"/>
      <c r="E867" s="380"/>
      <c r="F867" s="415"/>
      <c r="G867" s="380"/>
      <c r="H867" s="380"/>
      <c r="I867" s="428"/>
      <c r="J867" s="429"/>
      <c r="K867" s="380"/>
      <c r="L867" s="415"/>
      <c r="M867" s="380"/>
      <c r="N867" s="380"/>
      <c r="O867" s="430"/>
      <c r="P867" s="380"/>
      <c r="Q867" s="380"/>
      <c r="R867" s="380"/>
      <c r="S867" s="380"/>
      <c r="T867" s="380"/>
      <c r="U867" s="380"/>
      <c r="V867" s="380"/>
      <c r="W867" s="380"/>
      <c r="X867" s="380"/>
      <c r="Y867" s="380"/>
      <c r="Z867" s="380"/>
      <c r="AA867" s="380"/>
    </row>
    <row r="868">
      <c r="A868" s="380"/>
      <c r="B868" s="380"/>
      <c r="C868" s="380"/>
      <c r="D868" s="380"/>
      <c r="E868" s="380"/>
      <c r="F868" s="415"/>
      <c r="G868" s="380"/>
      <c r="H868" s="380"/>
      <c r="I868" s="428"/>
      <c r="J868" s="429"/>
      <c r="K868" s="380"/>
      <c r="L868" s="415"/>
      <c r="M868" s="380"/>
      <c r="N868" s="380"/>
      <c r="O868" s="430"/>
      <c r="P868" s="380"/>
      <c r="Q868" s="380"/>
      <c r="R868" s="380"/>
      <c r="S868" s="380"/>
      <c r="T868" s="380"/>
      <c r="U868" s="380"/>
      <c r="V868" s="380"/>
      <c r="W868" s="380"/>
      <c r="X868" s="380"/>
      <c r="Y868" s="380"/>
      <c r="Z868" s="380"/>
      <c r="AA868" s="380"/>
    </row>
    <row r="869">
      <c r="A869" s="380"/>
      <c r="B869" s="380"/>
      <c r="C869" s="380"/>
      <c r="D869" s="380"/>
      <c r="E869" s="380"/>
      <c r="F869" s="415"/>
      <c r="G869" s="380"/>
      <c r="H869" s="380"/>
      <c r="I869" s="428"/>
      <c r="J869" s="429"/>
      <c r="K869" s="380"/>
      <c r="L869" s="415"/>
      <c r="M869" s="380"/>
      <c r="N869" s="380"/>
      <c r="O869" s="430"/>
      <c r="P869" s="380"/>
      <c r="Q869" s="380"/>
      <c r="R869" s="380"/>
      <c r="S869" s="380"/>
      <c r="T869" s="380"/>
      <c r="U869" s="380"/>
      <c r="V869" s="380"/>
      <c r="W869" s="380"/>
      <c r="X869" s="380"/>
      <c r="Y869" s="380"/>
      <c r="Z869" s="380"/>
      <c r="AA869" s="380"/>
    </row>
    <row r="870">
      <c r="A870" s="380"/>
      <c r="B870" s="380"/>
      <c r="C870" s="380"/>
      <c r="D870" s="380"/>
      <c r="E870" s="380"/>
      <c r="F870" s="415"/>
      <c r="G870" s="380"/>
      <c r="H870" s="380"/>
      <c r="I870" s="428"/>
      <c r="J870" s="429"/>
      <c r="K870" s="380"/>
      <c r="L870" s="415"/>
      <c r="M870" s="380"/>
      <c r="N870" s="380"/>
      <c r="O870" s="430"/>
      <c r="P870" s="380"/>
      <c r="Q870" s="380"/>
      <c r="R870" s="380"/>
      <c r="S870" s="380"/>
      <c r="T870" s="380"/>
      <c r="U870" s="380"/>
      <c r="V870" s="380"/>
      <c r="W870" s="380"/>
      <c r="X870" s="380"/>
      <c r="Y870" s="380"/>
      <c r="Z870" s="380"/>
      <c r="AA870" s="380"/>
    </row>
    <row r="871">
      <c r="A871" s="380"/>
      <c r="B871" s="380"/>
      <c r="C871" s="380"/>
      <c r="D871" s="380"/>
      <c r="E871" s="380"/>
      <c r="F871" s="415"/>
      <c r="G871" s="380"/>
      <c r="H871" s="380"/>
      <c r="I871" s="428"/>
      <c r="J871" s="429"/>
      <c r="K871" s="380"/>
      <c r="L871" s="415"/>
      <c r="M871" s="380"/>
      <c r="N871" s="380"/>
      <c r="O871" s="430"/>
      <c r="P871" s="380"/>
      <c r="Q871" s="380"/>
      <c r="R871" s="380"/>
      <c r="S871" s="380"/>
      <c r="T871" s="380"/>
      <c r="U871" s="380"/>
      <c r="V871" s="380"/>
      <c r="W871" s="380"/>
      <c r="X871" s="380"/>
      <c r="Y871" s="380"/>
      <c r="Z871" s="380"/>
      <c r="AA871" s="380"/>
    </row>
    <row r="872">
      <c r="A872" s="380"/>
      <c r="B872" s="380"/>
      <c r="C872" s="380"/>
      <c r="D872" s="380"/>
      <c r="E872" s="380"/>
      <c r="F872" s="415"/>
      <c r="G872" s="380"/>
      <c r="H872" s="380"/>
      <c r="I872" s="428"/>
      <c r="J872" s="429"/>
      <c r="K872" s="380"/>
      <c r="L872" s="415"/>
      <c r="M872" s="380"/>
      <c r="N872" s="380"/>
      <c r="O872" s="430"/>
      <c r="P872" s="380"/>
      <c r="Q872" s="380"/>
      <c r="R872" s="380"/>
      <c r="S872" s="380"/>
      <c r="T872" s="380"/>
      <c r="U872" s="380"/>
      <c r="V872" s="380"/>
      <c r="W872" s="380"/>
      <c r="X872" s="380"/>
      <c r="Y872" s="380"/>
      <c r="Z872" s="380"/>
      <c r="AA872" s="380"/>
    </row>
    <row r="873">
      <c r="A873" s="380"/>
      <c r="B873" s="380"/>
      <c r="C873" s="380"/>
      <c r="D873" s="380"/>
      <c r="E873" s="380"/>
      <c r="F873" s="415"/>
      <c r="G873" s="380"/>
      <c r="H873" s="380"/>
      <c r="I873" s="428"/>
      <c r="J873" s="429"/>
      <c r="K873" s="380"/>
      <c r="L873" s="415"/>
      <c r="M873" s="380"/>
      <c r="N873" s="380"/>
      <c r="O873" s="430"/>
      <c r="P873" s="380"/>
      <c r="Q873" s="380"/>
      <c r="R873" s="380"/>
      <c r="S873" s="380"/>
      <c r="T873" s="380"/>
      <c r="U873" s="380"/>
      <c r="V873" s="380"/>
      <c r="W873" s="380"/>
      <c r="X873" s="380"/>
      <c r="Y873" s="380"/>
      <c r="Z873" s="380"/>
      <c r="AA873" s="380"/>
    </row>
    <row r="874">
      <c r="A874" s="380"/>
      <c r="B874" s="380"/>
      <c r="C874" s="380"/>
      <c r="D874" s="380"/>
      <c r="E874" s="380"/>
      <c r="F874" s="415"/>
      <c r="G874" s="380"/>
      <c r="H874" s="380"/>
      <c r="I874" s="428"/>
      <c r="J874" s="429"/>
      <c r="K874" s="380"/>
      <c r="L874" s="415"/>
      <c r="M874" s="380"/>
      <c r="N874" s="380"/>
      <c r="O874" s="430"/>
      <c r="P874" s="380"/>
      <c r="Q874" s="380"/>
      <c r="R874" s="380"/>
      <c r="S874" s="380"/>
      <c r="T874" s="380"/>
      <c r="U874" s="380"/>
      <c r="V874" s="380"/>
      <c r="W874" s="380"/>
      <c r="X874" s="380"/>
      <c r="Y874" s="380"/>
      <c r="Z874" s="380"/>
      <c r="AA874" s="380"/>
    </row>
    <row r="875">
      <c r="A875" s="380"/>
      <c r="B875" s="380"/>
      <c r="C875" s="380"/>
      <c r="D875" s="380"/>
      <c r="E875" s="380"/>
      <c r="F875" s="415"/>
      <c r="G875" s="380"/>
      <c r="H875" s="380"/>
      <c r="I875" s="428"/>
      <c r="J875" s="429"/>
      <c r="K875" s="380"/>
      <c r="L875" s="415"/>
      <c r="M875" s="380"/>
      <c r="N875" s="380"/>
      <c r="O875" s="430"/>
      <c r="P875" s="380"/>
      <c r="Q875" s="380"/>
      <c r="R875" s="380"/>
      <c r="S875" s="380"/>
      <c r="T875" s="380"/>
      <c r="U875" s="380"/>
      <c r="V875" s="380"/>
      <c r="W875" s="380"/>
      <c r="X875" s="380"/>
      <c r="Y875" s="380"/>
      <c r="Z875" s="380"/>
      <c r="AA875" s="380"/>
    </row>
    <row r="876">
      <c r="A876" s="380"/>
      <c r="B876" s="380"/>
      <c r="C876" s="380"/>
      <c r="D876" s="380"/>
      <c r="E876" s="380"/>
      <c r="F876" s="415"/>
      <c r="G876" s="380"/>
      <c r="H876" s="380"/>
      <c r="I876" s="428"/>
      <c r="J876" s="429"/>
      <c r="K876" s="380"/>
      <c r="L876" s="415"/>
      <c r="M876" s="380"/>
      <c r="N876" s="380"/>
      <c r="O876" s="430"/>
      <c r="P876" s="380"/>
      <c r="Q876" s="380"/>
      <c r="R876" s="380"/>
      <c r="S876" s="380"/>
      <c r="T876" s="380"/>
      <c r="U876" s="380"/>
      <c r="V876" s="380"/>
      <c r="W876" s="380"/>
      <c r="X876" s="380"/>
      <c r="Y876" s="380"/>
      <c r="Z876" s="380"/>
      <c r="AA876" s="380"/>
    </row>
    <row r="877">
      <c r="A877" s="380"/>
      <c r="B877" s="380"/>
      <c r="C877" s="380"/>
      <c r="D877" s="380"/>
      <c r="E877" s="380"/>
      <c r="F877" s="415"/>
      <c r="G877" s="380"/>
      <c r="H877" s="380"/>
      <c r="I877" s="428"/>
      <c r="J877" s="429"/>
      <c r="K877" s="380"/>
      <c r="L877" s="415"/>
      <c r="M877" s="380"/>
      <c r="N877" s="380"/>
      <c r="O877" s="430"/>
      <c r="P877" s="380"/>
      <c r="Q877" s="380"/>
      <c r="R877" s="380"/>
      <c r="S877" s="380"/>
      <c r="T877" s="380"/>
      <c r="U877" s="380"/>
      <c r="V877" s="380"/>
      <c r="W877" s="380"/>
      <c r="X877" s="380"/>
      <c r="Y877" s="380"/>
      <c r="Z877" s="380"/>
      <c r="AA877" s="380"/>
    </row>
    <row r="878">
      <c r="A878" s="380"/>
      <c r="B878" s="380"/>
      <c r="C878" s="380"/>
      <c r="D878" s="380"/>
      <c r="E878" s="380"/>
      <c r="F878" s="415"/>
      <c r="G878" s="380"/>
      <c r="H878" s="380"/>
      <c r="I878" s="428"/>
      <c r="J878" s="429"/>
      <c r="K878" s="380"/>
      <c r="L878" s="415"/>
      <c r="M878" s="380"/>
      <c r="N878" s="380"/>
      <c r="O878" s="430"/>
      <c r="P878" s="380"/>
      <c r="Q878" s="380"/>
      <c r="R878" s="380"/>
      <c r="S878" s="380"/>
      <c r="T878" s="380"/>
      <c r="U878" s="380"/>
      <c r="V878" s="380"/>
      <c r="W878" s="380"/>
      <c r="X878" s="380"/>
      <c r="Y878" s="380"/>
      <c r="Z878" s="380"/>
      <c r="AA878" s="380"/>
    </row>
    <row r="879">
      <c r="A879" s="380"/>
      <c r="B879" s="380"/>
      <c r="C879" s="380"/>
      <c r="D879" s="380"/>
      <c r="E879" s="380"/>
      <c r="F879" s="415"/>
      <c r="G879" s="380"/>
      <c r="H879" s="380"/>
      <c r="I879" s="428"/>
      <c r="J879" s="429"/>
      <c r="K879" s="380"/>
      <c r="L879" s="415"/>
      <c r="M879" s="380"/>
      <c r="N879" s="380"/>
      <c r="O879" s="430"/>
      <c r="P879" s="380"/>
      <c r="Q879" s="380"/>
      <c r="R879" s="380"/>
      <c r="S879" s="380"/>
      <c r="T879" s="380"/>
      <c r="U879" s="380"/>
      <c r="V879" s="380"/>
      <c r="W879" s="380"/>
      <c r="X879" s="380"/>
      <c r="Y879" s="380"/>
      <c r="Z879" s="380"/>
      <c r="AA879" s="380"/>
    </row>
    <row r="880">
      <c r="A880" s="380"/>
      <c r="B880" s="380"/>
      <c r="C880" s="380"/>
      <c r="D880" s="380"/>
      <c r="E880" s="380"/>
      <c r="F880" s="415"/>
      <c r="G880" s="380"/>
      <c r="H880" s="380"/>
      <c r="I880" s="428"/>
      <c r="J880" s="429"/>
      <c r="K880" s="380"/>
      <c r="L880" s="415"/>
      <c r="M880" s="380"/>
      <c r="N880" s="380"/>
      <c r="O880" s="430"/>
      <c r="P880" s="380"/>
      <c r="Q880" s="380"/>
      <c r="R880" s="380"/>
      <c r="S880" s="380"/>
      <c r="T880" s="380"/>
      <c r="U880" s="380"/>
      <c r="V880" s="380"/>
      <c r="W880" s="380"/>
      <c r="X880" s="380"/>
      <c r="Y880" s="380"/>
      <c r="Z880" s="380"/>
      <c r="AA880" s="380"/>
    </row>
    <row r="881">
      <c r="A881" s="380"/>
      <c r="B881" s="380"/>
      <c r="C881" s="380"/>
      <c r="D881" s="380"/>
      <c r="E881" s="380"/>
      <c r="F881" s="415"/>
      <c r="G881" s="380"/>
      <c r="H881" s="380"/>
      <c r="I881" s="428"/>
      <c r="J881" s="429"/>
      <c r="K881" s="380"/>
      <c r="L881" s="415"/>
      <c r="M881" s="380"/>
      <c r="N881" s="380"/>
      <c r="O881" s="430"/>
      <c r="P881" s="380"/>
      <c r="Q881" s="380"/>
      <c r="R881" s="380"/>
      <c r="S881" s="380"/>
      <c r="T881" s="380"/>
      <c r="U881" s="380"/>
      <c r="V881" s="380"/>
      <c r="W881" s="380"/>
      <c r="X881" s="380"/>
      <c r="Y881" s="380"/>
      <c r="Z881" s="380"/>
      <c r="AA881" s="380"/>
    </row>
    <row r="882">
      <c r="A882" s="380"/>
      <c r="B882" s="380"/>
      <c r="C882" s="380"/>
      <c r="D882" s="380"/>
      <c r="E882" s="380"/>
      <c r="F882" s="415"/>
      <c r="G882" s="380"/>
      <c r="H882" s="380"/>
      <c r="I882" s="428"/>
      <c r="J882" s="429"/>
      <c r="K882" s="380"/>
      <c r="L882" s="415"/>
      <c r="M882" s="380"/>
      <c r="N882" s="380"/>
      <c r="O882" s="430"/>
      <c r="P882" s="380"/>
      <c r="Q882" s="380"/>
      <c r="R882" s="380"/>
      <c r="S882" s="380"/>
      <c r="T882" s="380"/>
      <c r="U882" s="380"/>
      <c r="V882" s="380"/>
      <c r="W882" s="380"/>
      <c r="X882" s="380"/>
      <c r="Y882" s="380"/>
      <c r="Z882" s="380"/>
      <c r="AA882" s="380"/>
    </row>
    <row r="883">
      <c r="A883" s="380"/>
      <c r="B883" s="380"/>
      <c r="C883" s="380"/>
      <c r="D883" s="380"/>
      <c r="E883" s="380"/>
      <c r="F883" s="415"/>
      <c r="G883" s="380"/>
      <c r="H883" s="380"/>
      <c r="I883" s="428"/>
      <c r="J883" s="429"/>
      <c r="K883" s="380"/>
      <c r="L883" s="415"/>
      <c r="M883" s="380"/>
      <c r="N883" s="380"/>
      <c r="O883" s="430"/>
      <c r="P883" s="380"/>
      <c r="Q883" s="380"/>
      <c r="R883" s="380"/>
      <c r="S883" s="380"/>
      <c r="T883" s="380"/>
      <c r="U883" s="380"/>
      <c r="V883" s="380"/>
      <c r="W883" s="380"/>
      <c r="X883" s="380"/>
      <c r="Y883" s="380"/>
      <c r="Z883" s="380"/>
      <c r="AA883" s="380"/>
    </row>
    <row r="884">
      <c r="A884" s="380"/>
      <c r="B884" s="380"/>
      <c r="C884" s="380"/>
      <c r="D884" s="380"/>
      <c r="E884" s="380"/>
      <c r="F884" s="415"/>
      <c r="G884" s="380"/>
      <c r="H884" s="380"/>
      <c r="I884" s="428"/>
      <c r="J884" s="429"/>
      <c r="K884" s="380"/>
      <c r="L884" s="415"/>
      <c r="M884" s="380"/>
      <c r="N884" s="380"/>
      <c r="O884" s="430"/>
      <c r="P884" s="380"/>
      <c r="Q884" s="380"/>
      <c r="R884" s="380"/>
      <c r="S884" s="380"/>
      <c r="T884" s="380"/>
      <c r="U884" s="380"/>
      <c r="V884" s="380"/>
      <c r="W884" s="380"/>
      <c r="X884" s="380"/>
      <c r="Y884" s="380"/>
      <c r="Z884" s="380"/>
      <c r="AA884" s="380"/>
    </row>
    <row r="885">
      <c r="A885" s="380"/>
      <c r="B885" s="380"/>
      <c r="C885" s="380"/>
      <c r="D885" s="380"/>
      <c r="E885" s="380"/>
      <c r="F885" s="415"/>
      <c r="G885" s="380"/>
      <c r="H885" s="380"/>
      <c r="I885" s="428"/>
      <c r="J885" s="429"/>
      <c r="K885" s="380"/>
      <c r="L885" s="415"/>
      <c r="M885" s="380"/>
      <c r="N885" s="380"/>
      <c r="O885" s="430"/>
      <c r="P885" s="380"/>
      <c r="Q885" s="380"/>
      <c r="R885" s="380"/>
      <c r="S885" s="380"/>
      <c r="T885" s="380"/>
      <c r="U885" s="380"/>
      <c r="V885" s="380"/>
      <c r="W885" s="380"/>
      <c r="X885" s="380"/>
      <c r="Y885" s="380"/>
      <c r="Z885" s="380"/>
      <c r="AA885" s="380"/>
    </row>
    <row r="886">
      <c r="A886" s="380"/>
      <c r="B886" s="380"/>
      <c r="C886" s="380"/>
      <c r="D886" s="380"/>
      <c r="E886" s="380"/>
      <c r="F886" s="415"/>
      <c r="G886" s="380"/>
      <c r="H886" s="380"/>
      <c r="I886" s="428"/>
      <c r="J886" s="429"/>
      <c r="K886" s="380"/>
      <c r="L886" s="415"/>
      <c r="M886" s="380"/>
      <c r="N886" s="380"/>
      <c r="O886" s="430"/>
      <c r="P886" s="380"/>
      <c r="Q886" s="380"/>
      <c r="R886" s="380"/>
      <c r="S886" s="380"/>
      <c r="T886" s="380"/>
      <c r="U886" s="380"/>
      <c r="V886" s="380"/>
      <c r="W886" s="380"/>
      <c r="X886" s="380"/>
      <c r="Y886" s="380"/>
      <c r="Z886" s="380"/>
      <c r="AA886" s="380"/>
    </row>
    <row r="887">
      <c r="A887" s="380"/>
      <c r="B887" s="380"/>
      <c r="C887" s="380"/>
      <c r="D887" s="380"/>
      <c r="E887" s="380"/>
      <c r="F887" s="415"/>
      <c r="G887" s="380"/>
      <c r="H887" s="380"/>
      <c r="I887" s="428"/>
      <c r="J887" s="429"/>
      <c r="K887" s="380"/>
      <c r="L887" s="415"/>
      <c r="M887" s="380"/>
      <c r="N887" s="380"/>
      <c r="O887" s="430"/>
      <c r="P887" s="380"/>
      <c r="Q887" s="380"/>
      <c r="R887" s="380"/>
      <c r="S887" s="380"/>
      <c r="T887" s="380"/>
      <c r="U887" s="380"/>
      <c r="V887" s="380"/>
      <c r="W887" s="380"/>
      <c r="X887" s="380"/>
      <c r="Y887" s="380"/>
      <c r="Z887" s="380"/>
      <c r="AA887" s="380"/>
    </row>
    <row r="888">
      <c r="A888" s="380"/>
      <c r="B888" s="380"/>
      <c r="C888" s="380"/>
      <c r="D888" s="380"/>
      <c r="E888" s="380"/>
      <c r="F888" s="415"/>
      <c r="G888" s="380"/>
      <c r="H888" s="380"/>
      <c r="I888" s="428"/>
      <c r="J888" s="429"/>
      <c r="K888" s="380"/>
      <c r="L888" s="415"/>
      <c r="M888" s="380"/>
      <c r="N888" s="380"/>
      <c r="O888" s="430"/>
      <c r="P888" s="380"/>
      <c r="Q888" s="380"/>
      <c r="R888" s="380"/>
      <c r="S888" s="380"/>
      <c r="T888" s="380"/>
      <c r="U888" s="380"/>
      <c r="V888" s="380"/>
      <c r="W888" s="380"/>
      <c r="X888" s="380"/>
      <c r="Y888" s="380"/>
      <c r="Z888" s="380"/>
      <c r="AA888" s="380"/>
    </row>
    <row r="889">
      <c r="A889" s="380"/>
      <c r="B889" s="380"/>
      <c r="C889" s="380"/>
      <c r="D889" s="380"/>
      <c r="E889" s="380"/>
      <c r="F889" s="415"/>
      <c r="G889" s="380"/>
      <c r="H889" s="380"/>
      <c r="I889" s="428"/>
      <c r="J889" s="429"/>
      <c r="K889" s="380"/>
      <c r="L889" s="415"/>
      <c r="M889" s="380"/>
      <c r="N889" s="380"/>
      <c r="O889" s="430"/>
      <c r="P889" s="380"/>
      <c r="Q889" s="380"/>
      <c r="R889" s="380"/>
      <c r="S889" s="380"/>
      <c r="T889" s="380"/>
      <c r="U889" s="380"/>
      <c r="V889" s="380"/>
      <c r="W889" s="380"/>
      <c r="X889" s="380"/>
      <c r="Y889" s="380"/>
      <c r="Z889" s="380"/>
      <c r="AA889" s="380"/>
    </row>
    <row r="890">
      <c r="A890" s="380"/>
      <c r="B890" s="380"/>
      <c r="C890" s="380"/>
      <c r="D890" s="380"/>
      <c r="E890" s="380"/>
      <c r="F890" s="415"/>
      <c r="G890" s="380"/>
      <c r="H890" s="380"/>
      <c r="I890" s="428"/>
      <c r="J890" s="429"/>
      <c r="K890" s="380"/>
      <c r="L890" s="415"/>
      <c r="M890" s="380"/>
      <c r="N890" s="380"/>
      <c r="O890" s="430"/>
      <c r="P890" s="380"/>
      <c r="Q890" s="380"/>
      <c r="R890" s="380"/>
      <c r="S890" s="380"/>
      <c r="T890" s="380"/>
      <c r="U890" s="380"/>
      <c r="V890" s="380"/>
      <c r="W890" s="380"/>
      <c r="X890" s="380"/>
      <c r="Y890" s="380"/>
      <c r="Z890" s="380"/>
      <c r="AA890" s="380"/>
    </row>
    <row r="891">
      <c r="A891" s="380"/>
      <c r="B891" s="380"/>
      <c r="C891" s="380"/>
      <c r="D891" s="380"/>
      <c r="E891" s="380"/>
      <c r="F891" s="415"/>
      <c r="G891" s="380"/>
      <c r="H891" s="380"/>
      <c r="I891" s="428"/>
      <c r="J891" s="429"/>
      <c r="K891" s="380"/>
      <c r="L891" s="415"/>
      <c r="M891" s="380"/>
      <c r="N891" s="380"/>
      <c r="O891" s="430"/>
      <c r="P891" s="380"/>
      <c r="Q891" s="380"/>
      <c r="R891" s="380"/>
      <c r="S891" s="380"/>
      <c r="T891" s="380"/>
      <c r="U891" s="380"/>
      <c r="V891" s="380"/>
      <c r="W891" s="380"/>
      <c r="X891" s="380"/>
      <c r="Y891" s="380"/>
      <c r="Z891" s="380"/>
      <c r="AA891" s="380"/>
    </row>
    <row r="892">
      <c r="A892" s="380"/>
      <c r="B892" s="380"/>
      <c r="C892" s="380"/>
      <c r="D892" s="380"/>
      <c r="E892" s="380"/>
      <c r="F892" s="415"/>
      <c r="G892" s="380"/>
      <c r="H892" s="380"/>
      <c r="I892" s="428"/>
      <c r="J892" s="429"/>
      <c r="K892" s="380"/>
      <c r="L892" s="415"/>
      <c r="M892" s="380"/>
      <c r="N892" s="380"/>
      <c r="O892" s="430"/>
      <c r="P892" s="380"/>
      <c r="Q892" s="380"/>
      <c r="R892" s="380"/>
      <c r="S892" s="380"/>
      <c r="T892" s="380"/>
      <c r="U892" s="380"/>
      <c r="V892" s="380"/>
      <c r="W892" s="380"/>
      <c r="X892" s="380"/>
      <c r="Y892" s="380"/>
      <c r="Z892" s="380"/>
      <c r="AA892" s="380"/>
    </row>
    <row r="893">
      <c r="A893" s="380"/>
      <c r="B893" s="380"/>
      <c r="C893" s="380"/>
      <c r="D893" s="380"/>
      <c r="E893" s="380"/>
      <c r="F893" s="415"/>
      <c r="G893" s="380"/>
      <c r="H893" s="380"/>
      <c r="I893" s="428"/>
      <c r="J893" s="429"/>
      <c r="K893" s="380"/>
      <c r="L893" s="415"/>
      <c r="M893" s="380"/>
      <c r="N893" s="380"/>
      <c r="O893" s="430"/>
      <c r="P893" s="380"/>
      <c r="Q893" s="380"/>
      <c r="R893" s="380"/>
      <c r="S893" s="380"/>
      <c r="T893" s="380"/>
      <c r="U893" s="380"/>
      <c r="V893" s="380"/>
      <c r="W893" s="380"/>
      <c r="X893" s="380"/>
      <c r="Y893" s="380"/>
      <c r="Z893" s="380"/>
      <c r="AA893" s="380"/>
    </row>
    <row r="894">
      <c r="A894" s="380"/>
      <c r="B894" s="380"/>
      <c r="C894" s="380"/>
      <c r="D894" s="380"/>
      <c r="E894" s="380"/>
      <c r="F894" s="415"/>
      <c r="G894" s="380"/>
      <c r="H894" s="380"/>
      <c r="I894" s="428"/>
      <c r="J894" s="429"/>
      <c r="K894" s="380"/>
      <c r="L894" s="415"/>
      <c r="M894" s="380"/>
      <c r="N894" s="380"/>
      <c r="O894" s="430"/>
      <c r="P894" s="380"/>
      <c r="Q894" s="380"/>
      <c r="R894" s="380"/>
      <c r="S894" s="380"/>
      <c r="T894" s="380"/>
      <c r="U894" s="380"/>
      <c r="V894" s="380"/>
      <c r="W894" s="380"/>
      <c r="X894" s="380"/>
      <c r="Y894" s="380"/>
      <c r="Z894" s="380"/>
      <c r="AA894" s="380"/>
    </row>
    <row r="895">
      <c r="A895" s="380"/>
      <c r="B895" s="380"/>
      <c r="C895" s="380"/>
      <c r="D895" s="380"/>
      <c r="E895" s="380"/>
      <c r="F895" s="415"/>
      <c r="G895" s="380"/>
      <c r="H895" s="380"/>
      <c r="I895" s="428"/>
      <c r="J895" s="429"/>
      <c r="K895" s="380"/>
      <c r="L895" s="415"/>
      <c r="M895" s="380"/>
      <c r="N895" s="380"/>
      <c r="O895" s="430"/>
      <c r="P895" s="380"/>
      <c r="Q895" s="380"/>
      <c r="R895" s="380"/>
      <c r="S895" s="380"/>
      <c r="T895" s="380"/>
      <c r="U895" s="380"/>
      <c r="V895" s="380"/>
      <c r="W895" s="380"/>
      <c r="X895" s="380"/>
      <c r="Y895" s="380"/>
      <c r="Z895" s="380"/>
      <c r="AA895" s="380"/>
    </row>
    <row r="896">
      <c r="A896" s="380"/>
      <c r="B896" s="380"/>
      <c r="C896" s="380"/>
      <c r="D896" s="380"/>
      <c r="E896" s="380"/>
      <c r="F896" s="415"/>
      <c r="G896" s="380"/>
      <c r="H896" s="380"/>
      <c r="I896" s="428"/>
      <c r="J896" s="429"/>
      <c r="K896" s="380"/>
      <c r="L896" s="415"/>
      <c r="M896" s="380"/>
      <c r="N896" s="380"/>
      <c r="O896" s="430"/>
      <c r="P896" s="380"/>
      <c r="Q896" s="380"/>
      <c r="R896" s="380"/>
      <c r="S896" s="380"/>
      <c r="T896" s="380"/>
      <c r="U896" s="380"/>
      <c r="V896" s="380"/>
      <c r="W896" s="380"/>
      <c r="X896" s="380"/>
      <c r="Y896" s="380"/>
      <c r="Z896" s="380"/>
      <c r="AA896" s="380"/>
    </row>
    <row r="897">
      <c r="A897" s="380"/>
      <c r="B897" s="380"/>
      <c r="C897" s="380"/>
      <c r="D897" s="380"/>
      <c r="E897" s="380"/>
      <c r="F897" s="415"/>
      <c r="G897" s="380"/>
      <c r="H897" s="380"/>
      <c r="I897" s="428"/>
      <c r="J897" s="429"/>
      <c r="K897" s="380"/>
      <c r="L897" s="415"/>
      <c r="M897" s="380"/>
      <c r="N897" s="380"/>
      <c r="O897" s="430"/>
      <c r="P897" s="380"/>
      <c r="Q897" s="380"/>
      <c r="R897" s="380"/>
      <c r="S897" s="380"/>
      <c r="T897" s="380"/>
      <c r="U897" s="380"/>
      <c r="V897" s="380"/>
      <c r="W897" s="380"/>
      <c r="X897" s="380"/>
      <c r="Y897" s="380"/>
      <c r="Z897" s="380"/>
      <c r="AA897" s="380"/>
    </row>
    <row r="898">
      <c r="A898" s="380"/>
      <c r="B898" s="380"/>
      <c r="C898" s="380"/>
      <c r="D898" s="380"/>
      <c r="E898" s="380"/>
      <c r="F898" s="415"/>
      <c r="G898" s="380"/>
      <c r="H898" s="380"/>
      <c r="I898" s="428"/>
      <c r="J898" s="429"/>
      <c r="K898" s="380"/>
      <c r="L898" s="415"/>
      <c r="M898" s="380"/>
      <c r="N898" s="380"/>
      <c r="O898" s="430"/>
      <c r="P898" s="380"/>
      <c r="Q898" s="380"/>
      <c r="R898" s="380"/>
      <c r="S898" s="380"/>
      <c r="T898" s="380"/>
      <c r="U898" s="380"/>
      <c r="V898" s="380"/>
      <c r="W898" s="380"/>
      <c r="X898" s="380"/>
      <c r="Y898" s="380"/>
      <c r="Z898" s="380"/>
      <c r="AA898" s="380"/>
    </row>
    <row r="899">
      <c r="A899" s="380"/>
      <c r="B899" s="380"/>
      <c r="C899" s="380"/>
      <c r="D899" s="380"/>
      <c r="E899" s="380"/>
      <c r="F899" s="415"/>
      <c r="G899" s="380"/>
      <c r="H899" s="380"/>
      <c r="I899" s="428"/>
      <c r="J899" s="429"/>
      <c r="K899" s="380"/>
      <c r="L899" s="415"/>
      <c r="M899" s="380"/>
      <c r="N899" s="380"/>
      <c r="O899" s="430"/>
      <c r="P899" s="380"/>
      <c r="Q899" s="380"/>
      <c r="R899" s="380"/>
      <c r="S899" s="380"/>
      <c r="T899" s="380"/>
      <c r="U899" s="380"/>
      <c r="V899" s="380"/>
      <c r="W899" s="380"/>
      <c r="X899" s="380"/>
      <c r="Y899" s="380"/>
      <c r="Z899" s="380"/>
      <c r="AA899" s="380"/>
    </row>
    <row r="900">
      <c r="A900" s="380"/>
      <c r="B900" s="380"/>
      <c r="C900" s="380"/>
      <c r="D900" s="380"/>
      <c r="E900" s="380"/>
      <c r="F900" s="415"/>
      <c r="G900" s="380"/>
      <c r="H900" s="380"/>
      <c r="I900" s="428"/>
      <c r="J900" s="429"/>
      <c r="K900" s="380"/>
      <c r="L900" s="415"/>
      <c r="M900" s="380"/>
      <c r="N900" s="380"/>
      <c r="O900" s="430"/>
      <c r="P900" s="380"/>
      <c r="Q900" s="380"/>
      <c r="R900" s="380"/>
      <c r="S900" s="380"/>
      <c r="T900" s="380"/>
      <c r="U900" s="380"/>
      <c r="V900" s="380"/>
      <c r="W900" s="380"/>
      <c r="X900" s="380"/>
      <c r="Y900" s="380"/>
      <c r="Z900" s="380"/>
      <c r="AA900" s="380"/>
    </row>
    <row r="901">
      <c r="A901" s="380"/>
      <c r="B901" s="380"/>
      <c r="C901" s="380"/>
      <c r="D901" s="380"/>
      <c r="E901" s="380"/>
      <c r="F901" s="415"/>
      <c r="G901" s="380"/>
      <c r="H901" s="380"/>
      <c r="I901" s="428"/>
      <c r="J901" s="429"/>
      <c r="K901" s="380"/>
      <c r="L901" s="415"/>
      <c r="M901" s="380"/>
      <c r="N901" s="380"/>
      <c r="O901" s="430"/>
      <c r="P901" s="380"/>
      <c r="Q901" s="380"/>
      <c r="R901" s="380"/>
      <c r="S901" s="380"/>
      <c r="T901" s="380"/>
      <c r="U901" s="380"/>
      <c r="V901" s="380"/>
      <c r="W901" s="380"/>
      <c r="X901" s="380"/>
      <c r="Y901" s="380"/>
      <c r="Z901" s="380"/>
      <c r="AA901" s="380"/>
    </row>
    <row r="902">
      <c r="A902" s="380"/>
      <c r="B902" s="380"/>
      <c r="C902" s="380"/>
      <c r="D902" s="380"/>
      <c r="E902" s="380"/>
      <c r="F902" s="415"/>
      <c r="G902" s="380"/>
      <c r="H902" s="380"/>
      <c r="I902" s="428"/>
      <c r="J902" s="429"/>
      <c r="K902" s="380"/>
      <c r="L902" s="415"/>
      <c r="M902" s="380"/>
      <c r="N902" s="380"/>
      <c r="O902" s="430"/>
      <c r="P902" s="380"/>
      <c r="Q902" s="380"/>
      <c r="R902" s="380"/>
      <c r="S902" s="380"/>
      <c r="T902" s="380"/>
      <c r="U902" s="380"/>
      <c r="V902" s="380"/>
      <c r="W902" s="380"/>
      <c r="X902" s="380"/>
      <c r="Y902" s="380"/>
      <c r="Z902" s="380"/>
      <c r="AA902" s="380"/>
    </row>
    <row r="903">
      <c r="A903" s="380"/>
      <c r="B903" s="380"/>
      <c r="C903" s="380"/>
      <c r="D903" s="380"/>
      <c r="E903" s="380"/>
      <c r="F903" s="415"/>
      <c r="G903" s="380"/>
      <c r="H903" s="380"/>
      <c r="I903" s="428"/>
      <c r="J903" s="429"/>
      <c r="K903" s="380"/>
      <c r="L903" s="415"/>
      <c r="M903" s="380"/>
      <c r="N903" s="380"/>
      <c r="O903" s="430"/>
      <c r="P903" s="380"/>
      <c r="Q903" s="380"/>
      <c r="R903" s="380"/>
      <c r="S903" s="380"/>
      <c r="T903" s="380"/>
      <c r="U903" s="380"/>
      <c r="V903" s="380"/>
      <c r="W903" s="380"/>
      <c r="X903" s="380"/>
      <c r="Y903" s="380"/>
      <c r="Z903" s="380"/>
      <c r="AA903" s="380"/>
    </row>
    <row r="904">
      <c r="A904" s="380"/>
      <c r="B904" s="380"/>
      <c r="C904" s="380"/>
      <c r="D904" s="380"/>
      <c r="E904" s="380"/>
      <c r="F904" s="415"/>
      <c r="G904" s="380"/>
      <c r="H904" s="380"/>
      <c r="I904" s="428"/>
      <c r="J904" s="429"/>
      <c r="K904" s="380"/>
      <c r="L904" s="415"/>
      <c r="M904" s="380"/>
      <c r="N904" s="380"/>
      <c r="O904" s="430"/>
      <c r="P904" s="380"/>
      <c r="Q904" s="380"/>
      <c r="R904" s="380"/>
      <c r="S904" s="380"/>
      <c r="T904" s="380"/>
      <c r="U904" s="380"/>
      <c r="V904" s="380"/>
      <c r="W904" s="380"/>
      <c r="X904" s="380"/>
      <c r="Y904" s="380"/>
      <c r="Z904" s="380"/>
      <c r="AA904" s="380"/>
    </row>
    <row r="905">
      <c r="A905" s="380"/>
      <c r="B905" s="380"/>
      <c r="C905" s="380"/>
      <c r="D905" s="380"/>
      <c r="E905" s="380"/>
      <c r="F905" s="415"/>
      <c r="G905" s="380"/>
      <c r="H905" s="380"/>
      <c r="I905" s="428"/>
      <c r="J905" s="429"/>
      <c r="K905" s="380"/>
      <c r="L905" s="415"/>
      <c r="M905" s="380"/>
      <c r="N905" s="380"/>
      <c r="O905" s="430"/>
      <c r="P905" s="380"/>
      <c r="Q905" s="380"/>
      <c r="R905" s="380"/>
      <c r="S905" s="380"/>
      <c r="T905" s="380"/>
      <c r="U905" s="380"/>
      <c r="V905" s="380"/>
      <c r="W905" s="380"/>
      <c r="X905" s="380"/>
      <c r="Y905" s="380"/>
      <c r="Z905" s="380"/>
      <c r="AA905" s="380"/>
    </row>
    <row r="906">
      <c r="A906" s="380"/>
      <c r="B906" s="380"/>
      <c r="C906" s="380"/>
      <c r="D906" s="380"/>
      <c r="E906" s="380"/>
      <c r="F906" s="415"/>
      <c r="G906" s="380"/>
      <c r="H906" s="380"/>
      <c r="I906" s="428"/>
      <c r="J906" s="429"/>
      <c r="K906" s="380"/>
      <c r="L906" s="415"/>
      <c r="M906" s="380"/>
      <c r="N906" s="380"/>
      <c r="O906" s="430"/>
      <c r="P906" s="380"/>
      <c r="Q906" s="380"/>
      <c r="R906" s="380"/>
      <c r="S906" s="380"/>
      <c r="T906" s="380"/>
      <c r="U906" s="380"/>
      <c r="V906" s="380"/>
      <c r="W906" s="380"/>
      <c r="X906" s="380"/>
      <c r="Y906" s="380"/>
      <c r="Z906" s="380"/>
      <c r="AA906" s="380"/>
    </row>
    <row r="907">
      <c r="A907" s="380"/>
      <c r="B907" s="380"/>
      <c r="C907" s="380"/>
      <c r="D907" s="380"/>
      <c r="E907" s="380"/>
      <c r="F907" s="415"/>
      <c r="G907" s="380"/>
      <c r="H907" s="380"/>
      <c r="I907" s="428"/>
      <c r="J907" s="429"/>
      <c r="K907" s="380"/>
      <c r="L907" s="415"/>
      <c r="M907" s="380"/>
      <c r="N907" s="380"/>
      <c r="O907" s="430"/>
      <c r="P907" s="380"/>
      <c r="Q907" s="380"/>
      <c r="R907" s="380"/>
      <c r="S907" s="380"/>
      <c r="T907" s="380"/>
      <c r="U907" s="380"/>
      <c r="V907" s="380"/>
      <c r="W907" s="380"/>
      <c r="X907" s="380"/>
      <c r="Y907" s="380"/>
      <c r="Z907" s="380"/>
      <c r="AA907" s="380"/>
    </row>
    <row r="908">
      <c r="A908" s="380"/>
      <c r="B908" s="380"/>
      <c r="C908" s="380"/>
      <c r="D908" s="380"/>
      <c r="E908" s="380"/>
      <c r="F908" s="415"/>
      <c r="G908" s="380"/>
      <c r="H908" s="380"/>
      <c r="I908" s="428"/>
      <c r="J908" s="429"/>
      <c r="K908" s="380"/>
      <c r="L908" s="415"/>
      <c r="M908" s="380"/>
      <c r="N908" s="380"/>
      <c r="O908" s="430"/>
      <c r="P908" s="380"/>
      <c r="Q908" s="380"/>
      <c r="R908" s="380"/>
      <c r="S908" s="380"/>
      <c r="T908" s="380"/>
      <c r="U908" s="380"/>
      <c r="V908" s="380"/>
      <c r="W908" s="380"/>
      <c r="X908" s="380"/>
      <c r="Y908" s="380"/>
      <c r="Z908" s="380"/>
      <c r="AA908" s="380"/>
    </row>
    <row r="909">
      <c r="A909" s="380"/>
      <c r="B909" s="380"/>
      <c r="C909" s="380"/>
      <c r="D909" s="380"/>
      <c r="E909" s="380"/>
      <c r="F909" s="415"/>
      <c r="G909" s="380"/>
      <c r="H909" s="380"/>
      <c r="I909" s="428"/>
      <c r="J909" s="429"/>
      <c r="K909" s="380"/>
      <c r="L909" s="415"/>
      <c r="M909" s="380"/>
      <c r="N909" s="380"/>
      <c r="O909" s="430"/>
      <c r="P909" s="380"/>
      <c r="Q909" s="380"/>
      <c r="R909" s="380"/>
      <c r="S909" s="380"/>
      <c r="T909" s="380"/>
      <c r="U909" s="380"/>
      <c r="V909" s="380"/>
      <c r="W909" s="380"/>
      <c r="X909" s="380"/>
      <c r="Y909" s="380"/>
      <c r="Z909" s="380"/>
      <c r="AA909" s="380"/>
    </row>
    <row r="910">
      <c r="A910" s="380"/>
      <c r="B910" s="380"/>
      <c r="C910" s="380"/>
      <c r="D910" s="380"/>
      <c r="E910" s="380"/>
      <c r="F910" s="415"/>
      <c r="G910" s="380"/>
      <c r="H910" s="380"/>
      <c r="I910" s="428"/>
      <c r="J910" s="429"/>
      <c r="K910" s="380"/>
      <c r="L910" s="415"/>
      <c r="M910" s="380"/>
      <c r="N910" s="380"/>
      <c r="O910" s="430"/>
      <c r="P910" s="380"/>
      <c r="Q910" s="380"/>
      <c r="R910" s="380"/>
      <c r="S910" s="380"/>
      <c r="T910" s="380"/>
      <c r="U910" s="380"/>
      <c r="V910" s="380"/>
      <c r="W910" s="380"/>
      <c r="X910" s="380"/>
      <c r="Y910" s="380"/>
      <c r="Z910" s="380"/>
      <c r="AA910" s="380"/>
    </row>
    <row r="911">
      <c r="A911" s="380"/>
      <c r="B911" s="380"/>
      <c r="C911" s="380"/>
      <c r="D911" s="380"/>
      <c r="E911" s="380"/>
      <c r="F911" s="415"/>
      <c r="G911" s="380"/>
      <c r="H911" s="380"/>
      <c r="I911" s="428"/>
      <c r="J911" s="429"/>
      <c r="K911" s="380"/>
      <c r="L911" s="415"/>
      <c r="M911" s="380"/>
      <c r="N911" s="380"/>
      <c r="O911" s="430"/>
      <c r="P911" s="380"/>
      <c r="Q911" s="380"/>
      <c r="R911" s="380"/>
      <c r="S911" s="380"/>
      <c r="T911" s="380"/>
      <c r="U911" s="380"/>
      <c r="V911" s="380"/>
      <c r="W911" s="380"/>
      <c r="X911" s="380"/>
      <c r="Y911" s="380"/>
      <c r="Z911" s="380"/>
      <c r="AA911" s="380"/>
    </row>
    <row r="912">
      <c r="A912" s="380"/>
      <c r="B912" s="380"/>
      <c r="C912" s="380"/>
      <c r="D912" s="380"/>
      <c r="E912" s="380"/>
      <c r="F912" s="415"/>
      <c r="G912" s="380"/>
      <c r="H912" s="380"/>
      <c r="I912" s="428"/>
      <c r="J912" s="429"/>
      <c r="K912" s="380"/>
      <c r="L912" s="415"/>
      <c r="M912" s="380"/>
      <c r="N912" s="380"/>
      <c r="O912" s="430"/>
      <c r="P912" s="380"/>
      <c r="Q912" s="380"/>
      <c r="R912" s="380"/>
      <c r="S912" s="380"/>
      <c r="T912" s="380"/>
      <c r="U912" s="380"/>
      <c r="V912" s="380"/>
      <c r="W912" s="380"/>
      <c r="X912" s="380"/>
      <c r="Y912" s="380"/>
      <c r="Z912" s="380"/>
      <c r="AA912" s="380"/>
    </row>
    <row r="913">
      <c r="A913" s="380"/>
      <c r="B913" s="380"/>
      <c r="C913" s="380"/>
      <c r="D913" s="380"/>
      <c r="E913" s="380"/>
      <c r="F913" s="415"/>
      <c r="G913" s="380"/>
      <c r="H913" s="380"/>
      <c r="I913" s="428"/>
      <c r="J913" s="429"/>
      <c r="K913" s="380"/>
      <c r="L913" s="415"/>
      <c r="M913" s="380"/>
      <c r="N913" s="380"/>
      <c r="O913" s="430"/>
      <c r="P913" s="380"/>
      <c r="Q913" s="380"/>
      <c r="R913" s="380"/>
      <c r="S913" s="380"/>
      <c r="T913" s="380"/>
      <c r="U913" s="380"/>
      <c r="V913" s="380"/>
      <c r="W913" s="380"/>
      <c r="X913" s="380"/>
      <c r="Y913" s="380"/>
      <c r="Z913" s="380"/>
      <c r="AA913" s="380"/>
    </row>
    <row r="914">
      <c r="A914" s="380"/>
      <c r="B914" s="380"/>
      <c r="C914" s="380"/>
      <c r="D914" s="380"/>
      <c r="E914" s="380"/>
      <c r="F914" s="415"/>
      <c r="G914" s="380"/>
      <c r="H914" s="380"/>
      <c r="I914" s="428"/>
      <c r="J914" s="429"/>
      <c r="K914" s="380"/>
      <c r="L914" s="415"/>
      <c r="M914" s="380"/>
      <c r="N914" s="380"/>
      <c r="O914" s="430"/>
      <c r="P914" s="380"/>
      <c r="Q914" s="380"/>
      <c r="R914" s="380"/>
      <c r="S914" s="380"/>
      <c r="T914" s="380"/>
      <c r="U914" s="380"/>
      <c r="V914" s="380"/>
      <c r="W914" s="380"/>
      <c r="X914" s="380"/>
      <c r="Y914" s="380"/>
      <c r="Z914" s="380"/>
      <c r="AA914" s="380"/>
    </row>
    <row r="915">
      <c r="A915" s="380"/>
      <c r="B915" s="380"/>
      <c r="C915" s="380"/>
      <c r="D915" s="380"/>
      <c r="E915" s="380"/>
      <c r="F915" s="415"/>
      <c r="G915" s="380"/>
      <c r="H915" s="380"/>
      <c r="I915" s="428"/>
      <c r="J915" s="429"/>
      <c r="K915" s="380"/>
      <c r="L915" s="415"/>
      <c r="M915" s="380"/>
      <c r="N915" s="380"/>
      <c r="O915" s="430"/>
      <c r="P915" s="380"/>
      <c r="Q915" s="380"/>
      <c r="R915" s="380"/>
      <c r="S915" s="380"/>
      <c r="T915" s="380"/>
      <c r="U915" s="380"/>
      <c r="V915" s="380"/>
      <c r="W915" s="380"/>
      <c r="X915" s="380"/>
      <c r="Y915" s="380"/>
      <c r="Z915" s="380"/>
      <c r="AA915" s="380"/>
    </row>
    <row r="916">
      <c r="A916" s="380"/>
      <c r="B916" s="380"/>
      <c r="C916" s="380"/>
      <c r="D916" s="380"/>
      <c r="E916" s="380"/>
      <c r="F916" s="415"/>
      <c r="G916" s="380"/>
      <c r="H916" s="380"/>
      <c r="I916" s="428"/>
      <c r="J916" s="429"/>
      <c r="K916" s="380"/>
      <c r="L916" s="415"/>
      <c r="M916" s="380"/>
      <c r="N916" s="380"/>
      <c r="O916" s="430"/>
      <c r="P916" s="380"/>
      <c r="Q916" s="380"/>
      <c r="R916" s="380"/>
      <c r="S916" s="380"/>
      <c r="T916" s="380"/>
      <c r="U916" s="380"/>
      <c r="V916" s="380"/>
      <c r="W916" s="380"/>
      <c r="X916" s="380"/>
      <c r="Y916" s="380"/>
      <c r="Z916" s="380"/>
      <c r="AA916" s="380"/>
    </row>
    <row r="917">
      <c r="A917" s="380"/>
      <c r="B917" s="380"/>
      <c r="C917" s="380"/>
      <c r="D917" s="380"/>
      <c r="E917" s="380"/>
      <c r="F917" s="415"/>
      <c r="G917" s="380"/>
      <c r="H917" s="380"/>
      <c r="I917" s="428"/>
      <c r="J917" s="429"/>
      <c r="K917" s="380"/>
      <c r="L917" s="415"/>
      <c r="M917" s="380"/>
      <c r="N917" s="380"/>
      <c r="O917" s="430"/>
      <c r="P917" s="380"/>
      <c r="Q917" s="380"/>
      <c r="R917" s="380"/>
      <c r="S917" s="380"/>
      <c r="T917" s="380"/>
      <c r="U917" s="380"/>
      <c r="V917" s="380"/>
      <c r="W917" s="380"/>
      <c r="X917" s="380"/>
      <c r="Y917" s="380"/>
      <c r="Z917" s="380"/>
      <c r="AA917" s="380"/>
    </row>
    <row r="918">
      <c r="A918" s="380"/>
      <c r="B918" s="380"/>
      <c r="C918" s="380"/>
      <c r="D918" s="380"/>
      <c r="E918" s="380"/>
      <c r="F918" s="415"/>
      <c r="G918" s="380"/>
      <c r="H918" s="380"/>
      <c r="I918" s="428"/>
      <c r="J918" s="429"/>
      <c r="K918" s="380"/>
      <c r="L918" s="415"/>
      <c r="M918" s="380"/>
      <c r="N918" s="380"/>
      <c r="O918" s="430"/>
      <c r="P918" s="380"/>
      <c r="Q918" s="380"/>
      <c r="R918" s="380"/>
      <c r="S918" s="380"/>
      <c r="T918" s="380"/>
      <c r="U918" s="380"/>
      <c r="V918" s="380"/>
      <c r="W918" s="380"/>
      <c r="X918" s="380"/>
      <c r="Y918" s="380"/>
      <c r="Z918" s="380"/>
      <c r="AA918" s="380"/>
    </row>
    <row r="919">
      <c r="A919" s="380"/>
      <c r="B919" s="380"/>
      <c r="C919" s="380"/>
      <c r="D919" s="380"/>
      <c r="E919" s="380"/>
      <c r="F919" s="415"/>
      <c r="G919" s="380"/>
      <c r="H919" s="380"/>
      <c r="I919" s="428"/>
      <c r="J919" s="429"/>
      <c r="K919" s="380"/>
      <c r="L919" s="415"/>
      <c r="M919" s="380"/>
      <c r="N919" s="380"/>
      <c r="O919" s="430"/>
      <c r="P919" s="380"/>
      <c r="Q919" s="380"/>
      <c r="R919" s="380"/>
      <c r="S919" s="380"/>
      <c r="T919" s="380"/>
      <c r="U919" s="380"/>
      <c r="V919" s="380"/>
      <c r="W919" s="380"/>
      <c r="X919" s="380"/>
      <c r="Y919" s="380"/>
      <c r="Z919" s="380"/>
      <c r="AA919" s="380"/>
    </row>
    <row r="920">
      <c r="A920" s="380"/>
      <c r="B920" s="380"/>
      <c r="C920" s="380"/>
      <c r="D920" s="380"/>
      <c r="E920" s="380"/>
      <c r="F920" s="415"/>
      <c r="G920" s="380"/>
      <c r="H920" s="380"/>
      <c r="I920" s="428"/>
      <c r="J920" s="429"/>
      <c r="K920" s="380"/>
      <c r="L920" s="415"/>
      <c r="M920" s="380"/>
      <c r="N920" s="380"/>
      <c r="O920" s="430"/>
      <c r="P920" s="380"/>
      <c r="Q920" s="380"/>
      <c r="R920" s="380"/>
      <c r="S920" s="380"/>
      <c r="T920" s="380"/>
      <c r="U920" s="380"/>
      <c r="V920" s="380"/>
      <c r="W920" s="380"/>
      <c r="X920" s="380"/>
      <c r="Y920" s="380"/>
      <c r="Z920" s="380"/>
      <c r="AA920" s="380"/>
    </row>
    <row r="921">
      <c r="A921" s="380"/>
      <c r="B921" s="380"/>
      <c r="C921" s="380"/>
      <c r="D921" s="380"/>
      <c r="E921" s="380"/>
      <c r="F921" s="415"/>
      <c r="G921" s="380"/>
      <c r="H921" s="380"/>
      <c r="I921" s="428"/>
      <c r="J921" s="429"/>
      <c r="K921" s="380"/>
      <c r="L921" s="415"/>
      <c r="M921" s="380"/>
      <c r="N921" s="380"/>
      <c r="O921" s="430"/>
      <c r="P921" s="380"/>
      <c r="Q921" s="380"/>
      <c r="R921" s="380"/>
      <c r="S921" s="380"/>
      <c r="T921" s="380"/>
      <c r="U921" s="380"/>
      <c r="V921" s="380"/>
      <c r="W921" s="380"/>
      <c r="X921" s="380"/>
      <c r="Y921" s="380"/>
      <c r="Z921" s="380"/>
      <c r="AA921" s="380"/>
    </row>
    <row r="922">
      <c r="A922" s="380"/>
      <c r="B922" s="380"/>
      <c r="C922" s="380"/>
      <c r="D922" s="380"/>
      <c r="E922" s="380"/>
      <c r="F922" s="415"/>
      <c r="G922" s="380"/>
      <c r="H922" s="380"/>
      <c r="I922" s="428"/>
      <c r="J922" s="429"/>
      <c r="K922" s="380"/>
      <c r="L922" s="415"/>
      <c r="M922" s="380"/>
      <c r="N922" s="380"/>
      <c r="O922" s="430"/>
      <c r="P922" s="380"/>
      <c r="Q922" s="380"/>
      <c r="R922" s="380"/>
      <c r="S922" s="380"/>
      <c r="T922" s="380"/>
      <c r="U922" s="380"/>
      <c r="V922" s="380"/>
      <c r="W922" s="380"/>
      <c r="X922" s="380"/>
      <c r="Y922" s="380"/>
      <c r="Z922" s="380"/>
      <c r="AA922" s="380"/>
    </row>
    <row r="923">
      <c r="A923" s="380"/>
      <c r="B923" s="380"/>
      <c r="C923" s="380"/>
      <c r="D923" s="380"/>
      <c r="E923" s="380"/>
      <c r="F923" s="415"/>
      <c r="G923" s="380"/>
      <c r="H923" s="380"/>
      <c r="I923" s="428"/>
      <c r="J923" s="429"/>
      <c r="K923" s="380"/>
      <c r="L923" s="415"/>
      <c r="M923" s="380"/>
      <c r="N923" s="380"/>
      <c r="O923" s="430"/>
      <c r="P923" s="380"/>
      <c r="Q923" s="380"/>
      <c r="R923" s="380"/>
      <c r="S923" s="380"/>
      <c r="T923" s="380"/>
      <c r="U923" s="380"/>
      <c r="V923" s="380"/>
      <c r="W923" s="380"/>
      <c r="X923" s="380"/>
      <c r="Y923" s="380"/>
      <c r="Z923" s="380"/>
      <c r="AA923" s="380"/>
    </row>
    <row r="924">
      <c r="A924" s="380"/>
      <c r="B924" s="380"/>
      <c r="C924" s="380"/>
      <c r="D924" s="380"/>
      <c r="E924" s="380"/>
      <c r="F924" s="415"/>
      <c r="G924" s="380"/>
      <c r="H924" s="380"/>
      <c r="I924" s="428"/>
      <c r="J924" s="429"/>
      <c r="K924" s="380"/>
      <c r="L924" s="415"/>
      <c r="M924" s="380"/>
      <c r="N924" s="380"/>
      <c r="O924" s="430"/>
      <c r="P924" s="380"/>
      <c r="Q924" s="380"/>
      <c r="R924" s="380"/>
      <c r="S924" s="380"/>
      <c r="T924" s="380"/>
      <c r="U924" s="380"/>
      <c r="V924" s="380"/>
      <c r="W924" s="380"/>
      <c r="X924" s="380"/>
      <c r="Y924" s="380"/>
      <c r="Z924" s="380"/>
      <c r="AA924" s="380"/>
    </row>
    <row r="925">
      <c r="A925" s="380"/>
      <c r="B925" s="380"/>
      <c r="C925" s="380"/>
      <c r="D925" s="380"/>
      <c r="E925" s="380"/>
      <c r="F925" s="415"/>
      <c r="G925" s="380"/>
      <c r="H925" s="380"/>
      <c r="I925" s="428"/>
      <c r="J925" s="429"/>
      <c r="K925" s="380"/>
      <c r="L925" s="415"/>
      <c r="M925" s="380"/>
      <c r="N925" s="380"/>
      <c r="O925" s="430"/>
      <c r="P925" s="380"/>
      <c r="Q925" s="380"/>
      <c r="R925" s="380"/>
      <c r="S925" s="380"/>
      <c r="T925" s="380"/>
      <c r="U925" s="380"/>
      <c r="V925" s="380"/>
      <c r="W925" s="380"/>
      <c r="X925" s="380"/>
      <c r="Y925" s="380"/>
      <c r="Z925" s="380"/>
      <c r="AA925" s="380"/>
    </row>
    <row r="926">
      <c r="A926" s="380"/>
      <c r="B926" s="380"/>
      <c r="C926" s="380"/>
      <c r="D926" s="380"/>
      <c r="E926" s="380"/>
      <c r="F926" s="415"/>
      <c r="G926" s="380"/>
      <c r="H926" s="380"/>
      <c r="I926" s="428"/>
      <c r="J926" s="429"/>
      <c r="K926" s="380"/>
      <c r="L926" s="415"/>
      <c r="M926" s="380"/>
      <c r="N926" s="380"/>
      <c r="O926" s="430"/>
      <c r="P926" s="380"/>
      <c r="Q926" s="380"/>
      <c r="R926" s="380"/>
      <c r="S926" s="380"/>
      <c r="T926" s="380"/>
      <c r="U926" s="380"/>
      <c r="V926" s="380"/>
      <c r="W926" s="380"/>
      <c r="X926" s="380"/>
      <c r="Y926" s="380"/>
      <c r="Z926" s="380"/>
      <c r="AA926" s="380"/>
    </row>
    <row r="927">
      <c r="A927" s="380"/>
      <c r="B927" s="380"/>
      <c r="C927" s="380"/>
      <c r="D927" s="380"/>
      <c r="E927" s="380"/>
      <c r="F927" s="415"/>
      <c r="G927" s="380"/>
      <c r="H927" s="380"/>
      <c r="I927" s="428"/>
      <c r="J927" s="429"/>
      <c r="K927" s="380"/>
      <c r="L927" s="415"/>
      <c r="M927" s="380"/>
      <c r="N927" s="380"/>
      <c r="O927" s="430"/>
      <c r="P927" s="380"/>
      <c r="Q927" s="380"/>
      <c r="R927" s="380"/>
      <c r="S927" s="380"/>
      <c r="T927" s="380"/>
      <c r="U927" s="380"/>
      <c r="V927" s="380"/>
      <c r="W927" s="380"/>
      <c r="X927" s="380"/>
      <c r="Y927" s="380"/>
      <c r="Z927" s="380"/>
      <c r="AA927" s="380"/>
    </row>
    <row r="928">
      <c r="A928" s="380"/>
      <c r="B928" s="380"/>
      <c r="C928" s="380"/>
      <c r="D928" s="380"/>
      <c r="E928" s="380"/>
      <c r="F928" s="415"/>
      <c r="G928" s="380"/>
      <c r="H928" s="380"/>
      <c r="I928" s="428"/>
      <c r="J928" s="429"/>
      <c r="K928" s="380"/>
      <c r="L928" s="415"/>
      <c r="M928" s="380"/>
      <c r="N928" s="380"/>
      <c r="O928" s="430"/>
      <c r="P928" s="380"/>
      <c r="Q928" s="380"/>
      <c r="R928" s="380"/>
      <c r="S928" s="380"/>
      <c r="T928" s="380"/>
      <c r="U928" s="380"/>
      <c r="V928" s="380"/>
      <c r="W928" s="380"/>
      <c r="X928" s="380"/>
      <c r="Y928" s="380"/>
      <c r="Z928" s="380"/>
      <c r="AA928" s="380"/>
    </row>
    <row r="929">
      <c r="A929" s="380"/>
      <c r="B929" s="380"/>
      <c r="C929" s="380"/>
      <c r="D929" s="380"/>
      <c r="E929" s="380"/>
      <c r="F929" s="415"/>
      <c r="G929" s="380"/>
      <c r="H929" s="380"/>
      <c r="I929" s="428"/>
      <c r="J929" s="429"/>
      <c r="K929" s="380"/>
      <c r="L929" s="415"/>
      <c r="M929" s="380"/>
      <c r="N929" s="380"/>
      <c r="O929" s="430"/>
      <c r="P929" s="380"/>
      <c r="Q929" s="380"/>
      <c r="R929" s="380"/>
      <c r="S929" s="380"/>
      <c r="T929" s="380"/>
      <c r="U929" s="380"/>
      <c r="V929" s="380"/>
      <c r="W929" s="380"/>
      <c r="X929" s="380"/>
      <c r="Y929" s="380"/>
      <c r="Z929" s="380"/>
      <c r="AA929" s="380"/>
    </row>
    <row r="930">
      <c r="A930" s="380"/>
      <c r="B930" s="380"/>
      <c r="C930" s="380"/>
      <c r="D930" s="380"/>
      <c r="E930" s="380"/>
      <c r="F930" s="415"/>
      <c r="G930" s="380"/>
      <c r="H930" s="380"/>
      <c r="I930" s="428"/>
      <c r="J930" s="429"/>
      <c r="K930" s="380"/>
      <c r="L930" s="415"/>
      <c r="M930" s="380"/>
      <c r="N930" s="380"/>
      <c r="O930" s="430"/>
      <c r="P930" s="380"/>
      <c r="Q930" s="380"/>
      <c r="R930" s="380"/>
      <c r="S930" s="380"/>
      <c r="T930" s="380"/>
      <c r="U930" s="380"/>
      <c r="V930" s="380"/>
      <c r="W930" s="380"/>
      <c r="X930" s="380"/>
      <c r="Y930" s="380"/>
      <c r="Z930" s="380"/>
      <c r="AA930" s="380"/>
    </row>
    <row r="931">
      <c r="A931" s="380"/>
      <c r="B931" s="380"/>
      <c r="C931" s="380"/>
      <c r="D931" s="380"/>
      <c r="E931" s="380"/>
      <c r="F931" s="415"/>
      <c r="G931" s="380"/>
      <c r="H931" s="380"/>
      <c r="I931" s="428"/>
      <c r="J931" s="429"/>
      <c r="K931" s="380"/>
      <c r="L931" s="415"/>
      <c r="M931" s="380"/>
      <c r="N931" s="380"/>
      <c r="O931" s="430"/>
      <c r="P931" s="380"/>
      <c r="Q931" s="380"/>
      <c r="R931" s="380"/>
      <c r="S931" s="380"/>
      <c r="T931" s="380"/>
      <c r="U931" s="380"/>
      <c r="V931" s="380"/>
      <c r="W931" s="380"/>
      <c r="X931" s="380"/>
      <c r="Y931" s="380"/>
      <c r="Z931" s="380"/>
      <c r="AA931" s="380"/>
    </row>
    <row r="932">
      <c r="A932" s="380"/>
      <c r="B932" s="380"/>
      <c r="C932" s="380"/>
      <c r="D932" s="380"/>
      <c r="E932" s="380"/>
      <c r="F932" s="415"/>
      <c r="G932" s="380"/>
      <c r="H932" s="380"/>
      <c r="I932" s="428"/>
      <c r="J932" s="429"/>
      <c r="K932" s="380"/>
      <c r="L932" s="415"/>
      <c r="M932" s="380"/>
      <c r="N932" s="380"/>
      <c r="O932" s="430"/>
      <c r="P932" s="380"/>
      <c r="Q932" s="380"/>
      <c r="R932" s="380"/>
      <c r="S932" s="380"/>
      <c r="T932" s="380"/>
      <c r="U932" s="380"/>
      <c r="V932" s="380"/>
      <c r="W932" s="380"/>
      <c r="X932" s="380"/>
      <c r="Y932" s="380"/>
      <c r="Z932" s="380"/>
      <c r="AA932" s="380"/>
    </row>
    <row r="933">
      <c r="A933" s="380"/>
      <c r="B933" s="380"/>
      <c r="C933" s="380"/>
      <c r="D933" s="380"/>
      <c r="E933" s="380"/>
      <c r="F933" s="415"/>
      <c r="G933" s="380"/>
      <c r="H933" s="380"/>
      <c r="I933" s="428"/>
      <c r="J933" s="429"/>
      <c r="K933" s="380"/>
      <c r="L933" s="415"/>
      <c r="M933" s="380"/>
      <c r="N933" s="380"/>
      <c r="O933" s="430"/>
      <c r="P933" s="380"/>
      <c r="Q933" s="380"/>
      <c r="R933" s="380"/>
      <c r="S933" s="380"/>
      <c r="T933" s="380"/>
      <c r="U933" s="380"/>
      <c r="V933" s="380"/>
      <c r="W933" s="380"/>
      <c r="X933" s="380"/>
      <c r="Y933" s="380"/>
      <c r="Z933" s="380"/>
      <c r="AA933" s="380"/>
    </row>
    <row r="934">
      <c r="A934" s="380"/>
      <c r="B934" s="380"/>
      <c r="C934" s="380"/>
      <c r="D934" s="380"/>
      <c r="E934" s="380"/>
      <c r="F934" s="415"/>
      <c r="G934" s="380"/>
      <c r="H934" s="380"/>
      <c r="I934" s="428"/>
      <c r="J934" s="429"/>
      <c r="K934" s="380"/>
      <c r="L934" s="415"/>
      <c r="M934" s="380"/>
      <c r="N934" s="380"/>
      <c r="O934" s="430"/>
      <c r="P934" s="380"/>
      <c r="Q934" s="380"/>
      <c r="R934" s="380"/>
      <c r="S934" s="380"/>
      <c r="T934" s="380"/>
      <c r="U934" s="380"/>
      <c r="V934" s="380"/>
      <c r="W934" s="380"/>
      <c r="X934" s="380"/>
      <c r="Y934" s="380"/>
      <c r="Z934" s="380"/>
      <c r="AA934" s="380"/>
    </row>
    <row r="935">
      <c r="A935" s="380"/>
      <c r="B935" s="380"/>
      <c r="C935" s="380"/>
      <c r="D935" s="380"/>
      <c r="E935" s="380"/>
      <c r="F935" s="415"/>
      <c r="G935" s="380"/>
      <c r="H935" s="380"/>
      <c r="I935" s="428"/>
      <c r="J935" s="429"/>
      <c r="K935" s="380"/>
      <c r="L935" s="415"/>
      <c r="M935" s="380"/>
      <c r="N935" s="380"/>
      <c r="O935" s="430"/>
      <c r="P935" s="380"/>
      <c r="Q935" s="380"/>
      <c r="R935" s="380"/>
      <c r="S935" s="380"/>
      <c r="T935" s="380"/>
      <c r="U935" s="380"/>
      <c r="V935" s="380"/>
      <c r="W935" s="380"/>
      <c r="X935" s="380"/>
      <c r="Y935" s="380"/>
      <c r="Z935" s="380"/>
      <c r="AA935" s="380"/>
    </row>
    <row r="936">
      <c r="A936" s="380"/>
      <c r="B936" s="380"/>
      <c r="C936" s="380"/>
      <c r="D936" s="380"/>
      <c r="E936" s="380"/>
      <c r="F936" s="415"/>
      <c r="G936" s="380"/>
      <c r="H936" s="380"/>
      <c r="I936" s="428"/>
      <c r="J936" s="429"/>
      <c r="K936" s="380"/>
      <c r="L936" s="415"/>
      <c r="M936" s="380"/>
      <c r="N936" s="380"/>
      <c r="O936" s="430"/>
      <c r="P936" s="380"/>
      <c r="Q936" s="380"/>
      <c r="R936" s="380"/>
      <c r="S936" s="380"/>
      <c r="T936" s="380"/>
      <c r="U936" s="380"/>
      <c r="V936" s="380"/>
      <c r="W936" s="380"/>
      <c r="X936" s="380"/>
      <c r="Y936" s="380"/>
      <c r="Z936" s="380"/>
      <c r="AA936" s="380"/>
    </row>
    <row r="937">
      <c r="A937" s="380"/>
      <c r="B937" s="380"/>
      <c r="C937" s="380"/>
      <c r="D937" s="380"/>
      <c r="E937" s="380"/>
      <c r="F937" s="415"/>
      <c r="G937" s="380"/>
      <c r="H937" s="380"/>
      <c r="I937" s="428"/>
      <c r="J937" s="429"/>
      <c r="K937" s="380"/>
      <c r="L937" s="415"/>
      <c r="M937" s="380"/>
      <c r="N937" s="380"/>
      <c r="O937" s="430"/>
      <c r="P937" s="380"/>
      <c r="Q937" s="380"/>
      <c r="R937" s="380"/>
      <c r="S937" s="380"/>
      <c r="T937" s="380"/>
      <c r="U937" s="380"/>
      <c r="V937" s="380"/>
      <c r="W937" s="380"/>
      <c r="X937" s="380"/>
      <c r="Y937" s="380"/>
      <c r="Z937" s="380"/>
      <c r="AA937" s="380"/>
    </row>
    <row r="938">
      <c r="A938" s="380"/>
      <c r="B938" s="380"/>
      <c r="C938" s="380"/>
      <c r="D938" s="380"/>
      <c r="E938" s="380"/>
      <c r="F938" s="415"/>
      <c r="G938" s="380"/>
      <c r="H938" s="380"/>
      <c r="I938" s="428"/>
      <c r="J938" s="429"/>
      <c r="K938" s="380"/>
      <c r="L938" s="415"/>
      <c r="M938" s="380"/>
      <c r="N938" s="380"/>
      <c r="O938" s="430"/>
      <c r="P938" s="380"/>
      <c r="Q938" s="380"/>
      <c r="R938" s="380"/>
      <c r="S938" s="380"/>
      <c r="T938" s="380"/>
      <c r="U938" s="380"/>
      <c r="V938" s="380"/>
      <c r="W938" s="380"/>
      <c r="X938" s="380"/>
      <c r="Y938" s="380"/>
      <c r="Z938" s="380"/>
      <c r="AA938" s="380"/>
    </row>
    <row r="939">
      <c r="A939" s="380"/>
      <c r="B939" s="380"/>
      <c r="C939" s="380"/>
      <c r="D939" s="380"/>
      <c r="E939" s="380"/>
      <c r="F939" s="415"/>
      <c r="G939" s="380"/>
      <c r="H939" s="380"/>
      <c r="I939" s="428"/>
      <c r="J939" s="429"/>
      <c r="K939" s="380"/>
      <c r="L939" s="415"/>
      <c r="M939" s="380"/>
      <c r="N939" s="380"/>
      <c r="O939" s="430"/>
      <c r="P939" s="380"/>
      <c r="Q939" s="380"/>
      <c r="R939" s="380"/>
      <c r="S939" s="380"/>
      <c r="T939" s="380"/>
      <c r="U939" s="380"/>
      <c r="V939" s="380"/>
      <c r="W939" s="380"/>
      <c r="X939" s="380"/>
      <c r="Y939" s="380"/>
      <c r="Z939" s="380"/>
      <c r="AA939" s="380"/>
    </row>
    <row r="940">
      <c r="A940" s="380"/>
      <c r="B940" s="380"/>
      <c r="C940" s="380"/>
      <c r="D940" s="380"/>
      <c r="E940" s="380"/>
      <c r="F940" s="415"/>
      <c r="G940" s="380"/>
      <c r="H940" s="380"/>
      <c r="I940" s="428"/>
      <c r="J940" s="429"/>
      <c r="K940" s="380"/>
      <c r="L940" s="415"/>
      <c r="M940" s="380"/>
      <c r="N940" s="380"/>
      <c r="O940" s="430"/>
      <c r="P940" s="380"/>
      <c r="Q940" s="380"/>
      <c r="R940" s="380"/>
      <c r="S940" s="380"/>
      <c r="T940" s="380"/>
      <c r="U940" s="380"/>
      <c r="V940" s="380"/>
      <c r="W940" s="380"/>
      <c r="X940" s="380"/>
      <c r="Y940" s="380"/>
      <c r="Z940" s="380"/>
      <c r="AA940" s="380"/>
    </row>
    <row r="941">
      <c r="A941" s="380"/>
      <c r="B941" s="380"/>
      <c r="C941" s="380"/>
      <c r="D941" s="380"/>
      <c r="E941" s="380"/>
      <c r="F941" s="415"/>
      <c r="G941" s="380"/>
      <c r="H941" s="380"/>
      <c r="I941" s="428"/>
      <c r="J941" s="429"/>
      <c r="K941" s="380"/>
      <c r="L941" s="415"/>
      <c r="M941" s="380"/>
      <c r="N941" s="380"/>
      <c r="O941" s="430"/>
      <c r="P941" s="380"/>
      <c r="Q941" s="380"/>
      <c r="R941" s="380"/>
      <c r="S941" s="380"/>
      <c r="T941" s="380"/>
      <c r="U941" s="380"/>
      <c r="V941" s="380"/>
      <c r="W941" s="380"/>
      <c r="X941" s="380"/>
      <c r="Y941" s="380"/>
      <c r="Z941" s="380"/>
      <c r="AA941" s="380"/>
    </row>
    <row r="942">
      <c r="A942" s="380"/>
      <c r="B942" s="380"/>
      <c r="C942" s="380"/>
      <c r="D942" s="380"/>
      <c r="E942" s="380"/>
      <c r="F942" s="415"/>
      <c r="G942" s="380"/>
      <c r="H942" s="380"/>
      <c r="I942" s="428"/>
      <c r="J942" s="429"/>
      <c r="K942" s="380"/>
      <c r="L942" s="415"/>
      <c r="M942" s="380"/>
      <c r="N942" s="380"/>
      <c r="O942" s="430"/>
      <c r="P942" s="380"/>
      <c r="Q942" s="380"/>
      <c r="R942" s="380"/>
      <c r="S942" s="380"/>
      <c r="T942" s="380"/>
      <c r="U942" s="380"/>
      <c r="V942" s="380"/>
      <c r="W942" s="380"/>
      <c r="X942" s="380"/>
      <c r="Y942" s="380"/>
      <c r="Z942" s="380"/>
      <c r="AA942" s="380"/>
    </row>
    <row r="943">
      <c r="A943" s="380"/>
      <c r="B943" s="380"/>
      <c r="C943" s="380"/>
      <c r="D943" s="380"/>
      <c r="E943" s="380"/>
      <c r="F943" s="415"/>
      <c r="G943" s="380"/>
      <c r="H943" s="380"/>
      <c r="I943" s="428"/>
      <c r="J943" s="429"/>
      <c r="K943" s="380"/>
      <c r="L943" s="415"/>
      <c r="M943" s="380"/>
      <c r="N943" s="380"/>
      <c r="O943" s="430"/>
      <c r="P943" s="380"/>
      <c r="Q943" s="380"/>
      <c r="R943" s="380"/>
      <c r="S943" s="380"/>
      <c r="T943" s="380"/>
      <c r="U943" s="380"/>
      <c r="V943" s="380"/>
      <c r="W943" s="380"/>
      <c r="X943" s="380"/>
      <c r="Y943" s="380"/>
      <c r="Z943" s="380"/>
      <c r="AA943" s="380"/>
    </row>
    <row r="944">
      <c r="A944" s="380"/>
      <c r="B944" s="380"/>
      <c r="C944" s="380"/>
      <c r="D944" s="380"/>
      <c r="E944" s="380"/>
      <c r="F944" s="415"/>
      <c r="G944" s="380"/>
      <c r="H944" s="380"/>
      <c r="I944" s="428"/>
      <c r="J944" s="429"/>
      <c r="K944" s="380"/>
      <c r="L944" s="415"/>
      <c r="M944" s="380"/>
      <c r="N944" s="380"/>
      <c r="O944" s="430"/>
      <c r="P944" s="380"/>
      <c r="Q944" s="380"/>
      <c r="R944" s="380"/>
      <c r="S944" s="380"/>
      <c r="T944" s="380"/>
      <c r="U944" s="380"/>
      <c r="V944" s="380"/>
      <c r="W944" s="380"/>
      <c r="X944" s="380"/>
      <c r="Y944" s="380"/>
      <c r="Z944" s="380"/>
      <c r="AA944" s="380"/>
    </row>
    <row r="945">
      <c r="A945" s="380"/>
      <c r="B945" s="380"/>
      <c r="C945" s="380"/>
      <c r="D945" s="380"/>
      <c r="E945" s="380"/>
      <c r="F945" s="415"/>
      <c r="G945" s="380"/>
      <c r="H945" s="380"/>
      <c r="I945" s="428"/>
      <c r="J945" s="429"/>
      <c r="K945" s="380"/>
      <c r="L945" s="415"/>
      <c r="M945" s="380"/>
      <c r="N945" s="380"/>
      <c r="O945" s="430"/>
      <c r="P945" s="380"/>
      <c r="Q945" s="380"/>
      <c r="R945" s="380"/>
      <c r="S945" s="380"/>
      <c r="T945" s="380"/>
      <c r="U945" s="380"/>
      <c r="V945" s="380"/>
      <c r="W945" s="380"/>
      <c r="X945" s="380"/>
      <c r="Y945" s="380"/>
      <c r="Z945" s="380"/>
      <c r="AA945" s="380"/>
    </row>
    <row r="946">
      <c r="A946" s="380"/>
      <c r="B946" s="380"/>
      <c r="C946" s="380"/>
      <c r="D946" s="380"/>
      <c r="E946" s="380"/>
      <c r="F946" s="415"/>
      <c r="G946" s="380"/>
      <c r="H946" s="380"/>
      <c r="I946" s="428"/>
      <c r="J946" s="429"/>
      <c r="K946" s="380"/>
      <c r="L946" s="415"/>
      <c r="M946" s="380"/>
      <c r="N946" s="380"/>
      <c r="O946" s="430"/>
      <c r="P946" s="380"/>
      <c r="Q946" s="380"/>
      <c r="R946" s="380"/>
      <c r="S946" s="380"/>
      <c r="T946" s="380"/>
      <c r="U946" s="380"/>
      <c r="V946" s="380"/>
      <c r="W946" s="380"/>
      <c r="X946" s="380"/>
      <c r="Y946" s="380"/>
      <c r="Z946" s="380"/>
      <c r="AA946" s="380"/>
    </row>
    <row r="947">
      <c r="A947" s="380"/>
      <c r="B947" s="380"/>
      <c r="C947" s="380"/>
      <c r="D947" s="380"/>
      <c r="E947" s="380"/>
      <c r="F947" s="415"/>
      <c r="G947" s="380"/>
      <c r="H947" s="380"/>
      <c r="I947" s="428"/>
      <c r="J947" s="429"/>
      <c r="K947" s="380"/>
      <c r="L947" s="415"/>
      <c r="M947" s="380"/>
      <c r="N947" s="380"/>
      <c r="O947" s="430"/>
      <c r="P947" s="380"/>
      <c r="Q947" s="380"/>
      <c r="R947" s="380"/>
      <c r="S947" s="380"/>
      <c r="T947" s="380"/>
      <c r="U947" s="380"/>
      <c r="V947" s="380"/>
      <c r="W947" s="380"/>
      <c r="X947" s="380"/>
      <c r="Y947" s="380"/>
      <c r="Z947" s="380"/>
      <c r="AA947" s="380"/>
    </row>
    <row r="948">
      <c r="A948" s="380"/>
      <c r="B948" s="380"/>
      <c r="C948" s="380"/>
      <c r="D948" s="380"/>
      <c r="E948" s="380"/>
      <c r="F948" s="415"/>
      <c r="G948" s="380"/>
      <c r="H948" s="380"/>
      <c r="I948" s="428"/>
      <c r="J948" s="429"/>
      <c r="K948" s="380"/>
      <c r="L948" s="415"/>
      <c r="M948" s="380"/>
      <c r="N948" s="380"/>
      <c r="O948" s="430"/>
      <c r="P948" s="380"/>
      <c r="Q948" s="380"/>
      <c r="R948" s="380"/>
      <c r="S948" s="380"/>
      <c r="T948" s="380"/>
      <c r="U948" s="380"/>
      <c r="V948" s="380"/>
      <c r="W948" s="380"/>
      <c r="X948" s="380"/>
      <c r="Y948" s="380"/>
      <c r="Z948" s="380"/>
      <c r="AA948" s="380"/>
    </row>
    <row r="949">
      <c r="A949" s="380"/>
      <c r="B949" s="380"/>
      <c r="C949" s="380"/>
      <c r="D949" s="380"/>
      <c r="E949" s="380"/>
      <c r="F949" s="415"/>
      <c r="G949" s="380"/>
      <c r="H949" s="380"/>
      <c r="I949" s="428"/>
      <c r="J949" s="429"/>
      <c r="K949" s="380"/>
      <c r="L949" s="415"/>
      <c r="M949" s="380"/>
      <c r="N949" s="380"/>
      <c r="O949" s="430"/>
      <c r="P949" s="380"/>
      <c r="Q949" s="380"/>
      <c r="R949" s="380"/>
      <c r="S949" s="380"/>
      <c r="T949" s="380"/>
      <c r="U949" s="380"/>
      <c r="V949" s="380"/>
      <c r="W949" s="380"/>
      <c r="X949" s="380"/>
      <c r="Y949" s="380"/>
      <c r="Z949" s="380"/>
      <c r="AA949" s="380"/>
    </row>
    <row r="950">
      <c r="A950" s="380"/>
      <c r="B950" s="380"/>
      <c r="C950" s="380"/>
      <c r="D950" s="380"/>
      <c r="E950" s="380"/>
      <c r="F950" s="415"/>
      <c r="G950" s="380"/>
      <c r="H950" s="380"/>
      <c r="I950" s="428"/>
      <c r="J950" s="429"/>
      <c r="K950" s="380"/>
      <c r="L950" s="415"/>
      <c r="M950" s="380"/>
      <c r="N950" s="380"/>
      <c r="O950" s="430"/>
      <c r="P950" s="380"/>
      <c r="Q950" s="380"/>
      <c r="R950" s="380"/>
      <c r="S950" s="380"/>
      <c r="T950" s="380"/>
      <c r="U950" s="380"/>
      <c r="V950" s="380"/>
      <c r="W950" s="380"/>
      <c r="X950" s="380"/>
      <c r="Y950" s="380"/>
      <c r="Z950" s="380"/>
      <c r="AA950" s="380"/>
    </row>
    <row r="951">
      <c r="A951" s="380"/>
      <c r="B951" s="380"/>
      <c r="C951" s="380"/>
      <c r="D951" s="380"/>
      <c r="E951" s="380"/>
      <c r="F951" s="415"/>
      <c r="G951" s="380"/>
      <c r="H951" s="380"/>
      <c r="I951" s="428"/>
      <c r="J951" s="429"/>
      <c r="K951" s="380"/>
      <c r="L951" s="415"/>
      <c r="M951" s="380"/>
      <c r="N951" s="380"/>
      <c r="O951" s="430"/>
      <c r="P951" s="380"/>
      <c r="Q951" s="380"/>
      <c r="R951" s="380"/>
      <c r="S951" s="380"/>
      <c r="T951" s="380"/>
      <c r="U951" s="380"/>
      <c r="V951" s="380"/>
      <c r="W951" s="380"/>
      <c r="X951" s="380"/>
      <c r="Y951" s="380"/>
      <c r="Z951" s="380"/>
      <c r="AA951" s="380"/>
    </row>
    <row r="952">
      <c r="A952" s="380"/>
      <c r="B952" s="380"/>
      <c r="C952" s="380"/>
      <c r="D952" s="380"/>
      <c r="E952" s="380"/>
      <c r="F952" s="415"/>
      <c r="G952" s="380"/>
      <c r="H952" s="380"/>
      <c r="I952" s="428"/>
      <c r="J952" s="429"/>
      <c r="K952" s="380"/>
      <c r="L952" s="415"/>
      <c r="M952" s="380"/>
      <c r="N952" s="380"/>
      <c r="O952" s="430"/>
      <c r="P952" s="380"/>
      <c r="Q952" s="380"/>
      <c r="R952" s="380"/>
      <c r="S952" s="380"/>
      <c r="T952" s="380"/>
      <c r="U952" s="380"/>
      <c r="V952" s="380"/>
      <c r="W952" s="380"/>
      <c r="X952" s="380"/>
      <c r="Y952" s="380"/>
      <c r="Z952" s="380"/>
      <c r="AA952" s="380"/>
    </row>
    <row r="953">
      <c r="A953" s="380"/>
      <c r="B953" s="380"/>
      <c r="C953" s="380"/>
      <c r="D953" s="380"/>
      <c r="E953" s="380"/>
      <c r="F953" s="415"/>
      <c r="G953" s="380"/>
      <c r="H953" s="380"/>
      <c r="I953" s="428"/>
      <c r="J953" s="429"/>
      <c r="K953" s="380"/>
      <c r="L953" s="415"/>
      <c r="M953" s="380"/>
      <c r="N953" s="380"/>
      <c r="O953" s="430"/>
      <c r="P953" s="380"/>
      <c r="Q953" s="380"/>
      <c r="R953" s="380"/>
      <c r="S953" s="380"/>
      <c r="T953" s="380"/>
      <c r="U953" s="380"/>
      <c r="V953" s="380"/>
      <c r="W953" s="380"/>
      <c r="X953" s="380"/>
      <c r="Y953" s="380"/>
      <c r="Z953" s="380"/>
      <c r="AA953" s="380"/>
    </row>
    <row r="954">
      <c r="A954" s="380"/>
      <c r="B954" s="380"/>
      <c r="C954" s="380"/>
      <c r="D954" s="380"/>
      <c r="E954" s="380"/>
      <c r="F954" s="415"/>
      <c r="G954" s="380"/>
      <c r="H954" s="380"/>
      <c r="I954" s="428"/>
      <c r="J954" s="429"/>
      <c r="K954" s="380"/>
      <c r="L954" s="415"/>
      <c r="M954" s="380"/>
      <c r="N954" s="380"/>
      <c r="O954" s="430"/>
      <c r="P954" s="380"/>
      <c r="Q954" s="380"/>
      <c r="R954" s="380"/>
      <c r="S954" s="380"/>
      <c r="T954" s="380"/>
      <c r="U954" s="380"/>
      <c r="V954" s="380"/>
      <c r="W954" s="380"/>
      <c r="X954" s="380"/>
      <c r="Y954" s="380"/>
      <c r="Z954" s="380"/>
      <c r="AA954" s="380"/>
    </row>
    <row r="955">
      <c r="A955" s="380"/>
      <c r="B955" s="380"/>
      <c r="C955" s="380"/>
      <c r="D955" s="380"/>
      <c r="E955" s="380"/>
      <c r="F955" s="415"/>
      <c r="G955" s="380"/>
      <c r="H955" s="380"/>
      <c r="I955" s="428"/>
      <c r="J955" s="429"/>
      <c r="K955" s="380"/>
      <c r="L955" s="415"/>
      <c r="M955" s="380"/>
      <c r="N955" s="380"/>
      <c r="O955" s="430"/>
      <c r="P955" s="380"/>
      <c r="Q955" s="380"/>
      <c r="R955" s="380"/>
      <c r="S955" s="380"/>
      <c r="T955" s="380"/>
      <c r="U955" s="380"/>
      <c r="V955" s="380"/>
      <c r="W955" s="380"/>
      <c r="X955" s="380"/>
      <c r="Y955" s="380"/>
      <c r="Z955" s="380"/>
      <c r="AA955" s="380"/>
    </row>
    <row r="956">
      <c r="A956" s="380"/>
      <c r="B956" s="380"/>
      <c r="C956" s="380"/>
      <c r="D956" s="380"/>
      <c r="E956" s="380"/>
      <c r="F956" s="415"/>
      <c r="G956" s="380"/>
      <c r="H956" s="380"/>
      <c r="I956" s="428"/>
      <c r="J956" s="429"/>
      <c r="K956" s="380"/>
      <c r="L956" s="415"/>
      <c r="M956" s="380"/>
      <c r="N956" s="380"/>
      <c r="O956" s="430"/>
      <c r="P956" s="380"/>
      <c r="Q956" s="380"/>
      <c r="R956" s="380"/>
      <c r="S956" s="380"/>
      <c r="T956" s="380"/>
      <c r="U956" s="380"/>
      <c r="V956" s="380"/>
      <c r="W956" s="380"/>
      <c r="X956" s="380"/>
      <c r="Y956" s="380"/>
      <c r="Z956" s="380"/>
      <c r="AA956" s="380"/>
    </row>
    <row r="957">
      <c r="A957" s="380"/>
      <c r="B957" s="380"/>
      <c r="C957" s="380"/>
      <c r="D957" s="380"/>
      <c r="E957" s="380"/>
      <c r="F957" s="415"/>
      <c r="G957" s="380"/>
      <c r="H957" s="380"/>
      <c r="I957" s="428"/>
      <c r="J957" s="429"/>
      <c r="K957" s="380"/>
      <c r="L957" s="415"/>
      <c r="M957" s="380"/>
      <c r="N957" s="380"/>
      <c r="O957" s="430"/>
      <c r="P957" s="380"/>
      <c r="Q957" s="380"/>
      <c r="R957" s="380"/>
      <c r="S957" s="380"/>
      <c r="T957" s="380"/>
      <c r="U957" s="380"/>
      <c r="V957" s="380"/>
      <c r="W957" s="380"/>
      <c r="X957" s="380"/>
      <c r="Y957" s="380"/>
      <c r="Z957" s="380"/>
      <c r="AA957" s="380"/>
    </row>
    <row r="958">
      <c r="A958" s="380"/>
      <c r="B958" s="380"/>
      <c r="C958" s="380"/>
      <c r="D958" s="380"/>
      <c r="E958" s="380"/>
      <c r="F958" s="415"/>
      <c r="G958" s="380"/>
      <c r="H958" s="380"/>
      <c r="I958" s="428"/>
      <c r="J958" s="429"/>
      <c r="K958" s="380"/>
      <c r="L958" s="415"/>
      <c r="M958" s="380"/>
      <c r="N958" s="380"/>
      <c r="O958" s="430"/>
      <c r="P958" s="380"/>
      <c r="Q958" s="380"/>
      <c r="R958" s="380"/>
      <c r="S958" s="380"/>
      <c r="T958" s="380"/>
      <c r="U958" s="380"/>
      <c r="V958" s="380"/>
      <c r="W958" s="380"/>
      <c r="X958" s="380"/>
      <c r="Y958" s="380"/>
      <c r="Z958" s="380"/>
      <c r="AA958" s="380"/>
    </row>
    <row r="959">
      <c r="A959" s="380"/>
      <c r="B959" s="380"/>
      <c r="C959" s="380"/>
      <c r="D959" s="380"/>
      <c r="E959" s="380"/>
      <c r="F959" s="415"/>
      <c r="G959" s="380"/>
      <c r="H959" s="380"/>
      <c r="I959" s="428"/>
      <c r="J959" s="429"/>
      <c r="K959" s="380"/>
      <c r="L959" s="415"/>
      <c r="M959" s="380"/>
      <c r="N959" s="380"/>
      <c r="O959" s="430"/>
      <c r="P959" s="380"/>
      <c r="Q959" s="380"/>
      <c r="R959" s="380"/>
      <c r="S959" s="380"/>
      <c r="T959" s="380"/>
      <c r="U959" s="380"/>
      <c r="V959" s="380"/>
      <c r="W959" s="380"/>
      <c r="X959" s="380"/>
      <c r="Y959" s="380"/>
      <c r="Z959" s="380"/>
      <c r="AA959" s="380"/>
    </row>
    <row r="960">
      <c r="A960" s="380"/>
      <c r="B960" s="380"/>
      <c r="C960" s="380"/>
      <c r="D960" s="380"/>
      <c r="E960" s="380"/>
      <c r="F960" s="415"/>
      <c r="G960" s="380"/>
      <c r="H960" s="380"/>
      <c r="I960" s="428"/>
      <c r="J960" s="429"/>
      <c r="K960" s="380"/>
      <c r="L960" s="415"/>
      <c r="M960" s="380"/>
      <c r="N960" s="380"/>
      <c r="O960" s="430"/>
      <c r="P960" s="380"/>
      <c r="Q960" s="380"/>
      <c r="R960" s="380"/>
      <c r="S960" s="380"/>
      <c r="T960" s="380"/>
      <c r="U960" s="380"/>
      <c r="V960" s="380"/>
      <c r="W960" s="380"/>
      <c r="X960" s="380"/>
      <c r="Y960" s="380"/>
      <c r="Z960" s="380"/>
      <c r="AA960" s="380"/>
    </row>
    <row r="961">
      <c r="A961" s="380"/>
      <c r="B961" s="380"/>
      <c r="C961" s="380"/>
      <c r="D961" s="380"/>
      <c r="E961" s="380"/>
      <c r="F961" s="415"/>
      <c r="G961" s="380"/>
      <c r="H961" s="380"/>
      <c r="I961" s="428"/>
      <c r="J961" s="429"/>
      <c r="K961" s="380"/>
      <c r="L961" s="415"/>
      <c r="M961" s="380"/>
      <c r="N961" s="380"/>
      <c r="O961" s="430"/>
      <c r="P961" s="380"/>
      <c r="Q961" s="380"/>
      <c r="R961" s="380"/>
      <c r="S961" s="380"/>
      <c r="T961" s="380"/>
      <c r="U961" s="380"/>
      <c r="V961" s="380"/>
      <c r="W961" s="380"/>
      <c r="X961" s="380"/>
      <c r="Y961" s="380"/>
      <c r="Z961" s="380"/>
      <c r="AA961" s="380"/>
    </row>
    <row r="962">
      <c r="A962" s="380"/>
      <c r="B962" s="380"/>
      <c r="C962" s="380"/>
      <c r="D962" s="380"/>
      <c r="E962" s="380"/>
      <c r="F962" s="415"/>
      <c r="G962" s="380"/>
      <c r="H962" s="380"/>
      <c r="I962" s="428"/>
      <c r="J962" s="429"/>
      <c r="K962" s="380"/>
      <c r="L962" s="415"/>
      <c r="M962" s="380"/>
      <c r="N962" s="380"/>
      <c r="O962" s="430"/>
      <c r="P962" s="380"/>
      <c r="Q962" s="380"/>
      <c r="R962" s="380"/>
      <c r="S962" s="380"/>
      <c r="T962" s="380"/>
      <c r="U962" s="380"/>
      <c r="V962" s="380"/>
      <c r="W962" s="380"/>
      <c r="X962" s="380"/>
      <c r="Y962" s="380"/>
      <c r="Z962" s="380"/>
      <c r="AA962" s="380"/>
    </row>
    <row r="963">
      <c r="A963" s="380"/>
      <c r="B963" s="380"/>
      <c r="C963" s="380"/>
      <c r="D963" s="380"/>
      <c r="E963" s="380"/>
      <c r="F963" s="415"/>
      <c r="G963" s="380"/>
      <c r="H963" s="380"/>
      <c r="I963" s="428"/>
      <c r="J963" s="429"/>
      <c r="K963" s="380"/>
      <c r="L963" s="415"/>
      <c r="M963" s="380"/>
      <c r="N963" s="380"/>
      <c r="O963" s="430"/>
      <c r="P963" s="380"/>
      <c r="Q963" s="380"/>
      <c r="R963" s="380"/>
      <c r="S963" s="380"/>
      <c r="T963" s="380"/>
      <c r="U963" s="380"/>
      <c r="V963" s="380"/>
      <c r="W963" s="380"/>
      <c r="X963" s="380"/>
      <c r="Y963" s="380"/>
      <c r="Z963" s="380"/>
      <c r="AA963" s="380"/>
    </row>
    <row r="964">
      <c r="A964" s="380"/>
      <c r="B964" s="380"/>
      <c r="C964" s="380"/>
      <c r="D964" s="380"/>
      <c r="E964" s="380"/>
      <c r="F964" s="415"/>
      <c r="G964" s="380"/>
      <c r="H964" s="380"/>
      <c r="I964" s="428"/>
      <c r="J964" s="429"/>
      <c r="K964" s="380"/>
      <c r="L964" s="415"/>
      <c r="M964" s="380"/>
      <c r="N964" s="380"/>
      <c r="O964" s="430"/>
      <c r="P964" s="380"/>
      <c r="Q964" s="380"/>
      <c r="R964" s="380"/>
      <c r="S964" s="380"/>
      <c r="T964" s="380"/>
      <c r="U964" s="380"/>
      <c r="V964" s="380"/>
      <c r="W964" s="380"/>
      <c r="X964" s="380"/>
      <c r="Y964" s="380"/>
      <c r="Z964" s="380"/>
      <c r="AA964" s="380"/>
    </row>
    <row r="965">
      <c r="A965" s="380"/>
      <c r="B965" s="380"/>
      <c r="C965" s="380"/>
      <c r="D965" s="380"/>
      <c r="E965" s="380"/>
      <c r="F965" s="415"/>
      <c r="G965" s="380"/>
      <c r="H965" s="380"/>
      <c r="I965" s="428"/>
      <c r="J965" s="429"/>
      <c r="K965" s="380"/>
      <c r="L965" s="415"/>
      <c r="M965" s="380"/>
      <c r="N965" s="380"/>
      <c r="O965" s="430"/>
      <c r="P965" s="380"/>
      <c r="Q965" s="380"/>
      <c r="R965" s="380"/>
      <c r="S965" s="380"/>
      <c r="T965" s="380"/>
      <c r="U965" s="380"/>
      <c r="V965" s="380"/>
      <c r="W965" s="380"/>
      <c r="X965" s="380"/>
      <c r="Y965" s="380"/>
      <c r="Z965" s="380"/>
      <c r="AA965" s="380"/>
    </row>
    <row r="966">
      <c r="A966" s="380"/>
      <c r="B966" s="380"/>
      <c r="C966" s="380"/>
      <c r="D966" s="380"/>
      <c r="E966" s="380"/>
      <c r="F966" s="415"/>
      <c r="G966" s="380"/>
      <c r="H966" s="380"/>
      <c r="I966" s="428"/>
      <c r="J966" s="429"/>
      <c r="K966" s="380"/>
      <c r="L966" s="415"/>
      <c r="M966" s="380"/>
      <c r="N966" s="380"/>
      <c r="O966" s="430"/>
      <c r="P966" s="380"/>
      <c r="Q966" s="380"/>
      <c r="R966" s="380"/>
      <c r="S966" s="380"/>
      <c r="T966" s="380"/>
      <c r="U966" s="380"/>
      <c r="V966" s="380"/>
      <c r="W966" s="380"/>
      <c r="X966" s="380"/>
      <c r="Y966" s="380"/>
      <c r="Z966" s="380"/>
      <c r="AA966" s="380"/>
    </row>
    <row r="967">
      <c r="A967" s="380"/>
      <c r="B967" s="380"/>
      <c r="C967" s="380"/>
      <c r="D967" s="380"/>
      <c r="E967" s="380"/>
      <c r="F967" s="415"/>
      <c r="G967" s="380"/>
      <c r="H967" s="380"/>
      <c r="I967" s="428"/>
      <c r="J967" s="429"/>
      <c r="K967" s="380"/>
      <c r="L967" s="415"/>
      <c r="M967" s="380"/>
      <c r="N967" s="380"/>
      <c r="O967" s="430"/>
      <c r="P967" s="380"/>
      <c r="Q967" s="380"/>
      <c r="R967" s="380"/>
      <c r="S967" s="380"/>
      <c r="T967" s="380"/>
      <c r="U967" s="380"/>
      <c r="V967" s="380"/>
      <c r="W967" s="380"/>
      <c r="X967" s="380"/>
      <c r="Y967" s="380"/>
      <c r="Z967" s="380"/>
      <c r="AA967" s="380"/>
    </row>
    <row r="968">
      <c r="A968" s="380"/>
      <c r="B968" s="380"/>
      <c r="C968" s="380"/>
      <c r="D968" s="380"/>
      <c r="E968" s="380"/>
      <c r="F968" s="415"/>
      <c r="G968" s="380"/>
      <c r="H968" s="380"/>
      <c r="I968" s="428"/>
      <c r="J968" s="429"/>
      <c r="K968" s="380"/>
      <c r="L968" s="415"/>
      <c r="M968" s="380"/>
      <c r="N968" s="380"/>
      <c r="O968" s="430"/>
      <c r="P968" s="380"/>
      <c r="Q968" s="380"/>
      <c r="R968" s="380"/>
      <c r="S968" s="380"/>
      <c r="T968" s="380"/>
      <c r="U968" s="380"/>
      <c r="V968" s="380"/>
      <c r="W968" s="380"/>
      <c r="X968" s="380"/>
      <c r="Y968" s="380"/>
      <c r="Z968" s="380"/>
      <c r="AA968" s="380"/>
    </row>
    <row r="969">
      <c r="A969" s="380"/>
      <c r="B969" s="380"/>
      <c r="C969" s="380"/>
      <c r="D969" s="380"/>
      <c r="E969" s="380"/>
      <c r="F969" s="415"/>
      <c r="G969" s="380"/>
      <c r="H969" s="380"/>
      <c r="I969" s="428"/>
      <c r="J969" s="429"/>
      <c r="K969" s="380"/>
      <c r="L969" s="415"/>
      <c r="M969" s="380"/>
      <c r="N969" s="380"/>
      <c r="O969" s="430"/>
      <c r="P969" s="380"/>
      <c r="Q969" s="380"/>
      <c r="R969" s="380"/>
      <c r="S969" s="380"/>
      <c r="T969" s="380"/>
      <c r="U969" s="380"/>
      <c r="V969" s="380"/>
      <c r="W969" s="380"/>
      <c r="X969" s="380"/>
      <c r="Y969" s="380"/>
      <c r="Z969" s="380"/>
      <c r="AA969" s="380"/>
    </row>
    <row r="970">
      <c r="A970" s="380"/>
      <c r="B970" s="380"/>
      <c r="C970" s="380"/>
      <c r="D970" s="380"/>
      <c r="E970" s="380"/>
      <c r="F970" s="415"/>
      <c r="G970" s="380"/>
      <c r="H970" s="380"/>
      <c r="I970" s="428"/>
      <c r="J970" s="429"/>
      <c r="K970" s="380"/>
      <c r="L970" s="415"/>
      <c r="M970" s="380"/>
      <c r="N970" s="380"/>
      <c r="O970" s="430"/>
      <c r="P970" s="380"/>
      <c r="Q970" s="380"/>
      <c r="R970" s="380"/>
      <c r="S970" s="380"/>
      <c r="T970" s="380"/>
      <c r="U970" s="380"/>
      <c r="V970" s="380"/>
      <c r="W970" s="380"/>
      <c r="X970" s="380"/>
      <c r="Y970" s="380"/>
      <c r="Z970" s="380"/>
      <c r="AA970" s="380"/>
    </row>
    <row r="971">
      <c r="A971" s="380"/>
      <c r="B971" s="380"/>
      <c r="C971" s="380"/>
      <c r="D971" s="380"/>
      <c r="E971" s="380"/>
      <c r="F971" s="415"/>
      <c r="G971" s="380"/>
      <c r="H971" s="380"/>
      <c r="I971" s="428"/>
      <c r="J971" s="429"/>
      <c r="K971" s="380"/>
      <c r="L971" s="415"/>
      <c r="M971" s="380"/>
      <c r="N971" s="380"/>
      <c r="O971" s="430"/>
      <c r="P971" s="380"/>
      <c r="Q971" s="380"/>
      <c r="R971" s="380"/>
      <c r="S971" s="380"/>
      <c r="T971" s="380"/>
      <c r="U971" s="380"/>
      <c r="V971" s="380"/>
      <c r="W971" s="380"/>
      <c r="X971" s="380"/>
      <c r="Y971" s="380"/>
      <c r="Z971" s="380"/>
      <c r="AA971" s="380"/>
    </row>
    <row r="972">
      <c r="A972" s="380"/>
      <c r="B972" s="380"/>
      <c r="C972" s="380"/>
      <c r="D972" s="380"/>
      <c r="E972" s="380"/>
      <c r="F972" s="415"/>
      <c r="G972" s="380"/>
      <c r="H972" s="380"/>
      <c r="I972" s="428"/>
      <c r="J972" s="429"/>
      <c r="K972" s="380"/>
      <c r="L972" s="415"/>
      <c r="M972" s="380"/>
      <c r="N972" s="380"/>
      <c r="O972" s="430"/>
      <c r="P972" s="380"/>
      <c r="Q972" s="380"/>
      <c r="R972" s="380"/>
      <c r="S972" s="380"/>
      <c r="T972" s="380"/>
      <c r="U972" s="380"/>
      <c r="V972" s="380"/>
      <c r="W972" s="380"/>
      <c r="X972" s="380"/>
      <c r="Y972" s="380"/>
      <c r="Z972" s="380"/>
      <c r="AA972" s="380"/>
    </row>
    <row r="973">
      <c r="A973" s="380"/>
      <c r="B973" s="380"/>
      <c r="C973" s="380"/>
      <c r="D973" s="380"/>
      <c r="E973" s="380"/>
      <c r="F973" s="415"/>
      <c r="G973" s="380"/>
      <c r="H973" s="380"/>
      <c r="I973" s="428"/>
      <c r="J973" s="429"/>
      <c r="K973" s="380"/>
      <c r="L973" s="415"/>
      <c r="M973" s="380"/>
      <c r="N973" s="380"/>
      <c r="O973" s="430"/>
      <c r="P973" s="380"/>
      <c r="Q973" s="380"/>
      <c r="R973" s="380"/>
      <c r="S973" s="380"/>
      <c r="T973" s="380"/>
      <c r="U973" s="380"/>
      <c r="V973" s="380"/>
      <c r="W973" s="380"/>
      <c r="X973" s="380"/>
      <c r="Y973" s="380"/>
      <c r="Z973" s="380"/>
      <c r="AA973" s="380"/>
    </row>
    <row r="974">
      <c r="A974" s="380"/>
      <c r="B974" s="380"/>
      <c r="C974" s="380"/>
      <c r="D974" s="380"/>
      <c r="E974" s="380"/>
      <c r="F974" s="415"/>
      <c r="G974" s="380"/>
      <c r="H974" s="380"/>
      <c r="I974" s="428"/>
      <c r="J974" s="429"/>
      <c r="K974" s="380"/>
      <c r="L974" s="415"/>
      <c r="M974" s="380"/>
      <c r="N974" s="380"/>
      <c r="O974" s="430"/>
      <c r="P974" s="380"/>
      <c r="Q974" s="380"/>
      <c r="R974" s="380"/>
      <c r="S974" s="380"/>
      <c r="T974" s="380"/>
      <c r="U974" s="380"/>
      <c r="V974" s="380"/>
      <c r="W974" s="380"/>
      <c r="X974" s="380"/>
      <c r="Y974" s="380"/>
      <c r="Z974" s="380"/>
      <c r="AA974" s="380"/>
    </row>
    <row r="975">
      <c r="A975" s="380"/>
      <c r="B975" s="380"/>
      <c r="C975" s="380"/>
      <c r="D975" s="380"/>
      <c r="E975" s="380"/>
      <c r="F975" s="415"/>
      <c r="G975" s="380"/>
      <c r="H975" s="380"/>
      <c r="I975" s="428"/>
      <c r="J975" s="429"/>
      <c r="K975" s="380"/>
      <c r="L975" s="415"/>
      <c r="M975" s="380"/>
      <c r="N975" s="380"/>
      <c r="O975" s="430"/>
      <c r="P975" s="380"/>
      <c r="Q975" s="380"/>
      <c r="R975" s="380"/>
      <c r="S975" s="380"/>
      <c r="T975" s="380"/>
      <c r="U975" s="380"/>
      <c r="V975" s="380"/>
      <c r="W975" s="380"/>
      <c r="X975" s="380"/>
      <c r="Y975" s="380"/>
      <c r="Z975" s="380"/>
      <c r="AA975" s="380"/>
    </row>
    <row r="976">
      <c r="A976" s="380"/>
      <c r="B976" s="380"/>
      <c r="C976" s="380"/>
      <c r="D976" s="380"/>
      <c r="E976" s="380"/>
      <c r="F976" s="415"/>
      <c r="G976" s="380"/>
      <c r="H976" s="380"/>
      <c r="I976" s="428"/>
      <c r="J976" s="429"/>
      <c r="K976" s="380"/>
      <c r="L976" s="415"/>
      <c r="M976" s="380"/>
      <c r="N976" s="380"/>
      <c r="O976" s="430"/>
      <c r="P976" s="380"/>
      <c r="Q976" s="380"/>
      <c r="R976" s="380"/>
      <c r="S976" s="380"/>
      <c r="T976" s="380"/>
      <c r="U976" s="380"/>
      <c r="V976" s="380"/>
      <c r="W976" s="380"/>
      <c r="X976" s="380"/>
      <c r="Y976" s="380"/>
      <c r="Z976" s="380"/>
      <c r="AA976" s="380"/>
    </row>
    <row r="977">
      <c r="A977" s="380"/>
      <c r="B977" s="380"/>
      <c r="C977" s="380"/>
      <c r="D977" s="380"/>
      <c r="E977" s="380"/>
      <c r="F977" s="415"/>
      <c r="G977" s="380"/>
      <c r="H977" s="380"/>
      <c r="I977" s="428"/>
      <c r="J977" s="429"/>
      <c r="K977" s="380"/>
      <c r="L977" s="415"/>
      <c r="M977" s="380"/>
      <c r="N977" s="380"/>
      <c r="O977" s="430"/>
      <c r="P977" s="380"/>
      <c r="Q977" s="380"/>
      <c r="R977" s="380"/>
      <c r="S977" s="380"/>
      <c r="T977" s="380"/>
      <c r="U977" s="380"/>
      <c r="V977" s="380"/>
      <c r="W977" s="380"/>
      <c r="X977" s="380"/>
      <c r="Y977" s="380"/>
      <c r="Z977" s="380"/>
      <c r="AA977" s="380"/>
    </row>
    <row r="978">
      <c r="A978" s="380"/>
      <c r="B978" s="380"/>
      <c r="C978" s="380"/>
      <c r="D978" s="380"/>
      <c r="E978" s="380"/>
      <c r="F978" s="415"/>
      <c r="G978" s="380"/>
      <c r="H978" s="380"/>
      <c r="I978" s="428"/>
      <c r="J978" s="429"/>
      <c r="K978" s="380"/>
      <c r="L978" s="415"/>
      <c r="M978" s="380"/>
      <c r="N978" s="380"/>
      <c r="O978" s="430"/>
      <c r="P978" s="380"/>
      <c r="Q978" s="380"/>
      <c r="R978" s="380"/>
      <c r="S978" s="380"/>
      <c r="T978" s="380"/>
      <c r="U978" s="380"/>
      <c r="V978" s="380"/>
      <c r="W978" s="380"/>
      <c r="X978" s="380"/>
      <c r="Y978" s="380"/>
      <c r="Z978" s="380"/>
      <c r="AA978" s="380"/>
    </row>
    <row r="979">
      <c r="A979" s="380"/>
      <c r="B979" s="380"/>
      <c r="C979" s="380"/>
      <c r="D979" s="380"/>
      <c r="E979" s="380"/>
      <c r="F979" s="415"/>
      <c r="G979" s="380"/>
      <c r="H979" s="380"/>
      <c r="I979" s="428"/>
      <c r="J979" s="429"/>
      <c r="K979" s="380"/>
      <c r="L979" s="415"/>
      <c r="M979" s="380"/>
      <c r="N979" s="380"/>
      <c r="O979" s="430"/>
      <c r="P979" s="380"/>
      <c r="Q979" s="380"/>
      <c r="R979" s="380"/>
      <c r="S979" s="380"/>
      <c r="T979" s="380"/>
      <c r="U979" s="380"/>
      <c r="V979" s="380"/>
      <c r="W979" s="380"/>
      <c r="X979" s="380"/>
      <c r="Y979" s="380"/>
      <c r="Z979" s="380"/>
      <c r="AA979" s="380"/>
    </row>
    <row r="980">
      <c r="A980" s="380"/>
      <c r="B980" s="380"/>
      <c r="C980" s="380"/>
      <c r="D980" s="380"/>
      <c r="E980" s="380"/>
      <c r="F980" s="415"/>
      <c r="G980" s="380"/>
      <c r="H980" s="380"/>
      <c r="I980" s="428"/>
      <c r="J980" s="429"/>
      <c r="K980" s="380"/>
      <c r="L980" s="415"/>
      <c r="M980" s="380"/>
      <c r="N980" s="380"/>
      <c r="O980" s="430"/>
      <c r="P980" s="380"/>
      <c r="Q980" s="380"/>
      <c r="R980" s="380"/>
      <c r="S980" s="380"/>
      <c r="T980" s="380"/>
      <c r="U980" s="380"/>
      <c r="V980" s="380"/>
      <c r="W980" s="380"/>
      <c r="X980" s="380"/>
      <c r="Y980" s="380"/>
      <c r="Z980" s="380"/>
      <c r="AA980" s="380"/>
    </row>
    <row r="981">
      <c r="A981" s="380"/>
      <c r="B981" s="380"/>
      <c r="C981" s="380"/>
      <c r="D981" s="380"/>
      <c r="E981" s="380"/>
      <c r="F981" s="415"/>
      <c r="G981" s="380"/>
      <c r="H981" s="380"/>
      <c r="I981" s="428"/>
      <c r="J981" s="429"/>
      <c r="K981" s="380"/>
      <c r="L981" s="415"/>
      <c r="M981" s="380"/>
      <c r="N981" s="380"/>
      <c r="O981" s="430"/>
      <c r="P981" s="380"/>
      <c r="Q981" s="380"/>
      <c r="R981" s="380"/>
      <c r="S981" s="380"/>
      <c r="T981" s="380"/>
      <c r="U981" s="380"/>
      <c r="V981" s="380"/>
      <c r="W981" s="380"/>
      <c r="X981" s="380"/>
      <c r="Y981" s="380"/>
      <c r="Z981" s="380"/>
      <c r="AA981" s="380"/>
    </row>
    <row r="982">
      <c r="A982" s="380"/>
      <c r="B982" s="380"/>
      <c r="C982" s="380"/>
      <c r="D982" s="380"/>
      <c r="E982" s="380"/>
      <c r="F982" s="415"/>
      <c r="G982" s="380"/>
      <c r="H982" s="380"/>
      <c r="I982" s="428"/>
      <c r="J982" s="429"/>
      <c r="K982" s="380"/>
      <c r="L982" s="415"/>
      <c r="M982" s="380"/>
      <c r="N982" s="380"/>
      <c r="O982" s="430"/>
      <c r="P982" s="380"/>
      <c r="Q982" s="380"/>
      <c r="R982" s="380"/>
      <c r="S982" s="380"/>
      <c r="T982" s="380"/>
      <c r="U982" s="380"/>
      <c r="V982" s="380"/>
      <c r="W982" s="380"/>
      <c r="X982" s="380"/>
      <c r="Y982" s="380"/>
      <c r="Z982" s="380"/>
      <c r="AA982" s="380"/>
    </row>
    <row r="983">
      <c r="A983" s="380"/>
      <c r="B983" s="380"/>
      <c r="C983" s="380"/>
      <c r="D983" s="380"/>
      <c r="E983" s="380"/>
      <c r="F983" s="415"/>
      <c r="G983" s="380"/>
      <c r="H983" s="380"/>
      <c r="I983" s="428"/>
      <c r="J983" s="429"/>
      <c r="K983" s="380"/>
      <c r="L983" s="415"/>
      <c r="M983" s="380"/>
      <c r="N983" s="380"/>
      <c r="O983" s="430"/>
      <c r="P983" s="380"/>
      <c r="Q983" s="380"/>
      <c r="R983" s="380"/>
      <c r="S983" s="380"/>
      <c r="T983" s="380"/>
      <c r="U983" s="380"/>
      <c r="V983" s="380"/>
      <c r="W983" s="380"/>
      <c r="X983" s="380"/>
      <c r="Y983" s="380"/>
      <c r="Z983" s="380"/>
      <c r="AA983" s="380"/>
    </row>
    <row r="984">
      <c r="A984" s="380"/>
      <c r="B984" s="380"/>
      <c r="C984" s="380"/>
      <c r="D984" s="380"/>
      <c r="E984" s="380"/>
      <c r="F984" s="415"/>
      <c r="G984" s="380"/>
      <c r="H984" s="380"/>
      <c r="I984" s="428"/>
      <c r="J984" s="429"/>
      <c r="K984" s="380"/>
      <c r="L984" s="415"/>
      <c r="M984" s="380"/>
      <c r="N984" s="380"/>
      <c r="O984" s="430"/>
      <c r="P984" s="380"/>
      <c r="Q984" s="380"/>
      <c r="R984" s="380"/>
      <c r="S984" s="380"/>
      <c r="T984" s="380"/>
      <c r="U984" s="380"/>
      <c r="V984" s="380"/>
      <c r="W984" s="380"/>
      <c r="X984" s="380"/>
      <c r="Y984" s="380"/>
      <c r="Z984" s="380"/>
      <c r="AA984" s="380"/>
    </row>
    <row r="985">
      <c r="A985" s="380"/>
      <c r="B985" s="380"/>
      <c r="C985" s="380"/>
      <c r="D985" s="380"/>
      <c r="E985" s="380"/>
      <c r="F985" s="415"/>
      <c r="G985" s="380"/>
      <c r="H985" s="380"/>
      <c r="I985" s="428"/>
      <c r="J985" s="429"/>
      <c r="K985" s="380"/>
      <c r="L985" s="415"/>
      <c r="M985" s="380"/>
      <c r="N985" s="380"/>
      <c r="O985" s="430"/>
      <c r="P985" s="380"/>
      <c r="Q985" s="380"/>
      <c r="R985" s="380"/>
      <c r="S985" s="380"/>
      <c r="T985" s="380"/>
      <c r="U985" s="380"/>
      <c r="V985" s="380"/>
      <c r="W985" s="380"/>
      <c r="X985" s="380"/>
      <c r="Y985" s="380"/>
      <c r="Z985" s="380"/>
      <c r="AA985" s="380"/>
    </row>
    <row r="986">
      <c r="A986" s="380"/>
      <c r="B986" s="380"/>
      <c r="C986" s="380"/>
      <c r="D986" s="380"/>
      <c r="E986" s="380"/>
      <c r="F986" s="415"/>
      <c r="G986" s="380"/>
      <c r="H986" s="380"/>
      <c r="I986" s="428"/>
      <c r="J986" s="429"/>
      <c r="K986" s="380"/>
      <c r="L986" s="415"/>
      <c r="M986" s="380"/>
      <c r="N986" s="380"/>
      <c r="O986" s="430"/>
      <c r="P986" s="380"/>
      <c r="Q986" s="380"/>
      <c r="R986" s="380"/>
      <c r="S986" s="380"/>
      <c r="T986" s="380"/>
      <c r="U986" s="380"/>
      <c r="V986" s="380"/>
      <c r="W986" s="380"/>
      <c r="X986" s="380"/>
      <c r="Y986" s="380"/>
      <c r="Z986" s="380"/>
      <c r="AA986" s="380"/>
    </row>
    <row r="987">
      <c r="A987" s="380"/>
      <c r="B987" s="380"/>
      <c r="C987" s="380"/>
      <c r="D987" s="380"/>
      <c r="E987" s="380"/>
      <c r="F987" s="415"/>
      <c r="G987" s="380"/>
      <c r="H987" s="380"/>
      <c r="I987" s="428"/>
      <c r="J987" s="429"/>
      <c r="K987" s="380"/>
      <c r="L987" s="415"/>
      <c r="M987" s="380"/>
      <c r="N987" s="380"/>
      <c r="O987" s="430"/>
      <c r="P987" s="380"/>
      <c r="Q987" s="380"/>
      <c r="R987" s="380"/>
      <c r="S987" s="380"/>
      <c r="T987" s="380"/>
      <c r="U987" s="380"/>
      <c r="V987" s="380"/>
      <c r="W987" s="380"/>
      <c r="X987" s="380"/>
      <c r="Y987" s="380"/>
      <c r="Z987" s="380"/>
      <c r="AA987" s="380"/>
    </row>
    <row r="988">
      <c r="A988" s="380"/>
      <c r="B988" s="380"/>
      <c r="C988" s="380"/>
      <c r="D988" s="380"/>
      <c r="E988" s="380"/>
      <c r="F988" s="415"/>
      <c r="G988" s="380"/>
      <c r="H988" s="380"/>
      <c r="I988" s="428"/>
      <c r="J988" s="429"/>
      <c r="K988" s="380"/>
      <c r="L988" s="415"/>
      <c r="M988" s="380"/>
      <c r="N988" s="380"/>
      <c r="O988" s="430"/>
      <c r="P988" s="380"/>
      <c r="Q988" s="380"/>
      <c r="R988" s="380"/>
      <c r="S988" s="380"/>
      <c r="T988" s="380"/>
      <c r="U988" s="380"/>
      <c r="V988" s="380"/>
      <c r="W988" s="380"/>
      <c r="X988" s="380"/>
      <c r="Y988" s="380"/>
      <c r="Z988" s="380"/>
      <c r="AA988" s="380"/>
    </row>
    <row r="989">
      <c r="A989" s="380"/>
      <c r="B989" s="380"/>
      <c r="C989" s="380"/>
      <c r="D989" s="380"/>
      <c r="E989" s="380"/>
      <c r="F989" s="415"/>
      <c r="G989" s="380"/>
      <c r="H989" s="380"/>
      <c r="I989" s="428"/>
      <c r="J989" s="429"/>
      <c r="K989" s="380"/>
      <c r="L989" s="415"/>
      <c r="M989" s="380"/>
      <c r="N989" s="380"/>
      <c r="O989" s="430"/>
      <c r="P989" s="380"/>
      <c r="Q989" s="380"/>
      <c r="R989" s="380"/>
      <c r="S989" s="380"/>
      <c r="T989" s="380"/>
      <c r="U989" s="380"/>
      <c r="V989" s="380"/>
      <c r="W989" s="380"/>
      <c r="X989" s="380"/>
      <c r="Y989" s="380"/>
      <c r="Z989" s="380"/>
      <c r="AA989" s="380"/>
    </row>
    <row r="990">
      <c r="A990" s="380"/>
      <c r="B990" s="380"/>
      <c r="C990" s="380"/>
      <c r="D990" s="380"/>
      <c r="E990" s="380"/>
      <c r="F990" s="415"/>
      <c r="G990" s="380"/>
      <c r="H990" s="380"/>
      <c r="I990" s="428"/>
      <c r="J990" s="429"/>
      <c r="K990" s="380"/>
      <c r="L990" s="415"/>
      <c r="M990" s="380"/>
      <c r="N990" s="380"/>
      <c r="O990" s="430"/>
      <c r="P990" s="380"/>
      <c r="Q990" s="380"/>
      <c r="R990" s="380"/>
      <c r="S990" s="380"/>
      <c r="T990" s="380"/>
      <c r="U990" s="380"/>
      <c r="V990" s="380"/>
      <c r="W990" s="380"/>
      <c r="X990" s="380"/>
      <c r="Y990" s="380"/>
      <c r="Z990" s="380"/>
      <c r="AA990" s="380"/>
    </row>
    <row r="991">
      <c r="A991" s="380"/>
      <c r="B991" s="380"/>
      <c r="C991" s="380"/>
      <c r="D991" s="380"/>
      <c r="E991" s="380"/>
      <c r="F991" s="415"/>
      <c r="G991" s="380"/>
      <c r="H991" s="380"/>
      <c r="I991" s="428"/>
      <c r="J991" s="429"/>
      <c r="K991" s="380"/>
      <c r="L991" s="415"/>
      <c r="M991" s="380"/>
      <c r="N991" s="380"/>
      <c r="O991" s="430"/>
      <c r="P991" s="380"/>
      <c r="Q991" s="380"/>
      <c r="R991" s="380"/>
      <c r="S991" s="380"/>
      <c r="T991" s="380"/>
      <c r="U991" s="380"/>
      <c r="V991" s="380"/>
      <c r="W991" s="380"/>
      <c r="X991" s="380"/>
      <c r="Y991" s="380"/>
      <c r="Z991" s="380"/>
      <c r="AA991" s="380"/>
    </row>
    <row r="992">
      <c r="A992" s="380"/>
      <c r="B992" s="380"/>
      <c r="C992" s="380"/>
      <c r="D992" s="380"/>
      <c r="E992" s="380"/>
      <c r="F992" s="415"/>
      <c r="G992" s="380"/>
      <c r="H992" s="380"/>
      <c r="I992" s="428"/>
      <c r="J992" s="429"/>
      <c r="K992" s="380"/>
      <c r="L992" s="415"/>
      <c r="M992" s="380"/>
      <c r="N992" s="380"/>
      <c r="O992" s="430"/>
      <c r="P992" s="380"/>
      <c r="Q992" s="380"/>
      <c r="R992" s="380"/>
      <c r="S992" s="380"/>
      <c r="T992" s="380"/>
      <c r="U992" s="380"/>
      <c r="V992" s="380"/>
      <c r="W992" s="380"/>
      <c r="X992" s="380"/>
      <c r="Y992" s="380"/>
      <c r="Z992" s="380"/>
      <c r="AA992" s="380"/>
    </row>
    <row r="993">
      <c r="A993" s="380"/>
      <c r="B993" s="380"/>
      <c r="C993" s="380"/>
      <c r="D993" s="380"/>
      <c r="E993" s="380"/>
      <c r="F993" s="415"/>
      <c r="G993" s="380"/>
      <c r="H993" s="380"/>
      <c r="I993" s="428"/>
      <c r="J993" s="429"/>
      <c r="K993" s="380"/>
      <c r="L993" s="415"/>
      <c r="M993" s="380"/>
      <c r="N993" s="380"/>
      <c r="O993" s="430"/>
      <c r="P993" s="380"/>
      <c r="Q993" s="380"/>
      <c r="R993" s="380"/>
      <c r="S993" s="380"/>
      <c r="T993" s="380"/>
      <c r="U993" s="380"/>
      <c r="V993" s="380"/>
      <c r="W993" s="380"/>
      <c r="X993" s="380"/>
      <c r="Y993" s="380"/>
      <c r="Z993" s="380"/>
      <c r="AA993" s="380"/>
    </row>
    <row r="994">
      <c r="A994" s="380"/>
      <c r="B994" s="380"/>
      <c r="C994" s="380"/>
      <c r="D994" s="380"/>
      <c r="E994" s="380"/>
      <c r="F994" s="415"/>
      <c r="G994" s="380"/>
      <c r="H994" s="380"/>
      <c r="I994" s="428"/>
      <c r="J994" s="429"/>
      <c r="K994" s="380"/>
      <c r="L994" s="415"/>
      <c r="M994" s="380"/>
      <c r="N994" s="380"/>
      <c r="O994" s="430"/>
      <c r="P994" s="380"/>
      <c r="Q994" s="380"/>
      <c r="R994" s="380"/>
      <c r="S994" s="380"/>
      <c r="T994" s="380"/>
      <c r="U994" s="380"/>
      <c r="V994" s="380"/>
      <c r="W994" s="380"/>
      <c r="X994" s="380"/>
      <c r="Y994" s="380"/>
      <c r="Z994" s="380"/>
      <c r="AA994" s="380"/>
    </row>
    <row r="995">
      <c r="A995" s="380"/>
      <c r="B995" s="380"/>
      <c r="C995" s="380"/>
      <c r="D995" s="380"/>
      <c r="E995" s="380"/>
      <c r="F995" s="415"/>
      <c r="G995" s="380"/>
      <c r="H995" s="380"/>
      <c r="I995" s="428"/>
      <c r="J995" s="429"/>
      <c r="K995" s="380"/>
      <c r="L995" s="415"/>
      <c r="M995" s="380"/>
      <c r="N995" s="380"/>
      <c r="O995" s="430"/>
      <c r="P995" s="380"/>
      <c r="Q995" s="380"/>
      <c r="R995" s="380"/>
      <c r="S995" s="380"/>
      <c r="T995" s="380"/>
      <c r="U995" s="380"/>
      <c r="V995" s="380"/>
      <c r="W995" s="380"/>
      <c r="X995" s="380"/>
      <c r="Y995" s="380"/>
      <c r="Z995" s="380"/>
      <c r="AA995" s="380"/>
    </row>
    <row r="996">
      <c r="A996" s="380"/>
      <c r="B996" s="380"/>
      <c r="C996" s="380"/>
      <c r="D996" s="380"/>
      <c r="E996" s="380"/>
      <c r="F996" s="415"/>
      <c r="G996" s="380"/>
      <c r="H996" s="380"/>
      <c r="I996" s="428"/>
      <c r="J996" s="429"/>
      <c r="K996" s="380"/>
      <c r="L996" s="415"/>
      <c r="M996" s="380"/>
      <c r="N996" s="380"/>
      <c r="O996" s="430"/>
      <c r="P996" s="380"/>
      <c r="Q996" s="380"/>
      <c r="R996" s="380"/>
      <c r="S996" s="380"/>
      <c r="T996" s="380"/>
      <c r="U996" s="380"/>
      <c r="V996" s="380"/>
      <c r="W996" s="380"/>
      <c r="X996" s="380"/>
      <c r="Y996" s="380"/>
      <c r="Z996" s="380"/>
      <c r="AA996" s="380"/>
    </row>
    <row r="997">
      <c r="A997" s="380"/>
      <c r="B997" s="380"/>
      <c r="C997" s="380"/>
      <c r="D997" s="380"/>
      <c r="E997" s="380"/>
      <c r="F997" s="415"/>
      <c r="G997" s="380"/>
      <c r="H997" s="380"/>
      <c r="I997" s="428"/>
      <c r="J997" s="429"/>
      <c r="K997" s="380"/>
      <c r="L997" s="415"/>
      <c r="M997" s="380"/>
      <c r="N997" s="380"/>
      <c r="O997" s="430"/>
      <c r="P997" s="380"/>
      <c r="Q997" s="380"/>
      <c r="R997" s="380"/>
      <c r="S997" s="380"/>
      <c r="T997" s="380"/>
      <c r="U997" s="380"/>
      <c r="V997" s="380"/>
      <c r="W997" s="380"/>
      <c r="X997" s="380"/>
      <c r="Y997" s="380"/>
      <c r="Z997" s="380"/>
      <c r="AA997" s="380"/>
    </row>
    <row r="998">
      <c r="A998" s="380"/>
      <c r="B998" s="380"/>
      <c r="C998" s="380"/>
      <c r="D998" s="380"/>
      <c r="E998" s="380"/>
      <c r="F998" s="415"/>
      <c r="G998" s="380"/>
      <c r="H998" s="380"/>
      <c r="I998" s="428"/>
      <c r="J998" s="429"/>
      <c r="K998" s="380"/>
      <c r="L998" s="415"/>
      <c r="M998" s="380"/>
      <c r="N998" s="380"/>
      <c r="O998" s="430"/>
      <c r="P998" s="380"/>
      <c r="Q998" s="380"/>
      <c r="R998" s="380"/>
      <c r="S998" s="380"/>
      <c r="T998" s="380"/>
      <c r="U998" s="380"/>
      <c r="V998" s="380"/>
      <c r="W998" s="380"/>
      <c r="X998" s="380"/>
      <c r="Y998" s="380"/>
      <c r="Z998" s="380"/>
      <c r="AA998" s="380"/>
    </row>
    <row r="999">
      <c r="A999" s="380"/>
      <c r="B999" s="380"/>
      <c r="C999" s="380"/>
      <c r="D999" s="380"/>
      <c r="E999" s="380"/>
      <c r="F999" s="415"/>
      <c r="G999" s="380"/>
      <c r="H999" s="380"/>
      <c r="I999" s="428"/>
      <c r="J999" s="429"/>
      <c r="K999" s="380"/>
      <c r="L999" s="415"/>
      <c r="M999" s="380"/>
      <c r="N999" s="380"/>
      <c r="O999" s="430"/>
      <c r="P999" s="380"/>
      <c r="Q999" s="380"/>
      <c r="R999" s="380"/>
      <c r="S999" s="380"/>
      <c r="T999" s="380"/>
      <c r="U999" s="380"/>
      <c r="V999" s="380"/>
      <c r="W999" s="380"/>
      <c r="X999" s="380"/>
      <c r="Y999" s="380"/>
      <c r="Z999" s="380"/>
      <c r="AA999" s="380"/>
    </row>
    <row r="1000">
      <c r="A1000" s="380"/>
      <c r="B1000" s="380"/>
      <c r="C1000" s="380"/>
      <c r="D1000" s="380"/>
      <c r="E1000" s="380"/>
      <c r="F1000" s="415"/>
      <c r="G1000" s="380"/>
      <c r="H1000" s="380"/>
      <c r="I1000" s="428"/>
      <c r="J1000" s="429"/>
      <c r="K1000" s="380"/>
      <c r="L1000" s="415"/>
      <c r="M1000" s="380"/>
      <c r="N1000" s="380"/>
      <c r="O1000" s="430"/>
      <c r="P1000" s="380"/>
      <c r="Q1000" s="380"/>
      <c r="R1000" s="380"/>
      <c r="S1000" s="380"/>
      <c r="T1000" s="380"/>
      <c r="U1000" s="380"/>
      <c r="V1000" s="380"/>
      <c r="W1000" s="380"/>
      <c r="X1000" s="380"/>
      <c r="Y1000" s="380"/>
      <c r="Z1000" s="380"/>
      <c r="AA1000" s="380"/>
    </row>
    <row r="1001">
      <c r="A1001" s="380"/>
      <c r="B1001" s="380"/>
      <c r="C1001" s="380"/>
      <c r="D1001" s="380"/>
      <c r="E1001" s="380"/>
      <c r="F1001" s="415"/>
      <c r="G1001" s="380"/>
      <c r="H1001" s="380"/>
      <c r="I1001" s="428"/>
      <c r="J1001" s="429"/>
      <c r="K1001" s="380"/>
      <c r="L1001" s="415"/>
      <c r="M1001" s="380"/>
      <c r="N1001" s="380"/>
      <c r="O1001" s="430"/>
      <c r="P1001" s="380"/>
      <c r="Q1001" s="380"/>
      <c r="R1001" s="380"/>
      <c r="S1001" s="380"/>
      <c r="T1001" s="380"/>
      <c r="U1001" s="380"/>
      <c r="V1001" s="380"/>
      <c r="W1001" s="380"/>
      <c r="X1001" s="380"/>
      <c r="Y1001" s="380"/>
      <c r="Z1001" s="380"/>
      <c r="AA1001" s="380"/>
    </row>
    <row r="1002">
      <c r="A1002" s="380"/>
      <c r="B1002" s="380"/>
      <c r="C1002" s="380"/>
      <c r="D1002" s="380"/>
      <c r="E1002" s="380"/>
      <c r="F1002" s="415"/>
      <c r="G1002" s="380"/>
      <c r="H1002" s="380"/>
      <c r="I1002" s="428"/>
      <c r="J1002" s="429"/>
      <c r="K1002" s="380"/>
      <c r="L1002" s="415"/>
      <c r="M1002" s="380"/>
      <c r="N1002" s="380"/>
      <c r="O1002" s="430"/>
      <c r="P1002" s="380"/>
      <c r="Q1002" s="380"/>
      <c r="R1002" s="380"/>
      <c r="S1002" s="380"/>
      <c r="T1002" s="380"/>
      <c r="U1002" s="380"/>
      <c r="V1002" s="380"/>
      <c r="W1002" s="380"/>
      <c r="X1002" s="380"/>
      <c r="Y1002" s="380"/>
      <c r="Z1002" s="380"/>
      <c r="AA1002" s="380"/>
    </row>
    <row r="1003">
      <c r="A1003" s="380"/>
      <c r="B1003" s="380"/>
      <c r="C1003" s="380"/>
      <c r="D1003" s="380"/>
      <c r="E1003" s="380"/>
      <c r="F1003" s="415"/>
      <c r="G1003" s="380"/>
      <c r="H1003" s="380"/>
      <c r="I1003" s="428"/>
      <c r="J1003" s="429"/>
      <c r="K1003" s="380"/>
      <c r="L1003" s="415"/>
      <c r="M1003" s="380"/>
      <c r="N1003" s="380"/>
      <c r="O1003" s="430"/>
      <c r="P1003" s="380"/>
      <c r="Q1003" s="380"/>
      <c r="R1003" s="380"/>
      <c r="S1003" s="380"/>
      <c r="T1003" s="380"/>
      <c r="U1003" s="380"/>
      <c r="V1003" s="380"/>
      <c r="W1003" s="380"/>
      <c r="X1003" s="380"/>
      <c r="Y1003" s="380"/>
      <c r="Z1003" s="380"/>
      <c r="AA1003" s="380"/>
    </row>
    <row r="1004">
      <c r="A1004" s="380"/>
      <c r="B1004" s="380"/>
      <c r="C1004" s="380"/>
      <c r="D1004" s="380"/>
      <c r="E1004" s="380"/>
      <c r="F1004" s="415"/>
      <c r="G1004" s="380"/>
      <c r="H1004" s="380"/>
      <c r="I1004" s="428"/>
      <c r="J1004" s="429"/>
      <c r="K1004" s="380"/>
      <c r="L1004" s="415"/>
      <c r="M1004" s="380"/>
      <c r="N1004" s="380"/>
      <c r="O1004" s="430"/>
      <c r="P1004" s="380"/>
      <c r="Q1004" s="380"/>
      <c r="R1004" s="380"/>
      <c r="S1004" s="380"/>
      <c r="T1004" s="380"/>
      <c r="U1004" s="380"/>
      <c r="V1004" s="380"/>
      <c r="W1004" s="380"/>
      <c r="X1004" s="380"/>
      <c r="Y1004" s="380"/>
      <c r="Z1004" s="380"/>
      <c r="AA1004" s="380"/>
    </row>
    <row r="1005">
      <c r="A1005" s="380"/>
      <c r="B1005" s="380"/>
      <c r="C1005" s="380"/>
      <c r="D1005" s="380"/>
      <c r="E1005" s="380"/>
      <c r="F1005" s="415"/>
      <c r="G1005" s="380"/>
      <c r="H1005" s="380"/>
      <c r="I1005" s="428"/>
      <c r="J1005" s="429"/>
      <c r="K1005" s="380"/>
      <c r="L1005" s="415"/>
      <c r="M1005" s="380"/>
      <c r="N1005" s="380"/>
      <c r="O1005" s="430"/>
      <c r="P1005" s="380"/>
      <c r="Q1005" s="380"/>
      <c r="R1005" s="380"/>
      <c r="S1005" s="380"/>
      <c r="T1005" s="380"/>
      <c r="U1005" s="380"/>
      <c r="V1005" s="380"/>
      <c r="W1005" s="380"/>
      <c r="X1005" s="380"/>
      <c r="Y1005" s="380"/>
      <c r="Z1005" s="380"/>
      <c r="AA1005" s="380"/>
    </row>
    <row r="1006">
      <c r="A1006" s="380"/>
      <c r="B1006" s="380"/>
      <c r="C1006" s="380"/>
      <c r="D1006" s="380"/>
      <c r="E1006" s="380"/>
      <c r="F1006" s="415"/>
      <c r="G1006" s="380"/>
      <c r="H1006" s="380"/>
      <c r="I1006" s="428"/>
      <c r="J1006" s="429"/>
      <c r="K1006" s="380"/>
      <c r="L1006" s="415"/>
      <c r="M1006" s="380"/>
      <c r="N1006" s="380"/>
      <c r="O1006" s="430"/>
      <c r="P1006" s="380"/>
      <c r="Q1006" s="380"/>
      <c r="R1006" s="380"/>
      <c r="S1006" s="380"/>
      <c r="T1006" s="380"/>
      <c r="U1006" s="380"/>
      <c r="V1006" s="380"/>
      <c r="W1006" s="380"/>
      <c r="X1006" s="380"/>
      <c r="Y1006" s="380"/>
      <c r="Z1006" s="380"/>
      <c r="AA1006" s="380"/>
    </row>
    <row r="1007">
      <c r="A1007" s="380"/>
      <c r="B1007" s="380"/>
      <c r="C1007" s="380"/>
      <c r="D1007" s="380"/>
      <c r="E1007" s="380"/>
      <c r="F1007" s="415"/>
      <c r="G1007" s="380"/>
      <c r="H1007" s="380"/>
      <c r="I1007" s="428"/>
      <c r="J1007" s="429"/>
      <c r="K1007" s="380"/>
      <c r="L1007" s="415"/>
      <c r="M1007" s="380"/>
      <c r="N1007" s="380"/>
      <c r="O1007" s="430"/>
      <c r="P1007" s="380"/>
      <c r="Q1007" s="380"/>
      <c r="R1007" s="380"/>
      <c r="S1007" s="380"/>
      <c r="T1007" s="380"/>
      <c r="U1007" s="380"/>
      <c r="V1007" s="380"/>
      <c r="W1007" s="380"/>
      <c r="X1007" s="380"/>
      <c r="Y1007" s="380"/>
      <c r="Z1007" s="380"/>
      <c r="AA1007" s="380"/>
    </row>
    <row r="1008">
      <c r="A1008" s="380"/>
      <c r="B1008" s="380"/>
      <c r="C1008" s="380"/>
      <c r="D1008" s="380"/>
      <c r="E1008" s="380"/>
      <c r="F1008" s="415"/>
      <c r="G1008" s="380"/>
      <c r="H1008" s="380"/>
      <c r="I1008" s="428"/>
      <c r="J1008" s="429"/>
      <c r="K1008" s="380"/>
      <c r="L1008" s="415"/>
      <c r="M1008" s="380"/>
      <c r="N1008" s="380"/>
      <c r="O1008" s="430"/>
      <c r="P1008" s="380"/>
      <c r="Q1008" s="380"/>
      <c r="R1008" s="380"/>
      <c r="S1008" s="380"/>
      <c r="T1008" s="380"/>
      <c r="U1008" s="380"/>
      <c r="V1008" s="380"/>
      <c r="W1008" s="380"/>
      <c r="X1008" s="380"/>
      <c r="Y1008" s="380"/>
      <c r="Z1008" s="380"/>
      <c r="AA1008" s="380"/>
    </row>
    <row r="1009">
      <c r="A1009" s="380"/>
      <c r="B1009" s="380"/>
      <c r="C1009" s="380"/>
      <c r="D1009" s="380"/>
      <c r="E1009" s="380"/>
      <c r="F1009" s="415"/>
      <c r="G1009" s="380"/>
      <c r="H1009" s="380"/>
      <c r="I1009" s="428"/>
      <c r="J1009" s="429"/>
      <c r="K1009" s="380"/>
      <c r="L1009" s="415"/>
      <c r="M1009" s="380"/>
      <c r="N1009" s="380"/>
      <c r="O1009" s="430"/>
      <c r="P1009" s="380"/>
      <c r="Q1009" s="380"/>
      <c r="R1009" s="380"/>
      <c r="S1009" s="380"/>
      <c r="T1009" s="380"/>
      <c r="U1009" s="380"/>
      <c r="V1009" s="380"/>
      <c r="W1009" s="380"/>
      <c r="X1009" s="380"/>
      <c r="Y1009" s="380"/>
      <c r="Z1009" s="380"/>
      <c r="AA1009" s="380"/>
    </row>
    <row r="1010">
      <c r="A1010" s="380"/>
      <c r="B1010" s="380"/>
      <c r="C1010" s="380"/>
      <c r="D1010" s="380"/>
      <c r="E1010" s="380"/>
      <c r="F1010" s="415"/>
      <c r="G1010" s="380"/>
      <c r="H1010" s="380"/>
      <c r="I1010" s="428"/>
      <c r="J1010" s="429"/>
      <c r="K1010" s="380"/>
      <c r="L1010" s="415"/>
      <c r="M1010" s="380"/>
      <c r="N1010" s="380"/>
      <c r="O1010" s="430"/>
      <c r="P1010" s="380"/>
      <c r="Q1010" s="380"/>
      <c r="R1010" s="380"/>
      <c r="S1010" s="380"/>
      <c r="T1010" s="380"/>
      <c r="U1010" s="380"/>
      <c r="V1010" s="380"/>
      <c r="W1010" s="380"/>
      <c r="X1010" s="380"/>
      <c r="Y1010" s="380"/>
      <c r="Z1010" s="380"/>
      <c r="AA1010" s="380"/>
    </row>
    <row r="1011">
      <c r="A1011" s="380"/>
      <c r="B1011" s="380"/>
      <c r="C1011" s="380"/>
      <c r="D1011" s="380"/>
      <c r="E1011" s="380"/>
      <c r="F1011" s="415"/>
      <c r="G1011" s="380"/>
      <c r="H1011" s="380"/>
      <c r="I1011" s="428"/>
      <c r="J1011" s="429"/>
      <c r="K1011" s="380"/>
      <c r="L1011" s="415"/>
      <c r="M1011" s="380"/>
      <c r="N1011" s="380"/>
      <c r="O1011" s="430"/>
      <c r="P1011" s="380"/>
      <c r="Q1011" s="380"/>
      <c r="R1011" s="380"/>
      <c r="S1011" s="380"/>
      <c r="T1011" s="380"/>
      <c r="U1011" s="380"/>
      <c r="V1011" s="380"/>
      <c r="W1011" s="380"/>
      <c r="X1011" s="380"/>
      <c r="Y1011" s="380"/>
      <c r="Z1011" s="380"/>
      <c r="AA1011" s="380"/>
    </row>
    <row r="1012">
      <c r="A1012" s="380"/>
      <c r="B1012" s="380"/>
      <c r="C1012" s="380"/>
      <c r="D1012" s="380"/>
      <c r="E1012" s="380"/>
      <c r="F1012" s="415"/>
      <c r="G1012" s="380"/>
      <c r="H1012" s="380"/>
      <c r="I1012" s="428"/>
      <c r="J1012" s="429"/>
      <c r="K1012" s="380"/>
      <c r="L1012" s="415"/>
      <c r="M1012" s="380"/>
      <c r="N1012" s="380"/>
      <c r="O1012" s="430"/>
      <c r="P1012" s="380"/>
      <c r="Q1012" s="380"/>
      <c r="R1012" s="380"/>
      <c r="S1012" s="380"/>
      <c r="T1012" s="380"/>
      <c r="U1012" s="380"/>
      <c r="V1012" s="380"/>
      <c r="W1012" s="380"/>
      <c r="X1012" s="380"/>
      <c r="Y1012" s="380"/>
      <c r="Z1012" s="380"/>
      <c r="AA1012" s="380"/>
    </row>
    <row r="1013">
      <c r="A1013" s="380"/>
      <c r="B1013" s="380"/>
      <c r="C1013" s="380"/>
      <c r="D1013" s="380"/>
      <c r="E1013" s="380"/>
      <c r="F1013" s="415"/>
      <c r="G1013" s="380"/>
      <c r="H1013" s="380"/>
      <c r="I1013" s="428"/>
      <c r="J1013" s="429"/>
      <c r="K1013" s="380"/>
      <c r="L1013" s="415"/>
      <c r="M1013" s="380"/>
      <c r="N1013" s="380"/>
      <c r="O1013" s="430"/>
      <c r="P1013" s="380"/>
      <c r="Q1013" s="380"/>
      <c r="R1013" s="380"/>
      <c r="S1013" s="380"/>
      <c r="T1013" s="380"/>
      <c r="U1013" s="380"/>
      <c r="V1013" s="380"/>
      <c r="W1013" s="380"/>
      <c r="X1013" s="380"/>
      <c r="Y1013" s="380"/>
      <c r="Z1013" s="380"/>
      <c r="AA1013" s="380"/>
    </row>
    <row r="1014">
      <c r="A1014" s="380"/>
      <c r="B1014" s="380"/>
      <c r="C1014" s="380"/>
      <c r="D1014" s="380"/>
      <c r="E1014" s="380"/>
      <c r="F1014" s="415"/>
      <c r="G1014" s="380"/>
      <c r="H1014" s="380"/>
      <c r="I1014" s="428"/>
      <c r="J1014" s="429"/>
      <c r="K1014" s="380"/>
      <c r="L1014" s="415"/>
      <c r="M1014" s="380"/>
      <c r="N1014" s="380"/>
      <c r="O1014" s="430"/>
      <c r="P1014" s="380"/>
      <c r="Q1014" s="380"/>
      <c r="R1014" s="380"/>
      <c r="S1014" s="380"/>
      <c r="T1014" s="380"/>
      <c r="U1014" s="380"/>
      <c r="V1014" s="380"/>
      <c r="W1014" s="380"/>
      <c r="X1014" s="380"/>
      <c r="Y1014" s="380"/>
      <c r="Z1014" s="380"/>
      <c r="AA1014" s="380"/>
    </row>
    <row r="1015">
      <c r="A1015" s="380"/>
      <c r="B1015" s="380"/>
      <c r="C1015" s="380"/>
      <c r="D1015" s="380"/>
      <c r="E1015" s="380"/>
      <c r="F1015" s="415"/>
      <c r="G1015" s="380"/>
      <c r="H1015" s="380"/>
      <c r="I1015" s="428"/>
      <c r="J1015" s="429"/>
      <c r="K1015" s="380"/>
      <c r="L1015" s="415"/>
      <c r="M1015" s="380"/>
      <c r="N1015" s="380"/>
      <c r="O1015" s="430"/>
      <c r="P1015" s="380"/>
      <c r="Q1015" s="380"/>
      <c r="R1015" s="380"/>
      <c r="S1015" s="380"/>
      <c r="T1015" s="380"/>
      <c r="U1015" s="380"/>
      <c r="V1015" s="380"/>
      <c r="W1015" s="380"/>
      <c r="X1015" s="380"/>
      <c r="Y1015" s="380"/>
      <c r="Z1015" s="380"/>
      <c r="AA1015" s="380"/>
    </row>
    <row r="1016">
      <c r="A1016" s="380"/>
      <c r="B1016" s="380"/>
      <c r="C1016" s="380"/>
      <c r="D1016" s="380"/>
      <c r="E1016" s="380"/>
      <c r="F1016" s="415"/>
      <c r="G1016" s="380"/>
      <c r="H1016" s="380"/>
      <c r="I1016" s="428"/>
      <c r="J1016" s="429"/>
      <c r="K1016" s="380"/>
      <c r="L1016" s="415"/>
      <c r="M1016" s="380"/>
      <c r="N1016" s="380"/>
      <c r="O1016" s="430"/>
      <c r="P1016" s="380"/>
      <c r="Q1016" s="380"/>
      <c r="R1016" s="380"/>
      <c r="S1016" s="380"/>
      <c r="T1016" s="380"/>
      <c r="U1016" s="380"/>
      <c r="V1016" s="380"/>
      <c r="W1016" s="380"/>
      <c r="X1016" s="380"/>
      <c r="Y1016" s="380"/>
      <c r="Z1016" s="380"/>
      <c r="AA1016" s="380"/>
    </row>
    <row r="1017">
      <c r="A1017" s="380"/>
      <c r="B1017" s="380"/>
      <c r="C1017" s="380"/>
      <c r="D1017" s="380"/>
      <c r="E1017" s="380"/>
      <c r="F1017" s="415"/>
      <c r="G1017" s="380"/>
      <c r="H1017" s="380"/>
      <c r="I1017" s="428"/>
      <c r="J1017" s="429"/>
      <c r="K1017" s="380"/>
      <c r="L1017" s="415"/>
      <c r="M1017" s="380"/>
      <c r="N1017" s="380"/>
      <c r="O1017" s="430"/>
      <c r="P1017" s="380"/>
      <c r="Q1017" s="380"/>
      <c r="R1017" s="380"/>
      <c r="S1017" s="380"/>
      <c r="T1017" s="380"/>
      <c r="U1017" s="380"/>
      <c r="V1017" s="380"/>
      <c r="W1017" s="380"/>
      <c r="X1017" s="380"/>
      <c r="Y1017" s="380"/>
      <c r="Z1017" s="380"/>
      <c r="AA1017" s="380"/>
    </row>
    <row r="1018">
      <c r="A1018" s="380"/>
      <c r="B1018" s="380"/>
      <c r="C1018" s="380"/>
      <c r="D1018" s="380"/>
      <c r="E1018" s="380"/>
      <c r="F1018" s="415"/>
      <c r="G1018" s="380"/>
      <c r="H1018" s="380"/>
      <c r="I1018" s="428"/>
      <c r="J1018" s="429"/>
      <c r="K1018" s="380"/>
      <c r="L1018" s="415"/>
      <c r="M1018" s="380"/>
      <c r="N1018" s="380"/>
      <c r="O1018" s="430"/>
      <c r="P1018" s="380"/>
      <c r="Q1018" s="380"/>
      <c r="R1018" s="380"/>
      <c r="S1018" s="380"/>
      <c r="T1018" s="380"/>
      <c r="U1018" s="380"/>
      <c r="V1018" s="380"/>
      <c r="W1018" s="380"/>
      <c r="X1018" s="380"/>
      <c r="Y1018" s="380"/>
      <c r="Z1018" s="380"/>
      <c r="AA1018" s="380"/>
    </row>
    <row r="1019">
      <c r="A1019" s="380"/>
      <c r="B1019" s="380"/>
      <c r="C1019" s="380"/>
      <c r="D1019" s="380"/>
      <c r="E1019" s="380"/>
      <c r="F1019" s="415"/>
      <c r="G1019" s="380"/>
      <c r="H1019" s="380"/>
      <c r="I1019" s="428"/>
      <c r="J1019" s="429"/>
      <c r="K1019" s="380"/>
      <c r="L1019" s="415"/>
      <c r="M1019" s="380"/>
      <c r="N1019" s="380"/>
      <c r="O1019" s="430"/>
      <c r="P1019" s="380"/>
      <c r="Q1019" s="380"/>
      <c r="R1019" s="380"/>
      <c r="S1019" s="380"/>
      <c r="T1019" s="380"/>
      <c r="U1019" s="380"/>
      <c r="V1019" s="380"/>
      <c r="W1019" s="380"/>
      <c r="X1019" s="380"/>
      <c r="Y1019" s="380"/>
      <c r="Z1019" s="380"/>
      <c r="AA1019" s="380"/>
    </row>
    <row r="1020">
      <c r="A1020" s="380"/>
      <c r="B1020" s="380"/>
      <c r="C1020" s="380"/>
      <c r="D1020" s="380"/>
      <c r="E1020" s="380"/>
      <c r="F1020" s="415"/>
      <c r="G1020" s="380"/>
      <c r="H1020" s="380"/>
      <c r="I1020" s="428"/>
      <c r="J1020" s="429"/>
      <c r="K1020" s="380"/>
      <c r="L1020" s="415"/>
      <c r="M1020" s="380"/>
      <c r="N1020" s="380"/>
      <c r="O1020" s="430"/>
      <c r="P1020" s="380"/>
      <c r="Q1020" s="380"/>
      <c r="R1020" s="380"/>
      <c r="S1020" s="380"/>
      <c r="T1020" s="380"/>
      <c r="U1020" s="380"/>
      <c r="V1020" s="380"/>
      <c r="W1020" s="380"/>
      <c r="X1020" s="380"/>
      <c r="Y1020" s="380"/>
      <c r="Z1020" s="380"/>
      <c r="AA1020" s="380"/>
    </row>
    <row r="1021">
      <c r="A1021" s="380"/>
      <c r="B1021" s="380"/>
      <c r="C1021" s="380"/>
      <c r="D1021" s="380"/>
      <c r="E1021" s="380"/>
      <c r="F1021" s="415"/>
      <c r="G1021" s="380"/>
      <c r="H1021" s="380"/>
      <c r="I1021" s="428"/>
      <c r="J1021" s="429"/>
      <c r="K1021" s="380"/>
      <c r="L1021" s="415"/>
      <c r="M1021" s="380"/>
      <c r="N1021" s="380"/>
      <c r="O1021" s="430"/>
      <c r="P1021" s="380"/>
      <c r="Q1021" s="380"/>
      <c r="R1021" s="380"/>
      <c r="S1021" s="380"/>
      <c r="T1021" s="380"/>
      <c r="U1021" s="380"/>
      <c r="V1021" s="380"/>
      <c r="W1021" s="380"/>
      <c r="X1021" s="380"/>
      <c r="Y1021" s="380"/>
      <c r="Z1021" s="380"/>
      <c r="AA1021" s="380"/>
    </row>
    <row r="1022">
      <c r="A1022" s="380"/>
      <c r="B1022" s="380"/>
      <c r="C1022" s="380"/>
      <c r="D1022" s="380"/>
      <c r="E1022" s="380"/>
      <c r="F1022" s="415"/>
      <c r="G1022" s="380"/>
      <c r="H1022" s="380"/>
      <c r="I1022" s="428"/>
      <c r="J1022" s="429"/>
      <c r="K1022" s="380"/>
      <c r="L1022" s="415"/>
      <c r="M1022" s="380"/>
      <c r="N1022" s="380"/>
      <c r="O1022" s="430"/>
      <c r="P1022" s="380"/>
      <c r="Q1022" s="380"/>
      <c r="R1022" s="380"/>
      <c r="S1022" s="380"/>
      <c r="T1022" s="380"/>
      <c r="U1022" s="380"/>
      <c r="V1022" s="380"/>
      <c r="W1022" s="380"/>
      <c r="X1022" s="380"/>
      <c r="Y1022" s="380"/>
      <c r="Z1022" s="380"/>
      <c r="AA1022" s="380"/>
    </row>
    <row r="1023">
      <c r="A1023" s="380"/>
      <c r="B1023" s="380"/>
      <c r="C1023" s="380"/>
      <c r="D1023" s="380"/>
      <c r="E1023" s="380"/>
      <c r="F1023" s="415"/>
      <c r="G1023" s="380"/>
      <c r="H1023" s="380"/>
      <c r="I1023" s="428"/>
      <c r="J1023" s="429"/>
      <c r="K1023" s="380"/>
      <c r="L1023" s="415"/>
      <c r="M1023" s="380"/>
      <c r="N1023" s="380"/>
      <c r="O1023" s="430"/>
      <c r="P1023" s="380"/>
      <c r="Q1023" s="380"/>
      <c r="R1023" s="380"/>
      <c r="S1023" s="380"/>
      <c r="T1023" s="380"/>
      <c r="U1023" s="380"/>
      <c r="V1023" s="380"/>
      <c r="W1023" s="380"/>
      <c r="X1023" s="380"/>
      <c r="Y1023" s="380"/>
      <c r="Z1023" s="380"/>
      <c r="AA1023" s="380"/>
    </row>
    <row r="1024">
      <c r="A1024" s="380"/>
      <c r="B1024" s="380"/>
      <c r="C1024" s="380"/>
      <c r="D1024" s="380"/>
      <c r="E1024" s="380"/>
      <c r="F1024" s="415"/>
      <c r="G1024" s="380"/>
      <c r="H1024" s="380"/>
      <c r="I1024" s="428"/>
      <c r="J1024" s="429"/>
      <c r="K1024" s="380"/>
      <c r="L1024" s="415"/>
      <c r="M1024" s="380"/>
      <c r="N1024" s="380"/>
      <c r="O1024" s="430"/>
      <c r="P1024" s="380"/>
      <c r="Q1024" s="380"/>
      <c r="R1024" s="380"/>
      <c r="S1024" s="380"/>
      <c r="T1024" s="380"/>
      <c r="U1024" s="380"/>
      <c r="V1024" s="380"/>
      <c r="W1024" s="380"/>
      <c r="X1024" s="380"/>
      <c r="Y1024" s="380"/>
      <c r="Z1024" s="380"/>
      <c r="AA1024" s="380"/>
    </row>
    <row r="1025">
      <c r="A1025" s="380"/>
      <c r="B1025" s="380"/>
      <c r="C1025" s="380"/>
      <c r="D1025" s="380"/>
      <c r="E1025" s="380"/>
      <c r="F1025" s="415"/>
      <c r="G1025" s="380"/>
      <c r="H1025" s="380"/>
      <c r="I1025" s="428"/>
      <c r="J1025" s="429"/>
      <c r="K1025" s="380"/>
      <c r="L1025" s="415"/>
      <c r="M1025" s="380"/>
      <c r="N1025" s="380"/>
      <c r="O1025" s="430"/>
      <c r="P1025" s="380"/>
      <c r="Q1025" s="380"/>
      <c r="R1025" s="380"/>
      <c r="S1025" s="380"/>
      <c r="T1025" s="380"/>
      <c r="U1025" s="380"/>
      <c r="V1025" s="380"/>
      <c r="W1025" s="380"/>
      <c r="X1025" s="380"/>
      <c r="Y1025" s="380"/>
      <c r="Z1025" s="380"/>
      <c r="AA1025" s="380"/>
    </row>
    <row r="1026">
      <c r="A1026" s="380"/>
      <c r="B1026" s="380"/>
      <c r="C1026" s="380"/>
      <c r="D1026" s="380"/>
      <c r="E1026" s="380"/>
      <c r="F1026" s="415"/>
      <c r="G1026" s="380"/>
      <c r="H1026" s="380"/>
      <c r="I1026" s="428"/>
      <c r="J1026" s="429"/>
      <c r="K1026" s="380"/>
      <c r="L1026" s="415"/>
      <c r="M1026" s="380"/>
      <c r="N1026" s="380"/>
      <c r="O1026" s="430"/>
      <c r="P1026" s="380"/>
      <c r="Q1026" s="380"/>
      <c r="R1026" s="380"/>
      <c r="S1026" s="380"/>
      <c r="T1026" s="380"/>
      <c r="U1026" s="380"/>
      <c r="V1026" s="380"/>
      <c r="W1026" s="380"/>
      <c r="X1026" s="380"/>
      <c r="Y1026" s="380"/>
      <c r="Z1026" s="380"/>
      <c r="AA1026" s="380"/>
    </row>
    <row r="1027">
      <c r="A1027" s="380"/>
      <c r="B1027" s="380"/>
      <c r="C1027" s="380"/>
      <c r="D1027" s="380"/>
      <c r="E1027" s="380"/>
      <c r="F1027" s="415"/>
      <c r="G1027" s="380"/>
      <c r="H1027" s="380"/>
      <c r="I1027" s="428"/>
      <c r="J1027" s="429"/>
      <c r="K1027" s="380"/>
      <c r="L1027" s="415"/>
      <c r="M1027" s="380"/>
      <c r="N1027" s="380"/>
      <c r="O1027" s="430"/>
      <c r="P1027" s="380"/>
      <c r="Q1027" s="380"/>
      <c r="R1027" s="380"/>
      <c r="S1027" s="380"/>
      <c r="T1027" s="380"/>
      <c r="U1027" s="380"/>
      <c r="V1027" s="380"/>
      <c r="W1027" s="380"/>
      <c r="X1027" s="380"/>
      <c r="Y1027" s="380"/>
      <c r="Z1027" s="380"/>
      <c r="AA1027" s="380"/>
    </row>
    <row r="1028">
      <c r="A1028" s="380"/>
      <c r="B1028" s="380"/>
      <c r="C1028" s="380"/>
      <c r="D1028" s="380"/>
      <c r="E1028" s="380"/>
      <c r="F1028" s="415"/>
      <c r="G1028" s="380"/>
      <c r="H1028" s="380"/>
      <c r="I1028" s="428"/>
      <c r="J1028" s="429"/>
      <c r="K1028" s="380"/>
      <c r="L1028" s="415"/>
      <c r="M1028" s="380"/>
      <c r="N1028" s="380"/>
      <c r="O1028" s="430"/>
      <c r="P1028" s="380"/>
      <c r="Q1028" s="380"/>
      <c r="R1028" s="380"/>
      <c r="S1028" s="380"/>
      <c r="T1028" s="380"/>
      <c r="U1028" s="380"/>
      <c r="V1028" s="380"/>
      <c r="W1028" s="380"/>
      <c r="X1028" s="380"/>
      <c r="Y1028" s="380"/>
      <c r="Z1028" s="380"/>
      <c r="AA1028" s="380"/>
    </row>
    <row r="1029">
      <c r="A1029" s="380"/>
      <c r="B1029" s="380"/>
      <c r="C1029" s="380"/>
      <c r="D1029" s="380"/>
      <c r="E1029" s="380"/>
      <c r="F1029" s="415"/>
      <c r="G1029" s="380"/>
      <c r="H1029" s="380"/>
      <c r="I1029" s="468"/>
      <c r="J1029" s="469"/>
      <c r="K1029" s="380"/>
      <c r="L1029" s="415"/>
      <c r="M1029" s="380"/>
      <c r="N1029" s="380"/>
      <c r="O1029" s="470"/>
      <c r="P1029" s="380"/>
      <c r="Q1029" s="380"/>
      <c r="R1029" s="380"/>
      <c r="S1029" s="380"/>
      <c r="T1029" s="380"/>
      <c r="U1029" s="380"/>
      <c r="V1029" s="380"/>
      <c r="W1029" s="380"/>
      <c r="X1029" s="380"/>
      <c r="Y1029" s="380"/>
      <c r="Z1029" s="380"/>
      <c r="AA1029" s="380"/>
    </row>
  </sheetData>
  <mergeCells count="2">
    <mergeCell ref="B1:B2"/>
    <mergeCell ref="B3:B4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0"/>
    <col customWidth="1" min="2" max="2" width="17.86"/>
    <col customWidth="1" min="3" max="3" width="34.57"/>
    <col customWidth="1" min="4" max="4" width="47.0"/>
    <col customWidth="1" min="5" max="7" width="20.57"/>
    <col customWidth="1" min="8" max="8" width="23.0"/>
    <col customWidth="1" min="9" max="9" width="23.14"/>
    <col customWidth="1" min="10" max="23" width="0.43"/>
    <col customWidth="1" min="24" max="25" width="23.14"/>
    <col customWidth="1" min="26" max="28" width="21.86"/>
  </cols>
  <sheetData>
    <row r="1" ht="21.75" customHeight="1">
      <c r="A1" s="471"/>
      <c r="B1" s="471"/>
      <c r="C1" s="471"/>
      <c r="D1" s="471"/>
      <c r="E1" s="472">
        <f t="shared" ref="E1:H1" si="1">SUM(E3:E25)</f>
        <v>3800000</v>
      </c>
      <c r="F1" s="472">
        <f t="shared" si="1"/>
        <v>3145000</v>
      </c>
      <c r="G1" s="472">
        <f t="shared" si="1"/>
        <v>1258000</v>
      </c>
      <c r="H1" s="472">
        <f t="shared" si="1"/>
        <v>1887000</v>
      </c>
      <c r="I1" s="472">
        <f>SUM(I3:I21)</f>
        <v>655000</v>
      </c>
      <c r="J1" s="473">
        <f t="shared" ref="J1:Y1" si="2">SUM(J3:J11)</f>
        <v>566150</v>
      </c>
      <c r="K1" s="473">
        <f t="shared" si="2"/>
        <v>685671</v>
      </c>
      <c r="L1" s="473">
        <f t="shared" si="2"/>
        <v>751337</v>
      </c>
      <c r="M1" s="473">
        <f t="shared" si="2"/>
        <v>1175990</v>
      </c>
      <c r="N1" s="473">
        <f t="shared" si="2"/>
        <v>1339439.71</v>
      </c>
      <c r="O1" s="473">
        <f t="shared" si="2"/>
        <v>1629405</v>
      </c>
      <c r="P1" s="473">
        <f t="shared" si="2"/>
        <v>1395345</v>
      </c>
      <c r="Q1" s="473">
        <f t="shared" si="2"/>
        <v>1398108.05</v>
      </c>
      <c r="R1" s="473">
        <f t="shared" si="2"/>
        <v>1765479</v>
      </c>
      <c r="S1" s="473">
        <f t="shared" si="2"/>
        <v>1430479</v>
      </c>
      <c r="T1" s="473">
        <f t="shared" si="2"/>
        <v>1430480</v>
      </c>
      <c r="U1" s="473">
        <f t="shared" si="2"/>
        <v>1442298.15</v>
      </c>
      <c r="V1" s="473">
        <f t="shared" si="2"/>
        <v>1485668.73</v>
      </c>
      <c r="W1" s="473">
        <f t="shared" si="2"/>
        <v>1128305.43</v>
      </c>
      <c r="X1" s="473">
        <f t="shared" si="2"/>
        <v>1700475</v>
      </c>
      <c r="Y1" s="473">
        <f t="shared" si="2"/>
        <v>1730436</v>
      </c>
      <c r="Z1" s="471"/>
      <c r="AA1" s="471"/>
      <c r="AB1" s="471"/>
      <c r="AC1" s="474" t="s">
        <v>2101</v>
      </c>
      <c r="AD1" s="475">
        <f t="shared" ref="AD1:AF1" si="3">SUM(AD3:AD27)</f>
        <v>655000</v>
      </c>
      <c r="AE1" s="475">
        <f t="shared" si="3"/>
        <v>0</v>
      </c>
      <c r="AF1" s="475">
        <f t="shared" si="3"/>
        <v>655000</v>
      </c>
      <c r="AG1" s="475">
        <f>SUM(AG3:AG15)</f>
        <v>0</v>
      </c>
      <c r="AH1" s="476"/>
      <c r="AI1" s="476"/>
    </row>
    <row r="2">
      <c r="A2" s="477"/>
      <c r="B2" s="477"/>
      <c r="C2" s="477" t="s">
        <v>2102</v>
      </c>
      <c r="D2" s="477" t="s">
        <v>2103</v>
      </c>
      <c r="E2" s="477" t="s">
        <v>2104</v>
      </c>
      <c r="F2" s="478" t="s">
        <v>2105</v>
      </c>
      <c r="G2" s="479" t="s">
        <v>2106</v>
      </c>
      <c r="H2" s="479" t="s">
        <v>2107</v>
      </c>
      <c r="I2" s="480" t="s">
        <v>2108</v>
      </c>
      <c r="J2" s="481" t="s">
        <v>2109</v>
      </c>
      <c r="K2" s="482" t="s">
        <v>2110</v>
      </c>
      <c r="L2" s="482" t="s">
        <v>2111</v>
      </c>
      <c r="M2" s="482" t="s">
        <v>2112</v>
      </c>
      <c r="N2" s="482" t="s">
        <v>2113</v>
      </c>
      <c r="O2" s="482" t="s">
        <v>2114</v>
      </c>
      <c r="P2" s="483" t="s">
        <v>2115</v>
      </c>
      <c r="Q2" s="483" t="s">
        <v>2116</v>
      </c>
      <c r="R2" s="483" t="s">
        <v>2117</v>
      </c>
      <c r="S2" s="483" t="s">
        <v>2118</v>
      </c>
      <c r="T2" s="484" t="s">
        <v>2119</v>
      </c>
      <c r="U2" s="484" t="s">
        <v>2120</v>
      </c>
      <c r="V2" s="484" t="s">
        <v>2121</v>
      </c>
      <c r="W2" s="474" t="s">
        <v>2122</v>
      </c>
      <c r="X2" s="474" t="s">
        <v>2123</v>
      </c>
      <c r="Y2" s="474" t="s">
        <v>2124</v>
      </c>
      <c r="Z2" s="474" t="s">
        <v>2125</v>
      </c>
      <c r="AA2" s="474"/>
      <c r="AB2" s="474"/>
      <c r="AC2" s="484" t="s">
        <v>591</v>
      </c>
      <c r="AD2" s="485" t="s">
        <v>2126</v>
      </c>
      <c r="AE2" s="485" t="s">
        <v>489</v>
      </c>
      <c r="AF2" s="485" t="s">
        <v>2127</v>
      </c>
      <c r="AG2" s="485" t="s">
        <v>2005</v>
      </c>
      <c r="AH2" s="485"/>
      <c r="AI2" s="485"/>
    </row>
    <row r="3">
      <c r="A3" s="484"/>
      <c r="B3" s="484">
        <v>1.0</v>
      </c>
      <c r="C3" s="484" t="s">
        <v>2059</v>
      </c>
      <c r="D3" s="484" t="s">
        <v>2128</v>
      </c>
      <c r="E3" s="486">
        <v>400000.0</v>
      </c>
      <c r="F3" s="487">
        <v>300000.0</v>
      </c>
      <c r="G3" s="488">
        <f t="shared" ref="G3:G23" si="4">F3*0.4</f>
        <v>120000</v>
      </c>
      <c r="H3" s="488">
        <f t="shared" ref="H3:H23" si="5">F3*0.6</f>
        <v>180000</v>
      </c>
      <c r="I3" s="489">
        <f t="shared" ref="I3:I23" si="6">E3-F3</f>
        <v>100000</v>
      </c>
      <c r="J3" s="490">
        <v>300000.0</v>
      </c>
      <c r="K3" s="491">
        <v>300075.0</v>
      </c>
      <c r="L3" s="491">
        <v>300075.0</v>
      </c>
      <c r="M3" s="491">
        <v>300075.0</v>
      </c>
      <c r="N3" s="491">
        <v>300045.0</v>
      </c>
      <c r="O3" s="491">
        <v>386045.0</v>
      </c>
      <c r="P3" s="491">
        <v>300045.0</v>
      </c>
      <c r="Q3" s="491">
        <v>306575.0</v>
      </c>
      <c r="R3" s="491">
        <v>300075.0</v>
      </c>
      <c r="S3" s="491">
        <v>300075.0</v>
      </c>
      <c r="T3" s="491">
        <v>300075.0</v>
      </c>
      <c r="U3" s="491">
        <v>300075.0</v>
      </c>
      <c r="V3" s="491">
        <v>400066.0</v>
      </c>
      <c r="W3" s="491">
        <v>268027.0</v>
      </c>
      <c r="X3" s="491">
        <v>400066.0</v>
      </c>
      <c r="Y3" s="491">
        <v>400067.0</v>
      </c>
      <c r="Z3" s="491">
        <v>400067.0</v>
      </c>
      <c r="AA3" s="484"/>
      <c r="AB3" s="484" t="str">
        <f t="shared" ref="AB3:AB23" si="7">D3</f>
        <v>Дмитрий Бельченко</v>
      </c>
      <c r="AC3" s="491">
        <f t="shared" ref="AC3:AC23" si="8">SUMIFS($F$35:$F987,$G$35:$G987,$AC$2,$D$35:$D987,AB3,$B$35:$B987,$AC$1)</f>
        <v>0</v>
      </c>
      <c r="AD3" s="492">
        <f t="shared" ref="AD3:AD23" si="9">I3-AC3</f>
        <v>100000</v>
      </c>
      <c r="AE3" s="493">
        <v>0.0</v>
      </c>
      <c r="AF3" s="494">
        <f t="shared" ref="AF3:AF23" si="10">SUM(AD3:AE3)</f>
        <v>100000</v>
      </c>
      <c r="AG3" s="492"/>
      <c r="AH3" s="492"/>
      <c r="AI3" s="492"/>
    </row>
    <row r="4">
      <c r="A4" s="484"/>
      <c r="B4" s="484">
        <v>2.0</v>
      </c>
      <c r="C4" s="484" t="s">
        <v>2093</v>
      </c>
      <c r="D4" s="484" t="s">
        <v>124</v>
      </c>
      <c r="E4" s="486">
        <v>250000.0</v>
      </c>
      <c r="F4" s="487">
        <v>220000.0</v>
      </c>
      <c r="G4" s="488">
        <f t="shared" si="4"/>
        <v>88000</v>
      </c>
      <c r="H4" s="488">
        <f t="shared" si="5"/>
        <v>132000</v>
      </c>
      <c r="I4" s="489">
        <f t="shared" si="6"/>
        <v>30000</v>
      </c>
      <c r="J4" s="490">
        <v>118950.0</v>
      </c>
      <c r="K4" s="491">
        <v>130536.0</v>
      </c>
      <c r="L4" s="491">
        <v>141136.0</v>
      </c>
      <c r="M4" s="491">
        <v>215050.0</v>
      </c>
      <c r="N4" s="491">
        <v>201236.71</v>
      </c>
      <c r="O4" s="491">
        <v>221030.0</v>
      </c>
      <c r="P4" s="491">
        <v>200030.0</v>
      </c>
      <c r="Q4" s="491">
        <v>200050.0</v>
      </c>
      <c r="R4" s="491">
        <v>346048.0</v>
      </c>
      <c r="S4" s="491">
        <v>200050.0</v>
      </c>
      <c r="T4" s="491">
        <v>200050.0</v>
      </c>
      <c r="U4" s="491">
        <v>211885.15000000002</v>
      </c>
      <c r="V4" s="491">
        <v>220060.0</v>
      </c>
      <c r="W4" s="491">
        <v>198024.0</v>
      </c>
      <c r="X4" s="491">
        <v>250075.0</v>
      </c>
      <c r="Y4" s="491">
        <v>250075.0</v>
      </c>
      <c r="Z4" s="491">
        <v>250075.0</v>
      </c>
      <c r="AA4" s="484"/>
      <c r="AB4" s="484" t="str">
        <f t="shared" si="7"/>
        <v>Анна Ким</v>
      </c>
      <c r="AC4" s="491">
        <f t="shared" si="8"/>
        <v>0</v>
      </c>
      <c r="AD4" s="492">
        <f t="shared" si="9"/>
        <v>30000</v>
      </c>
      <c r="AE4" s="493">
        <v>0.0</v>
      </c>
      <c r="AF4" s="494">
        <f t="shared" si="10"/>
        <v>30000</v>
      </c>
      <c r="AG4" s="493"/>
      <c r="AH4" s="492"/>
      <c r="AI4" s="492"/>
    </row>
    <row r="5">
      <c r="A5" s="484"/>
      <c r="B5" s="484">
        <v>3.0</v>
      </c>
      <c r="C5" s="484" t="s">
        <v>2129</v>
      </c>
      <c r="D5" s="484" t="s">
        <v>2130</v>
      </c>
      <c r="E5" s="495">
        <v>160000.0</v>
      </c>
      <c r="F5" s="487">
        <v>140000.0</v>
      </c>
      <c r="G5" s="488">
        <f t="shared" si="4"/>
        <v>56000</v>
      </c>
      <c r="H5" s="488">
        <f t="shared" si="5"/>
        <v>84000</v>
      </c>
      <c r="I5" s="489">
        <f t="shared" si="6"/>
        <v>20000</v>
      </c>
      <c r="J5" s="490">
        <v>112200.0</v>
      </c>
      <c r="K5" s="491">
        <v>120030.0</v>
      </c>
      <c r="L5" s="491">
        <v>120030.0</v>
      </c>
      <c r="M5" s="491">
        <v>120030.0</v>
      </c>
      <c r="N5" s="491">
        <v>120018.0</v>
      </c>
      <c r="O5" s="491">
        <v>123618.0</v>
      </c>
      <c r="P5" s="491">
        <v>140045.0</v>
      </c>
      <c r="Q5" s="491">
        <v>140045.0</v>
      </c>
      <c r="R5" s="491">
        <v>244047.0</v>
      </c>
      <c r="S5" s="491">
        <v>140045.0</v>
      </c>
      <c r="T5" s="491">
        <v>140045.0</v>
      </c>
      <c r="U5" s="491">
        <v>140045.0</v>
      </c>
      <c r="V5" s="491">
        <v>140045.0</v>
      </c>
      <c r="W5" s="491">
        <v>86018.0</v>
      </c>
      <c r="X5" s="491">
        <v>140045.0</v>
      </c>
      <c r="Y5" s="491">
        <v>140045.0</v>
      </c>
      <c r="Z5" s="491">
        <v>140045.0</v>
      </c>
      <c r="AA5" s="484"/>
      <c r="AB5" s="484" t="str">
        <f t="shared" si="7"/>
        <v>Александр Страхов</v>
      </c>
      <c r="AC5" s="491">
        <f t="shared" si="8"/>
        <v>0</v>
      </c>
      <c r="AD5" s="492">
        <f t="shared" si="9"/>
        <v>20000</v>
      </c>
      <c r="AE5" s="493">
        <v>0.0</v>
      </c>
      <c r="AF5" s="494">
        <f t="shared" si="10"/>
        <v>20000</v>
      </c>
      <c r="AG5" s="493"/>
      <c r="AH5" s="492"/>
      <c r="AI5" s="492"/>
    </row>
    <row r="6">
      <c r="A6" s="484"/>
      <c r="B6" s="484">
        <v>4.0</v>
      </c>
      <c r="C6" s="484" t="s">
        <v>2094</v>
      </c>
      <c r="D6" s="484" t="s">
        <v>2131</v>
      </c>
      <c r="E6" s="495">
        <v>150000.0</v>
      </c>
      <c r="F6" s="487">
        <v>135000.0</v>
      </c>
      <c r="G6" s="488">
        <f t="shared" si="4"/>
        <v>54000</v>
      </c>
      <c r="H6" s="488">
        <f t="shared" si="5"/>
        <v>81000</v>
      </c>
      <c r="I6" s="489">
        <f t="shared" si="6"/>
        <v>15000</v>
      </c>
      <c r="J6" s="490">
        <v>0.0</v>
      </c>
      <c r="K6" s="491">
        <v>100030.0</v>
      </c>
      <c r="L6" s="491">
        <v>100030.0</v>
      </c>
      <c r="M6" s="491">
        <v>100030.0</v>
      </c>
      <c r="N6" s="491">
        <v>100018.0</v>
      </c>
      <c r="O6" s="491">
        <v>136030.0</v>
      </c>
      <c r="P6" s="491">
        <v>130050.0</v>
      </c>
      <c r="Q6" s="491">
        <v>106228.05</v>
      </c>
      <c r="R6" s="491">
        <v>174064.0</v>
      </c>
      <c r="S6" s="491">
        <v>130050.0</v>
      </c>
      <c r="T6" s="491">
        <v>130050.0</v>
      </c>
      <c r="U6" s="491">
        <v>130050.0</v>
      </c>
      <c r="V6" s="491">
        <v>120050.0</v>
      </c>
      <c r="W6" s="491">
        <v>78007.0</v>
      </c>
      <c r="X6" s="491">
        <v>150017.0</v>
      </c>
      <c r="Y6" s="491">
        <v>150016.0</v>
      </c>
      <c r="Z6" s="491">
        <v>150016.0</v>
      </c>
      <c r="AA6" s="484"/>
      <c r="AB6" s="484" t="str">
        <f t="shared" si="7"/>
        <v>Смирнова Жанна</v>
      </c>
      <c r="AC6" s="491">
        <f t="shared" si="8"/>
        <v>0</v>
      </c>
      <c r="AD6" s="492">
        <f t="shared" si="9"/>
        <v>15000</v>
      </c>
      <c r="AE6" s="493">
        <v>0.0</v>
      </c>
      <c r="AF6" s="494">
        <f t="shared" si="10"/>
        <v>15000</v>
      </c>
      <c r="AG6" s="493"/>
      <c r="AH6" s="492"/>
      <c r="AI6" s="492"/>
    </row>
    <row r="7">
      <c r="A7" s="484"/>
      <c r="B7" s="484">
        <v>5.0</v>
      </c>
      <c r="C7" s="484" t="s">
        <v>2058</v>
      </c>
      <c r="D7" s="484" t="s">
        <v>2132</v>
      </c>
      <c r="E7" s="486">
        <v>300000.0</v>
      </c>
      <c r="F7" s="487">
        <v>220000.0</v>
      </c>
      <c r="G7" s="488">
        <f t="shared" si="4"/>
        <v>88000</v>
      </c>
      <c r="H7" s="488">
        <f t="shared" si="5"/>
        <v>132000</v>
      </c>
      <c r="I7" s="489">
        <f t="shared" si="6"/>
        <v>80000</v>
      </c>
      <c r="J7" s="490">
        <v>0.0</v>
      </c>
      <c r="K7" s="491">
        <v>0.0</v>
      </c>
      <c r="L7" s="491">
        <v>0.0</v>
      </c>
      <c r="M7" s="491">
        <v>39150.0</v>
      </c>
      <c r="N7" s="491">
        <v>200030.0</v>
      </c>
      <c r="O7" s="491">
        <v>206030.0</v>
      </c>
      <c r="P7" s="491">
        <v>200050.0</v>
      </c>
      <c r="Q7" s="491">
        <v>200050.0</v>
      </c>
      <c r="R7" s="491">
        <v>200050.0</v>
      </c>
      <c r="S7" s="491">
        <v>200050.0</v>
      </c>
      <c r="T7" s="491">
        <v>200050.0</v>
      </c>
      <c r="U7" s="491">
        <v>200050.0</v>
      </c>
      <c r="V7" s="491">
        <v>241841.09</v>
      </c>
      <c r="W7" s="491">
        <v>194869.57</v>
      </c>
      <c r="X7" s="491">
        <v>300037.0</v>
      </c>
      <c r="Y7" s="491">
        <v>300036.0</v>
      </c>
      <c r="Z7" s="491">
        <v>300036.0</v>
      </c>
      <c r="AA7" s="484"/>
      <c r="AB7" s="484" t="str">
        <f t="shared" si="7"/>
        <v>Денис Макаров</v>
      </c>
      <c r="AC7" s="491">
        <f t="shared" si="8"/>
        <v>0</v>
      </c>
      <c r="AD7" s="492">
        <f t="shared" si="9"/>
        <v>80000</v>
      </c>
      <c r="AE7" s="493">
        <v>0.0</v>
      </c>
      <c r="AF7" s="494">
        <f t="shared" si="10"/>
        <v>80000</v>
      </c>
      <c r="AG7" s="492"/>
      <c r="AH7" s="492"/>
      <c r="AI7" s="492"/>
    </row>
    <row r="8">
      <c r="A8" s="484"/>
      <c r="B8" s="484">
        <v>6.0</v>
      </c>
      <c r="C8" s="484" t="s">
        <v>2070</v>
      </c>
      <c r="D8" s="484" t="s">
        <v>2133</v>
      </c>
      <c r="E8" s="486">
        <v>70000.0</v>
      </c>
      <c r="F8" s="487">
        <v>50000.0</v>
      </c>
      <c r="G8" s="488">
        <f t="shared" si="4"/>
        <v>20000</v>
      </c>
      <c r="H8" s="488">
        <f t="shared" si="5"/>
        <v>30000</v>
      </c>
      <c r="I8" s="489">
        <f t="shared" si="6"/>
        <v>20000</v>
      </c>
      <c r="J8" s="490">
        <v>35000.0</v>
      </c>
      <c r="K8" s="491">
        <v>35000.0</v>
      </c>
      <c r="L8" s="491">
        <v>0.0</v>
      </c>
      <c r="M8" s="491">
        <v>55000.0</v>
      </c>
      <c r="N8" s="491">
        <v>55000.0</v>
      </c>
      <c r="O8" s="491">
        <v>55000.0</v>
      </c>
      <c r="P8" s="491">
        <v>55000.0</v>
      </c>
      <c r="Q8" s="491">
        <v>55000.0</v>
      </c>
      <c r="R8" s="491">
        <v>55000.0</v>
      </c>
      <c r="S8" s="491">
        <v>70000.0</v>
      </c>
      <c r="T8" s="491">
        <v>70000.0</v>
      </c>
      <c r="U8" s="491">
        <v>70000.0</v>
      </c>
      <c r="V8" s="491">
        <v>70000.0</v>
      </c>
      <c r="W8" s="491">
        <v>70000.0</v>
      </c>
      <c r="X8" s="491">
        <v>70025.0</v>
      </c>
      <c r="Y8" s="491">
        <v>40010.0</v>
      </c>
      <c r="Z8" s="491">
        <v>40010.0</v>
      </c>
      <c r="AA8" s="484"/>
      <c r="AB8" s="484" t="str">
        <f t="shared" si="7"/>
        <v>Мария Осадчук</v>
      </c>
      <c r="AC8" s="491">
        <f t="shared" si="8"/>
        <v>0</v>
      </c>
      <c r="AD8" s="492">
        <f t="shared" si="9"/>
        <v>20000</v>
      </c>
      <c r="AE8" s="493">
        <v>0.0</v>
      </c>
      <c r="AF8" s="494">
        <f t="shared" si="10"/>
        <v>20000</v>
      </c>
      <c r="AG8" s="492"/>
      <c r="AH8" s="492"/>
      <c r="AI8" s="492"/>
    </row>
    <row r="9">
      <c r="A9" s="471"/>
      <c r="B9" s="484">
        <v>7.0</v>
      </c>
      <c r="C9" s="484" t="s">
        <v>2071</v>
      </c>
      <c r="D9" s="484" t="s">
        <v>2134</v>
      </c>
      <c r="E9" s="496">
        <v>80000.0</v>
      </c>
      <c r="F9" s="487">
        <v>80000.0</v>
      </c>
      <c r="G9" s="488">
        <f t="shared" si="4"/>
        <v>32000</v>
      </c>
      <c r="H9" s="488">
        <f t="shared" si="5"/>
        <v>48000</v>
      </c>
      <c r="I9" s="489">
        <f t="shared" si="6"/>
        <v>0</v>
      </c>
      <c r="J9" s="490">
        <v>0.0</v>
      </c>
      <c r="K9" s="491">
        <v>0.0</v>
      </c>
      <c r="L9" s="491">
        <v>55066.0</v>
      </c>
      <c r="M9" s="491">
        <v>55066.0</v>
      </c>
      <c r="N9" s="491">
        <v>53040.0</v>
      </c>
      <c r="O9" s="491">
        <v>121760.0</v>
      </c>
      <c r="P9" s="491">
        <v>60073.0</v>
      </c>
      <c r="Q9" s="491">
        <v>80074.0</v>
      </c>
      <c r="R9" s="491">
        <v>80073.0</v>
      </c>
      <c r="S9" s="491">
        <v>80073.0</v>
      </c>
      <c r="T9" s="491">
        <v>80074.0</v>
      </c>
      <c r="U9" s="491">
        <v>80073.0</v>
      </c>
      <c r="V9" s="491">
        <v>80074.0</v>
      </c>
      <c r="W9" s="491">
        <v>44029.0</v>
      </c>
      <c r="X9" s="491">
        <v>80074.0</v>
      </c>
      <c r="Y9" s="491">
        <v>80073.0</v>
      </c>
      <c r="Z9" s="491">
        <v>80073.0</v>
      </c>
      <c r="AA9" s="484"/>
      <c r="AB9" s="484" t="str">
        <f t="shared" si="7"/>
        <v>Надежда Шальнева</v>
      </c>
      <c r="AC9" s="491">
        <f t="shared" si="8"/>
        <v>0</v>
      </c>
      <c r="AD9" s="492">
        <f t="shared" si="9"/>
        <v>0</v>
      </c>
      <c r="AE9" s="493">
        <v>0.0</v>
      </c>
      <c r="AF9" s="494">
        <f t="shared" si="10"/>
        <v>0</v>
      </c>
      <c r="AG9" s="492"/>
      <c r="AH9" s="492"/>
      <c r="AI9" s="492"/>
    </row>
    <row r="10">
      <c r="A10" s="471"/>
      <c r="B10" s="484">
        <v>8.0</v>
      </c>
      <c r="C10" s="484" t="s">
        <v>2069</v>
      </c>
      <c r="D10" s="484" t="s">
        <v>2135</v>
      </c>
      <c r="E10" s="497">
        <v>160000.0</v>
      </c>
      <c r="F10" s="487">
        <v>120000.0</v>
      </c>
      <c r="G10" s="488">
        <f t="shared" si="4"/>
        <v>48000</v>
      </c>
      <c r="H10" s="488">
        <f t="shared" si="5"/>
        <v>72000</v>
      </c>
      <c r="I10" s="489">
        <f t="shared" si="6"/>
        <v>40000</v>
      </c>
      <c r="J10" s="490">
        <v>0.0</v>
      </c>
      <c r="K10" s="491">
        <v>0.0</v>
      </c>
      <c r="L10" s="491">
        <v>35000.0</v>
      </c>
      <c r="M10" s="491">
        <v>140000.0</v>
      </c>
      <c r="N10" s="491">
        <v>140000.0</v>
      </c>
      <c r="O10" s="491">
        <v>140000.0</v>
      </c>
      <c r="P10" s="491">
        <v>140000.0</v>
      </c>
      <c r="Q10" s="491">
        <v>140000.0</v>
      </c>
      <c r="R10" s="491">
        <v>190050.0</v>
      </c>
      <c r="S10" s="491">
        <v>140050.0</v>
      </c>
      <c r="T10" s="491">
        <v>140050.0</v>
      </c>
      <c r="U10" s="491">
        <v>140050.0</v>
      </c>
      <c r="V10" s="491">
        <v>140050.0</v>
      </c>
      <c r="W10" s="491">
        <v>80020.0</v>
      </c>
      <c r="X10" s="491">
        <v>140050.0</v>
      </c>
      <c r="Y10" s="491">
        <v>200028.0</v>
      </c>
      <c r="Z10" s="491">
        <v>200028.0</v>
      </c>
      <c r="AA10" s="484"/>
      <c r="AB10" s="484" t="str">
        <f t="shared" si="7"/>
        <v>Дарья Гресева</v>
      </c>
      <c r="AC10" s="491">
        <f t="shared" si="8"/>
        <v>0</v>
      </c>
      <c r="AD10" s="492">
        <f t="shared" si="9"/>
        <v>40000</v>
      </c>
      <c r="AE10" s="493">
        <v>0.0</v>
      </c>
      <c r="AF10" s="494">
        <f t="shared" si="10"/>
        <v>40000</v>
      </c>
      <c r="AG10" s="493"/>
      <c r="AH10" s="492"/>
      <c r="AI10" s="492"/>
    </row>
    <row r="11">
      <c r="A11" s="471"/>
      <c r="B11" s="484">
        <v>9.0</v>
      </c>
      <c r="C11" s="498" t="s">
        <v>2136</v>
      </c>
      <c r="D11" s="484" t="s">
        <v>2137</v>
      </c>
      <c r="E11" s="497">
        <v>180000.0</v>
      </c>
      <c r="F11" s="499">
        <v>150000.0</v>
      </c>
      <c r="G11" s="488">
        <f t="shared" si="4"/>
        <v>60000</v>
      </c>
      <c r="H11" s="488">
        <f t="shared" si="5"/>
        <v>90000</v>
      </c>
      <c r="I11" s="489">
        <f t="shared" si="6"/>
        <v>30000</v>
      </c>
      <c r="J11" s="490"/>
      <c r="K11" s="491"/>
      <c r="L11" s="471"/>
      <c r="M11" s="491">
        <v>151589.0</v>
      </c>
      <c r="N11" s="491">
        <v>170052.0</v>
      </c>
      <c r="O11" s="491">
        <v>239892.0</v>
      </c>
      <c r="P11" s="491">
        <v>170052.0</v>
      </c>
      <c r="Q11" s="491">
        <v>170086.0</v>
      </c>
      <c r="R11" s="491">
        <v>176072.0</v>
      </c>
      <c r="S11" s="491">
        <v>170086.0</v>
      </c>
      <c r="T11" s="491">
        <v>170086.0</v>
      </c>
      <c r="U11" s="491">
        <v>170070.0</v>
      </c>
      <c r="V11" s="491">
        <v>73482.64</v>
      </c>
      <c r="W11" s="491">
        <v>109310.86</v>
      </c>
      <c r="X11" s="491">
        <v>170086.0</v>
      </c>
      <c r="Y11" s="491">
        <v>170086.0</v>
      </c>
      <c r="Z11" s="491">
        <v>170086.0</v>
      </c>
      <c r="AA11" s="484"/>
      <c r="AB11" s="484" t="str">
        <f t="shared" si="7"/>
        <v>Андрей Мошков</v>
      </c>
      <c r="AC11" s="491">
        <f t="shared" si="8"/>
        <v>0</v>
      </c>
      <c r="AD11" s="492">
        <f t="shared" si="9"/>
        <v>30000</v>
      </c>
      <c r="AE11" s="493">
        <v>0.0</v>
      </c>
      <c r="AF11" s="494">
        <f t="shared" si="10"/>
        <v>30000</v>
      </c>
      <c r="AG11" s="492"/>
      <c r="AH11" s="492"/>
      <c r="AI11" s="492"/>
    </row>
    <row r="12">
      <c r="A12" s="471"/>
      <c r="B12" s="484">
        <v>10.0</v>
      </c>
      <c r="C12" s="484" t="s">
        <v>2138</v>
      </c>
      <c r="D12" s="484" t="s">
        <v>2139</v>
      </c>
      <c r="E12" s="496">
        <v>150000.0</v>
      </c>
      <c r="F12" s="499">
        <v>0.0</v>
      </c>
      <c r="G12" s="488">
        <f t="shared" si="4"/>
        <v>0</v>
      </c>
      <c r="H12" s="488">
        <f t="shared" si="5"/>
        <v>0</v>
      </c>
      <c r="I12" s="489">
        <f t="shared" si="6"/>
        <v>150000</v>
      </c>
      <c r="J12" s="490"/>
      <c r="K12" s="491"/>
      <c r="L12" s="471"/>
      <c r="M12" s="471"/>
      <c r="N12" s="471"/>
      <c r="O12" s="471"/>
      <c r="P12" s="491"/>
      <c r="Q12" s="491">
        <v>50000.0</v>
      </c>
      <c r="R12" s="491">
        <v>0.0</v>
      </c>
      <c r="S12" s="491">
        <v>50000.0</v>
      </c>
      <c r="T12" s="491">
        <v>50000.0</v>
      </c>
      <c r="U12" s="491">
        <v>50000.0</v>
      </c>
      <c r="V12" s="491">
        <v>50000.0</v>
      </c>
      <c r="W12" s="491">
        <v>50000.0</v>
      </c>
      <c r="X12" s="491">
        <v>150000.0</v>
      </c>
      <c r="Y12" s="491">
        <v>0.0</v>
      </c>
      <c r="Z12" s="491">
        <v>0.0</v>
      </c>
      <c r="AA12" s="484"/>
      <c r="AB12" s="484" t="str">
        <f t="shared" si="7"/>
        <v>ДПД Девочка</v>
      </c>
      <c r="AC12" s="491">
        <f t="shared" si="8"/>
        <v>0</v>
      </c>
      <c r="AD12" s="492">
        <f t="shared" si="9"/>
        <v>150000</v>
      </c>
      <c r="AE12" s="493">
        <v>0.0</v>
      </c>
      <c r="AF12" s="494">
        <f t="shared" si="10"/>
        <v>150000</v>
      </c>
      <c r="AG12" s="492"/>
      <c r="AH12" s="492"/>
      <c r="AI12" s="492"/>
    </row>
    <row r="13">
      <c r="A13" s="471"/>
      <c r="B13" s="484">
        <v>11.0</v>
      </c>
      <c r="C13" s="484" t="s">
        <v>2140</v>
      </c>
      <c r="D13" s="484" t="s">
        <v>2141</v>
      </c>
      <c r="E13" s="497">
        <v>120000.0</v>
      </c>
      <c r="F13" s="499">
        <v>90000.0</v>
      </c>
      <c r="G13" s="488">
        <f t="shared" si="4"/>
        <v>36000</v>
      </c>
      <c r="H13" s="488">
        <f t="shared" si="5"/>
        <v>54000</v>
      </c>
      <c r="I13" s="489">
        <f t="shared" si="6"/>
        <v>30000</v>
      </c>
      <c r="J13" s="490"/>
      <c r="K13" s="491"/>
      <c r="L13" s="471"/>
      <c r="M13" s="471"/>
      <c r="N13" s="471"/>
      <c r="O13" s="471"/>
      <c r="P13" s="491"/>
      <c r="Q13" s="491">
        <v>0.0</v>
      </c>
      <c r="R13" s="491">
        <v>0.0</v>
      </c>
      <c r="S13" s="491">
        <v>80623.47</v>
      </c>
      <c r="T13" s="491">
        <v>100040.0</v>
      </c>
      <c r="U13" s="491">
        <v>100040.0</v>
      </c>
      <c r="V13" s="491">
        <v>110040.0</v>
      </c>
      <c r="W13" s="491">
        <v>66018.0</v>
      </c>
      <c r="X13" s="491">
        <v>120039.0</v>
      </c>
      <c r="Y13" s="491">
        <v>120045.0</v>
      </c>
      <c r="Z13" s="491">
        <v>120045.0</v>
      </c>
      <c r="AA13" s="484"/>
      <c r="AB13" s="484" t="str">
        <f t="shared" si="7"/>
        <v>Монич Валерия</v>
      </c>
      <c r="AC13" s="491">
        <f t="shared" si="8"/>
        <v>0</v>
      </c>
      <c r="AD13" s="492">
        <f t="shared" si="9"/>
        <v>30000</v>
      </c>
      <c r="AE13" s="493">
        <v>0.0</v>
      </c>
      <c r="AF13" s="494">
        <f t="shared" si="10"/>
        <v>30000</v>
      </c>
      <c r="AG13" s="492"/>
      <c r="AH13" s="492"/>
      <c r="AI13" s="492"/>
    </row>
    <row r="14">
      <c r="A14" s="471"/>
      <c r="B14" s="484">
        <v>12.0</v>
      </c>
      <c r="C14" s="500" t="s">
        <v>2142</v>
      </c>
      <c r="D14" s="500" t="s">
        <v>2143</v>
      </c>
      <c r="E14" s="496">
        <v>30000.0</v>
      </c>
      <c r="F14" s="499">
        <v>0.0</v>
      </c>
      <c r="G14" s="488">
        <f t="shared" si="4"/>
        <v>0</v>
      </c>
      <c r="H14" s="488">
        <f t="shared" si="5"/>
        <v>0</v>
      </c>
      <c r="I14" s="489">
        <f t="shared" si="6"/>
        <v>30000</v>
      </c>
      <c r="J14" s="490"/>
      <c r="K14" s="491"/>
      <c r="L14" s="471"/>
      <c r="M14" s="471"/>
      <c r="N14" s="471"/>
      <c r="O14" s="471"/>
      <c r="P14" s="491"/>
      <c r="Q14" s="491"/>
      <c r="R14" s="491"/>
      <c r="S14" s="491">
        <v>30000.0</v>
      </c>
      <c r="T14" s="491">
        <v>30000.0</v>
      </c>
      <c r="U14" s="491">
        <v>30000.0</v>
      </c>
      <c r="V14" s="491">
        <v>30000.0</v>
      </c>
      <c r="W14" s="491">
        <v>30000.0</v>
      </c>
      <c r="X14" s="491">
        <v>30000.0</v>
      </c>
      <c r="Y14" s="491">
        <v>30000.0</v>
      </c>
      <c r="Z14" s="491">
        <v>30000.0</v>
      </c>
      <c r="AA14" s="484"/>
      <c r="AB14" s="484" t="str">
        <f t="shared" si="7"/>
        <v>Оксана Иванова</v>
      </c>
      <c r="AC14" s="491">
        <f t="shared" si="8"/>
        <v>0</v>
      </c>
      <c r="AD14" s="492">
        <f t="shared" si="9"/>
        <v>30000</v>
      </c>
      <c r="AE14" s="493">
        <v>0.0</v>
      </c>
      <c r="AF14" s="494">
        <f t="shared" si="10"/>
        <v>30000</v>
      </c>
      <c r="AG14" s="492"/>
      <c r="AH14" s="492"/>
      <c r="AI14" s="492"/>
    </row>
    <row r="15">
      <c r="A15" s="471"/>
      <c r="B15" s="484">
        <v>13.0</v>
      </c>
      <c r="C15" s="484" t="s">
        <v>2144</v>
      </c>
      <c r="D15" s="484" t="s">
        <v>2145</v>
      </c>
      <c r="E15" s="496">
        <v>40000.0</v>
      </c>
      <c r="F15" s="499">
        <v>40000.0</v>
      </c>
      <c r="G15" s="488">
        <f t="shared" si="4"/>
        <v>16000</v>
      </c>
      <c r="H15" s="488">
        <f t="shared" si="5"/>
        <v>24000</v>
      </c>
      <c r="I15" s="489">
        <f t="shared" si="6"/>
        <v>0</v>
      </c>
      <c r="J15" s="490"/>
      <c r="K15" s="491"/>
      <c r="L15" s="471"/>
      <c r="M15" s="471"/>
      <c r="N15" s="471"/>
      <c r="O15" s="471"/>
      <c r="P15" s="491"/>
      <c r="Q15" s="491">
        <v>30000.0</v>
      </c>
      <c r="R15" s="491">
        <v>90000.0</v>
      </c>
      <c r="S15" s="491">
        <v>40063.0</v>
      </c>
      <c r="T15" s="491">
        <v>40064.0</v>
      </c>
      <c r="U15" s="491">
        <v>40063.0</v>
      </c>
      <c r="V15" s="491">
        <v>40064.0</v>
      </c>
      <c r="W15" s="491">
        <v>16025.0</v>
      </c>
      <c r="X15" s="491">
        <v>40064.0</v>
      </c>
      <c r="Y15" s="491">
        <v>0.0</v>
      </c>
      <c r="Z15" s="491">
        <v>0.0</v>
      </c>
      <c r="AA15" s="484"/>
      <c r="AB15" s="484" t="str">
        <f t="shared" si="7"/>
        <v>Патрисия Свиридова</v>
      </c>
      <c r="AC15" s="491">
        <f t="shared" si="8"/>
        <v>0</v>
      </c>
      <c r="AD15" s="492">
        <f t="shared" si="9"/>
        <v>0</v>
      </c>
      <c r="AE15" s="493">
        <v>0.0</v>
      </c>
      <c r="AF15" s="494">
        <f t="shared" si="10"/>
        <v>0</v>
      </c>
      <c r="AG15" s="492"/>
      <c r="AH15" s="492"/>
      <c r="AI15" s="492"/>
    </row>
    <row r="16">
      <c r="A16" s="471"/>
      <c r="B16" s="484">
        <v>14.0</v>
      </c>
      <c r="C16" s="484" t="s">
        <v>2146</v>
      </c>
      <c r="D16" s="484" t="s">
        <v>2147</v>
      </c>
      <c r="E16" s="496">
        <v>50000.0</v>
      </c>
      <c r="F16" s="499">
        <v>50000.0</v>
      </c>
      <c r="G16" s="488">
        <f t="shared" si="4"/>
        <v>20000</v>
      </c>
      <c r="H16" s="488">
        <f t="shared" si="5"/>
        <v>30000</v>
      </c>
      <c r="I16" s="489">
        <f t="shared" si="6"/>
        <v>0</v>
      </c>
      <c r="J16" s="490"/>
      <c r="K16" s="491"/>
      <c r="L16" s="471"/>
      <c r="M16" s="471"/>
      <c r="N16" s="471"/>
      <c r="O16" s="471"/>
      <c r="P16" s="491"/>
      <c r="Q16" s="491"/>
      <c r="R16" s="491"/>
      <c r="S16" s="491"/>
      <c r="T16" s="491"/>
      <c r="U16" s="491"/>
      <c r="V16" s="491"/>
      <c r="W16" s="491">
        <v>50000.0</v>
      </c>
      <c r="X16" s="491">
        <v>0.0</v>
      </c>
      <c r="Y16" s="491">
        <v>0.0</v>
      </c>
      <c r="Z16" s="491">
        <v>0.0</v>
      </c>
      <c r="AA16" s="484"/>
      <c r="AB16" s="484" t="str">
        <f t="shared" si="7"/>
        <v>Юлия Кирдяпкина</v>
      </c>
      <c r="AC16" s="491">
        <f t="shared" si="8"/>
        <v>0</v>
      </c>
      <c r="AD16" s="492">
        <f t="shared" si="9"/>
        <v>0</v>
      </c>
      <c r="AE16" s="493">
        <v>0.0</v>
      </c>
      <c r="AF16" s="494">
        <f t="shared" si="10"/>
        <v>0</v>
      </c>
      <c r="AG16" s="492"/>
      <c r="AH16" s="492"/>
      <c r="AI16" s="492"/>
    </row>
    <row r="17">
      <c r="A17" s="471"/>
      <c r="B17" s="484">
        <v>15.0</v>
      </c>
      <c r="C17" s="484" t="s">
        <v>2148</v>
      </c>
      <c r="D17" s="484" t="s">
        <v>2149</v>
      </c>
      <c r="E17" s="474">
        <v>265000.0</v>
      </c>
      <c r="F17" s="499">
        <v>250000.0</v>
      </c>
      <c r="G17" s="488">
        <f t="shared" si="4"/>
        <v>100000</v>
      </c>
      <c r="H17" s="488">
        <f t="shared" si="5"/>
        <v>150000</v>
      </c>
      <c r="I17" s="489">
        <f t="shared" si="6"/>
        <v>15000</v>
      </c>
      <c r="J17" s="471"/>
      <c r="K17" s="471"/>
      <c r="L17" s="471"/>
      <c r="M17" s="471"/>
      <c r="N17" s="471"/>
      <c r="O17" s="471"/>
      <c r="P17" s="471"/>
      <c r="Q17" s="471"/>
      <c r="R17" s="471"/>
      <c r="S17" s="471"/>
      <c r="T17" s="471"/>
      <c r="U17" s="471"/>
      <c r="V17" s="471"/>
      <c r="W17" s="471"/>
      <c r="X17" s="471"/>
      <c r="Y17" s="471"/>
      <c r="Z17" s="471"/>
      <c r="AA17" s="471"/>
      <c r="AB17" s="484" t="str">
        <f t="shared" si="7"/>
        <v>Галактионов Денис</v>
      </c>
      <c r="AC17" s="491">
        <f t="shared" si="8"/>
        <v>0</v>
      </c>
      <c r="AD17" s="492">
        <f t="shared" si="9"/>
        <v>15000</v>
      </c>
      <c r="AE17" s="493">
        <v>0.0</v>
      </c>
      <c r="AF17" s="494">
        <f t="shared" si="10"/>
        <v>15000</v>
      </c>
      <c r="AG17" s="471"/>
      <c r="AH17" s="471"/>
      <c r="AI17" s="471"/>
    </row>
    <row r="18">
      <c r="A18" s="471"/>
      <c r="B18" s="484">
        <v>16.0</v>
      </c>
      <c r="C18" s="484" t="s">
        <v>2150</v>
      </c>
      <c r="D18" s="484" t="s">
        <v>2151</v>
      </c>
      <c r="E18" s="496">
        <v>180000.0</v>
      </c>
      <c r="F18" s="499">
        <v>150000.0</v>
      </c>
      <c r="G18" s="488">
        <f t="shared" si="4"/>
        <v>60000</v>
      </c>
      <c r="H18" s="488">
        <f t="shared" si="5"/>
        <v>90000</v>
      </c>
      <c r="I18" s="489">
        <f t="shared" si="6"/>
        <v>30000</v>
      </c>
      <c r="J18" s="490"/>
      <c r="K18" s="491"/>
      <c r="L18" s="471"/>
      <c r="M18" s="471"/>
      <c r="N18" s="471"/>
      <c r="O18" s="471"/>
      <c r="P18" s="491"/>
      <c r="Q18" s="491"/>
      <c r="R18" s="491"/>
      <c r="S18" s="491"/>
      <c r="T18" s="491"/>
      <c r="U18" s="491"/>
      <c r="V18" s="491"/>
      <c r="W18" s="491">
        <v>150000.0</v>
      </c>
      <c r="X18" s="491">
        <v>142165.0</v>
      </c>
      <c r="Y18" s="491">
        <v>164415.0</v>
      </c>
      <c r="Z18" s="491">
        <v>164415.0</v>
      </c>
      <c r="AA18" s="484"/>
      <c r="AB18" s="484" t="str">
        <f t="shared" si="7"/>
        <v>Владимир Маруев</v>
      </c>
      <c r="AC18" s="491">
        <f t="shared" si="8"/>
        <v>0</v>
      </c>
      <c r="AD18" s="492">
        <f t="shared" si="9"/>
        <v>30000</v>
      </c>
      <c r="AE18" s="493">
        <v>0.0</v>
      </c>
      <c r="AF18" s="494">
        <f t="shared" si="10"/>
        <v>30000</v>
      </c>
      <c r="AG18" s="492"/>
      <c r="AH18" s="492"/>
      <c r="AI18" s="492"/>
    </row>
    <row r="19">
      <c r="A19" s="471"/>
      <c r="B19" s="484">
        <v>17.0</v>
      </c>
      <c r="C19" s="484" t="s">
        <v>2152</v>
      </c>
      <c r="D19" s="484" t="s">
        <v>2153</v>
      </c>
      <c r="E19" s="496">
        <v>300000.0</v>
      </c>
      <c r="F19" s="499">
        <v>250000.0</v>
      </c>
      <c r="G19" s="488">
        <f t="shared" si="4"/>
        <v>100000</v>
      </c>
      <c r="H19" s="488">
        <f t="shared" si="5"/>
        <v>150000</v>
      </c>
      <c r="I19" s="489">
        <f t="shared" si="6"/>
        <v>50000</v>
      </c>
      <c r="J19" s="490"/>
      <c r="K19" s="491"/>
      <c r="L19" s="471"/>
      <c r="M19" s="471"/>
      <c r="N19" s="471"/>
      <c r="O19" s="471"/>
      <c r="P19" s="491"/>
      <c r="Q19" s="491"/>
      <c r="R19" s="491"/>
      <c r="S19" s="491"/>
      <c r="T19" s="491"/>
      <c r="U19" s="491"/>
      <c r="V19" s="491"/>
      <c r="W19" s="491">
        <v>0.0</v>
      </c>
      <c r="X19" s="491">
        <v>308013.0</v>
      </c>
      <c r="Y19" s="491">
        <v>210020.0</v>
      </c>
      <c r="Z19" s="491">
        <v>210020.0</v>
      </c>
      <c r="AA19" s="484"/>
      <c r="AB19" s="484" t="str">
        <f t="shared" si="7"/>
        <v>Никита Труфанов</v>
      </c>
      <c r="AC19" s="491">
        <f t="shared" si="8"/>
        <v>0</v>
      </c>
      <c r="AD19" s="492">
        <f t="shared" si="9"/>
        <v>50000</v>
      </c>
      <c r="AE19" s="493">
        <v>0.0</v>
      </c>
      <c r="AF19" s="494">
        <f t="shared" si="10"/>
        <v>50000</v>
      </c>
      <c r="AG19" s="492"/>
      <c r="AH19" s="492"/>
      <c r="AI19" s="492"/>
    </row>
    <row r="20">
      <c r="A20" s="471"/>
      <c r="B20" s="484">
        <v>18.0</v>
      </c>
      <c r="C20" s="484" t="s">
        <v>2069</v>
      </c>
      <c r="D20" s="484" t="s">
        <v>2154</v>
      </c>
      <c r="E20" s="496">
        <v>150000.0</v>
      </c>
      <c r="F20" s="499">
        <v>135000.0</v>
      </c>
      <c r="G20" s="488">
        <f t="shared" si="4"/>
        <v>54000</v>
      </c>
      <c r="H20" s="488">
        <f t="shared" si="5"/>
        <v>81000</v>
      </c>
      <c r="I20" s="489">
        <f t="shared" si="6"/>
        <v>15000</v>
      </c>
      <c r="J20" s="490"/>
      <c r="K20" s="491"/>
      <c r="L20" s="471"/>
      <c r="M20" s="471"/>
      <c r="N20" s="471"/>
      <c r="O20" s="471"/>
      <c r="P20" s="491"/>
      <c r="Q20" s="491"/>
      <c r="R20" s="491"/>
      <c r="S20" s="491"/>
      <c r="T20" s="491"/>
      <c r="U20" s="491"/>
      <c r="V20" s="491"/>
      <c r="W20" s="491">
        <v>20000.0</v>
      </c>
      <c r="X20" s="491">
        <v>130050.0</v>
      </c>
      <c r="Y20" s="491">
        <v>130050.0</v>
      </c>
      <c r="Z20" s="491">
        <v>130050.0</v>
      </c>
      <c r="AA20" s="484"/>
      <c r="AB20" s="484" t="str">
        <f t="shared" si="7"/>
        <v>Алексей Кисляков</v>
      </c>
      <c r="AC20" s="491">
        <f t="shared" si="8"/>
        <v>0</v>
      </c>
      <c r="AD20" s="492">
        <f t="shared" si="9"/>
        <v>15000</v>
      </c>
      <c r="AE20" s="493">
        <v>0.0</v>
      </c>
      <c r="AF20" s="494">
        <f t="shared" si="10"/>
        <v>15000</v>
      </c>
      <c r="AG20" s="492"/>
      <c r="AH20" s="492"/>
      <c r="AI20" s="492"/>
    </row>
    <row r="21" ht="20.25" customHeight="1">
      <c r="A21" s="471"/>
      <c r="B21" s="484">
        <v>19.0</v>
      </c>
      <c r="C21" s="484" t="s">
        <v>2155</v>
      </c>
      <c r="D21" s="484" t="s">
        <v>2156</v>
      </c>
      <c r="E21" s="474">
        <v>500000.0</v>
      </c>
      <c r="F21" s="499">
        <v>500000.0</v>
      </c>
      <c r="G21" s="488">
        <f t="shared" si="4"/>
        <v>200000</v>
      </c>
      <c r="H21" s="488">
        <f t="shared" si="5"/>
        <v>300000</v>
      </c>
      <c r="I21" s="489">
        <f t="shared" si="6"/>
        <v>0</v>
      </c>
      <c r="J21" s="490"/>
      <c r="K21" s="491"/>
      <c r="L21" s="471"/>
      <c r="M21" s="471"/>
      <c r="N21" s="471"/>
      <c r="O21" s="471"/>
      <c r="P21" s="491"/>
      <c r="Q21" s="491"/>
      <c r="R21" s="491"/>
      <c r="S21" s="491"/>
      <c r="T21" s="476"/>
      <c r="U21" s="476"/>
      <c r="V21" s="476"/>
      <c r="W21" s="484"/>
      <c r="X21" s="484"/>
      <c r="Y21" s="484"/>
      <c r="Z21" s="484"/>
      <c r="AA21" s="484"/>
      <c r="AB21" s="484" t="str">
        <f t="shared" si="7"/>
        <v>Панасюк Анастасия</v>
      </c>
      <c r="AC21" s="491">
        <f t="shared" si="8"/>
        <v>0</v>
      </c>
      <c r="AD21" s="492">
        <f t="shared" si="9"/>
        <v>0</v>
      </c>
      <c r="AE21" s="493">
        <v>0.0</v>
      </c>
      <c r="AF21" s="494">
        <f t="shared" si="10"/>
        <v>0</v>
      </c>
      <c r="AG21" s="476"/>
      <c r="AH21" s="476"/>
      <c r="AI21" s="476"/>
    </row>
    <row r="22">
      <c r="A22" s="471"/>
      <c r="B22" s="484">
        <v>20.0</v>
      </c>
      <c r="C22" s="484" t="s">
        <v>2157</v>
      </c>
      <c r="D22" s="484" t="s">
        <v>2158</v>
      </c>
      <c r="E22" s="474">
        <v>180000.0</v>
      </c>
      <c r="F22" s="499">
        <v>180000.0</v>
      </c>
      <c r="G22" s="488">
        <f t="shared" si="4"/>
        <v>72000</v>
      </c>
      <c r="H22" s="488">
        <f t="shared" si="5"/>
        <v>108000</v>
      </c>
      <c r="I22" s="489">
        <f t="shared" si="6"/>
        <v>0</v>
      </c>
      <c r="J22" s="490"/>
      <c r="K22" s="491"/>
      <c r="L22" s="471"/>
      <c r="M22" s="471"/>
      <c r="N22" s="471"/>
      <c r="O22" s="471"/>
      <c r="P22" s="491"/>
      <c r="Q22" s="491"/>
      <c r="R22" s="491"/>
      <c r="S22" s="491"/>
      <c r="T22" s="476"/>
      <c r="U22" s="476"/>
      <c r="V22" s="476"/>
      <c r="W22" s="484"/>
      <c r="X22" s="484"/>
      <c r="Y22" s="484"/>
      <c r="Z22" s="484"/>
      <c r="AA22" s="484"/>
      <c r="AB22" s="484" t="str">
        <f t="shared" si="7"/>
        <v>Фесенко Вероника</v>
      </c>
      <c r="AC22" s="491">
        <f t="shared" si="8"/>
        <v>0</v>
      </c>
      <c r="AD22" s="492">
        <f t="shared" si="9"/>
        <v>0</v>
      </c>
      <c r="AE22" s="493">
        <v>0.0</v>
      </c>
      <c r="AF22" s="494">
        <f t="shared" si="10"/>
        <v>0</v>
      </c>
      <c r="AG22" s="476"/>
      <c r="AH22" s="476"/>
      <c r="AI22" s="476"/>
    </row>
    <row r="23">
      <c r="A23" s="471"/>
      <c r="B23" s="484">
        <v>21.0</v>
      </c>
      <c r="C23" s="484" t="s">
        <v>2159</v>
      </c>
      <c r="D23" s="484" t="s">
        <v>2160</v>
      </c>
      <c r="E23" s="474">
        <v>85000.0</v>
      </c>
      <c r="F23" s="499">
        <v>85000.0</v>
      </c>
      <c r="G23" s="488">
        <f t="shared" si="4"/>
        <v>34000</v>
      </c>
      <c r="H23" s="488">
        <f t="shared" si="5"/>
        <v>51000</v>
      </c>
      <c r="I23" s="489">
        <f t="shared" si="6"/>
        <v>0</v>
      </c>
      <c r="J23" s="490"/>
      <c r="K23" s="491"/>
      <c r="L23" s="471"/>
      <c r="M23" s="471"/>
      <c r="N23" s="471"/>
      <c r="O23" s="471"/>
      <c r="P23" s="491"/>
      <c r="Q23" s="491"/>
      <c r="R23" s="491"/>
      <c r="S23" s="491"/>
      <c r="T23" s="476"/>
      <c r="U23" s="476"/>
      <c r="V23" s="476"/>
      <c r="W23" s="484"/>
      <c r="X23" s="484"/>
      <c r="Y23" s="484"/>
      <c r="Z23" s="484"/>
      <c r="AA23" s="484"/>
      <c r="AB23" s="484" t="str">
        <f t="shared" si="7"/>
        <v>Жукова Ксения</v>
      </c>
      <c r="AC23" s="491">
        <f t="shared" si="8"/>
        <v>0</v>
      </c>
      <c r="AD23" s="492">
        <f t="shared" si="9"/>
        <v>0</v>
      </c>
      <c r="AE23" s="493">
        <v>0.0</v>
      </c>
      <c r="AF23" s="494">
        <f t="shared" si="10"/>
        <v>0</v>
      </c>
      <c r="AG23" s="476"/>
      <c r="AH23" s="476"/>
      <c r="AI23" s="476"/>
    </row>
    <row r="24">
      <c r="A24" s="471"/>
      <c r="B24" s="471"/>
      <c r="C24" s="471"/>
      <c r="D24" s="471"/>
      <c r="E24" s="471"/>
      <c r="F24" s="501"/>
      <c r="G24" s="471"/>
      <c r="H24" s="471"/>
      <c r="I24" s="471"/>
      <c r="J24" s="490"/>
      <c r="K24" s="491"/>
      <c r="L24" s="471"/>
      <c r="M24" s="471"/>
      <c r="N24" s="471"/>
      <c r="O24" s="471"/>
      <c r="P24" s="491"/>
      <c r="Q24" s="491"/>
      <c r="R24" s="491"/>
      <c r="S24" s="491"/>
      <c r="T24" s="476"/>
      <c r="U24" s="476"/>
      <c r="V24" s="476"/>
      <c r="W24" s="484"/>
      <c r="X24" s="484"/>
      <c r="Y24" s="484"/>
      <c r="Z24" s="484"/>
      <c r="AA24" s="484"/>
      <c r="AB24" s="484"/>
      <c r="AC24" s="476"/>
      <c r="AD24" s="476"/>
      <c r="AE24" s="476"/>
      <c r="AF24" s="476"/>
      <c r="AG24" s="476"/>
      <c r="AH24" s="476"/>
      <c r="AI24" s="476"/>
    </row>
    <row r="25">
      <c r="A25" s="471"/>
      <c r="B25" s="471"/>
      <c r="C25" s="471"/>
      <c r="D25" s="471"/>
      <c r="E25" s="471"/>
      <c r="F25" s="501"/>
      <c r="G25" s="471"/>
      <c r="H25" s="471"/>
      <c r="I25" s="471"/>
      <c r="J25" s="490"/>
      <c r="K25" s="491"/>
      <c r="L25" s="471"/>
      <c r="M25" s="471"/>
      <c r="N25" s="471"/>
      <c r="O25" s="471"/>
      <c r="P25" s="491"/>
      <c r="Q25" s="491"/>
      <c r="R25" s="491"/>
      <c r="S25" s="491"/>
      <c r="T25" s="476"/>
      <c r="U25" s="476"/>
      <c r="V25" s="476"/>
      <c r="W25" s="484"/>
      <c r="X25" s="484"/>
      <c r="Y25" s="484"/>
      <c r="Z25" s="484"/>
      <c r="AA25" s="484"/>
      <c r="AB25" s="484"/>
      <c r="AC25" s="476"/>
      <c r="AD25" s="476"/>
      <c r="AE25" s="476"/>
      <c r="AF25" s="476"/>
      <c r="AG25" s="476"/>
      <c r="AH25" s="476"/>
      <c r="AI25" s="476"/>
    </row>
    <row r="26">
      <c r="A26" s="484"/>
      <c r="B26" s="484">
        <v>1.0</v>
      </c>
      <c r="C26" s="500" t="s">
        <v>2094</v>
      </c>
      <c r="D26" s="500" t="s">
        <v>2161</v>
      </c>
      <c r="E26" s="486">
        <v>0.0</v>
      </c>
      <c r="F26" s="502"/>
      <c r="G26" s="488"/>
      <c r="H26" s="488"/>
      <c r="I26" s="489"/>
      <c r="J26" s="490">
        <f t="shared" ref="J26:L26" si="11">SUMIFS($F$36:$F987,$B$36:$B987,J$2,$D$36:$D987,$D26)</f>
        <v>50000</v>
      </c>
      <c r="K26" s="491">
        <f t="shared" si="11"/>
        <v>50000</v>
      </c>
      <c r="L26" s="491">
        <f t="shared" si="11"/>
        <v>42105</v>
      </c>
      <c r="M26" s="491"/>
      <c r="N26" s="491"/>
      <c r="O26" s="491"/>
      <c r="P26" s="491"/>
      <c r="Q26" s="491"/>
      <c r="R26" s="491"/>
      <c r="S26" s="491"/>
      <c r="T26" s="471"/>
      <c r="U26" s="471"/>
      <c r="V26" s="471"/>
      <c r="W26" s="471"/>
      <c r="X26" s="471"/>
      <c r="Y26" s="471"/>
      <c r="Z26" s="471"/>
      <c r="AA26" s="471"/>
      <c r="AB26" s="471"/>
      <c r="AC26" s="491"/>
      <c r="AD26" s="491"/>
      <c r="AE26" s="491"/>
      <c r="AF26" s="503" t="s">
        <v>2127</v>
      </c>
      <c r="AG26" s="504">
        <f>AG1+AF1</f>
        <v>655000</v>
      </c>
      <c r="AH26" s="491"/>
      <c r="AI26" s="491"/>
    </row>
    <row r="27">
      <c r="A27" s="484"/>
      <c r="B27" s="484">
        <v>2.0</v>
      </c>
      <c r="C27" s="500" t="s">
        <v>2148</v>
      </c>
      <c r="D27" s="500" t="s">
        <v>2162</v>
      </c>
      <c r="E27" s="486">
        <v>0.0</v>
      </c>
      <c r="F27" s="505"/>
      <c r="G27" s="488"/>
      <c r="H27" s="488"/>
      <c r="I27" s="489"/>
      <c r="J27" s="490">
        <f t="shared" ref="J27:L27" si="12">SUMIFS($F$36:$F987,$B$36:$B987,J$2,$D$36:$D987,$D27)</f>
        <v>158950</v>
      </c>
      <c r="K27" s="491">
        <f t="shared" si="12"/>
        <v>170086</v>
      </c>
      <c r="L27" s="491">
        <f t="shared" si="12"/>
        <v>104478.37</v>
      </c>
      <c r="M27" s="491"/>
      <c r="N27" s="491"/>
      <c r="O27" s="491"/>
      <c r="P27" s="491"/>
      <c r="Q27" s="491"/>
      <c r="R27" s="491"/>
      <c r="S27" s="491"/>
      <c r="T27" s="491"/>
      <c r="U27" s="491"/>
      <c r="V27" s="491"/>
      <c r="W27" s="491"/>
      <c r="X27" s="491"/>
      <c r="Y27" s="491"/>
      <c r="Z27" s="491"/>
      <c r="AA27" s="491"/>
      <c r="AB27" s="491"/>
      <c r="AC27" s="491"/>
      <c r="AD27" s="491"/>
      <c r="AE27" s="491"/>
      <c r="AF27" s="491"/>
      <c r="AG27" s="491"/>
      <c r="AH27" s="491"/>
      <c r="AI27" s="491"/>
    </row>
    <row r="28">
      <c r="A28" s="471"/>
      <c r="B28" s="484">
        <v>12.0</v>
      </c>
      <c r="C28" s="500" t="s">
        <v>2094</v>
      </c>
      <c r="D28" s="500" t="s">
        <v>2143</v>
      </c>
      <c r="E28" s="496">
        <v>0.0</v>
      </c>
      <c r="F28" s="506"/>
      <c r="G28" s="488"/>
      <c r="H28" s="488"/>
      <c r="I28" s="507"/>
      <c r="J28" s="490"/>
      <c r="K28" s="491"/>
      <c r="L28" s="471"/>
      <c r="M28" s="471"/>
      <c r="N28" s="471"/>
      <c r="O28" s="471"/>
      <c r="P28" s="491">
        <f t="shared" ref="P28:P30" si="13">SUMIFS($F$36:$F$3009,$B$36:$B$3009,$P$2,$D$36:$D$3009,$D28)</f>
        <v>38521.43</v>
      </c>
      <c r="Q28" s="491">
        <f t="shared" ref="Q28:Q29" si="14">SUMIFS($F$36:$F$3009,$B$36:$B$3009,$Q$2,$D$36:$D$3009,$D28)</f>
        <v>63930</v>
      </c>
      <c r="R28" s="491"/>
      <c r="S28" s="491"/>
      <c r="T28" s="474"/>
      <c r="U28" s="474"/>
      <c r="V28" s="500"/>
      <c r="W28" s="500"/>
      <c r="X28" s="500"/>
      <c r="Y28" s="500"/>
      <c r="Z28" s="500"/>
      <c r="AA28" s="500"/>
      <c r="AB28" s="471"/>
      <c r="AC28" s="471"/>
      <c r="AD28" s="471"/>
      <c r="AE28" s="471"/>
      <c r="AF28" s="471"/>
      <c r="AG28" s="471"/>
      <c r="AH28" s="471"/>
      <c r="AI28" s="471"/>
    </row>
    <row r="29">
      <c r="A29" s="484"/>
      <c r="B29" s="484">
        <v>3.0</v>
      </c>
      <c r="C29" s="500" t="s">
        <v>2150</v>
      </c>
      <c r="D29" s="500" t="s">
        <v>2163</v>
      </c>
      <c r="E29" s="486">
        <v>0.0</v>
      </c>
      <c r="F29" s="502"/>
      <c r="G29" s="488"/>
      <c r="H29" s="488"/>
      <c r="I29" s="489"/>
      <c r="J29" s="490">
        <v>70000.0</v>
      </c>
      <c r="K29" s="491">
        <v>70000.0</v>
      </c>
      <c r="L29" s="491">
        <v>70000.0</v>
      </c>
      <c r="M29" s="491">
        <v>70000.0</v>
      </c>
      <c r="N29" s="491">
        <v>0.0</v>
      </c>
      <c r="O29" s="491">
        <v>90315.0</v>
      </c>
      <c r="P29" s="491">
        <f t="shared" si="13"/>
        <v>0</v>
      </c>
      <c r="Q29" s="491">
        <f t="shared" si="14"/>
        <v>0</v>
      </c>
      <c r="R29" s="491"/>
      <c r="S29" s="491"/>
      <c r="T29" s="491"/>
      <c r="U29" s="491"/>
      <c r="V29" s="500"/>
      <c r="W29" s="500"/>
      <c r="X29" s="500"/>
      <c r="Y29" s="500"/>
      <c r="Z29" s="500"/>
      <c r="AA29" s="500"/>
      <c r="AB29" s="471"/>
      <c r="AC29" s="471"/>
      <c r="AD29" s="471"/>
      <c r="AE29" s="471"/>
      <c r="AF29" s="471"/>
      <c r="AG29" s="471"/>
      <c r="AH29" s="471"/>
      <c r="AI29" s="471"/>
    </row>
    <row r="30">
      <c r="A30" s="471"/>
      <c r="B30" s="484">
        <v>11.0</v>
      </c>
      <c r="C30" s="484" t="s">
        <v>2066</v>
      </c>
      <c r="D30" s="498" t="s">
        <v>2164</v>
      </c>
      <c r="E30" s="508">
        <v>0.0</v>
      </c>
      <c r="F30" s="509"/>
      <c r="G30" s="488"/>
      <c r="H30" s="488"/>
      <c r="I30" s="489"/>
      <c r="J30" s="490"/>
      <c r="K30" s="491"/>
      <c r="L30" s="471"/>
      <c r="M30" s="491"/>
      <c r="N30" s="491"/>
      <c r="O30" s="491"/>
      <c r="P30" s="491">
        <f t="shared" si="13"/>
        <v>0</v>
      </c>
      <c r="Q30" s="491">
        <f t="shared" ref="Q30:U30" si="15">SUMIFS($F$36:$F$3009,$B$36:$B$3009,Q$2,$D$36:$D$3009,$D30)</f>
        <v>50000</v>
      </c>
      <c r="R30" s="491">
        <f t="shared" si="15"/>
        <v>250000</v>
      </c>
      <c r="S30" s="491">
        <f t="shared" si="15"/>
        <v>250085</v>
      </c>
      <c r="T30" s="491">
        <f t="shared" si="15"/>
        <v>181110</v>
      </c>
      <c r="U30" s="491">
        <f t="shared" si="15"/>
        <v>0</v>
      </c>
      <c r="V30" s="484"/>
      <c r="W30" s="484"/>
      <c r="X30" s="484"/>
      <c r="Y30" s="484"/>
      <c r="Z30" s="484"/>
      <c r="AA30" s="484"/>
      <c r="AB30" s="471"/>
      <c r="AC30" s="471"/>
      <c r="AD30" s="471"/>
      <c r="AE30" s="471"/>
      <c r="AF30" s="471"/>
      <c r="AG30" s="471"/>
      <c r="AH30" s="471"/>
      <c r="AI30" s="471"/>
    </row>
    <row r="31">
      <c r="A31" s="471"/>
      <c r="B31" s="484">
        <v>17.0</v>
      </c>
      <c r="C31" s="484" t="s">
        <v>2150</v>
      </c>
      <c r="D31" s="484" t="s">
        <v>2165</v>
      </c>
      <c r="E31" s="510">
        <v>0.0</v>
      </c>
      <c r="F31" s="499">
        <v>0.0</v>
      </c>
      <c r="G31" s="488">
        <f t="shared" ref="G31:G32" si="16">F31*0.4</f>
        <v>0</v>
      </c>
      <c r="H31" s="488">
        <f t="shared" ref="H31:H32" si="17">F31*0.6</f>
        <v>0</v>
      </c>
      <c r="I31" s="489">
        <f t="shared" ref="I31:I32" si="18">E31-F31</f>
        <v>0</v>
      </c>
      <c r="J31" s="490"/>
      <c r="K31" s="491"/>
      <c r="L31" s="471"/>
      <c r="M31" s="471"/>
      <c r="N31" s="471"/>
      <c r="O31" s="471"/>
      <c r="P31" s="491"/>
      <c r="Q31" s="491"/>
      <c r="R31" s="491"/>
      <c r="S31" s="491"/>
      <c r="T31" s="491"/>
      <c r="U31" s="491"/>
      <c r="V31" s="491"/>
      <c r="W31" s="491">
        <v>150000.0</v>
      </c>
      <c r="X31" s="491">
        <v>180000.0</v>
      </c>
      <c r="Y31" s="491">
        <v>180000.0</v>
      </c>
      <c r="Z31" s="491">
        <v>180000.0</v>
      </c>
      <c r="AA31" s="484"/>
      <c r="AB31" s="471"/>
      <c r="AC31" s="471"/>
      <c r="AD31" s="471"/>
      <c r="AE31" s="471"/>
      <c r="AF31" s="471"/>
      <c r="AG31" s="471"/>
      <c r="AH31" s="471"/>
      <c r="AI31" s="471"/>
    </row>
    <row r="32">
      <c r="A32" s="471"/>
      <c r="B32" s="484">
        <v>11.0</v>
      </c>
      <c r="C32" s="484" t="s">
        <v>2148</v>
      </c>
      <c r="D32" s="498" t="s">
        <v>2166</v>
      </c>
      <c r="E32" s="510">
        <v>0.0</v>
      </c>
      <c r="F32" s="499">
        <v>0.0</v>
      </c>
      <c r="G32" s="488">
        <f t="shared" si="16"/>
        <v>0</v>
      </c>
      <c r="H32" s="488">
        <f t="shared" si="17"/>
        <v>0</v>
      </c>
      <c r="I32" s="489">
        <f t="shared" si="18"/>
        <v>0</v>
      </c>
      <c r="J32" s="490"/>
      <c r="K32" s="491"/>
      <c r="L32" s="471"/>
      <c r="M32" s="491"/>
      <c r="N32" s="491"/>
      <c r="O32" s="491"/>
      <c r="P32" s="491">
        <v>0.0</v>
      </c>
      <c r="Q32" s="491">
        <v>0.0</v>
      </c>
      <c r="R32" s="491">
        <v>0.0</v>
      </c>
      <c r="S32" s="491">
        <v>0.0</v>
      </c>
      <c r="T32" s="491">
        <v>0.0</v>
      </c>
      <c r="U32" s="491">
        <v>214000.0</v>
      </c>
      <c r="V32" s="491">
        <v>200000.0</v>
      </c>
      <c r="W32" s="491">
        <v>0.0</v>
      </c>
      <c r="X32" s="491">
        <v>0.0</v>
      </c>
      <c r="Y32" s="491">
        <v>0.0</v>
      </c>
      <c r="Z32" s="491">
        <v>0.0</v>
      </c>
      <c r="AA32" s="484"/>
      <c r="AB32" s="471"/>
      <c r="AC32" s="471"/>
      <c r="AD32" s="471"/>
      <c r="AE32" s="471"/>
      <c r="AF32" s="471"/>
      <c r="AG32" s="471"/>
      <c r="AH32" s="471"/>
      <c r="AI32" s="471"/>
    </row>
    <row r="33">
      <c r="A33" s="471"/>
      <c r="B33" s="471"/>
      <c r="C33" s="471"/>
      <c r="D33" s="471"/>
      <c r="E33" s="471"/>
      <c r="F33" s="501"/>
      <c r="G33" s="471"/>
      <c r="H33" s="471"/>
      <c r="I33" s="471"/>
      <c r="J33" s="490"/>
      <c r="K33" s="491"/>
      <c r="L33" s="471"/>
      <c r="M33" s="471"/>
      <c r="N33" s="471"/>
      <c r="O33" s="471"/>
      <c r="P33" s="471"/>
      <c r="Q33" s="471"/>
      <c r="R33" s="471"/>
      <c r="S33" s="471"/>
      <c r="T33" s="471"/>
      <c r="U33" s="474"/>
      <c r="V33" s="474"/>
      <c r="W33" s="474"/>
      <c r="X33" s="474"/>
      <c r="Y33" s="474"/>
      <c r="Z33" s="474"/>
      <c r="AA33" s="474"/>
      <c r="AB33" s="471"/>
      <c r="AC33" s="471"/>
      <c r="AD33" s="471"/>
      <c r="AE33" s="471"/>
      <c r="AF33" s="471"/>
      <c r="AG33" s="471"/>
      <c r="AH33" s="471"/>
      <c r="AI33" s="471"/>
    </row>
    <row r="34">
      <c r="A34" s="471"/>
      <c r="B34" s="471"/>
      <c r="C34" s="471"/>
      <c r="D34" s="471"/>
      <c r="E34" s="471"/>
      <c r="F34" s="501"/>
      <c r="G34" s="471"/>
      <c r="H34" s="471"/>
      <c r="I34" s="471"/>
      <c r="J34" s="490"/>
      <c r="K34" s="491"/>
      <c r="L34" s="471"/>
      <c r="M34" s="471"/>
      <c r="N34" s="471"/>
      <c r="O34" s="471"/>
      <c r="P34" s="471"/>
      <c r="Q34" s="471"/>
      <c r="R34" s="471"/>
      <c r="S34" s="471"/>
      <c r="T34" s="471"/>
      <c r="U34" s="474"/>
      <c r="V34" s="474"/>
      <c r="W34" s="474"/>
      <c r="X34" s="474"/>
      <c r="Y34" s="474"/>
      <c r="Z34" s="474"/>
      <c r="AA34" s="474"/>
      <c r="AB34" s="474"/>
      <c r="AC34" s="471"/>
      <c r="AD34" s="471"/>
      <c r="AE34" s="471"/>
      <c r="AF34" s="471"/>
      <c r="AG34" s="471"/>
      <c r="AH34" s="471"/>
      <c r="AI34" s="471"/>
    </row>
    <row r="35" ht="22.5" customHeight="1">
      <c r="A35" s="511"/>
      <c r="B35" s="512" t="s">
        <v>2167</v>
      </c>
      <c r="C35" s="513" t="s">
        <v>2102</v>
      </c>
      <c r="D35" s="513" t="s">
        <v>2103</v>
      </c>
      <c r="E35" s="513" t="s">
        <v>12</v>
      </c>
      <c r="F35" s="514" t="s">
        <v>2168</v>
      </c>
      <c r="G35" s="513" t="s">
        <v>2169</v>
      </c>
      <c r="H35" s="513" t="s">
        <v>2170</v>
      </c>
      <c r="I35" s="471"/>
      <c r="J35" s="490"/>
      <c r="K35" s="491"/>
      <c r="L35" s="471"/>
      <c r="M35" s="471"/>
      <c r="N35" s="471"/>
      <c r="O35" s="471"/>
      <c r="P35" s="471"/>
      <c r="Q35" s="471"/>
      <c r="R35" s="471"/>
      <c r="S35" s="471"/>
      <c r="T35" s="471"/>
      <c r="U35" s="471"/>
      <c r="V35" s="471"/>
      <c r="W35" s="471"/>
      <c r="X35" s="471"/>
      <c r="Y35" s="471"/>
      <c r="Z35" s="471"/>
      <c r="AA35" s="471"/>
      <c r="AB35" s="471"/>
      <c r="AC35" s="471"/>
      <c r="AD35" s="471"/>
      <c r="AE35" s="471"/>
      <c r="AF35" s="471"/>
      <c r="AG35" s="471"/>
      <c r="AH35" s="471"/>
      <c r="AI35" s="471"/>
    </row>
    <row r="36" ht="22.5" hidden="1" customHeight="1">
      <c r="A36" s="229"/>
      <c r="B36" s="515" t="s">
        <v>2109</v>
      </c>
      <c r="C36" s="516" t="s">
        <v>2129</v>
      </c>
      <c r="D36" s="516" t="s">
        <v>2130</v>
      </c>
      <c r="E36" s="517">
        <v>45400.0</v>
      </c>
      <c r="F36" s="518">
        <v>15660.0</v>
      </c>
      <c r="G36" s="519" t="s">
        <v>2171</v>
      </c>
      <c r="H36" s="520" t="s">
        <v>2172</v>
      </c>
      <c r="I36" s="231"/>
      <c r="J36" s="521"/>
      <c r="K36" s="522"/>
      <c r="L36" s="231"/>
    </row>
    <row r="37" ht="22.5" hidden="1" customHeight="1">
      <c r="A37" s="229"/>
      <c r="B37" s="515" t="s">
        <v>2109</v>
      </c>
      <c r="C37" s="516" t="s">
        <v>2093</v>
      </c>
      <c r="D37" s="516" t="s">
        <v>124</v>
      </c>
      <c r="E37" s="517">
        <v>45400.0</v>
      </c>
      <c r="F37" s="518">
        <v>11745.0</v>
      </c>
      <c r="G37" s="519" t="s">
        <v>2171</v>
      </c>
      <c r="H37" s="520" t="s">
        <v>2173</v>
      </c>
      <c r="I37" s="231"/>
      <c r="J37" s="521"/>
      <c r="K37" s="522"/>
      <c r="L37" s="231"/>
    </row>
    <row r="38" ht="22.5" hidden="1" customHeight="1">
      <c r="A38" s="229"/>
      <c r="B38" s="515" t="s">
        <v>2109</v>
      </c>
      <c r="C38" s="516" t="s">
        <v>2093</v>
      </c>
      <c r="D38" s="516" t="s">
        <v>124</v>
      </c>
      <c r="E38" s="517">
        <v>45400.0</v>
      </c>
      <c r="F38" s="518">
        <v>10440.0</v>
      </c>
      <c r="G38" s="519" t="s">
        <v>2171</v>
      </c>
      <c r="H38" s="520" t="s">
        <v>2174</v>
      </c>
      <c r="I38" s="231"/>
      <c r="J38" s="521"/>
      <c r="K38" s="522"/>
      <c r="L38" s="231"/>
    </row>
    <row r="39" ht="22.5" hidden="1" customHeight="1">
      <c r="A39" s="229"/>
      <c r="B39" s="515" t="s">
        <v>2109</v>
      </c>
      <c r="C39" s="516" t="s">
        <v>2148</v>
      </c>
      <c r="D39" s="516" t="s">
        <v>2162</v>
      </c>
      <c r="E39" s="517">
        <v>45400.0</v>
      </c>
      <c r="F39" s="518">
        <v>22185.0</v>
      </c>
      <c r="G39" s="519" t="s">
        <v>2171</v>
      </c>
      <c r="H39" s="520" t="s">
        <v>2172</v>
      </c>
      <c r="I39" s="231"/>
      <c r="J39" s="521"/>
      <c r="K39" s="522"/>
      <c r="L39" s="231"/>
    </row>
    <row r="40" ht="22.5" hidden="1" customHeight="1">
      <c r="A40" s="229"/>
      <c r="B40" s="515" t="s">
        <v>2109</v>
      </c>
      <c r="C40" s="516" t="s">
        <v>2059</v>
      </c>
      <c r="D40" s="516" t="s">
        <v>2128</v>
      </c>
      <c r="E40" s="517">
        <v>45400.0</v>
      </c>
      <c r="F40" s="518">
        <v>26100.0</v>
      </c>
      <c r="G40" s="519" t="s">
        <v>2171</v>
      </c>
      <c r="H40" s="520" t="s">
        <v>2172</v>
      </c>
      <c r="I40" s="231"/>
      <c r="J40" s="521"/>
      <c r="K40" s="522"/>
      <c r="L40" s="231"/>
    </row>
    <row r="41" ht="22.5" hidden="1" customHeight="1">
      <c r="A41" s="229"/>
      <c r="B41" s="515" t="s">
        <v>2109</v>
      </c>
      <c r="C41" s="516" t="s">
        <v>2059</v>
      </c>
      <c r="D41" s="516" t="s">
        <v>2128</v>
      </c>
      <c r="E41" s="517">
        <v>45406.0</v>
      </c>
      <c r="F41" s="518">
        <v>50000.0</v>
      </c>
      <c r="G41" s="519" t="s">
        <v>2108</v>
      </c>
      <c r="H41" s="523"/>
      <c r="I41" s="231"/>
      <c r="J41" s="521"/>
      <c r="K41" s="522"/>
      <c r="L41" s="231"/>
    </row>
    <row r="42" ht="22.5" hidden="1" customHeight="1">
      <c r="A42" s="229"/>
      <c r="B42" s="515" t="s">
        <v>2109</v>
      </c>
      <c r="C42" s="516" t="s">
        <v>2094</v>
      </c>
      <c r="D42" s="516" t="s">
        <v>2161</v>
      </c>
      <c r="E42" s="517">
        <v>45406.0</v>
      </c>
      <c r="F42" s="518">
        <v>25000.0</v>
      </c>
      <c r="G42" s="519" t="s">
        <v>2108</v>
      </c>
      <c r="H42" s="523"/>
      <c r="I42" s="231"/>
      <c r="J42" s="521"/>
      <c r="K42" s="522"/>
      <c r="L42" s="231"/>
    </row>
    <row r="43" ht="22.5" hidden="1" customHeight="1">
      <c r="A43" s="229"/>
      <c r="B43" s="515" t="s">
        <v>2109</v>
      </c>
      <c r="C43" s="516" t="s">
        <v>2129</v>
      </c>
      <c r="D43" s="516" t="s">
        <v>2130</v>
      </c>
      <c r="E43" s="517">
        <v>45407.0</v>
      </c>
      <c r="F43" s="524">
        <v>20880.0</v>
      </c>
      <c r="G43" s="519" t="s">
        <v>2175</v>
      </c>
      <c r="H43" s="523"/>
      <c r="I43" s="231"/>
      <c r="J43" s="521"/>
      <c r="K43" s="522"/>
      <c r="L43" s="231"/>
    </row>
    <row r="44" ht="22.5" hidden="1" customHeight="1">
      <c r="A44" s="229"/>
      <c r="B44" s="515" t="s">
        <v>2109</v>
      </c>
      <c r="C44" s="516" t="s">
        <v>2093</v>
      </c>
      <c r="D44" s="516" t="s">
        <v>124</v>
      </c>
      <c r="E44" s="517">
        <v>45407.0</v>
      </c>
      <c r="F44" s="524">
        <v>13920.0</v>
      </c>
      <c r="G44" s="519" t="s">
        <v>2175</v>
      </c>
      <c r="H44" s="520" t="s">
        <v>2176</v>
      </c>
      <c r="I44" s="231"/>
      <c r="J44" s="521"/>
      <c r="K44" s="522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</row>
    <row r="45" ht="22.5" hidden="1" customHeight="1">
      <c r="A45" s="229"/>
      <c r="B45" s="515" t="s">
        <v>2109</v>
      </c>
      <c r="C45" s="516" t="s">
        <v>2093</v>
      </c>
      <c r="D45" s="516" t="s">
        <v>124</v>
      </c>
      <c r="E45" s="517">
        <v>45407.0</v>
      </c>
      <c r="F45" s="524">
        <v>15660.0</v>
      </c>
      <c r="G45" s="519" t="s">
        <v>2175</v>
      </c>
      <c r="H45" s="520" t="s">
        <v>2177</v>
      </c>
      <c r="I45" s="231"/>
      <c r="J45" s="521"/>
      <c r="K45" s="522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</row>
    <row r="46" ht="22.5" hidden="1" customHeight="1">
      <c r="A46" s="229"/>
      <c r="B46" s="515" t="s">
        <v>2109</v>
      </c>
      <c r="C46" s="516" t="s">
        <v>2148</v>
      </c>
      <c r="D46" s="516" t="s">
        <v>2162</v>
      </c>
      <c r="E46" s="517">
        <v>45407.0</v>
      </c>
      <c r="F46" s="524">
        <v>29580.0</v>
      </c>
      <c r="G46" s="519" t="s">
        <v>2175</v>
      </c>
      <c r="H46" s="523"/>
      <c r="I46" s="231"/>
      <c r="J46" s="521"/>
      <c r="K46" s="522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</row>
    <row r="47" ht="22.5" hidden="1" customHeight="1">
      <c r="A47" s="229"/>
      <c r="B47" s="515" t="s">
        <v>2109</v>
      </c>
      <c r="C47" s="516" t="s">
        <v>2059</v>
      </c>
      <c r="D47" s="516" t="s">
        <v>2128</v>
      </c>
      <c r="E47" s="517">
        <v>45407.0</v>
      </c>
      <c r="F47" s="524">
        <v>34800.0</v>
      </c>
      <c r="G47" s="519" t="s">
        <v>2175</v>
      </c>
      <c r="H47" s="523"/>
      <c r="I47" s="231"/>
      <c r="J47" s="521"/>
      <c r="K47" s="522"/>
      <c r="L47" s="231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  <c r="AH47" s="231"/>
      <c r="AI47" s="231"/>
    </row>
    <row r="48" ht="22.5" hidden="1" customHeight="1">
      <c r="A48" s="229"/>
      <c r="B48" s="515" t="s">
        <v>2109</v>
      </c>
      <c r="C48" s="516" t="s">
        <v>2059</v>
      </c>
      <c r="D48" s="516" t="s">
        <v>2128</v>
      </c>
      <c r="E48" s="517">
        <v>45408.0</v>
      </c>
      <c r="F48" s="518">
        <v>95000.0</v>
      </c>
      <c r="G48" s="519" t="s">
        <v>2108</v>
      </c>
      <c r="H48" s="520" t="s">
        <v>2178</v>
      </c>
      <c r="I48" s="231"/>
      <c r="J48" s="521"/>
      <c r="K48" s="522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</row>
    <row r="49" ht="22.5" hidden="1" customHeight="1">
      <c r="A49" s="229"/>
      <c r="B49" s="515" t="s">
        <v>2109</v>
      </c>
      <c r="C49" s="516" t="s">
        <v>2070</v>
      </c>
      <c r="D49" s="516" t="s">
        <v>2133</v>
      </c>
      <c r="E49" s="517">
        <v>45415.0</v>
      </c>
      <c r="F49" s="518">
        <v>35000.0</v>
      </c>
      <c r="G49" s="519" t="s">
        <v>2108</v>
      </c>
      <c r="H49" s="523"/>
      <c r="I49" s="525"/>
      <c r="J49" s="521"/>
      <c r="K49" s="522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</row>
    <row r="50" ht="22.5" hidden="1" customHeight="1">
      <c r="A50" s="229"/>
      <c r="B50" s="515" t="s">
        <v>2109</v>
      </c>
      <c r="C50" s="516" t="s">
        <v>2059</v>
      </c>
      <c r="D50" s="516" t="s">
        <v>2128</v>
      </c>
      <c r="E50" s="517">
        <v>45416.0</v>
      </c>
      <c r="F50" s="518">
        <v>28900.0</v>
      </c>
      <c r="G50" s="519" t="s">
        <v>2108</v>
      </c>
      <c r="H50" s="523"/>
      <c r="I50" s="231"/>
      <c r="J50" s="521"/>
      <c r="K50" s="522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</row>
    <row r="51" ht="22.5" hidden="1" customHeight="1">
      <c r="A51" s="229"/>
      <c r="B51" s="515" t="s">
        <v>2109</v>
      </c>
      <c r="C51" s="516" t="s">
        <v>2093</v>
      </c>
      <c r="D51" s="516" t="s">
        <v>124</v>
      </c>
      <c r="E51" s="517">
        <v>45416.0</v>
      </c>
      <c r="F51" s="518">
        <v>22815.0</v>
      </c>
      <c r="G51" s="519" t="s">
        <v>2108</v>
      </c>
      <c r="H51" s="523"/>
      <c r="I51" s="231"/>
      <c r="J51" s="521"/>
      <c r="K51" s="522"/>
      <c r="L51" s="231"/>
      <c r="M51" s="231"/>
      <c r="N51" s="231"/>
      <c r="O51" s="231"/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  <c r="AH51" s="231"/>
      <c r="AI51" s="231"/>
    </row>
    <row r="52" ht="22.5" hidden="1" customHeight="1">
      <c r="A52" s="229"/>
      <c r="B52" s="515" t="s">
        <v>2109</v>
      </c>
      <c r="C52" s="516" t="s">
        <v>2094</v>
      </c>
      <c r="D52" s="516" t="s">
        <v>2161</v>
      </c>
      <c r="E52" s="517">
        <v>45416.0</v>
      </c>
      <c r="F52" s="518">
        <v>25000.0</v>
      </c>
      <c r="G52" s="519" t="s">
        <v>2108</v>
      </c>
      <c r="H52" s="523"/>
      <c r="I52" s="231"/>
      <c r="J52" s="521"/>
      <c r="K52" s="522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</row>
    <row r="53" ht="22.5" hidden="1" customHeight="1">
      <c r="A53" s="229"/>
      <c r="B53" s="515" t="s">
        <v>2109</v>
      </c>
      <c r="C53" s="516" t="s">
        <v>2148</v>
      </c>
      <c r="D53" s="516" t="s">
        <v>2162</v>
      </c>
      <c r="E53" s="517">
        <v>45416.0</v>
      </c>
      <c r="F53" s="518">
        <v>62815.0</v>
      </c>
      <c r="G53" s="519" t="s">
        <v>2108</v>
      </c>
      <c r="H53" s="523"/>
      <c r="I53" s="231"/>
      <c r="J53" s="521"/>
      <c r="K53" s="522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</row>
    <row r="54" ht="22.5" hidden="1" customHeight="1">
      <c r="A54" s="229"/>
      <c r="B54" s="515" t="s">
        <v>2109</v>
      </c>
      <c r="C54" s="516" t="s">
        <v>2129</v>
      </c>
      <c r="D54" s="516" t="s">
        <v>2130</v>
      </c>
      <c r="E54" s="517">
        <v>45416.0</v>
      </c>
      <c r="F54" s="518">
        <v>44340.0</v>
      </c>
      <c r="G54" s="519" t="s">
        <v>2108</v>
      </c>
      <c r="H54" s="523"/>
      <c r="I54" s="231"/>
      <c r="J54" s="521"/>
      <c r="K54" s="522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</row>
    <row r="55" ht="22.5" hidden="1" customHeight="1">
      <c r="A55" s="229"/>
      <c r="B55" s="515" t="s">
        <v>2109</v>
      </c>
      <c r="C55" s="516" t="s">
        <v>2150</v>
      </c>
      <c r="D55" s="516" t="s">
        <v>2163</v>
      </c>
      <c r="E55" s="517">
        <v>45416.0</v>
      </c>
      <c r="F55" s="518">
        <v>70000.0</v>
      </c>
      <c r="G55" s="519" t="s">
        <v>2108</v>
      </c>
      <c r="H55" s="523"/>
      <c r="I55" s="231"/>
      <c r="J55" s="521"/>
      <c r="K55" s="522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</row>
    <row r="56" ht="22.5" hidden="1" customHeight="1">
      <c r="A56" s="229"/>
      <c r="B56" s="515" t="s">
        <v>2109</v>
      </c>
      <c r="C56" s="516" t="s">
        <v>2059</v>
      </c>
      <c r="D56" s="516" t="s">
        <v>2128</v>
      </c>
      <c r="E56" s="517">
        <v>45416.0</v>
      </c>
      <c r="F56" s="518">
        <v>13000.0</v>
      </c>
      <c r="G56" s="519" t="s">
        <v>2108</v>
      </c>
      <c r="H56" s="523"/>
      <c r="I56" s="231"/>
      <c r="J56" s="521"/>
      <c r="K56" s="522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</row>
    <row r="57" ht="22.5" hidden="1" customHeight="1">
      <c r="A57" s="229"/>
      <c r="B57" s="515" t="s">
        <v>2110</v>
      </c>
      <c r="C57" s="516" t="s">
        <v>2059</v>
      </c>
      <c r="D57" s="516" t="s">
        <v>2128</v>
      </c>
      <c r="E57" s="517">
        <v>45416.0</v>
      </c>
      <c r="F57" s="518">
        <v>22130.0</v>
      </c>
      <c r="G57" s="519" t="s">
        <v>2108</v>
      </c>
      <c r="H57" s="523"/>
      <c r="I57" s="231"/>
      <c r="J57" s="521"/>
      <c r="K57" s="522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</row>
    <row r="58" ht="22.5" hidden="1" customHeight="1">
      <c r="A58" s="229"/>
      <c r="B58" s="515" t="s">
        <v>2109</v>
      </c>
      <c r="C58" s="516" t="s">
        <v>2059</v>
      </c>
      <c r="D58" s="516" t="s">
        <v>2128</v>
      </c>
      <c r="E58" s="517">
        <v>45420.0</v>
      </c>
      <c r="F58" s="518">
        <v>52200.0</v>
      </c>
      <c r="G58" s="519" t="s">
        <v>2171</v>
      </c>
      <c r="H58" s="523"/>
      <c r="I58" s="231"/>
      <c r="J58" s="521"/>
      <c r="K58" s="522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</row>
    <row r="59" ht="22.5" hidden="1" customHeight="1">
      <c r="A59" s="229"/>
      <c r="B59" s="515" t="s">
        <v>2109</v>
      </c>
      <c r="C59" s="516" t="s">
        <v>2148</v>
      </c>
      <c r="D59" s="516" t="s">
        <v>2162</v>
      </c>
      <c r="E59" s="517">
        <v>45420.0</v>
      </c>
      <c r="F59" s="518">
        <v>44370.0</v>
      </c>
      <c r="G59" s="519" t="s">
        <v>2171</v>
      </c>
      <c r="H59" s="523"/>
      <c r="I59" s="231"/>
      <c r="J59" s="521"/>
      <c r="K59" s="522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</row>
    <row r="60" ht="22.5" hidden="1" customHeight="1">
      <c r="A60" s="229"/>
      <c r="B60" s="515" t="s">
        <v>2109</v>
      </c>
      <c r="C60" s="516" t="s">
        <v>2093</v>
      </c>
      <c r="D60" s="516" t="s">
        <v>124</v>
      </c>
      <c r="E60" s="517">
        <v>45420.0</v>
      </c>
      <c r="F60" s="518">
        <v>23490.0</v>
      </c>
      <c r="G60" s="519" t="s">
        <v>2171</v>
      </c>
      <c r="H60" s="520" t="s">
        <v>2176</v>
      </c>
      <c r="I60" s="231"/>
      <c r="J60" s="521"/>
      <c r="K60" s="522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</row>
    <row r="61" ht="22.5" hidden="1" customHeight="1">
      <c r="A61" s="231"/>
      <c r="B61" s="515" t="s">
        <v>2109</v>
      </c>
      <c r="C61" s="516" t="s">
        <v>2129</v>
      </c>
      <c r="D61" s="516" t="s">
        <v>2130</v>
      </c>
      <c r="E61" s="517">
        <v>45420.0</v>
      </c>
      <c r="F61" s="518">
        <v>31320.0</v>
      </c>
      <c r="G61" s="519" t="s">
        <v>2171</v>
      </c>
      <c r="H61" s="523"/>
      <c r="I61" s="231"/>
      <c r="J61" s="521"/>
      <c r="K61" s="522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1"/>
      <c r="AB61" s="231"/>
      <c r="AC61" s="231"/>
      <c r="AD61" s="231"/>
      <c r="AE61" s="231"/>
      <c r="AF61" s="231"/>
      <c r="AG61" s="231"/>
      <c r="AH61" s="231"/>
      <c r="AI61" s="231"/>
    </row>
    <row r="62" ht="22.5" hidden="1" customHeight="1">
      <c r="A62" s="231"/>
      <c r="B62" s="515" t="s">
        <v>2109</v>
      </c>
      <c r="C62" s="516" t="s">
        <v>2093</v>
      </c>
      <c r="D62" s="516" t="s">
        <v>124</v>
      </c>
      <c r="E62" s="517">
        <v>45420.0</v>
      </c>
      <c r="F62" s="518">
        <v>20880.0</v>
      </c>
      <c r="G62" s="519" t="s">
        <v>2171</v>
      </c>
      <c r="H62" s="520" t="s">
        <v>2177</v>
      </c>
      <c r="I62" s="231"/>
      <c r="J62" s="521"/>
      <c r="K62" s="522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</row>
    <row r="63" ht="22.5" hidden="1" customHeight="1">
      <c r="A63" s="231"/>
      <c r="B63" s="515" t="s">
        <v>2110</v>
      </c>
      <c r="C63" s="516" t="s">
        <v>2059</v>
      </c>
      <c r="D63" s="516" t="s">
        <v>2128</v>
      </c>
      <c r="E63" s="517">
        <v>45429.0</v>
      </c>
      <c r="F63" s="518">
        <v>20000.0</v>
      </c>
      <c r="G63" s="519" t="s">
        <v>2108</v>
      </c>
      <c r="H63" s="523"/>
      <c r="I63" s="231"/>
      <c r="J63" s="521"/>
      <c r="K63" s="522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31"/>
      <c r="AB63" s="231"/>
      <c r="AC63" s="231"/>
      <c r="AD63" s="231"/>
      <c r="AE63" s="231"/>
      <c r="AF63" s="231"/>
      <c r="AG63" s="231"/>
      <c r="AH63" s="231"/>
      <c r="AI63" s="231"/>
    </row>
    <row r="64" ht="22.5" hidden="1" customHeight="1">
      <c r="A64" s="231"/>
      <c r="B64" s="515" t="s">
        <v>2110</v>
      </c>
      <c r="C64" s="516" t="s">
        <v>2094</v>
      </c>
      <c r="D64" s="516" t="s">
        <v>2131</v>
      </c>
      <c r="E64" s="517">
        <v>45429.0</v>
      </c>
      <c r="F64" s="518">
        <v>25000.0</v>
      </c>
      <c r="G64" s="519" t="s">
        <v>2108</v>
      </c>
      <c r="H64" s="523"/>
      <c r="I64" s="231"/>
      <c r="J64" s="521"/>
      <c r="K64" s="522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</row>
    <row r="65" ht="22.5" hidden="1" customHeight="1">
      <c r="A65" s="231"/>
      <c r="B65" s="515" t="s">
        <v>2110</v>
      </c>
      <c r="C65" s="516" t="s">
        <v>2059</v>
      </c>
      <c r="D65" s="516" t="s">
        <v>2128</v>
      </c>
      <c r="E65" s="517">
        <v>45432.0</v>
      </c>
      <c r="F65" s="518">
        <v>30000.0</v>
      </c>
      <c r="G65" s="519" t="s">
        <v>2108</v>
      </c>
      <c r="H65" s="523"/>
      <c r="I65" s="231"/>
      <c r="J65" s="521"/>
      <c r="K65" s="522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231"/>
      <c r="AB65" s="231"/>
      <c r="AC65" s="231"/>
      <c r="AD65" s="231"/>
      <c r="AE65" s="231"/>
      <c r="AF65" s="231"/>
      <c r="AG65" s="231"/>
      <c r="AH65" s="231"/>
      <c r="AI65" s="231"/>
    </row>
    <row r="66" ht="22.5" hidden="1" customHeight="1">
      <c r="A66" s="231"/>
      <c r="B66" s="515" t="s">
        <v>2110</v>
      </c>
      <c r="C66" s="516" t="s">
        <v>2148</v>
      </c>
      <c r="D66" s="516" t="s">
        <v>2162</v>
      </c>
      <c r="E66" s="517">
        <v>45436.0</v>
      </c>
      <c r="F66" s="524">
        <f>39120-5086</f>
        <v>34034</v>
      </c>
      <c r="G66" s="519" t="s">
        <v>2175</v>
      </c>
      <c r="H66" s="523"/>
      <c r="I66" s="522">
        <f>F26-F66</f>
        <v>-34034</v>
      </c>
      <c r="J66" s="521"/>
      <c r="K66" s="522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</row>
    <row r="67" ht="22.5" hidden="1" customHeight="1">
      <c r="A67" s="231"/>
      <c r="B67" s="515" t="s">
        <v>2110</v>
      </c>
      <c r="C67" s="516" t="s">
        <v>2059</v>
      </c>
      <c r="D67" s="516" t="s">
        <v>2128</v>
      </c>
      <c r="E67" s="517">
        <v>45436.0</v>
      </c>
      <c r="F67" s="524">
        <f>69000-8970</f>
        <v>60030</v>
      </c>
      <c r="G67" s="519" t="s">
        <v>2175</v>
      </c>
      <c r="H67" s="523"/>
      <c r="I67" s="231" t="str">
        <f>F2-F67</f>
        <v>#VALUE!</v>
      </c>
      <c r="J67" s="521"/>
      <c r="K67" s="522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</row>
    <row r="68" ht="22.5" hidden="1" customHeight="1">
      <c r="A68" s="231"/>
      <c r="B68" s="515" t="s">
        <v>2110</v>
      </c>
      <c r="C68" s="516" t="s">
        <v>2093</v>
      </c>
      <c r="D68" s="516" t="s">
        <v>124</v>
      </c>
      <c r="E68" s="517">
        <v>45436.0</v>
      </c>
      <c r="F68" s="524">
        <f>23000-2990</f>
        <v>20010</v>
      </c>
      <c r="G68" s="519" t="s">
        <v>2175</v>
      </c>
      <c r="H68" s="520" t="s">
        <v>2176</v>
      </c>
      <c r="I68" s="526">
        <f>F3-F68-F71</f>
        <v>263982</v>
      </c>
      <c r="J68" s="521"/>
      <c r="K68" s="522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</row>
    <row r="69" ht="22.5" hidden="1" customHeight="1">
      <c r="A69" s="231"/>
      <c r="B69" s="515" t="s">
        <v>2110</v>
      </c>
      <c r="C69" s="516" t="s">
        <v>2094</v>
      </c>
      <c r="D69" s="516" t="s">
        <v>2131</v>
      </c>
      <c r="E69" s="517">
        <v>45436.0</v>
      </c>
      <c r="F69" s="524">
        <f t="shared" ref="F69:F70" si="19">27600-3588</f>
        <v>24012</v>
      </c>
      <c r="G69" s="519" t="s">
        <v>2175</v>
      </c>
      <c r="H69" s="523"/>
      <c r="I69" s="526">
        <f>F5-F69</f>
        <v>115988</v>
      </c>
      <c r="J69" s="521"/>
      <c r="K69" s="522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</row>
    <row r="70" ht="22.5" hidden="1" customHeight="1">
      <c r="A70" s="231"/>
      <c r="B70" s="515" t="s">
        <v>2110</v>
      </c>
      <c r="C70" s="516" t="s">
        <v>2129</v>
      </c>
      <c r="D70" s="516" t="s">
        <v>2130</v>
      </c>
      <c r="E70" s="517">
        <v>45436.0</v>
      </c>
      <c r="F70" s="524">
        <f t="shared" si="19"/>
        <v>24012</v>
      </c>
      <c r="G70" s="519" t="s">
        <v>2175</v>
      </c>
      <c r="H70" s="523"/>
      <c r="I70" s="522">
        <f>F29-F70</f>
        <v>-24012</v>
      </c>
      <c r="J70" s="521"/>
      <c r="K70" s="522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</row>
    <row r="71" ht="22.5" hidden="1" customHeight="1">
      <c r="A71" s="231"/>
      <c r="B71" s="515" t="s">
        <v>2110</v>
      </c>
      <c r="C71" s="516" t="s">
        <v>2093</v>
      </c>
      <c r="D71" s="516" t="s">
        <v>124</v>
      </c>
      <c r="E71" s="517">
        <v>45436.0</v>
      </c>
      <c r="F71" s="524">
        <f>18400-2392</f>
        <v>16008</v>
      </c>
      <c r="G71" s="519" t="s">
        <v>2175</v>
      </c>
      <c r="H71" s="520" t="s">
        <v>2177</v>
      </c>
      <c r="I71" s="231"/>
      <c r="J71" s="521"/>
      <c r="K71" s="522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</row>
    <row r="72" ht="22.5" hidden="1" customHeight="1">
      <c r="A72" s="231"/>
      <c r="B72" s="515" t="s">
        <v>2110</v>
      </c>
      <c r="C72" s="516" t="s">
        <v>2059</v>
      </c>
      <c r="D72" s="516" t="s">
        <v>2128</v>
      </c>
      <c r="E72" s="517">
        <v>45439.0</v>
      </c>
      <c r="F72" s="518">
        <v>30000.0</v>
      </c>
      <c r="G72" s="519" t="s">
        <v>2108</v>
      </c>
      <c r="H72" s="523"/>
      <c r="I72" s="231"/>
      <c r="J72" s="521"/>
      <c r="K72" s="522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</row>
    <row r="73" ht="22.5" hidden="1" customHeight="1">
      <c r="A73" s="231"/>
      <c r="B73" s="515" t="s">
        <v>2110</v>
      </c>
      <c r="C73" s="516" t="s">
        <v>2059</v>
      </c>
      <c r="D73" s="516" t="s">
        <v>2128</v>
      </c>
      <c r="E73" s="517">
        <v>45443.0</v>
      </c>
      <c r="F73" s="524">
        <v>47870.0</v>
      </c>
      <c r="G73" s="519" t="s">
        <v>2108</v>
      </c>
      <c r="H73" s="523"/>
      <c r="I73" s="231"/>
      <c r="J73" s="521"/>
      <c r="K73" s="522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</row>
    <row r="74" ht="22.5" hidden="1" customHeight="1">
      <c r="A74" s="231"/>
      <c r="B74" s="515" t="s">
        <v>2110</v>
      </c>
      <c r="C74" s="516" t="s">
        <v>2093</v>
      </c>
      <c r="D74" s="516" t="s">
        <v>124</v>
      </c>
      <c r="E74" s="517">
        <v>45443.0</v>
      </c>
      <c r="F74" s="524">
        <v>45000.0</v>
      </c>
      <c r="G74" s="519" t="s">
        <v>2108</v>
      </c>
      <c r="H74" s="523"/>
      <c r="I74" s="231"/>
      <c r="J74" s="521"/>
      <c r="K74" s="522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</row>
    <row r="75" ht="22.5" hidden="1" customHeight="1">
      <c r="A75" s="231"/>
      <c r="B75" s="515" t="s">
        <v>2110</v>
      </c>
      <c r="C75" s="516" t="s">
        <v>2094</v>
      </c>
      <c r="D75" s="516" t="s">
        <v>2161</v>
      </c>
      <c r="E75" s="517">
        <v>45443.0</v>
      </c>
      <c r="F75" s="518">
        <v>50000.0</v>
      </c>
      <c r="G75" s="519" t="s">
        <v>2108</v>
      </c>
      <c r="H75" s="523"/>
      <c r="I75" s="231"/>
      <c r="J75" s="521"/>
      <c r="K75" s="522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</row>
    <row r="76" ht="22.5" hidden="1" customHeight="1">
      <c r="A76" s="231"/>
      <c r="B76" s="515" t="s">
        <v>2110</v>
      </c>
      <c r="C76" s="516" t="s">
        <v>2094</v>
      </c>
      <c r="D76" s="516" t="s">
        <v>2162</v>
      </c>
      <c r="E76" s="517">
        <v>45443.0</v>
      </c>
      <c r="F76" s="524">
        <v>85000.0</v>
      </c>
      <c r="G76" s="519" t="s">
        <v>2108</v>
      </c>
      <c r="H76" s="523"/>
      <c r="I76" s="231"/>
      <c r="J76" s="521"/>
      <c r="K76" s="522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</row>
    <row r="77" ht="22.5" hidden="1" customHeight="1">
      <c r="A77" s="231"/>
      <c r="B77" s="515" t="s">
        <v>2110</v>
      </c>
      <c r="C77" s="516" t="s">
        <v>2150</v>
      </c>
      <c r="D77" s="516" t="s">
        <v>2163</v>
      </c>
      <c r="E77" s="517">
        <v>45443.0</v>
      </c>
      <c r="F77" s="518">
        <v>70000.0</v>
      </c>
      <c r="G77" s="519" t="s">
        <v>2108</v>
      </c>
      <c r="H77" s="523"/>
      <c r="I77" s="231"/>
      <c r="J77" s="521"/>
      <c r="K77" s="522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</row>
    <row r="78" ht="22.5" hidden="1" customHeight="1">
      <c r="A78" s="231"/>
      <c r="B78" s="515" t="s">
        <v>2110</v>
      </c>
      <c r="C78" s="516" t="s">
        <v>2129</v>
      </c>
      <c r="D78" s="516" t="s">
        <v>2130</v>
      </c>
      <c r="E78" s="517">
        <v>45443.0</v>
      </c>
      <c r="F78" s="524">
        <v>60000.0</v>
      </c>
      <c r="G78" s="519" t="s">
        <v>2108</v>
      </c>
      <c r="H78" s="523"/>
      <c r="I78" s="231"/>
      <c r="J78" s="521"/>
      <c r="K78" s="522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</row>
    <row r="79" ht="22.5" hidden="1" customHeight="1">
      <c r="A79" s="231"/>
      <c r="B79" s="515" t="s">
        <v>2110</v>
      </c>
      <c r="C79" s="516" t="s">
        <v>2094</v>
      </c>
      <c r="D79" s="516" t="s">
        <v>2131</v>
      </c>
      <c r="E79" s="517">
        <v>45443.0</v>
      </c>
      <c r="F79" s="524">
        <v>15000.0</v>
      </c>
      <c r="G79" s="519" t="s">
        <v>2108</v>
      </c>
      <c r="H79" s="523"/>
      <c r="I79" s="231"/>
      <c r="J79" s="521"/>
      <c r="K79" s="522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</row>
    <row r="80" ht="22.5" hidden="1" customHeight="1">
      <c r="A80" s="231"/>
      <c r="B80" s="515" t="s">
        <v>2110</v>
      </c>
      <c r="C80" s="516" t="s">
        <v>2070</v>
      </c>
      <c r="D80" s="516" t="s">
        <v>2133</v>
      </c>
      <c r="E80" s="517">
        <v>45443.0</v>
      </c>
      <c r="F80" s="518">
        <v>35000.0</v>
      </c>
      <c r="G80" s="519" t="s">
        <v>2108</v>
      </c>
      <c r="H80" s="523"/>
      <c r="I80" s="231"/>
      <c r="J80" s="521"/>
      <c r="K80" s="522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</row>
    <row r="81" ht="22.5" hidden="1" customHeight="1">
      <c r="A81" s="231"/>
      <c r="B81" s="515" t="s">
        <v>2110</v>
      </c>
      <c r="C81" s="516" t="s">
        <v>2148</v>
      </c>
      <c r="D81" s="516" t="s">
        <v>2162</v>
      </c>
      <c r="E81" s="517">
        <v>45453.0</v>
      </c>
      <c r="F81" s="518">
        <v>51052.0</v>
      </c>
      <c r="G81" s="519" t="s">
        <v>2171</v>
      </c>
      <c r="H81" s="523"/>
      <c r="I81" s="231"/>
      <c r="J81" s="521"/>
      <c r="K81" s="522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</row>
    <row r="82" ht="22.5" hidden="1" customHeight="1">
      <c r="A82" s="231"/>
      <c r="B82" s="515" t="s">
        <v>2110</v>
      </c>
      <c r="C82" s="516" t="s">
        <v>2059</v>
      </c>
      <c r="D82" s="516" t="s">
        <v>2128</v>
      </c>
      <c r="E82" s="517">
        <v>45453.0</v>
      </c>
      <c r="F82" s="518">
        <v>90045.0</v>
      </c>
      <c r="G82" s="519" t="s">
        <v>2171</v>
      </c>
      <c r="H82" s="523"/>
      <c r="I82" s="231"/>
      <c r="J82" s="521"/>
      <c r="K82" s="522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</row>
    <row r="83" ht="22.5" hidden="1" customHeight="1">
      <c r="A83" s="231"/>
      <c r="B83" s="515" t="s">
        <v>2110</v>
      </c>
      <c r="C83" s="516" t="s">
        <v>2093</v>
      </c>
      <c r="D83" s="516" t="s">
        <v>124</v>
      </c>
      <c r="E83" s="517">
        <v>45453.0</v>
      </c>
      <c r="F83" s="518">
        <v>25506.0</v>
      </c>
      <c r="G83" s="519" t="s">
        <v>2171</v>
      </c>
      <c r="H83" s="520" t="s">
        <v>2176</v>
      </c>
      <c r="I83" s="231"/>
      <c r="J83" s="521"/>
      <c r="K83" s="522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</row>
    <row r="84" ht="22.5" hidden="1" customHeight="1">
      <c r="A84" s="231"/>
      <c r="B84" s="515" t="s">
        <v>2110</v>
      </c>
      <c r="C84" s="516" t="s">
        <v>2094</v>
      </c>
      <c r="D84" s="516" t="s">
        <v>2131</v>
      </c>
      <c r="E84" s="517">
        <v>45453.0</v>
      </c>
      <c r="F84" s="518">
        <v>36018.0</v>
      </c>
      <c r="G84" s="519" t="s">
        <v>2171</v>
      </c>
      <c r="H84" s="523"/>
      <c r="I84" s="231"/>
      <c r="J84" s="521"/>
      <c r="K84" s="522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</row>
    <row r="85" ht="22.5" hidden="1" customHeight="1">
      <c r="A85" s="231"/>
      <c r="B85" s="515" t="s">
        <v>2110</v>
      </c>
      <c r="C85" s="516" t="s">
        <v>2129</v>
      </c>
      <c r="D85" s="516" t="s">
        <v>2130</v>
      </c>
      <c r="E85" s="517">
        <v>45453.0</v>
      </c>
      <c r="F85" s="518">
        <v>36018.0</v>
      </c>
      <c r="G85" s="519" t="s">
        <v>2171</v>
      </c>
      <c r="H85" s="523"/>
      <c r="I85" s="231"/>
      <c r="J85" s="521"/>
      <c r="K85" s="522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</row>
    <row r="86" ht="22.5" hidden="1" customHeight="1">
      <c r="A86" s="231"/>
      <c r="B86" s="515" t="s">
        <v>2110</v>
      </c>
      <c r="C86" s="516" t="s">
        <v>2093</v>
      </c>
      <c r="D86" s="516" t="s">
        <v>124</v>
      </c>
      <c r="E86" s="517">
        <v>45453.0</v>
      </c>
      <c r="F86" s="518">
        <v>24012.0</v>
      </c>
      <c r="G86" s="519" t="s">
        <v>2171</v>
      </c>
      <c r="H86" s="520" t="s">
        <v>2177</v>
      </c>
      <c r="I86" s="231"/>
      <c r="J86" s="521"/>
      <c r="K86" s="522"/>
      <c r="L86" s="231"/>
      <c r="M86" s="231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</row>
    <row r="87" ht="22.5" hidden="1" customHeight="1">
      <c r="A87" s="231"/>
      <c r="B87" s="515" t="s">
        <v>2111</v>
      </c>
      <c r="C87" s="516" t="s">
        <v>2148</v>
      </c>
      <c r="D87" s="516" t="s">
        <v>2162</v>
      </c>
      <c r="E87" s="517">
        <v>45456.0</v>
      </c>
      <c r="F87" s="518">
        <v>6766.0</v>
      </c>
      <c r="G87" s="519" t="s">
        <v>2175</v>
      </c>
      <c r="H87" s="523"/>
      <c r="I87" s="231"/>
      <c r="J87" s="521"/>
      <c r="K87" s="522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  <c r="AA87" s="231"/>
      <c r="AB87" s="231"/>
      <c r="AC87" s="231"/>
      <c r="AD87" s="231"/>
      <c r="AE87" s="231"/>
      <c r="AF87" s="231"/>
      <c r="AG87" s="231"/>
      <c r="AH87" s="231"/>
      <c r="AI87" s="231"/>
    </row>
    <row r="88" ht="22.5" hidden="1" customHeight="1">
      <c r="A88" s="231"/>
      <c r="B88" s="515" t="s">
        <v>2111</v>
      </c>
      <c r="C88" s="516" t="s">
        <v>2094</v>
      </c>
      <c r="D88" s="516" t="s">
        <v>2161</v>
      </c>
      <c r="E88" s="517">
        <v>45461.0</v>
      </c>
      <c r="F88" s="518">
        <v>25000.0</v>
      </c>
      <c r="G88" s="519" t="s">
        <v>2108</v>
      </c>
      <c r="H88" s="523"/>
      <c r="I88" s="231"/>
      <c r="J88" s="521"/>
      <c r="K88" s="522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  <c r="AG88" s="231"/>
      <c r="AH88" s="231"/>
      <c r="AI88" s="231"/>
    </row>
    <row r="89" ht="22.5" hidden="1" customHeight="1">
      <c r="A89" s="231"/>
      <c r="B89" s="515" t="s">
        <v>2111</v>
      </c>
      <c r="C89" s="516" t="s">
        <v>2059</v>
      </c>
      <c r="D89" s="516" t="s">
        <v>2128</v>
      </c>
      <c r="E89" s="517">
        <v>45467.0</v>
      </c>
      <c r="F89" s="518">
        <v>71088.0</v>
      </c>
      <c r="G89" s="519" t="s">
        <v>2175</v>
      </c>
      <c r="H89" s="523"/>
      <c r="I89" s="231"/>
      <c r="J89" s="521"/>
      <c r="K89" s="522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</row>
    <row r="90" ht="22.5" hidden="1" customHeight="1">
      <c r="A90" s="231"/>
      <c r="B90" s="515" t="s">
        <v>2111</v>
      </c>
      <c r="C90" s="516" t="s">
        <v>2071</v>
      </c>
      <c r="D90" s="516" t="s">
        <v>2134</v>
      </c>
      <c r="E90" s="517">
        <v>45467.0</v>
      </c>
      <c r="F90" s="518">
        <v>21347.0</v>
      </c>
      <c r="G90" s="519" t="s">
        <v>2175</v>
      </c>
      <c r="H90" s="523"/>
      <c r="I90" s="231"/>
      <c r="J90" s="521"/>
      <c r="K90" s="522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</row>
    <row r="91" ht="22.5" hidden="1" customHeight="1">
      <c r="A91" s="231"/>
      <c r="B91" s="515" t="s">
        <v>2111</v>
      </c>
      <c r="C91" s="516" t="s">
        <v>2094</v>
      </c>
      <c r="D91" s="516" t="s">
        <v>2131</v>
      </c>
      <c r="E91" s="517">
        <v>45467.0</v>
      </c>
      <c r="F91" s="518">
        <v>28435.0</v>
      </c>
      <c r="G91" s="519" t="s">
        <v>2175</v>
      </c>
      <c r="H91" s="523"/>
      <c r="I91" s="231"/>
      <c r="J91" s="521"/>
      <c r="K91" s="522"/>
      <c r="L91" s="231"/>
      <c r="M91" s="231"/>
      <c r="N91" s="231"/>
      <c r="O91" s="231"/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  <c r="AA91" s="231"/>
      <c r="AB91" s="231"/>
      <c r="AC91" s="231"/>
      <c r="AD91" s="231"/>
      <c r="AE91" s="231"/>
      <c r="AF91" s="231"/>
      <c r="AG91" s="231"/>
      <c r="AH91" s="231"/>
      <c r="AI91" s="231"/>
    </row>
    <row r="92" ht="22.5" hidden="1" customHeight="1">
      <c r="A92" s="231"/>
      <c r="B92" s="527" t="s">
        <v>2111</v>
      </c>
      <c r="C92" s="516" t="s">
        <v>2129</v>
      </c>
      <c r="D92" s="516" t="s">
        <v>2130</v>
      </c>
      <c r="E92" s="517">
        <v>45467.0</v>
      </c>
      <c r="F92" s="518">
        <v>28435.0</v>
      </c>
      <c r="G92" s="519" t="s">
        <v>2175</v>
      </c>
      <c r="H92" s="523"/>
      <c r="I92" s="231"/>
      <c r="J92" s="521"/>
      <c r="K92" s="522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  <c r="AA92" s="231"/>
      <c r="AB92" s="231"/>
      <c r="AC92" s="231"/>
      <c r="AD92" s="231"/>
      <c r="AE92" s="231"/>
      <c r="AF92" s="231"/>
      <c r="AG92" s="231"/>
      <c r="AH92" s="231"/>
      <c r="AI92" s="231"/>
    </row>
    <row r="93" ht="22.5" hidden="1" customHeight="1">
      <c r="A93" s="231"/>
      <c r="B93" s="528" t="s">
        <v>2111</v>
      </c>
      <c r="C93" s="516" t="s">
        <v>2093</v>
      </c>
      <c r="D93" s="516" t="s">
        <v>124</v>
      </c>
      <c r="E93" s="517">
        <v>45467.0</v>
      </c>
      <c r="F93" s="518">
        <v>18956.0</v>
      </c>
      <c r="G93" s="519" t="s">
        <v>2175</v>
      </c>
      <c r="H93" s="520" t="s">
        <v>2177</v>
      </c>
      <c r="I93" s="231"/>
      <c r="J93" s="521"/>
      <c r="K93" s="522"/>
      <c r="L93" s="231"/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  <c r="AA93" s="231"/>
      <c r="AB93" s="231"/>
      <c r="AC93" s="231"/>
      <c r="AD93" s="231"/>
      <c r="AE93" s="231"/>
      <c r="AF93" s="231"/>
      <c r="AG93" s="231"/>
      <c r="AH93" s="231"/>
      <c r="AI93" s="231"/>
    </row>
    <row r="94" ht="22.5" hidden="1" customHeight="1">
      <c r="A94" s="231"/>
      <c r="B94" s="527" t="s">
        <v>2111</v>
      </c>
      <c r="C94" s="516" t="s">
        <v>2093</v>
      </c>
      <c r="D94" s="516" t="s">
        <v>124</v>
      </c>
      <c r="E94" s="517">
        <v>45469.0</v>
      </c>
      <c r="F94" s="518">
        <v>16073.0</v>
      </c>
      <c r="G94" s="519" t="s">
        <v>2175</v>
      </c>
      <c r="H94" s="520" t="s">
        <v>2177</v>
      </c>
      <c r="I94" s="231"/>
      <c r="J94" s="521"/>
      <c r="K94" s="522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</row>
    <row r="95" ht="22.5" hidden="1" customHeight="1">
      <c r="A95" s="231"/>
      <c r="B95" s="527" t="s">
        <v>2111</v>
      </c>
      <c r="C95" s="516" t="s">
        <v>2094</v>
      </c>
      <c r="D95" s="516" t="s">
        <v>2161</v>
      </c>
      <c r="E95" s="517">
        <v>45471.0</v>
      </c>
      <c r="F95" s="518">
        <v>17105.0</v>
      </c>
      <c r="G95" s="519" t="s">
        <v>2108</v>
      </c>
      <c r="H95" s="523"/>
      <c r="I95" s="231"/>
      <c r="J95" s="521"/>
      <c r="K95" s="522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</row>
    <row r="96" ht="22.5" hidden="1" customHeight="1">
      <c r="A96" s="231"/>
      <c r="B96" s="527" t="s">
        <v>2111</v>
      </c>
      <c r="C96" s="516" t="s">
        <v>2059</v>
      </c>
      <c r="D96" s="516" t="s">
        <v>2128</v>
      </c>
      <c r="E96" s="517">
        <v>45476.0</v>
      </c>
      <c r="F96" s="524">
        <v>150000.0</v>
      </c>
      <c r="G96" s="519" t="s">
        <v>2108</v>
      </c>
      <c r="H96" s="523"/>
      <c r="I96" s="231"/>
      <c r="J96" s="521"/>
      <c r="K96" s="229"/>
      <c r="L96" s="227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</row>
    <row r="97" ht="22.5" hidden="1" customHeight="1">
      <c r="A97" s="231"/>
      <c r="B97" s="527" t="s">
        <v>2111</v>
      </c>
      <c r="C97" s="516" t="s">
        <v>2093</v>
      </c>
      <c r="D97" s="516" t="s">
        <v>124</v>
      </c>
      <c r="E97" s="517">
        <v>45476.0</v>
      </c>
      <c r="F97" s="524">
        <v>56050.0</v>
      </c>
      <c r="G97" s="519" t="s">
        <v>2108</v>
      </c>
      <c r="H97" s="523"/>
      <c r="I97" s="231"/>
      <c r="J97" s="521"/>
      <c r="K97" s="229"/>
      <c r="L97" s="227"/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</row>
    <row r="98" ht="22.5" hidden="1" customHeight="1">
      <c r="A98" s="231"/>
      <c r="B98" s="527" t="s">
        <v>2111</v>
      </c>
      <c r="C98" s="516" t="s">
        <v>2148</v>
      </c>
      <c r="D98" s="516" t="s">
        <v>2162</v>
      </c>
      <c r="E98" s="517">
        <v>45476.0</v>
      </c>
      <c r="F98" s="524">
        <v>93234.0</v>
      </c>
      <c r="G98" s="519" t="s">
        <v>2108</v>
      </c>
      <c r="H98" s="523"/>
      <c r="I98" s="231"/>
      <c r="J98" s="521"/>
      <c r="K98" s="529"/>
      <c r="L98" s="227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</row>
    <row r="99" ht="22.5" hidden="1" customHeight="1">
      <c r="A99" s="231"/>
      <c r="B99" s="528" t="s">
        <v>2111</v>
      </c>
      <c r="C99" s="516" t="s">
        <v>2150</v>
      </c>
      <c r="D99" s="516" t="s">
        <v>2163</v>
      </c>
      <c r="E99" s="517">
        <v>45476.0</v>
      </c>
      <c r="F99" s="524">
        <v>70000.0</v>
      </c>
      <c r="G99" s="519" t="s">
        <v>2108</v>
      </c>
      <c r="H99" s="523"/>
      <c r="I99" s="231"/>
      <c r="J99" s="521"/>
      <c r="K99" s="229"/>
      <c r="L99" s="227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</row>
    <row r="100" ht="22.5" hidden="1" customHeight="1">
      <c r="A100" s="231"/>
      <c r="B100" s="528" t="s">
        <v>2111</v>
      </c>
      <c r="C100" s="516" t="s">
        <v>2129</v>
      </c>
      <c r="D100" s="516" t="s">
        <v>2130</v>
      </c>
      <c r="E100" s="517">
        <v>45476.0</v>
      </c>
      <c r="F100" s="524">
        <v>60000.0</v>
      </c>
      <c r="G100" s="519" t="s">
        <v>2108</v>
      </c>
      <c r="H100" s="523"/>
      <c r="I100" s="231"/>
      <c r="J100" s="521"/>
      <c r="K100" s="229"/>
      <c r="L100" s="227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</row>
    <row r="101" ht="22.5" hidden="1" customHeight="1">
      <c r="A101" s="231"/>
      <c r="B101" s="528" t="s">
        <v>2111</v>
      </c>
      <c r="C101" s="516" t="s">
        <v>2094</v>
      </c>
      <c r="D101" s="516" t="s">
        <v>2131</v>
      </c>
      <c r="E101" s="517">
        <v>45476.0</v>
      </c>
      <c r="F101" s="524">
        <v>40000.0</v>
      </c>
      <c r="G101" s="519" t="s">
        <v>2108</v>
      </c>
      <c r="H101" s="523"/>
      <c r="I101" s="231"/>
      <c r="J101" s="521"/>
      <c r="K101" s="229"/>
      <c r="L101" s="227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</row>
    <row r="102" ht="22.5" hidden="1" customHeight="1">
      <c r="A102" s="231"/>
      <c r="B102" s="528" t="s">
        <v>2111</v>
      </c>
      <c r="C102" s="516" t="s">
        <v>2071</v>
      </c>
      <c r="D102" s="516" t="s">
        <v>2134</v>
      </c>
      <c r="E102" s="517">
        <v>45476.0</v>
      </c>
      <c r="F102" s="524">
        <v>10000.0</v>
      </c>
      <c r="G102" s="519" t="s">
        <v>2108</v>
      </c>
      <c r="H102" s="523"/>
      <c r="I102" s="231"/>
      <c r="J102" s="521"/>
      <c r="K102" s="229"/>
      <c r="L102" s="227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</row>
    <row r="103" ht="22.5" hidden="1" customHeight="1">
      <c r="A103" s="231"/>
      <c r="B103" s="528" t="s">
        <v>2111</v>
      </c>
      <c r="C103" s="516" t="s">
        <v>2069</v>
      </c>
      <c r="D103" s="516" t="s">
        <v>2135</v>
      </c>
      <c r="E103" s="517">
        <v>45476.0</v>
      </c>
      <c r="F103" s="524">
        <v>35000.0</v>
      </c>
      <c r="G103" s="519" t="s">
        <v>2108</v>
      </c>
      <c r="H103" s="523"/>
      <c r="I103" s="231"/>
      <c r="J103" s="521"/>
      <c r="K103" s="229"/>
      <c r="L103" s="227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  <c r="AH103" s="231"/>
      <c r="AI103" s="231"/>
    </row>
    <row r="104" ht="22.5" hidden="1" customHeight="1">
      <c r="A104" s="231"/>
      <c r="B104" s="528" t="s">
        <v>2111</v>
      </c>
      <c r="C104" s="516" t="s">
        <v>2148</v>
      </c>
      <c r="D104" s="516" t="s">
        <v>2162</v>
      </c>
      <c r="E104" s="517">
        <v>45483.0</v>
      </c>
      <c r="F104" s="518">
        <v>4478.37</v>
      </c>
      <c r="G104" s="519" t="s">
        <v>2171</v>
      </c>
      <c r="H104" s="523"/>
      <c r="I104" s="231"/>
      <c r="J104" s="521"/>
      <c r="K104" s="522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</row>
    <row r="105" ht="22.5" hidden="1" customHeight="1">
      <c r="A105" s="231"/>
      <c r="B105" s="528" t="s">
        <v>2111</v>
      </c>
      <c r="C105" s="516" t="s">
        <v>2059</v>
      </c>
      <c r="D105" s="516" t="s">
        <v>2128</v>
      </c>
      <c r="E105" s="517">
        <v>45483.0</v>
      </c>
      <c r="F105" s="518">
        <v>78987.0</v>
      </c>
      <c r="G105" s="519" t="s">
        <v>2171</v>
      </c>
      <c r="H105" s="523"/>
      <c r="I105" s="231"/>
      <c r="J105" s="521"/>
      <c r="K105" s="522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  <c r="AH105" s="231"/>
      <c r="AI105" s="231"/>
    </row>
    <row r="106" ht="22.5" hidden="1" customHeight="1">
      <c r="A106" s="231"/>
      <c r="B106" s="528" t="s">
        <v>2111</v>
      </c>
      <c r="C106" s="516" t="s">
        <v>2071</v>
      </c>
      <c r="D106" s="516" t="s">
        <v>2134</v>
      </c>
      <c r="E106" s="517">
        <v>45483.0</v>
      </c>
      <c r="F106" s="518">
        <v>23719.0</v>
      </c>
      <c r="G106" s="519" t="s">
        <v>2171</v>
      </c>
      <c r="H106" s="523"/>
      <c r="I106" s="231"/>
      <c r="J106" s="521"/>
      <c r="K106" s="522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  <c r="AH106" s="231"/>
      <c r="AI106" s="231"/>
    </row>
    <row r="107" ht="22.5" hidden="1" customHeight="1">
      <c r="A107" s="231"/>
      <c r="B107" s="528" t="s">
        <v>2111</v>
      </c>
      <c r="C107" s="516" t="s">
        <v>2094</v>
      </c>
      <c r="D107" s="516" t="s">
        <v>2131</v>
      </c>
      <c r="E107" s="517">
        <v>45483.0</v>
      </c>
      <c r="F107" s="518">
        <v>31595.0</v>
      </c>
      <c r="G107" s="519" t="s">
        <v>2171</v>
      </c>
      <c r="H107" s="523"/>
      <c r="I107" s="231"/>
      <c r="J107" s="521"/>
      <c r="K107" s="522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  <c r="AH107" s="231"/>
      <c r="AI107" s="231"/>
    </row>
    <row r="108" ht="22.5" hidden="1" customHeight="1">
      <c r="A108" s="231"/>
      <c r="B108" s="528" t="s">
        <v>2111</v>
      </c>
      <c r="C108" s="516" t="s">
        <v>2129</v>
      </c>
      <c r="D108" s="516" t="s">
        <v>2130</v>
      </c>
      <c r="E108" s="517">
        <v>45483.0</v>
      </c>
      <c r="F108" s="518">
        <v>31595.0</v>
      </c>
      <c r="G108" s="519" t="s">
        <v>2171</v>
      </c>
      <c r="H108" s="523"/>
      <c r="I108" s="231"/>
      <c r="J108" s="521"/>
      <c r="K108" s="522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</row>
    <row r="109" ht="22.5" hidden="1" customHeight="1">
      <c r="A109" s="231"/>
      <c r="B109" s="528" t="s">
        <v>2111</v>
      </c>
      <c r="C109" s="516" t="s">
        <v>2093</v>
      </c>
      <c r="D109" s="516" t="s">
        <v>124</v>
      </c>
      <c r="E109" s="517">
        <v>45483.0</v>
      </c>
      <c r="F109" s="518">
        <v>38921.0</v>
      </c>
      <c r="G109" s="519" t="s">
        <v>2171</v>
      </c>
      <c r="H109" s="520" t="s">
        <v>2177</v>
      </c>
      <c r="I109" s="231"/>
      <c r="J109" s="521"/>
      <c r="K109" s="522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</row>
    <row r="110" ht="22.5" hidden="1" customHeight="1">
      <c r="A110" s="231"/>
      <c r="B110" s="528" t="s">
        <v>2111</v>
      </c>
      <c r="C110" s="516" t="s">
        <v>2093</v>
      </c>
      <c r="D110" s="516" t="s">
        <v>124</v>
      </c>
      <c r="E110" s="517">
        <v>45483.0</v>
      </c>
      <c r="F110" s="518">
        <v>11136.0</v>
      </c>
      <c r="G110" s="519" t="s">
        <v>2171</v>
      </c>
      <c r="H110" s="520" t="s">
        <v>2177</v>
      </c>
      <c r="I110" s="231"/>
      <c r="J110" s="521"/>
      <c r="K110" s="522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</row>
    <row r="111" ht="22.5" hidden="1" customHeight="1">
      <c r="A111" s="231"/>
      <c r="B111" s="515" t="s">
        <v>2112</v>
      </c>
      <c r="C111" s="516" t="s">
        <v>2059</v>
      </c>
      <c r="D111" s="516" t="s">
        <v>2128</v>
      </c>
      <c r="E111" s="517">
        <v>45493.0</v>
      </c>
      <c r="F111" s="518">
        <v>40000.0</v>
      </c>
      <c r="G111" s="519" t="s">
        <v>2108</v>
      </c>
      <c r="H111" s="523"/>
      <c r="I111" s="231"/>
      <c r="J111" s="521"/>
      <c r="K111" s="522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</row>
    <row r="112" ht="22.5" hidden="1" customHeight="1">
      <c r="A112" s="231"/>
      <c r="B112" s="515" t="s">
        <v>2112</v>
      </c>
      <c r="C112" s="516" t="s">
        <v>2059</v>
      </c>
      <c r="D112" s="516" t="s">
        <v>2128</v>
      </c>
      <c r="E112" s="517">
        <v>45498.0</v>
      </c>
      <c r="F112" s="518">
        <v>71775.0</v>
      </c>
      <c r="G112" s="519" t="s">
        <v>2175</v>
      </c>
      <c r="H112" s="523"/>
      <c r="I112" s="231"/>
      <c r="J112" s="521"/>
      <c r="K112" s="522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</row>
    <row r="113" ht="22.5" hidden="1" customHeight="1">
      <c r="A113" s="231"/>
      <c r="B113" s="515" t="s">
        <v>2112</v>
      </c>
      <c r="C113" s="516" t="s">
        <v>2071</v>
      </c>
      <c r="D113" s="516" t="s">
        <v>2134</v>
      </c>
      <c r="E113" s="517">
        <v>45498.0</v>
      </c>
      <c r="F113" s="518">
        <v>21553.0</v>
      </c>
      <c r="G113" s="519" t="s">
        <v>2175</v>
      </c>
      <c r="H113" s="523"/>
      <c r="I113" s="231"/>
      <c r="J113" s="521"/>
      <c r="K113" s="522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</row>
    <row r="114" ht="22.5" hidden="1" customHeight="1">
      <c r="A114" s="231"/>
      <c r="B114" s="515" t="s">
        <v>2112</v>
      </c>
      <c r="C114" s="516" t="s">
        <v>2058</v>
      </c>
      <c r="D114" s="516" t="s">
        <v>2132</v>
      </c>
      <c r="E114" s="517">
        <v>45498.0</v>
      </c>
      <c r="F114" s="518">
        <v>18724.0</v>
      </c>
      <c r="G114" s="519" t="s">
        <v>2175</v>
      </c>
      <c r="H114" s="523"/>
      <c r="I114" s="231"/>
      <c r="J114" s="521"/>
      <c r="K114" s="522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</row>
    <row r="115" ht="22.5" hidden="1" customHeight="1">
      <c r="A115" s="231"/>
      <c r="B115" s="515" t="s">
        <v>2112</v>
      </c>
      <c r="C115" s="516" t="s">
        <v>2148</v>
      </c>
      <c r="D115" s="516" t="s">
        <v>2137</v>
      </c>
      <c r="E115" s="517">
        <v>45498.0</v>
      </c>
      <c r="F115" s="518">
        <v>22196.0</v>
      </c>
      <c r="G115" s="519" t="s">
        <v>2175</v>
      </c>
      <c r="H115" s="523"/>
      <c r="I115" s="231"/>
      <c r="J115" s="521"/>
      <c r="K115" s="522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</row>
    <row r="116" ht="22.5" hidden="1" customHeight="1">
      <c r="A116" s="231"/>
      <c r="B116" s="515" t="s">
        <v>2112</v>
      </c>
      <c r="C116" s="516" t="s">
        <v>2094</v>
      </c>
      <c r="D116" s="516" t="s">
        <v>2131</v>
      </c>
      <c r="E116" s="517">
        <v>45498.0</v>
      </c>
      <c r="F116" s="518">
        <v>28710.0</v>
      </c>
      <c r="G116" s="519" t="s">
        <v>2175</v>
      </c>
      <c r="H116" s="523"/>
      <c r="I116" s="231"/>
      <c r="J116" s="521"/>
      <c r="K116" s="522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</row>
    <row r="117" ht="22.5" hidden="1" customHeight="1">
      <c r="A117" s="231"/>
      <c r="B117" s="515" t="s">
        <v>2112</v>
      </c>
      <c r="C117" s="516" t="s">
        <v>2129</v>
      </c>
      <c r="D117" s="516" t="s">
        <v>2130</v>
      </c>
      <c r="E117" s="517">
        <v>45498.0</v>
      </c>
      <c r="F117" s="518">
        <v>28710.0</v>
      </c>
      <c r="G117" s="519" t="s">
        <v>2175</v>
      </c>
      <c r="H117" s="523"/>
      <c r="I117" s="231"/>
      <c r="J117" s="521"/>
      <c r="K117" s="522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</row>
    <row r="118" ht="22.5" hidden="1" customHeight="1">
      <c r="A118" s="231"/>
      <c r="B118" s="515" t="s">
        <v>2112</v>
      </c>
      <c r="C118" s="516" t="s">
        <v>2093</v>
      </c>
      <c r="D118" s="516" t="s">
        <v>124</v>
      </c>
      <c r="E118" s="517">
        <v>45498.0</v>
      </c>
      <c r="F118" s="518">
        <v>47850.0</v>
      </c>
      <c r="G118" s="519" t="s">
        <v>2175</v>
      </c>
      <c r="H118" s="520" t="s">
        <v>2177</v>
      </c>
      <c r="I118" s="231"/>
      <c r="J118" s="521"/>
      <c r="K118" s="522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</row>
    <row r="119" ht="22.5" hidden="1" customHeight="1">
      <c r="A119" s="231"/>
      <c r="B119" s="515" t="s">
        <v>2112</v>
      </c>
      <c r="C119" s="516" t="s">
        <v>2059</v>
      </c>
      <c r="D119" s="516" t="s">
        <v>2128</v>
      </c>
      <c r="E119" s="517">
        <v>45509.0</v>
      </c>
      <c r="F119" s="518">
        <v>110000.0</v>
      </c>
      <c r="G119" s="519" t="s">
        <v>2108</v>
      </c>
      <c r="H119" s="523"/>
      <c r="I119" s="231"/>
      <c r="J119" s="521"/>
      <c r="K119" s="522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</row>
    <row r="120" ht="22.5" hidden="1" customHeight="1">
      <c r="A120" s="231"/>
      <c r="B120" s="515" t="s">
        <v>2112</v>
      </c>
      <c r="C120" s="516" t="s">
        <v>2093</v>
      </c>
      <c r="D120" s="516" t="s">
        <v>124</v>
      </c>
      <c r="E120" s="517">
        <v>45509.0</v>
      </c>
      <c r="F120" s="518">
        <v>115000.0</v>
      </c>
      <c r="G120" s="519" t="s">
        <v>2108</v>
      </c>
      <c r="H120" s="523"/>
      <c r="I120" s="231"/>
      <c r="J120" s="521"/>
      <c r="K120" s="522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</row>
    <row r="121" ht="22.5" hidden="1" customHeight="1">
      <c r="A121" s="231"/>
      <c r="B121" s="515" t="s">
        <v>2112</v>
      </c>
      <c r="C121" s="516" t="s">
        <v>2129</v>
      </c>
      <c r="D121" s="516" t="s">
        <v>2130</v>
      </c>
      <c r="E121" s="517">
        <v>45509.0</v>
      </c>
      <c r="F121" s="518">
        <v>60000.0</v>
      </c>
      <c r="G121" s="519" t="s">
        <v>2108</v>
      </c>
      <c r="H121" s="523"/>
      <c r="I121" s="231"/>
      <c r="J121" s="521"/>
      <c r="K121" s="522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</row>
    <row r="122" ht="22.5" hidden="1" customHeight="1">
      <c r="A122" s="231"/>
      <c r="B122" s="515" t="s">
        <v>2112</v>
      </c>
      <c r="C122" s="516" t="s">
        <v>2094</v>
      </c>
      <c r="D122" s="516" t="s">
        <v>2131</v>
      </c>
      <c r="E122" s="517">
        <v>45509.0</v>
      </c>
      <c r="F122" s="518">
        <v>40000.0</v>
      </c>
      <c r="G122" s="519" t="s">
        <v>2108</v>
      </c>
      <c r="H122" s="523"/>
      <c r="I122" s="231"/>
      <c r="J122" s="521"/>
      <c r="K122" s="522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</row>
    <row r="123" ht="22.5" hidden="1" customHeight="1">
      <c r="A123" s="231"/>
      <c r="B123" s="515" t="s">
        <v>2112</v>
      </c>
      <c r="C123" s="516" t="s">
        <v>2071</v>
      </c>
      <c r="D123" s="516" t="s">
        <v>2134</v>
      </c>
      <c r="E123" s="517">
        <v>45509.0</v>
      </c>
      <c r="F123" s="518">
        <v>10000.0</v>
      </c>
      <c r="G123" s="519" t="s">
        <v>2108</v>
      </c>
      <c r="H123" s="523"/>
      <c r="I123" s="231"/>
      <c r="J123" s="521"/>
      <c r="K123" s="522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</row>
    <row r="124" ht="22.5" hidden="1" customHeight="1">
      <c r="A124" s="231"/>
      <c r="B124" s="515" t="s">
        <v>2112</v>
      </c>
      <c r="C124" s="516" t="s">
        <v>2069</v>
      </c>
      <c r="D124" s="516" t="s">
        <v>2135</v>
      </c>
      <c r="E124" s="517">
        <v>45509.0</v>
      </c>
      <c r="F124" s="518">
        <v>140000.0</v>
      </c>
      <c r="G124" s="519" t="s">
        <v>2108</v>
      </c>
      <c r="H124" s="523"/>
      <c r="I124" s="231"/>
      <c r="J124" s="521"/>
      <c r="K124" s="522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</row>
    <row r="125" ht="22.5" hidden="1" customHeight="1">
      <c r="A125" s="231"/>
      <c r="B125" s="515" t="s">
        <v>2112</v>
      </c>
      <c r="C125" s="516" t="s">
        <v>2148</v>
      </c>
      <c r="D125" s="516" t="s">
        <v>2137</v>
      </c>
      <c r="E125" s="517">
        <v>45509.0</v>
      </c>
      <c r="F125" s="518">
        <v>85000.0</v>
      </c>
      <c r="G125" s="519" t="s">
        <v>2108</v>
      </c>
      <c r="H125" s="523"/>
      <c r="I125" s="231"/>
      <c r="J125" s="521"/>
      <c r="K125" s="522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</row>
    <row r="126" ht="22.5" hidden="1" customHeight="1">
      <c r="A126" s="231"/>
      <c r="B126" s="515" t="s">
        <v>2112</v>
      </c>
      <c r="C126" s="516" t="s">
        <v>2150</v>
      </c>
      <c r="D126" s="516" t="s">
        <v>2163</v>
      </c>
      <c r="E126" s="517">
        <v>45509.0</v>
      </c>
      <c r="F126" s="518">
        <v>70000.0</v>
      </c>
      <c r="G126" s="519" t="s">
        <v>2108</v>
      </c>
      <c r="H126" s="523"/>
      <c r="I126" s="231"/>
      <c r="J126" s="521"/>
      <c r="K126" s="522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</row>
    <row r="127" ht="22.5" hidden="1" customHeight="1">
      <c r="A127" s="231"/>
      <c r="B127" s="515" t="s">
        <v>2112</v>
      </c>
      <c r="C127" s="516" t="s">
        <v>2070</v>
      </c>
      <c r="D127" s="516" t="s">
        <v>2133</v>
      </c>
      <c r="E127" s="517">
        <v>45509.0</v>
      </c>
      <c r="F127" s="518">
        <v>55000.0</v>
      </c>
      <c r="G127" s="519" t="s">
        <v>2108</v>
      </c>
      <c r="H127" s="523"/>
      <c r="I127" s="231"/>
      <c r="J127" s="521"/>
      <c r="K127" s="522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</row>
    <row r="128" ht="22.5" hidden="1" customHeight="1">
      <c r="A128" s="231"/>
      <c r="B128" s="515" t="s">
        <v>2113</v>
      </c>
      <c r="C128" s="516" t="s">
        <v>2059</v>
      </c>
      <c r="D128" s="516" t="s">
        <v>2128</v>
      </c>
      <c r="E128" s="517">
        <v>45512.0</v>
      </c>
      <c r="F128" s="518">
        <v>50000.0</v>
      </c>
      <c r="G128" s="519" t="s">
        <v>2108</v>
      </c>
      <c r="H128" s="523"/>
      <c r="I128" s="231"/>
      <c r="J128" s="521"/>
      <c r="K128" s="522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</row>
    <row r="129" ht="22.5" hidden="1" customHeight="1">
      <c r="A129" s="231"/>
      <c r="B129" s="515" t="s">
        <v>2112</v>
      </c>
      <c r="C129" s="516" t="s">
        <v>2059</v>
      </c>
      <c r="D129" s="516" t="s">
        <v>2128</v>
      </c>
      <c r="E129" s="517">
        <v>45516.0</v>
      </c>
      <c r="F129" s="518">
        <v>78300.0</v>
      </c>
      <c r="G129" s="519" t="s">
        <v>2171</v>
      </c>
      <c r="H129" s="523"/>
      <c r="I129" s="231"/>
      <c r="J129" s="521"/>
      <c r="K129" s="522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</row>
    <row r="130" ht="22.5" hidden="1" customHeight="1">
      <c r="A130" s="231"/>
      <c r="B130" s="515" t="s">
        <v>2112</v>
      </c>
      <c r="C130" s="516" t="s">
        <v>2071</v>
      </c>
      <c r="D130" s="516" t="s">
        <v>2134</v>
      </c>
      <c r="E130" s="517">
        <v>45516.0</v>
      </c>
      <c r="F130" s="518">
        <v>23513.0</v>
      </c>
      <c r="G130" s="519" t="s">
        <v>2171</v>
      </c>
      <c r="H130" s="523"/>
      <c r="I130" s="231"/>
      <c r="J130" s="521"/>
      <c r="K130" s="522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</row>
    <row r="131" ht="22.5" hidden="1" customHeight="1">
      <c r="A131" s="231"/>
      <c r="B131" s="515" t="s">
        <v>2112</v>
      </c>
      <c r="C131" s="516" t="s">
        <v>2058</v>
      </c>
      <c r="D131" s="516" t="s">
        <v>2132</v>
      </c>
      <c r="E131" s="517">
        <v>45516.0</v>
      </c>
      <c r="F131" s="518">
        <v>20426.0</v>
      </c>
      <c r="G131" s="519" t="s">
        <v>2171</v>
      </c>
      <c r="H131" s="523"/>
      <c r="I131" s="231"/>
      <c r="J131" s="521"/>
      <c r="K131" s="522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</row>
    <row r="132" ht="22.5" hidden="1" customHeight="1">
      <c r="A132" s="231"/>
      <c r="B132" s="515" t="s">
        <v>2112</v>
      </c>
      <c r="C132" s="516" t="s">
        <v>2148</v>
      </c>
      <c r="D132" s="516" t="s">
        <v>2137</v>
      </c>
      <c r="E132" s="517">
        <v>45516.0</v>
      </c>
      <c r="F132" s="518">
        <v>44393.0</v>
      </c>
      <c r="G132" s="519" t="s">
        <v>2171</v>
      </c>
      <c r="H132" s="523"/>
      <c r="I132" s="231"/>
      <c r="J132" s="521"/>
      <c r="K132" s="522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</row>
    <row r="133" ht="22.5" hidden="1" customHeight="1">
      <c r="A133" s="231"/>
      <c r="B133" s="515" t="s">
        <v>2112</v>
      </c>
      <c r="C133" s="516" t="s">
        <v>2094</v>
      </c>
      <c r="D133" s="516" t="s">
        <v>2131</v>
      </c>
      <c r="E133" s="517">
        <v>45516.0</v>
      </c>
      <c r="F133" s="518">
        <v>31320.0</v>
      </c>
      <c r="G133" s="519" t="s">
        <v>2171</v>
      </c>
      <c r="H133" s="523"/>
      <c r="I133" s="231"/>
      <c r="J133" s="521"/>
      <c r="K133" s="522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</row>
    <row r="134" ht="22.5" hidden="1" customHeight="1">
      <c r="A134" s="231"/>
      <c r="B134" s="515" t="s">
        <v>2112</v>
      </c>
      <c r="C134" s="516" t="s">
        <v>2129</v>
      </c>
      <c r="D134" s="516" t="s">
        <v>2130</v>
      </c>
      <c r="E134" s="517">
        <v>45516.0</v>
      </c>
      <c r="F134" s="518">
        <v>31320.0</v>
      </c>
      <c r="G134" s="519" t="s">
        <v>2171</v>
      </c>
      <c r="H134" s="523"/>
      <c r="I134" s="231"/>
      <c r="J134" s="521"/>
      <c r="K134" s="522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</row>
    <row r="135" ht="22.5" hidden="1" customHeight="1">
      <c r="A135" s="231"/>
      <c r="B135" s="515" t="s">
        <v>2112</v>
      </c>
      <c r="C135" s="516" t="s">
        <v>2093</v>
      </c>
      <c r="D135" s="516" t="s">
        <v>124</v>
      </c>
      <c r="E135" s="517">
        <v>45516.0</v>
      </c>
      <c r="F135" s="518">
        <v>52200.0</v>
      </c>
      <c r="G135" s="519" t="s">
        <v>2171</v>
      </c>
      <c r="H135" s="523"/>
      <c r="I135" s="231"/>
      <c r="J135" s="521"/>
      <c r="K135" s="522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</row>
    <row r="136" ht="22.5" hidden="1" customHeight="1">
      <c r="A136" s="231"/>
      <c r="B136" s="515" t="s">
        <v>2113</v>
      </c>
      <c r="C136" s="516" t="s">
        <v>2059</v>
      </c>
      <c r="D136" s="516" t="s">
        <v>2128</v>
      </c>
      <c r="E136" s="517">
        <v>45523.0</v>
      </c>
      <c r="F136" s="518">
        <v>10000.0</v>
      </c>
      <c r="G136" s="519" t="s">
        <v>2108</v>
      </c>
      <c r="H136" s="523"/>
      <c r="I136" s="231"/>
      <c r="J136" s="521"/>
      <c r="K136" s="522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</row>
    <row r="137" ht="22.5" hidden="1" customHeight="1">
      <c r="A137" s="231"/>
      <c r="B137" s="515" t="s">
        <v>2113</v>
      </c>
      <c r="C137" s="516" t="s">
        <v>2093</v>
      </c>
      <c r="D137" s="516" t="s">
        <v>124</v>
      </c>
      <c r="E137" s="517">
        <v>45523.0</v>
      </c>
      <c r="F137" s="518">
        <v>14945.07</v>
      </c>
      <c r="G137" s="519" t="s">
        <v>2175</v>
      </c>
      <c r="H137" s="520" t="s">
        <v>1673</v>
      </c>
      <c r="I137" s="231"/>
      <c r="J137" s="521"/>
      <c r="K137" s="522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</row>
    <row r="138" ht="22.5" hidden="1" customHeight="1">
      <c r="A138" s="231"/>
      <c r="B138" s="515" t="s">
        <v>2113</v>
      </c>
      <c r="C138" s="516" t="s">
        <v>2059</v>
      </c>
      <c r="D138" s="516" t="s">
        <v>2128</v>
      </c>
      <c r="E138" s="517">
        <v>45527.0</v>
      </c>
      <c r="F138" s="518">
        <v>60030.0</v>
      </c>
      <c r="G138" s="519" t="s">
        <v>2175</v>
      </c>
      <c r="H138" s="523"/>
      <c r="I138" s="231"/>
      <c r="J138" s="521"/>
      <c r="K138" s="522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</row>
    <row r="139" ht="22.5" hidden="1" customHeight="1">
      <c r="A139" s="231"/>
      <c r="B139" s="515" t="s">
        <v>2113</v>
      </c>
      <c r="C139" s="516" t="s">
        <v>2071</v>
      </c>
      <c r="D139" s="516" t="s">
        <v>2134</v>
      </c>
      <c r="E139" s="517">
        <v>45527.0</v>
      </c>
      <c r="F139" s="518">
        <v>18026.0</v>
      </c>
      <c r="G139" s="519" t="s">
        <v>2175</v>
      </c>
      <c r="H139" s="523"/>
      <c r="I139" s="231"/>
      <c r="J139" s="521"/>
      <c r="K139" s="522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</row>
    <row r="140" ht="22.5" hidden="1" customHeight="1">
      <c r="A140" s="231"/>
      <c r="B140" s="515" t="s">
        <v>2113</v>
      </c>
      <c r="C140" s="516" t="s">
        <v>2058</v>
      </c>
      <c r="D140" s="516" t="s">
        <v>2132</v>
      </c>
      <c r="E140" s="517">
        <v>45527.0</v>
      </c>
      <c r="F140" s="518">
        <v>40020.0</v>
      </c>
      <c r="G140" s="519" t="s">
        <v>2175</v>
      </c>
      <c r="H140" s="523"/>
      <c r="I140" s="231"/>
      <c r="J140" s="521"/>
      <c r="K140" s="522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</row>
    <row r="141" ht="22.5" hidden="1" customHeight="1">
      <c r="A141" s="231"/>
      <c r="B141" s="515" t="s">
        <v>2113</v>
      </c>
      <c r="C141" s="516" t="s">
        <v>2148</v>
      </c>
      <c r="D141" s="516" t="s">
        <v>2137</v>
      </c>
      <c r="E141" s="517">
        <v>45527.0</v>
      </c>
      <c r="F141" s="518">
        <v>34034.0</v>
      </c>
      <c r="G141" s="519" t="s">
        <v>2175</v>
      </c>
      <c r="H141" s="523"/>
      <c r="I141" s="231"/>
      <c r="J141" s="521"/>
      <c r="K141" s="522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</row>
    <row r="142" ht="22.5" hidden="1" customHeight="1">
      <c r="A142" s="231"/>
      <c r="B142" s="515" t="s">
        <v>2113</v>
      </c>
      <c r="C142" s="516" t="s">
        <v>2094</v>
      </c>
      <c r="D142" s="516" t="s">
        <v>2131</v>
      </c>
      <c r="E142" s="517">
        <v>45527.0</v>
      </c>
      <c r="F142" s="518">
        <v>24012.0</v>
      </c>
      <c r="G142" s="519" t="s">
        <v>2175</v>
      </c>
      <c r="H142" s="523"/>
      <c r="I142" s="231"/>
      <c r="J142" s="521"/>
      <c r="K142" s="522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</row>
    <row r="143" ht="22.5" hidden="1" customHeight="1">
      <c r="A143" s="231"/>
      <c r="B143" s="515" t="s">
        <v>2113</v>
      </c>
      <c r="C143" s="516" t="s">
        <v>2129</v>
      </c>
      <c r="D143" s="516" t="s">
        <v>2130</v>
      </c>
      <c r="E143" s="517">
        <v>45527.0</v>
      </c>
      <c r="F143" s="518">
        <v>24012.0</v>
      </c>
      <c r="G143" s="519" t="s">
        <v>2175</v>
      </c>
      <c r="H143" s="523"/>
      <c r="I143" s="231"/>
      <c r="J143" s="521"/>
      <c r="K143" s="522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</row>
    <row r="144" ht="22.5" hidden="1" customHeight="1">
      <c r="A144" s="231"/>
      <c r="B144" s="515" t="s">
        <v>2113</v>
      </c>
      <c r="C144" s="516" t="s">
        <v>2093</v>
      </c>
      <c r="D144" s="516" t="s">
        <v>124</v>
      </c>
      <c r="E144" s="517">
        <v>45527.0</v>
      </c>
      <c r="F144" s="518">
        <v>40020.0</v>
      </c>
      <c r="G144" s="519" t="s">
        <v>2175</v>
      </c>
      <c r="H144" s="523"/>
      <c r="I144" s="231"/>
      <c r="J144" s="521"/>
      <c r="K144" s="522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</row>
    <row r="145" ht="22.5" hidden="1" customHeight="1">
      <c r="A145" s="231"/>
      <c r="B145" s="515" t="s">
        <v>2113</v>
      </c>
      <c r="C145" s="516" t="s">
        <v>2059</v>
      </c>
      <c r="D145" s="516" t="s">
        <v>2128</v>
      </c>
      <c r="E145" s="517">
        <v>45532.0</v>
      </c>
      <c r="F145" s="518">
        <v>15000.0</v>
      </c>
      <c r="G145" s="519" t="s">
        <v>2108</v>
      </c>
      <c r="H145" s="523"/>
      <c r="I145" s="231"/>
      <c r="J145" s="521"/>
      <c r="K145" s="522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</row>
    <row r="146" ht="22.5" hidden="1" customHeight="1">
      <c r="A146" s="231"/>
      <c r="B146" s="515" t="s">
        <v>2113</v>
      </c>
      <c r="C146" s="516" t="s">
        <v>2070</v>
      </c>
      <c r="D146" s="516" t="s">
        <v>2133</v>
      </c>
      <c r="E146" s="517">
        <v>45536.0</v>
      </c>
      <c r="F146" s="518">
        <v>55000.0</v>
      </c>
      <c r="G146" s="519" t="s">
        <v>2108</v>
      </c>
      <c r="H146" s="523"/>
      <c r="I146" s="231"/>
      <c r="J146" s="521"/>
      <c r="K146" s="522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</row>
    <row r="147" ht="22.5" hidden="1" customHeight="1">
      <c r="A147" s="231"/>
      <c r="B147" s="515" t="s">
        <v>2113</v>
      </c>
      <c r="C147" s="516" t="s">
        <v>2059</v>
      </c>
      <c r="D147" s="516" t="s">
        <v>2128</v>
      </c>
      <c r="E147" s="517">
        <v>45540.0</v>
      </c>
      <c r="F147" s="524">
        <v>74970.0</v>
      </c>
      <c r="G147" s="519" t="s">
        <v>2108</v>
      </c>
      <c r="H147" s="523"/>
      <c r="I147" s="231"/>
      <c r="J147" s="521"/>
      <c r="K147" s="522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</row>
    <row r="148" ht="22.5" hidden="1" customHeight="1">
      <c r="A148" s="231"/>
      <c r="B148" s="515" t="s">
        <v>2113</v>
      </c>
      <c r="C148" s="516" t="s">
        <v>2093</v>
      </c>
      <c r="D148" s="516" t="s">
        <v>124</v>
      </c>
      <c r="E148" s="517">
        <v>45540.0</v>
      </c>
      <c r="F148" s="524">
        <v>94034.93</v>
      </c>
      <c r="G148" s="519" t="s">
        <v>2108</v>
      </c>
      <c r="H148" s="523"/>
      <c r="I148" s="231"/>
      <c r="J148" s="521"/>
      <c r="K148" s="522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</row>
    <row r="149" ht="22.5" hidden="1" customHeight="1">
      <c r="A149" s="231"/>
      <c r="B149" s="515" t="s">
        <v>2113</v>
      </c>
      <c r="C149" s="516" t="s">
        <v>2129</v>
      </c>
      <c r="D149" s="516" t="s">
        <v>2130</v>
      </c>
      <c r="E149" s="517">
        <v>45540.0</v>
      </c>
      <c r="F149" s="524">
        <v>59988.0</v>
      </c>
      <c r="G149" s="519" t="s">
        <v>2108</v>
      </c>
      <c r="H149" s="523"/>
      <c r="I149" s="231"/>
      <c r="J149" s="521"/>
      <c r="K149" s="522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</row>
    <row r="150" ht="22.5" hidden="1" customHeight="1">
      <c r="A150" s="231"/>
      <c r="B150" s="515" t="s">
        <v>2113</v>
      </c>
      <c r="C150" s="516" t="s">
        <v>2094</v>
      </c>
      <c r="D150" s="516" t="s">
        <v>2131</v>
      </c>
      <c r="E150" s="517">
        <v>45540.0</v>
      </c>
      <c r="F150" s="524">
        <v>39988.0</v>
      </c>
      <c r="G150" s="519" t="s">
        <v>2108</v>
      </c>
      <c r="H150" s="523"/>
      <c r="I150" s="231"/>
      <c r="J150" s="521"/>
      <c r="K150" s="522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</row>
    <row r="151" ht="22.5" hidden="1" customHeight="1">
      <c r="A151" s="231"/>
      <c r="B151" s="515" t="s">
        <v>2113</v>
      </c>
      <c r="C151" s="516" t="s">
        <v>2058</v>
      </c>
      <c r="D151" s="516" t="s">
        <v>2132</v>
      </c>
      <c r="E151" s="517">
        <v>45540.0</v>
      </c>
      <c r="F151" s="524">
        <v>99980.0</v>
      </c>
      <c r="G151" s="519" t="s">
        <v>2108</v>
      </c>
      <c r="H151" s="523"/>
      <c r="I151" s="231"/>
      <c r="J151" s="521"/>
      <c r="K151" s="522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</row>
    <row r="152" ht="22.5" hidden="1" customHeight="1">
      <c r="A152" s="231"/>
      <c r="B152" s="515" t="s">
        <v>2113</v>
      </c>
      <c r="C152" s="516" t="s">
        <v>2071</v>
      </c>
      <c r="D152" s="516" t="s">
        <v>2134</v>
      </c>
      <c r="E152" s="517">
        <v>45540.0</v>
      </c>
      <c r="F152" s="524">
        <v>7974.0</v>
      </c>
      <c r="G152" s="519" t="s">
        <v>2108</v>
      </c>
      <c r="H152" s="523"/>
      <c r="I152" s="231"/>
      <c r="J152" s="521"/>
      <c r="K152" s="522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</row>
    <row r="153" ht="22.5" hidden="1" customHeight="1">
      <c r="A153" s="231"/>
      <c r="B153" s="515" t="s">
        <v>2113</v>
      </c>
      <c r="C153" s="516" t="s">
        <v>2069</v>
      </c>
      <c r="D153" s="516" t="s">
        <v>2135</v>
      </c>
      <c r="E153" s="517">
        <v>45540.0</v>
      </c>
      <c r="F153" s="524">
        <v>140000.0</v>
      </c>
      <c r="G153" s="519" t="s">
        <v>2108</v>
      </c>
      <c r="H153" s="523"/>
      <c r="I153" s="231"/>
      <c r="J153" s="521"/>
      <c r="K153" s="522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</row>
    <row r="154" ht="22.5" hidden="1" customHeight="1">
      <c r="A154" s="231"/>
      <c r="B154" s="515" t="s">
        <v>2113</v>
      </c>
      <c r="C154" s="516" t="s">
        <v>2148</v>
      </c>
      <c r="D154" s="516" t="s">
        <v>2137</v>
      </c>
      <c r="E154" s="517">
        <v>45540.0</v>
      </c>
      <c r="F154" s="524">
        <v>84966.0</v>
      </c>
      <c r="G154" s="519" t="s">
        <v>2108</v>
      </c>
      <c r="H154" s="523"/>
      <c r="I154" s="231"/>
      <c r="J154" s="521"/>
      <c r="K154" s="522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</row>
    <row r="155" ht="22.5" hidden="1" customHeight="1">
      <c r="A155" s="231"/>
      <c r="B155" s="515" t="s">
        <v>2113</v>
      </c>
      <c r="C155" s="516" t="s">
        <v>2059</v>
      </c>
      <c r="D155" s="516" t="s">
        <v>2128</v>
      </c>
      <c r="E155" s="517">
        <v>45545.0</v>
      </c>
      <c r="F155" s="518">
        <v>90045.0</v>
      </c>
      <c r="G155" s="519" t="s">
        <v>2171</v>
      </c>
      <c r="H155" s="523"/>
      <c r="I155" s="231"/>
      <c r="J155" s="521"/>
      <c r="K155" s="522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</row>
    <row r="156" ht="22.5" hidden="1" customHeight="1">
      <c r="A156" s="231"/>
      <c r="B156" s="515" t="s">
        <v>2113</v>
      </c>
      <c r="C156" s="516" t="s">
        <v>2071</v>
      </c>
      <c r="D156" s="516" t="s">
        <v>2134</v>
      </c>
      <c r="E156" s="517">
        <v>45545.0</v>
      </c>
      <c r="F156" s="518">
        <v>27040.0</v>
      </c>
      <c r="G156" s="519" t="s">
        <v>2171</v>
      </c>
      <c r="H156" s="523"/>
      <c r="I156" s="231"/>
      <c r="J156" s="521"/>
      <c r="K156" s="522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</row>
    <row r="157" ht="22.5" hidden="1" customHeight="1">
      <c r="A157" s="231"/>
      <c r="B157" s="515" t="s">
        <v>2113</v>
      </c>
      <c r="C157" s="516" t="s">
        <v>2058</v>
      </c>
      <c r="D157" s="516" t="s">
        <v>2132</v>
      </c>
      <c r="E157" s="517">
        <v>45545.0</v>
      </c>
      <c r="F157" s="518">
        <v>60030.0</v>
      </c>
      <c r="G157" s="519" t="s">
        <v>2171</v>
      </c>
      <c r="H157" s="523"/>
      <c r="I157" s="231"/>
      <c r="J157" s="521"/>
      <c r="K157" s="522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</row>
    <row r="158" ht="22.5" hidden="1" customHeight="1">
      <c r="A158" s="231"/>
      <c r="B158" s="515" t="s">
        <v>2113</v>
      </c>
      <c r="C158" s="516" t="s">
        <v>2148</v>
      </c>
      <c r="D158" s="516" t="s">
        <v>2137</v>
      </c>
      <c r="E158" s="517">
        <v>45545.0</v>
      </c>
      <c r="F158" s="518">
        <v>51052.0</v>
      </c>
      <c r="G158" s="519" t="s">
        <v>2171</v>
      </c>
      <c r="H158" s="523"/>
      <c r="I158" s="231"/>
      <c r="J158" s="521"/>
      <c r="K158" s="522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</row>
    <row r="159" ht="22.5" hidden="1" customHeight="1">
      <c r="A159" s="231"/>
      <c r="B159" s="515" t="s">
        <v>2113</v>
      </c>
      <c r="C159" s="516" t="s">
        <v>2094</v>
      </c>
      <c r="D159" s="516" t="s">
        <v>2131</v>
      </c>
      <c r="E159" s="517">
        <v>45545.0</v>
      </c>
      <c r="F159" s="518">
        <v>36018.0</v>
      </c>
      <c r="G159" s="519" t="s">
        <v>2171</v>
      </c>
      <c r="H159" s="523"/>
      <c r="I159" s="231"/>
      <c r="J159" s="521"/>
      <c r="K159" s="522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</row>
    <row r="160" ht="22.5" hidden="1" customHeight="1">
      <c r="A160" s="231"/>
      <c r="B160" s="515" t="s">
        <v>2113</v>
      </c>
      <c r="C160" s="516" t="s">
        <v>2129</v>
      </c>
      <c r="D160" s="516" t="s">
        <v>2130</v>
      </c>
      <c r="E160" s="517">
        <v>45545.0</v>
      </c>
      <c r="F160" s="518">
        <v>36018.0</v>
      </c>
      <c r="G160" s="519" t="s">
        <v>2171</v>
      </c>
      <c r="H160" s="523"/>
      <c r="I160" s="231"/>
      <c r="J160" s="521"/>
      <c r="K160" s="522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</row>
    <row r="161" ht="22.5" hidden="1" customHeight="1">
      <c r="A161" s="231"/>
      <c r="B161" s="515" t="s">
        <v>2113</v>
      </c>
      <c r="C161" s="516" t="s">
        <v>2093</v>
      </c>
      <c r="D161" s="516" t="s">
        <v>124</v>
      </c>
      <c r="E161" s="517">
        <v>45545.0</v>
      </c>
      <c r="F161" s="518">
        <v>52236.71</v>
      </c>
      <c r="G161" s="519" t="s">
        <v>2171</v>
      </c>
      <c r="H161" s="523"/>
      <c r="I161" s="231"/>
      <c r="J161" s="521"/>
      <c r="K161" s="522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  <c r="AI161" s="231"/>
    </row>
    <row r="162" ht="22.5" hidden="1" customHeight="1">
      <c r="A162" s="231"/>
      <c r="B162" s="520" t="s">
        <v>2114</v>
      </c>
      <c r="C162" s="516" t="s">
        <v>2059</v>
      </c>
      <c r="D162" s="516" t="s">
        <v>2128</v>
      </c>
      <c r="E162" s="517">
        <v>45553.0</v>
      </c>
      <c r="F162" s="518">
        <v>15000.0</v>
      </c>
      <c r="G162" s="519" t="s">
        <v>2108</v>
      </c>
      <c r="H162" s="523"/>
      <c r="I162" s="231"/>
      <c r="J162" s="521"/>
      <c r="K162" s="522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</row>
    <row r="163" ht="22.5" hidden="1" customHeight="1">
      <c r="A163" s="231"/>
      <c r="B163" s="520" t="s">
        <v>2114</v>
      </c>
      <c r="C163" s="516" t="s">
        <v>2059</v>
      </c>
      <c r="D163" s="516" t="s">
        <v>2128</v>
      </c>
      <c r="E163" s="517">
        <v>45555.0</v>
      </c>
      <c r="F163" s="518">
        <v>30000.0</v>
      </c>
      <c r="G163" s="519" t="s">
        <v>2108</v>
      </c>
      <c r="H163" s="523"/>
      <c r="I163" s="231"/>
      <c r="J163" s="521"/>
      <c r="K163" s="522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</row>
    <row r="164" ht="22.5" hidden="1" customHeight="1">
      <c r="A164" s="231"/>
      <c r="B164" s="520" t="s">
        <v>2114</v>
      </c>
      <c r="C164" s="516" t="s">
        <v>2059</v>
      </c>
      <c r="D164" s="516" t="s">
        <v>2128</v>
      </c>
      <c r="E164" s="517">
        <v>45559.0</v>
      </c>
      <c r="F164" s="518">
        <v>69000.0</v>
      </c>
      <c r="G164" s="519" t="s">
        <v>2175</v>
      </c>
      <c r="H164" s="523"/>
      <c r="I164" s="231"/>
      <c r="J164" s="521"/>
      <c r="K164" s="522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</row>
    <row r="165" ht="22.5" hidden="1" customHeight="1">
      <c r="A165" s="231"/>
      <c r="B165" s="520" t="s">
        <v>2114</v>
      </c>
      <c r="C165" s="516" t="s">
        <v>2071</v>
      </c>
      <c r="D165" s="516" t="s">
        <v>2134</v>
      </c>
      <c r="E165" s="517">
        <v>45560.0</v>
      </c>
      <c r="F165" s="518">
        <v>20720.0</v>
      </c>
      <c r="G165" s="519" t="s">
        <v>2175</v>
      </c>
      <c r="H165" s="523"/>
      <c r="I165" s="231"/>
      <c r="J165" s="521"/>
      <c r="K165" s="522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</row>
    <row r="166" ht="22.5" hidden="1" customHeight="1">
      <c r="A166" s="231"/>
      <c r="B166" s="520" t="s">
        <v>2114</v>
      </c>
      <c r="C166" s="516" t="s">
        <v>2058</v>
      </c>
      <c r="D166" s="516" t="s">
        <v>2132</v>
      </c>
      <c r="E166" s="517">
        <v>45561.0</v>
      </c>
      <c r="F166" s="518">
        <v>46000.0</v>
      </c>
      <c r="G166" s="519" t="s">
        <v>2175</v>
      </c>
      <c r="H166" s="523"/>
      <c r="I166" s="231"/>
      <c r="J166" s="521"/>
      <c r="K166" s="522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</row>
    <row r="167" ht="22.5" hidden="1" customHeight="1">
      <c r="A167" s="231"/>
      <c r="B167" s="520" t="s">
        <v>2114</v>
      </c>
      <c r="C167" s="516" t="s">
        <v>2148</v>
      </c>
      <c r="D167" s="516" t="s">
        <v>2137</v>
      </c>
      <c r="E167" s="517">
        <v>45562.0</v>
      </c>
      <c r="F167" s="518">
        <v>39120.0</v>
      </c>
      <c r="G167" s="519" t="s">
        <v>2175</v>
      </c>
      <c r="H167" s="523"/>
      <c r="I167" s="231"/>
      <c r="J167" s="521"/>
      <c r="K167" s="522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</row>
    <row r="168" ht="22.5" hidden="1" customHeight="1">
      <c r="A168" s="231"/>
      <c r="B168" s="520" t="s">
        <v>2114</v>
      </c>
      <c r="C168" s="516" t="s">
        <v>2094</v>
      </c>
      <c r="D168" s="516" t="s">
        <v>2131</v>
      </c>
      <c r="E168" s="517">
        <v>45563.0</v>
      </c>
      <c r="F168" s="518">
        <v>46000.0</v>
      </c>
      <c r="G168" s="519" t="s">
        <v>2175</v>
      </c>
      <c r="H168" s="523"/>
      <c r="I168" s="231"/>
      <c r="J168" s="521"/>
      <c r="K168" s="522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</row>
    <row r="169" ht="22.5" hidden="1" customHeight="1">
      <c r="A169" s="231"/>
      <c r="B169" s="520" t="s">
        <v>2114</v>
      </c>
      <c r="C169" s="516" t="s">
        <v>2129</v>
      </c>
      <c r="D169" s="516" t="s">
        <v>2130</v>
      </c>
      <c r="E169" s="517">
        <v>45564.0</v>
      </c>
      <c r="F169" s="518">
        <v>27600.0</v>
      </c>
      <c r="G169" s="519" t="s">
        <v>2175</v>
      </c>
      <c r="H169" s="523"/>
      <c r="I169" s="231"/>
      <c r="J169" s="521"/>
      <c r="K169" s="522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</row>
    <row r="170" ht="22.5" hidden="1" customHeight="1">
      <c r="A170" s="231"/>
      <c r="B170" s="520" t="s">
        <v>2114</v>
      </c>
      <c r="C170" s="516" t="s">
        <v>2059</v>
      </c>
      <c r="D170" s="516" t="s">
        <v>2128</v>
      </c>
      <c r="E170" s="517">
        <v>45565.0</v>
      </c>
      <c r="F170" s="518">
        <v>25000.0</v>
      </c>
      <c r="G170" s="519" t="s">
        <v>2108</v>
      </c>
      <c r="H170" s="523"/>
      <c r="I170" s="231"/>
      <c r="J170" s="521"/>
      <c r="K170" s="522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</row>
    <row r="171" ht="22.5" hidden="1" customHeight="1">
      <c r="A171" s="231"/>
      <c r="B171" s="520" t="s">
        <v>2114</v>
      </c>
      <c r="C171" s="516" t="s">
        <v>2093</v>
      </c>
      <c r="D171" s="516" t="s">
        <v>124</v>
      </c>
      <c r="E171" s="517">
        <v>45565.0</v>
      </c>
      <c r="F171" s="518">
        <v>46000.0</v>
      </c>
      <c r="G171" s="519" t="s">
        <v>2175</v>
      </c>
      <c r="H171" s="523"/>
      <c r="I171" s="231"/>
      <c r="J171" s="521"/>
      <c r="K171" s="522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</row>
    <row r="172" ht="22.5" hidden="1" customHeight="1">
      <c r="A172" s="231"/>
      <c r="B172" s="520" t="s">
        <v>2115</v>
      </c>
      <c r="C172" s="516" t="s">
        <v>2059</v>
      </c>
      <c r="D172" s="516" t="s">
        <v>2128</v>
      </c>
      <c r="E172" s="530">
        <v>45569.0</v>
      </c>
      <c r="F172" s="518">
        <v>25000.0</v>
      </c>
      <c r="G172" s="519" t="s">
        <v>2108</v>
      </c>
      <c r="H172" s="523"/>
      <c r="I172" s="231"/>
      <c r="J172" s="521"/>
      <c r="K172" s="522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</row>
    <row r="173" ht="22.5" hidden="1" customHeight="1">
      <c r="A173" s="231"/>
      <c r="B173" s="520" t="s">
        <v>2114</v>
      </c>
      <c r="C173" s="516" t="s">
        <v>2059</v>
      </c>
      <c r="D173" s="516" t="s">
        <v>2128</v>
      </c>
      <c r="E173" s="530">
        <v>45569.0</v>
      </c>
      <c r="F173" s="518">
        <v>80000.0</v>
      </c>
      <c r="G173" s="519" t="s">
        <v>2108</v>
      </c>
      <c r="H173" s="523"/>
      <c r="I173" s="231"/>
      <c r="J173" s="521"/>
      <c r="K173" s="522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</row>
    <row r="174" ht="22.5" hidden="1" customHeight="1">
      <c r="A174" s="231"/>
      <c r="B174" s="520" t="s">
        <v>2114</v>
      </c>
      <c r="C174" s="516" t="s">
        <v>2093</v>
      </c>
      <c r="D174" s="516" t="s">
        <v>124</v>
      </c>
      <c r="E174" s="530">
        <v>45569.0</v>
      </c>
      <c r="F174" s="518">
        <v>115000.0</v>
      </c>
      <c r="G174" s="519" t="s">
        <v>2108</v>
      </c>
      <c r="H174" s="523"/>
      <c r="I174" s="231"/>
      <c r="J174" s="521"/>
      <c r="K174" s="522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</row>
    <row r="175" ht="22.5" hidden="1" customHeight="1">
      <c r="A175" s="231"/>
      <c r="B175" s="520" t="s">
        <v>2114</v>
      </c>
      <c r="C175" s="516" t="s">
        <v>2129</v>
      </c>
      <c r="D175" s="516" t="s">
        <v>2130</v>
      </c>
      <c r="E175" s="530">
        <v>45569.0</v>
      </c>
      <c r="F175" s="518">
        <v>60000.0</v>
      </c>
      <c r="G175" s="519" t="s">
        <v>2108</v>
      </c>
      <c r="H175" s="523"/>
      <c r="I175" s="231"/>
      <c r="J175" s="521"/>
      <c r="K175" s="522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</row>
    <row r="176" ht="22.5" hidden="1" customHeight="1">
      <c r="A176" s="231"/>
      <c r="B176" s="520" t="s">
        <v>2114</v>
      </c>
      <c r="C176" s="516" t="s">
        <v>2094</v>
      </c>
      <c r="D176" s="516" t="s">
        <v>2131</v>
      </c>
      <c r="E176" s="530">
        <v>45569.0</v>
      </c>
      <c r="F176" s="518">
        <v>30000.0</v>
      </c>
      <c r="G176" s="519" t="s">
        <v>2108</v>
      </c>
      <c r="H176" s="523"/>
      <c r="I176" s="231"/>
      <c r="J176" s="521"/>
      <c r="K176" s="522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</row>
    <row r="177" ht="22.5" hidden="1" customHeight="1">
      <c r="A177" s="231"/>
      <c r="B177" s="520" t="s">
        <v>2114</v>
      </c>
      <c r="C177" s="516" t="s">
        <v>2071</v>
      </c>
      <c r="D177" s="516" t="s">
        <v>2134</v>
      </c>
      <c r="E177" s="530">
        <v>45569.0</v>
      </c>
      <c r="F177" s="518">
        <v>10000.0</v>
      </c>
      <c r="G177" s="519" t="s">
        <v>2108</v>
      </c>
      <c r="H177" s="523"/>
      <c r="I177" s="231"/>
      <c r="J177" s="521"/>
      <c r="K177" s="522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</row>
    <row r="178" ht="22.5" hidden="1" customHeight="1">
      <c r="A178" s="231"/>
      <c r="B178" s="520" t="s">
        <v>2114</v>
      </c>
      <c r="C178" s="516" t="s">
        <v>2069</v>
      </c>
      <c r="D178" s="516" t="s">
        <v>2135</v>
      </c>
      <c r="E178" s="530">
        <v>45569.0</v>
      </c>
      <c r="F178" s="518">
        <v>140000.0</v>
      </c>
      <c r="G178" s="519" t="s">
        <v>2108</v>
      </c>
      <c r="H178" s="523"/>
      <c r="I178" s="231"/>
      <c r="J178" s="521"/>
      <c r="K178" s="522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</row>
    <row r="179" ht="22.5" hidden="1" customHeight="1">
      <c r="A179" s="231"/>
      <c r="B179" s="520" t="s">
        <v>2114</v>
      </c>
      <c r="C179" s="516" t="s">
        <v>2148</v>
      </c>
      <c r="D179" s="516" t="s">
        <v>2137</v>
      </c>
      <c r="E179" s="530">
        <v>45569.0</v>
      </c>
      <c r="F179" s="518">
        <v>85000.0</v>
      </c>
      <c r="G179" s="519" t="s">
        <v>2108</v>
      </c>
      <c r="H179" s="523"/>
      <c r="I179" s="231"/>
      <c r="J179" s="521"/>
      <c r="K179" s="522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</row>
    <row r="180" ht="22.5" hidden="1" customHeight="1">
      <c r="A180" s="231"/>
      <c r="B180" s="520" t="s">
        <v>2114</v>
      </c>
      <c r="C180" s="516" t="s">
        <v>2071</v>
      </c>
      <c r="D180" s="516" t="s">
        <v>2134</v>
      </c>
      <c r="E180" s="530">
        <v>45569.0</v>
      </c>
      <c r="F180" s="518">
        <v>64000.0</v>
      </c>
      <c r="G180" s="519" t="s">
        <v>2179</v>
      </c>
      <c r="H180" s="520" t="s">
        <v>2180</v>
      </c>
      <c r="I180" s="231"/>
      <c r="J180" s="521"/>
      <c r="K180" s="522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</row>
    <row r="181" ht="22.5" hidden="1" customHeight="1">
      <c r="A181" s="231"/>
      <c r="B181" s="520" t="s">
        <v>2114</v>
      </c>
      <c r="C181" s="516" t="s">
        <v>2148</v>
      </c>
      <c r="D181" s="516" t="s">
        <v>2137</v>
      </c>
      <c r="E181" s="530">
        <v>45569.0</v>
      </c>
      <c r="F181" s="518">
        <v>64720.0</v>
      </c>
      <c r="G181" s="519" t="s">
        <v>2179</v>
      </c>
      <c r="H181" s="520" t="s">
        <v>2181</v>
      </c>
      <c r="I181" s="231"/>
      <c r="J181" s="521"/>
      <c r="K181" s="522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</row>
    <row r="182" ht="22.5" hidden="1" customHeight="1">
      <c r="A182" s="231"/>
      <c r="B182" s="520" t="s">
        <v>2114</v>
      </c>
      <c r="C182" s="516" t="s">
        <v>2150</v>
      </c>
      <c r="D182" s="516" t="s">
        <v>2163</v>
      </c>
      <c r="E182" s="530">
        <v>45569.0</v>
      </c>
      <c r="F182" s="518">
        <v>90315.0</v>
      </c>
      <c r="G182" s="519" t="s">
        <v>2179</v>
      </c>
      <c r="H182" s="520" t="s">
        <v>2181</v>
      </c>
      <c r="I182" s="231"/>
      <c r="J182" s="521"/>
      <c r="K182" s="522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</row>
    <row r="183" ht="22.5" hidden="1" customHeight="1">
      <c r="A183" s="231"/>
      <c r="B183" s="520" t="s">
        <v>2114</v>
      </c>
      <c r="C183" s="516" t="s">
        <v>2150</v>
      </c>
      <c r="D183" s="516" t="s">
        <v>2128</v>
      </c>
      <c r="E183" s="530">
        <v>45569.0</v>
      </c>
      <c r="F183" s="518">
        <v>77000.0</v>
      </c>
      <c r="G183" s="519" t="s">
        <v>2179</v>
      </c>
      <c r="H183" s="520" t="s">
        <v>1800</v>
      </c>
      <c r="I183" s="231"/>
      <c r="J183" s="521"/>
      <c r="K183" s="522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</row>
    <row r="184" ht="22.5" hidden="1" customHeight="1">
      <c r="A184" s="231"/>
      <c r="B184" s="520" t="s">
        <v>2114</v>
      </c>
      <c r="C184" s="516" t="s">
        <v>2070</v>
      </c>
      <c r="D184" s="516" t="s">
        <v>2133</v>
      </c>
      <c r="E184" s="530">
        <v>45569.0</v>
      </c>
      <c r="F184" s="518">
        <v>55000.0</v>
      </c>
      <c r="G184" s="519" t="s">
        <v>2108</v>
      </c>
      <c r="H184" s="523"/>
      <c r="I184" s="231"/>
      <c r="J184" s="521"/>
      <c r="K184" s="522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</row>
    <row r="185" ht="22.5" hidden="1" customHeight="1">
      <c r="A185" s="231"/>
      <c r="B185" s="520" t="s">
        <v>2114</v>
      </c>
      <c r="C185" s="516" t="s">
        <v>2058</v>
      </c>
      <c r="D185" s="516" t="s">
        <v>2132</v>
      </c>
      <c r="E185" s="530">
        <v>45569.0</v>
      </c>
      <c r="F185" s="518">
        <v>100000.0</v>
      </c>
      <c r="G185" s="519" t="s">
        <v>2108</v>
      </c>
      <c r="H185" s="523"/>
      <c r="I185" s="231"/>
      <c r="J185" s="521"/>
      <c r="K185" s="522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</row>
    <row r="186" ht="22.5" hidden="1" customHeight="1">
      <c r="A186" s="231"/>
      <c r="B186" s="520" t="s">
        <v>2114</v>
      </c>
      <c r="C186" s="516" t="s">
        <v>2059</v>
      </c>
      <c r="D186" s="516" t="s">
        <v>2128</v>
      </c>
      <c r="E186" s="530">
        <v>45575.0</v>
      </c>
      <c r="F186" s="518">
        <v>90045.0</v>
      </c>
      <c r="G186" s="519" t="s">
        <v>2171</v>
      </c>
      <c r="H186" s="523"/>
      <c r="I186" s="231"/>
      <c r="J186" s="521"/>
      <c r="K186" s="522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</row>
    <row r="187" ht="22.5" hidden="1" customHeight="1">
      <c r="A187" s="231"/>
      <c r="B187" s="520" t="s">
        <v>2114</v>
      </c>
      <c r="C187" s="516" t="s">
        <v>2071</v>
      </c>
      <c r="D187" s="516" t="s">
        <v>2134</v>
      </c>
      <c r="E187" s="530">
        <v>45575.0</v>
      </c>
      <c r="F187" s="518">
        <v>27040.0</v>
      </c>
      <c r="G187" s="519" t="s">
        <v>2171</v>
      </c>
      <c r="H187" s="523"/>
      <c r="I187" s="231"/>
      <c r="J187" s="521"/>
      <c r="K187" s="522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</row>
    <row r="188" ht="22.5" hidden="1" customHeight="1">
      <c r="A188" s="231"/>
      <c r="B188" s="520" t="s">
        <v>2114</v>
      </c>
      <c r="C188" s="516" t="s">
        <v>2058</v>
      </c>
      <c r="D188" s="516" t="s">
        <v>2132</v>
      </c>
      <c r="E188" s="530">
        <v>45575.0</v>
      </c>
      <c r="F188" s="518">
        <v>60030.0</v>
      </c>
      <c r="G188" s="519" t="s">
        <v>2171</v>
      </c>
      <c r="H188" s="523"/>
      <c r="I188" s="231"/>
      <c r="J188" s="521"/>
      <c r="K188" s="522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</row>
    <row r="189" ht="22.5" hidden="1" customHeight="1">
      <c r="A189" s="231"/>
      <c r="B189" s="520" t="s">
        <v>2114</v>
      </c>
      <c r="C189" s="516" t="s">
        <v>2148</v>
      </c>
      <c r="D189" s="516" t="s">
        <v>2137</v>
      </c>
      <c r="E189" s="530">
        <v>45575.0</v>
      </c>
      <c r="F189" s="518">
        <v>51052.0</v>
      </c>
      <c r="G189" s="519" t="s">
        <v>2171</v>
      </c>
      <c r="H189" s="523"/>
      <c r="I189" s="231"/>
      <c r="J189" s="521"/>
      <c r="K189" s="522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</row>
    <row r="190" ht="22.5" hidden="1" customHeight="1">
      <c r="A190" s="231"/>
      <c r="B190" s="520" t="s">
        <v>2114</v>
      </c>
      <c r="C190" s="516" t="s">
        <v>2094</v>
      </c>
      <c r="D190" s="516" t="s">
        <v>2131</v>
      </c>
      <c r="E190" s="530">
        <v>45575.0</v>
      </c>
      <c r="F190" s="518">
        <v>60030.0</v>
      </c>
      <c r="G190" s="519" t="s">
        <v>2171</v>
      </c>
      <c r="H190" s="523"/>
      <c r="I190" s="231"/>
      <c r="J190" s="521"/>
      <c r="K190" s="522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</row>
    <row r="191" ht="22.5" hidden="1" customHeight="1">
      <c r="A191" s="231"/>
      <c r="B191" s="520" t="s">
        <v>2114</v>
      </c>
      <c r="C191" s="516" t="s">
        <v>2129</v>
      </c>
      <c r="D191" s="516" t="s">
        <v>2130</v>
      </c>
      <c r="E191" s="530">
        <v>45575.0</v>
      </c>
      <c r="F191" s="518">
        <v>36018.0</v>
      </c>
      <c r="G191" s="519" t="s">
        <v>2171</v>
      </c>
      <c r="H191" s="523"/>
      <c r="I191" s="231"/>
      <c r="J191" s="521"/>
      <c r="K191" s="522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</row>
    <row r="192" ht="22.5" hidden="1" customHeight="1">
      <c r="A192" s="231"/>
      <c r="B192" s="520" t="s">
        <v>2114</v>
      </c>
      <c r="C192" s="516" t="s">
        <v>2093</v>
      </c>
      <c r="D192" s="516" t="s">
        <v>124</v>
      </c>
      <c r="E192" s="530">
        <v>45575.0</v>
      </c>
      <c r="F192" s="518">
        <v>60030.0</v>
      </c>
      <c r="G192" s="519" t="s">
        <v>2171</v>
      </c>
      <c r="H192" s="523"/>
      <c r="I192" s="231"/>
      <c r="J192" s="521"/>
      <c r="K192" s="522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</row>
    <row r="193" ht="22.5" hidden="1" customHeight="1">
      <c r="A193" s="231"/>
      <c r="B193" s="520" t="s">
        <v>2115</v>
      </c>
      <c r="C193" s="516" t="s">
        <v>2059</v>
      </c>
      <c r="D193" s="516" t="s">
        <v>2128</v>
      </c>
      <c r="E193" s="530">
        <v>45583.0</v>
      </c>
      <c r="F193" s="518">
        <v>50000.0</v>
      </c>
      <c r="G193" s="519" t="s">
        <v>2108</v>
      </c>
      <c r="H193" s="523"/>
      <c r="I193" s="231"/>
      <c r="J193" s="521"/>
      <c r="K193" s="522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</row>
    <row r="194" ht="22.5" hidden="1" customHeight="1">
      <c r="A194" s="231"/>
      <c r="B194" s="520" t="s">
        <v>2115</v>
      </c>
      <c r="C194" s="516" t="s">
        <v>2059</v>
      </c>
      <c r="D194" s="516" t="s">
        <v>2128</v>
      </c>
      <c r="E194" s="530">
        <v>45590.0</v>
      </c>
      <c r="F194" s="518">
        <v>60030.0</v>
      </c>
      <c r="G194" s="519" t="s">
        <v>2175</v>
      </c>
      <c r="H194" s="523"/>
      <c r="I194" s="231"/>
      <c r="J194" s="521"/>
      <c r="K194" s="522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</row>
    <row r="195" ht="22.5" hidden="1" customHeight="1">
      <c r="A195" s="231"/>
      <c r="B195" s="520" t="s">
        <v>2115</v>
      </c>
      <c r="C195" s="516" t="s">
        <v>2071</v>
      </c>
      <c r="D195" s="516" t="s">
        <v>2134</v>
      </c>
      <c r="E195" s="530">
        <v>45590.0</v>
      </c>
      <c r="F195" s="518">
        <v>18026.0</v>
      </c>
      <c r="G195" s="519" t="s">
        <v>2175</v>
      </c>
      <c r="H195" s="523"/>
      <c r="I195" s="231"/>
      <c r="J195" s="521"/>
      <c r="K195" s="522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</row>
    <row r="196" ht="22.5" hidden="1" customHeight="1">
      <c r="A196" s="231"/>
      <c r="B196" s="520" t="s">
        <v>2115</v>
      </c>
      <c r="C196" s="516" t="s">
        <v>2094</v>
      </c>
      <c r="D196" s="516" t="s">
        <v>2143</v>
      </c>
      <c r="E196" s="530">
        <v>45590.0</v>
      </c>
      <c r="F196" s="518">
        <v>4005.64</v>
      </c>
      <c r="G196" s="519" t="s">
        <v>2175</v>
      </c>
      <c r="H196" s="523"/>
      <c r="I196" s="231"/>
      <c r="J196" s="521"/>
      <c r="K196" s="522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</row>
    <row r="197" ht="22.5" hidden="1" customHeight="1">
      <c r="A197" s="231"/>
      <c r="B197" s="520" t="s">
        <v>2115</v>
      </c>
      <c r="C197" s="516" t="s">
        <v>2058</v>
      </c>
      <c r="D197" s="516" t="s">
        <v>2132</v>
      </c>
      <c r="E197" s="530">
        <v>45590.0</v>
      </c>
      <c r="F197" s="518">
        <v>40020.0</v>
      </c>
      <c r="G197" s="519" t="s">
        <v>2175</v>
      </c>
      <c r="H197" s="523"/>
      <c r="I197" s="231"/>
      <c r="J197" s="521"/>
      <c r="K197" s="522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</row>
    <row r="198" ht="22.5" hidden="1" customHeight="1">
      <c r="A198" s="231"/>
      <c r="B198" s="520" t="s">
        <v>2115</v>
      </c>
      <c r="C198" s="516" t="s">
        <v>2148</v>
      </c>
      <c r="D198" s="516" t="s">
        <v>2137</v>
      </c>
      <c r="E198" s="530">
        <v>45590.0</v>
      </c>
      <c r="F198" s="518">
        <v>34034.0</v>
      </c>
      <c r="G198" s="519" t="s">
        <v>2175</v>
      </c>
      <c r="H198" s="523"/>
      <c r="I198" s="231"/>
      <c r="J198" s="521"/>
      <c r="K198" s="522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</row>
    <row r="199" ht="22.5" hidden="1" customHeight="1">
      <c r="A199" s="231"/>
      <c r="B199" s="520" t="s">
        <v>2115</v>
      </c>
      <c r="C199" s="516" t="s">
        <v>2094</v>
      </c>
      <c r="D199" s="516" t="s">
        <v>2131</v>
      </c>
      <c r="E199" s="530">
        <v>45590.0</v>
      </c>
      <c r="F199" s="518">
        <v>40020.0</v>
      </c>
      <c r="G199" s="519" t="s">
        <v>2175</v>
      </c>
      <c r="H199" s="523"/>
      <c r="I199" s="231"/>
      <c r="J199" s="521"/>
      <c r="K199" s="522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</row>
    <row r="200" ht="22.5" hidden="1" customHeight="1">
      <c r="A200" s="231"/>
      <c r="B200" s="520" t="s">
        <v>2115</v>
      </c>
      <c r="C200" s="516" t="s">
        <v>2129</v>
      </c>
      <c r="D200" s="516" t="s">
        <v>2130</v>
      </c>
      <c r="E200" s="530">
        <v>45590.0</v>
      </c>
      <c r="F200" s="518">
        <v>24012.0</v>
      </c>
      <c r="G200" s="519" t="s">
        <v>2175</v>
      </c>
      <c r="H200" s="523"/>
      <c r="I200" s="231"/>
      <c r="J200" s="521"/>
      <c r="K200" s="522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</row>
    <row r="201" ht="22.5" hidden="1" customHeight="1">
      <c r="A201" s="231"/>
      <c r="B201" s="520" t="s">
        <v>2115</v>
      </c>
      <c r="C201" s="516" t="s">
        <v>2093</v>
      </c>
      <c r="D201" s="516" t="s">
        <v>124</v>
      </c>
      <c r="E201" s="530">
        <v>45590.0</v>
      </c>
      <c r="F201" s="518">
        <v>40020.0</v>
      </c>
      <c r="G201" s="519" t="s">
        <v>2175</v>
      </c>
      <c r="H201" s="523"/>
      <c r="I201" s="231"/>
      <c r="J201" s="521"/>
      <c r="K201" s="522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</row>
    <row r="202" ht="22.5" hidden="1" customHeight="1">
      <c r="A202" s="231"/>
      <c r="B202" s="531" t="s">
        <v>2116</v>
      </c>
      <c r="C202" s="532" t="s">
        <v>2059</v>
      </c>
      <c r="D202" s="532" t="s">
        <v>2128</v>
      </c>
      <c r="E202" s="533">
        <v>45607.0</v>
      </c>
      <c r="F202" s="534">
        <v>50000.0</v>
      </c>
      <c r="G202" s="535" t="s">
        <v>2108</v>
      </c>
      <c r="H202" s="536"/>
      <c r="I202" s="231"/>
      <c r="J202" s="521"/>
      <c r="K202" s="522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</row>
    <row r="203" ht="22.5" hidden="1" customHeight="1">
      <c r="A203" s="231"/>
      <c r="B203" s="520" t="s">
        <v>2115</v>
      </c>
      <c r="C203" s="532" t="s">
        <v>2059</v>
      </c>
      <c r="D203" s="532" t="s">
        <v>2128</v>
      </c>
      <c r="E203" s="533">
        <v>45604.0</v>
      </c>
      <c r="F203" s="534">
        <v>90045.0</v>
      </c>
      <c r="G203" s="535" t="s">
        <v>2171</v>
      </c>
      <c r="H203" s="536"/>
      <c r="I203" s="231"/>
      <c r="J203" s="521"/>
      <c r="K203" s="522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</row>
    <row r="204" ht="22.5" hidden="1" customHeight="1">
      <c r="A204" s="231"/>
      <c r="B204" s="520" t="s">
        <v>2115</v>
      </c>
      <c r="C204" s="532" t="s">
        <v>2071</v>
      </c>
      <c r="D204" s="532" t="s">
        <v>2134</v>
      </c>
      <c r="E204" s="537">
        <v>45604.0</v>
      </c>
      <c r="F204" s="534">
        <v>42047.0</v>
      </c>
      <c r="G204" s="535" t="s">
        <v>2171</v>
      </c>
      <c r="H204" s="536"/>
      <c r="I204" s="231"/>
      <c r="J204" s="521"/>
      <c r="K204" s="522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</row>
    <row r="205" ht="22.5" hidden="1" customHeight="1">
      <c r="A205" s="231"/>
      <c r="B205" s="520" t="s">
        <v>2115</v>
      </c>
      <c r="C205" s="532" t="s">
        <v>2094</v>
      </c>
      <c r="D205" s="532" t="s">
        <v>2143</v>
      </c>
      <c r="E205" s="537">
        <v>45604.0</v>
      </c>
      <c r="F205" s="534">
        <v>29515.79</v>
      </c>
      <c r="G205" s="535" t="s">
        <v>2171</v>
      </c>
      <c r="H205" s="536"/>
      <c r="I205" s="231"/>
      <c r="J205" s="521"/>
      <c r="K205" s="522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</row>
    <row r="206" ht="22.5" hidden="1" customHeight="1">
      <c r="A206" s="231"/>
      <c r="B206" s="520" t="s">
        <v>2115</v>
      </c>
      <c r="C206" s="532" t="s">
        <v>2058</v>
      </c>
      <c r="D206" s="532" t="s">
        <v>2132</v>
      </c>
      <c r="E206" s="537">
        <v>45604.0</v>
      </c>
      <c r="F206" s="534">
        <v>60030.0</v>
      </c>
      <c r="G206" s="535" t="s">
        <v>2171</v>
      </c>
      <c r="H206" s="536"/>
      <c r="I206" s="231"/>
      <c r="J206" s="521"/>
      <c r="K206" s="522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</row>
    <row r="207" ht="22.5" hidden="1" customHeight="1">
      <c r="A207" s="231"/>
      <c r="B207" s="520" t="s">
        <v>2115</v>
      </c>
      <c r="C207" s="532" t="s">
        <v>2148</v>
      </c>
      <c r="D207" s="532" t="s">
        <v>2137</v>
      </c>
      <c r="E207" s="537">
        <v>45604.0</v>
      </c>
      <c r="F207" s="534">
        <v>51052.0</v>
      </c>
      <c r="G207" s="535" t="s">
        <v>2171</v>
      </c>
      <c r="H207" s="536"/>
      <c r="I207" s="231"/>
      <c r="J207" s="521"/>
      <c r="K207" s="522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</row>
    <row r="208" ht="22.5" hidden="1" customHeight="1">
      <c r="A208" s="231"/>
      <c r="B208" s="520" t="s">
        <v>2115</v>
      </c>
      <c r="C208" s="532" t="s">
        <v>2094</v>
      </c>
      <c r="D208" s="532" t="s">
        <v>2131</v>
      </c>
      <c r="E208" s="537">
        <v>45604.0</v>
      </c>
      <c r="F208" s="534">
        <v>60030.0</v>
      </c>
      <c r="G208" s="535" t="s">
        <v>2171</v>
      </c>
      <c r="H208" s="536"/>
      <c r="I208" s="231"/>
      <c r="J208" s="521"/>
      <c r="K208" s="522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</row>
    <row r="209" ht="22.5" hidden="1" customHeight="1">
      <c r="A209" s="231"/>
      <c r="B209" s="520" t="s">
        <v>2115</v>
      </c>
      <c r="C209" s="532" t="s">
        <v>2093</v>
      </c>
      <c r="D209" s="532" t="s">
        <v>124</v>
      </c>
      <c r="E209" s="537">
        <v>45604.0</v>
      </c>
      <c r="F209" s="534">
        <v>60030.0</v>
      </c>
      <c r="G209" s="535" t="s">
        <v>2171</v>
      </c>
      <c r="H209" s="536"/>
      <c r="I209" s="231"/>
      <c r="J209" s="521"/>
      <c r="K209" s="522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</row>
    <row r="210" ht="22.5" hidden="1" customHeight="1">
      <c r="A210" s="231"/>
      <c r="B210" s="520" t="s">
        <v>2115</v>
      </c>
      <c r="C210" s="532" t="s">
        <v>2129</v>
      </c>
      <c r="D210" s="532" t="s">
        <v>2130</v>
      </c>
      <c r="E210" s="537">
        <v>45604.0</v>
      </c>
      <c r="F210" s="534">
        <v>66033.0</v>
      </c>
      <c r="G210" s="535" t="s">
        <v>2171</v>
      </c>
      <c r="H210" s="536"/>
      <c r="I210" s="231"/>
      <c r="J210" s="521"/>
      <c r="K210" s="522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</row>
    <row r="211" ht="22.5" hidden="1" customHeight="1">
      <c r="A211" s="231"/>
      <c r="B211" s="520" t="s">
        <v>2115</v>
      </c>
      <c r="C211" s="532" t="s">
        <v>2059</v>
      </c>
      <c r="D211" s="532" t="s">
        <v>2128</v>
      </c>
      <c r="E211" s="537">
        <v>45601.0</v>
      </c>
      <c r="F211" s="534">
        <v>74970.0</v>
      </c>
      <c r="G211" s="535" t="s">
        <v>2108</v>
      </c>
      <c r="H211" s="536"/>
      <c r="I211" s="231"/>
      <c r="J211" s="521"/>
      <c r="K211" s="522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</row>
    <row r="212" ht="22.5" hidden="1" customHeight="1">
      <c r="A212" s="231"/>
      <c r="B212" s="520" t="s">
        <v>2115</v>
      </c>
      <c r="C212" s="532" t="s">
        <v>2093</v>
      </c>
      <c r="D212" s="532" t="s">
        <v>124</v>
      </c>
      <c r="E212" s="537">
        <v>45601.0</v>
      </c>
      <c r="F212" s="534">
        <v>99980.0</v>
      </c>
      <c r="G212" s="535" t="s">
        <v>2108</v>
      </c>
      <c r="H212" s="536"/>
      <c r="I212" s="231"/>
      <c r="J212" s="521"/>
      <c r="K212" s="522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</row>
    <row r="213" ht="22.5" hidden="1" customHeight="1">
      <c r="A213" s="231"/>
      <c r="B213" s="520" t="s">
        <v>2115</v>
      </c>
      <c r="C213" s="532" t="s">
        <v>2129</v>
      </c>
      <c r="D213" s="532" t="s">
        <v>2130</v>
      </c>
      <c r="E213" s="537">
        <v>45601.0</v>
      </c>
      <c r="F213" s="534">
        <v>50000.0</v>
      </c>
      <c r="G213" s="535" t="s">
        <v>2108</v>
      </c>
      <c r="H213" s="536"/>
      <c r="I213" s="231"/>
      <c r="J213" s="521"/>
      <c r="K213" s="522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</row>
    <row r="214" ht="22.5" hidden="1" customHeight="1">
      <c r="A214" s="231"/>
      <c r="B214" s="520" t="s">
        <v>2115</v>
      </c>
      <c r="C214" s="532" t="s">
        <v>2094</v>
      </c>
      <c r="D214" s="532" t="s">
        <v>2131</v>
      </c>
      <c r="E214" s="537">
        <v>45601.0</v>
      </c>
      <c r="F214" s="534">
        <v>30000.0</v>
      </c>
      <c r="G214" s="535" t="s">
        <v>2108</v>
      </c>
      <c r="H214" s="536"/>
      <c r="I214" s="231"/>
      <c r="J214" s="521"/>
      <c r="K214" s="522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</row>
    <row r="215" ht="22.5" hidden="1" customHeight="1">
      <c r="A215" s="231"/>
      <c r="B215" s="520" t="s">
        <v>2115</v>
      </c>
      <c r="C215" s="532" t="s">
        <v>2069</v>
      </c>
      <c r="D215" s="532" t="s">
        <v>2135</v>
      </c>
      <c r="E215" s="537">
        <v>45601.0</v>
      </c>
      <c r="F215" s="534">
        <v>140000.0</v>
      </c>
      <c r="G215" s="535" t="s">
        <v>2108</v>
      </c>
      <c r="H215" s="536"/>
      <c r="I215" s="231"/>
      <c r="J215" s="521"/>
      <c r="K215" s="522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</row>
    <row r="216" ht="22.5" hidden="1" customHeight="1">
      <c r="A216" s="231"/>
      <c r="B216" s="520" t="s">
        <v>2115</v>
      </c>
      <c r="C216" s="532" t="s">
        <v>2148</v>
      </c>
      <c r="D216" s="532" t="s">
        <v>2137</v>
      </c>
      <c r="E216" s="537">
        <v>45601.0</v>
      </c>
      <c r="F216" s="534">
        <v>84966.0</v>
      </c>
      <c r="G216" s="535" t="s">
        <v>2108</v>
      </c>
      <c r="H216" s="536"/>
      <c r="I216" s="231"/>
      <c r="J216" s="521"/>
      <c r="K216" s="522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</row>
    <row r="217" ht="22.5" hidden="1" customHeight="1">
      <c r="A217" s="231"/>
      <c r="B217" s="520" t="s">
        <v>2115</v>
      </c>
      <c r="C217" s="532" t="s">
        <v>2094</v>
      </c>
      <c r="D217" s="532" t="s">
        <v>2143</v>
      </c>
      <c r="E217" s="537">
        <v>45601.0</v>
      </c>
      <c r="F217" s="534">
        <v>5000.0</v>
      </c>
      <c r="G217" s="535" t="s">
        <v>2108</v>
      </c>
      <c r="H217" s="536"/>
      <c r="I217" s="231"/>
      <c r="J217" s="521"/>
      <c r="K217" s="522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</row>
    <row r="218" ht="22.5" hidden="1" customHeight="1">
      <c r="A218" s="231"/>
      <c r="B218" s="520" t="s">
        <v>2115</v>
      </c>
      <c r="C218" s="532" t="s">
        <v>2058</v>
      </c>
      <c r="D218" s="532" t="s">
        <v>2132</v>
      </c>
      <c r="E218" s="537">
        <v>45601.0</v>
      </c>
      <c r="F218" s="534">
        <v>100000.0</v>
      </c>
      <c r="G218" s="535" t="s">
        <v>2108</v>
      </c>
      <c r="H218" s="536"/>
      <c r="I218" s="231"/>
      <c r="J218" s="521"/>
      <c r="K218" s="522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</row>
    <row r="219" ht="22.5" hidden="1" customHeight="1">
      <c r="A219" s="231"/>
      <c r="B219" s="520" t="s">
        <v>2115</v>
      </c>
      <c r="C219" s="532" t="s">
        <v>2070</v>
      </c>
      <c r="D219" s="532" t="s">
        <v>2133</v>
      </c>
      <c r="E219" s="537">
        <v>45601.0</v>
      </c>
      <c r="F219" s="534">
        <v>55000.0</v>
      </c>
      <c r="G219" s="535" t="s">
        <v>2108</v>
      </c>
      <c r="H219" s="536"/>
      <c r="I219" s="231"/>
      <c r="J219" s="521"/>
      <c r="K219" s="522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</row>
    <row r="220" ht="22.5" hidden="1" customHeight="1">
      <c r="A220" s="231"/>
      <c r="B220" s="531" t="s">
        <v>2116</v>
      </c>
      <c r="C220" s="532" t="s">
        <v>2094</v>
      </c>
      <c r="D220" s="532" t="s">
        <v>2143</v>
      </c>
      <c r="E220" s="537">
        <v>45621.0</v>
      </c>
      <c r="F220" s="534">
        <v>22028.0</v>
      </c>
      <c r="G220" s="535" t="s">
        <v>2175</v>
      </c>
      <c r="H220" s="536"/>
      <c r="I220" s="231"/>
      <c r="J220" s="521"/>
      <c r="K220" s="522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</row>
    <row r="221" ht="22.5" hidden="1" customHeight="1">
      <c r="A221" s="231"/>
      <c r="B221" s="531" t="s">
        <v>2116</v>
      </c>
      <c r="C221" s="532" t="s">
        <v>2059</v>
      </c>
      <c r="D221" s="532" t="s">
        <v>2128</v>
      </c>
      <c r="E221" s="537">
        <v>45621.0</v>
      </c>
      <c r="F221" s="534">
        <v>60030.0</v>
      </c>
      <c r="G221" s="535" t="s">
        <v>2175</v>
      </c>
      <c r="H221" s="536"/>
      <c r="I221" s="231"/>
      <c r="J221" s="521"/>
      <c r="K221" s="522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</row>
    <row r="222" ht="22.5" hidden="1" customHeight="1">
      <c r="A222" s="231"/>
      <c r="B222" s="531" t="s">
        <v>2116</v>
      </c>
      <c r="C222" s="532" t="s">
        <v>2071</v>
      </c>
      <c r="D222" s="532" t="s">
        <v>2134</v>
      </c>
      <c r="E222" s="537">
        <v>45621.0</v>
      </c>
      <c r="F222" s="534">
        <v>24030.0</v>
      </c>
      <c r="G222" s="535" t="s">
        <v>2175</v>
      </c>
      <c r="H222" s="536"/>
      <c r="I222" s="231"/>
      <c r="J222" s="521"/>
      <c r="K222" s="522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</row>
    <row r="223" ht="22.5" hidden="1" customHeight="1">
      <c r="A223" s="231"/>
      <c r="B223" s="531" t="s">
        <v>2116</v>
      </c>
      <c r="C223" s="532" t="s">
        <v>2058</v>
      </c>
      <c r="D223" s="532" t="s">
        <v>2132</v>
      </c>
      <c r="E223" s="537">
        <v>45621.0</v>
      </c>
      <c r="F223" s="534">
        <v>40020.0</v>
      </c>
      <c r="G223" s="535" t="s">
        <v>2175</v>
      </c>
      <c r="H223" s="536"/>
      <c r="I223" s="231"/>
      <c r="J223" s="521"/>
      <c r="K223" s="522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</row>
    <row r="224" ht="22.5" hidden="1" customHeight="1">
      <c r="A224" s="231"/>
      <c r="B224" s="531" t="s">
        <v>2116</v>
      </c>
      <c r="C224" s="532" t="s">
        <v>2148</v>
      </c>
      <c r="D224" s="532" t="s">
        <v>2137</v>
      </c>
      <c r="E224" s="537">
        <v>45621.0</v>
      </c>
      <c r="F224" s="534">
        <v>34034.0</v>
      </c>
      <c r="G224" s="535" t="s">
        <v>2175</v>
      </c>
      <c r="H224" s="536"/>
      <c r="I224" s="231"/>
      <c r="J224" s="521"/>
      <c r="K224" s="522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</row>
    <row r="225" ht="22.5" hidden="1" customHeight="1">
      <c r="A225" s="231"/>
      <c r="B225" s="531" t="s">
        <v>2116</v>
      </c>
      <c r="C225" s="532" t="s">
        <v>2094</v>
      </c>
      <c r="D225" s="532" t="s">
        <v>2131</v>
      </c>
      <c r="E225" s="537">
        <v>45621.0</v>
      </c>
      <c r="F225" s="534">
        <v>21828.91</v>
      </c>
      <c r="G225" s="535" t="s">
        <v>2175</v>
      </c>
      <c r="H225" s="536"/>
      <c r="I225" s="231"/>
      <c r="J225" s="521"/>
      <c r="K225" s="522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</row>
    <row r="226" ht="22.5" hidden="1" customHeight="1">
      <c r="A226" s="231"/>
      <c r="B226" s="531" t="s">
        <v>2116</v>
      </c>
      <c r="C226" s="532" t="s">
        <v>2129</v>
      </c>
      <c r="D226" s="532" t="s">
        <v>2130</v>
      </c>
      <c r="E226" s="537">
        <v>45621.0</v>
      </c>
      <c r="F226" s="534">
        <v>36018.0</v>
      </c>
      <c r="G226" s="535" t="s">
        <v>2175</v>
      </c>
      <c r="H226" s="536"/>
      <c r="I226" s="231"/>
      <c r="J226" s="521"/>
      <c r="K226" s="522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</row>
    <row r="227" ht="22.5" hidden="1" customHeight="1">
      <c r="A227" s="231"/>
      <c r="B227" s="531" t="s">
        <v>2116</v>
      </c>
      <c r="C227" s="532" t="s">
        <v>2093</v>
      </c>
      <c r="D227" s="532" t="s">
        <v>124</v>
      </c>
      <c r="E227" s="537">
        <v>45621.0</v>
      </c>
      <c r="F227" s="534">
        <v>40020.0</v>
      </c>
      <c r="G227" s="535" t="s">
        <v>2175</v>
      </c>
      <c r="H227" s="536"/>
      <c r="I227" s="231"/>
      <c r="J227" s="521"/>
      <c r="K227" s="522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</row>
    <row r="228" ht="22.5" hidden="1" customHeight="1">
      <c r="A228" s="231"/>
      <c r="B228" s="531" t="s">
        <v>2116</v>
      </c>
      <c r="C228" s="532" t="s">
        <v>2059</v>
      </c>
      <c r="D228" s="532" t="s">
        <v>2128</v>
      </c>
      <c r="E228" s="537">
        <v>45626.0</v>
      </c>
      <c r="F228" s="534">
        <v>30000.0</v>
      </c>
      <c r="G228" s="535" t="s">
        <v>2108</v>
      </c>
      <c r="H228" s="536"/>
      <c r="I228" s="231"/>
      <c r="J228" s="521"/>
      <c r="K228" s="522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</row>
    <row r="229" ht="22.5" hidden="1" customHeight="1">
      <c r="A229" s="231"/>
      <c r="B229" s="531" t="s">
        <v>2116</v>
      </c>
      <c r="C229" s="532" t="s">
        <v>2094</v>
      </c>
      <c r="D229" s="532" t="s">
        <v>2143</v>
      </c>
      <c r="E229" s="537">
        <v>45628.0</v>
      </c>
      <c r="F229" s="534">
        <v>41902.0</v>
      </c>
      <c r="G229" s="535" t="s">
        <v>2175</v>
      </c>
      <c r="H229" s="536"/>
      <c r="I229" s="231"/>
      <c r="J229" s="521"/>
      <c r="K229" s="522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  <c r="AG229" s="231"/>
      <c r="AH229" s="231"/>
      <c r="AI229" s="231"/>
    </row>
    <row r="230" ht="22.5" hidden="1" customHeight="1">
      <c r="A230" s="231"/>
      <c r="B230" s="531" t="s">
        <v>2117</v>
      </c>
      <c r="C230" s="532" t="s">
        <v>2144</v>
      </c>
      <c r="D230" s="532" t="s">
        <v>2145</v>
      </c>
      <c r="E230" s="537">
        <v>45649.0</v>
      </c>
      <c r="F230" s="534">
        <v>60000.0</v>
      </c>
      <c r="G230" s="535" t="s">
        <v>2179</v>
      </c>
      <c r="H230" s="536"/>
      <c r="I230" s="231"/>
      <c r="J230" s="521"/>
      <c r="K230" s="522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231"/>
      <c r="AB230" s="231"/>
      <c r="AC230" s="231"/>
      <c r="AD230" s="231"/>
      <c r="AE230" s="231"/>
      <c r="AF230" s="231"/>
      <c r="AG230" s="231"/>
      <c r="AH230" s="231"/>
      <c r="AI230" s="231"/>
    </row>
    <row r="231" ht="22.5" hidden="1" customHeight="1">
      <c r="A231" s="231"/>
      <c r="B231" s="531" t="s">
        <v>2116</v>
      </c>
      <c r="C231" s="532" t="s">
        <v>2059</v>
      </c>
      <c r="D231" s="532" t="s">
        <v>2128</v>
      </c>
      <c r="E231" s="537">
        <v>45636.0</v>
      </c>
      <c r="F231" s="534">
        <v>90045.0</v>
      </c>
      <c r="G231" s="535" t="s">
        <v>2171</v>
      </c>
      <c r="H231" s="536"/>
      <c r="I231" s="231"/>
      <c r="J231" s="521"/>
      <c r="K231" s="522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231"/>
      <c r="AB231" s="231"/>
      <c r="AC231" s="231"/>
      <c r="AD231" s="231"/>
      <c r="AE231" s="231"/>
      <c r="AF231" s="231"/>
      <c r="AG231" s="231"/>
      <c r="AH231" s="231"/>
      <c r="AI231" s="231"/>
    </row>
    <row r="232" ht="22.5" hidden="1" customHeight="1">
      <c r="A232" s="231"/>
      <c r="B232" s="531" t="s">
        <v>2116</v>
      </c>
      <c r="C232" s="532" t="s">
        <v>2071</v>
      </c>
      <c r="D232" s="532" t="s">
        <v>2134</v>
      </c>
      <c r="E232" s="537">
        <v>45636.0</v>
      </c>
      <c r="F232" s="534">
        <v>36044.0</v>
      </c>
      <c r="G232" s="535" t="s">
        <v>2171</v>
      </c>
      <c r="H232" s="536"/>
      <c r="I232" s="231"/>
      <c r="J232" s="521"/>
      <c r="K232" s="522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231"/>
      <c r="AB232" s="231"/>
      <c r="AC232" s="231"/>
      <c r="AD232" s="231"/>
      <c r="AE232" s="231"/>
      <c r="AF232" s="231"/>
      <c r="AG232" s="231"/>
      <c r="AH232" s="231"/>
      <c r="AI232" s="231"/>
    </row>
    <row r="233" ht="22.5" hidden="1" customHeight="1">
      <c r="A233" s="231"/>
      <c r="B233" s="531" t="s">
        <v>2116</v>
      </c>
      <c r="C233" s="532" t="s">
        <v>2058</v>
      </c>
      <c r="D233" s="532" t="s">
        <v>2132</v>
      </c>
      <c r="E233" s="537">
        <v>45636.0</v>
      </c>
      <c r="F233" s="534">
        <v>60030.0</v>
      </c>
      <c r="G233" s="535" t="s">
        <v>2171</v>
      </c>
      <c r="H233" s="536"/>
      <c r="I233" s="231"/>
      <c r="J233" s="521"/>
      <c r="K233" s="522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  <c r="AA233" s="231"/>
      <c r="AB233" s="231"/>
      <c r="AC233" s="231"/>
      <c r="AD233" s="231"/>
      <c r="AE233" s="231"/>
      <c r="AF233" s="231"/>
      <c r="AG233" s="231"/>
      <c r="AH233" s="231"/>
      <c r="AI233" s="231"/>
    </row>
    <row r="234" ht="22.5" hidden="1" customHeight="1">
      <c r="A234" s="231"/>
      <c r="B234" s="531" t="s">
        <v>2116</v>
      </c>
      <c r="C234" s="532" t="s">
        <v>2136</v>
      </c>
      <c r="D234" s="532" t="s">
        <v>2137</v>
      </c>
      <c r="E234" s="537">
        <v>45636.0</v>
      </c>
      <c r="F234" s="534">
        <v>51052.0</v>
      </c>
      <c r="G234" s="535" t="s">
        <v>2171</v>
      </c>
      <c r="H234" s="536"/>
      <c r="I234" s="231"/>
      <c r="J234" s="521"/>
      <c r="K234" s="522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  <c r="AG234" s="231"/>
      <c r="AH234" s="231"/>
      <c r="AI234" s="231"/>
    </row>
    <row r="235" ht="22.5" hidden="1" customHeight="1">
      <c r="A235" s="231"/>
      <c r="B235" s="531" t="s">
        <v>2116</v>
      </c>
      <c r="C235" s="532" t="s">
        <v>2094</v>
      </c>
      <c r="D235" s="532" t="s">
        <v>2131</v>
      </c>
      <c r="E235" s="537">
        <v>45636.0</v>
      </c>
      <c r="F235" s="534">
        <v>54399.14</v>
      </c>
      <c r="G235" s="535" t="s">
        <v>2171</v>
      </c>
      <c r="H235" s="536"/>
      <c r="I235" s="231"/>
      <c r="J235" s="521"/>
      <c r="K235" s="522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  <c r="AA235" s="231"/>
      <c r="AB235" s="231"/>
      <c r="AC235" s="231"/>
      <c r="AD235" s="231"/>
      <c r="AE235" s="231"/>
      <c r="AF235" s="231"/>
      <c r="AG235" s="231"/>
      <c r="AH235" s="231"/>
      <c r="AI235" s="231"/>
    </row>
    <row r="236" ht="22.5" hidden="1" customHeight="1">
      <c r="A236" s="231"/>
      <c r="B236" s="531" t="s">
        <v>2116</v>
      </c>
      <c r="C236" s="532" t="s">
        <v>2129</v>
      </c>
      <c r="D236" s="532" t="s">
        <v>2130</v>
      </c>
      <c r="E236" s="537">
        <v>45636.0</v>
      </c>
      <c r="F236" s="534">
        <v>54027.0</v>
      </c>
      <c r="G236" s="535" t="s">
        <v>2171</v>
      </c>
      <c r="H236" s="536"/>
      <c r="I236" s="231"/>
      <c r="J236" s="521"/>
      <c r="K236" s="522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  <c r="AA236" s="231"/>
      <c r="AB236" s="231"/>
      <c r="AC236" s="231"/>
      <c r="AD236" s="231"/>
      <c r="AE236" s="231"/>
      <c r="AF236" s="231"/>
      <c r="AG236" s="231"/>
      <c r="AH236" s="231"/>
      <c r="AI236" s="231"/>
    </row>
    <row r="237" ht="22.5" hidden="1" customHeight="1">
      <c r="A237" s="231"/>
      <c r="B237" s="531" t="s">
        <v>2116</v>
      </c>
      <c r="C237" s="532" t="s">
        <v>2093</v>
      </c>
      <c r="D237" s="532" t="s">
        <v>124</v>
      </c>
      <c r="E237" s="537">
        <v>45636.0</v>
      </c>
      <c r="F237" s="534">
        <v>60030.0</v>
      </c>
      <c r="G237" s="535" t="s">
        <v>2171</v>
      </c>
      <c r="H237" s="536"/>
      <c r="I237" s="231"/>
      <c r="J237" s="521"/>
      <c r="K237" s="522"/>
      <c r="L237" s="231"/>
      <c r="M237" s="231"/>
      <c r="N237" s="231"/>
      <c r="O237" s="231"/>
      <c r="P237" s="231"/>
      <c r="Q237" s="229"/>
      <c r="R237" s="522"/>
      <c r="S237" s="522"/>
      <c r="T237" s="522"/>
      <c r="U237" s="538"/>
      <c r="V237" s="538"/>
      <c r="W237" s="538"/>
      <c r="X237" s="538"/>
      <c r="Y237" s="538"/>
      <c r="Z237" s="538"/>
      <c r="AA237" s="538"/>
      <c r="AB237" s="538"/>
      <c r="AC237" s="522"/>
      <c r="AD237" s="231"/>
      <c r="AE237" s="231"/>
      <c r="AF237" s="231"/>
      <c r="AG237" s="231"/>
      <c r="AH237" s="231"/>
      <c r="AI237" s="231"/>
    </row>
    <row r="238" ht="22.5" hidden="1" customHeight="1">
      <c r="A238" s="231"/>
      <c r="B238" s="531" t="s">
        <v>2116</v>
      </c>
      <c r="C238" s="532" t="s">
        <v>2059</v>
      </c>
      <c r="D238" s="532" t="s">
        <v>2128</v>
      </c>
      <c r="E238" s="537">
        <v>45631.0</v>
      </c>
      <c r="F238" s="539">
        <v>76500.0</v>
      </c>
      <c r="G238" s="535" t="s">
        <v>2108</v>
      </c>
      <c r="H238" s="536"/>
      <c r="I238" s="231"/>
      <c r="J238" s="521"/>
      <c r="K238" s="522"/>
      <c r="L238" s="231"/>
      <c r="M238" s="231"/>
      <c r="N238" s="231"/>
      <c r="O238" s="231"/>
      <c r="P238" s="231"/>
      <c r="Q238" s="229"/>
      <c r="R238" s="522"/>
      <c r="S238" s="522"/>
      <c r="T238" s="522"/>
      <c r="U238" s="538"/>
      <c r="V238" s="538"/>
      <c r="W238" s="538"/>
      <c r="X238" s="538"/>
      <c r="Y238" s="538"/>
      <c r="Z238" s="538"/>
      <c r="AA238" s="538"/>
      <c r="AB238" s="538"/>
      <c r="AC238" s="522"/>
      <c r="AD238" s="231"/>
      <c r="AE238" s="231"/>
      <c r="AF238" s="231"/>
      <c r="AG238" s="231"/>
      <c r="AH238" s="231"/>
      <c r="AI238" s="231"/>
    </row>
    <row r="239" ht="22.5" hidden="1" customHeight="1">
      <c r="A239" s="231"/>
      <c r="B239" s="531" t="s">
        <v>2116</v>
      </c>
      <c r="C239" s="532" t="s">
        <v>2093</v>
      </c>
      <c r="D239" s="532" t="s">
        <v>124</v>
      </c>
      <c r="E239" s="537">
        <v>45631.0</v>
      </c>
      <c r="F239" s="539">
        <v>100000.0</v>
      </c>
      <c r="G239" s="535" t="s">
        <v>2108</v>
      </c>
      <c r="H239" s="536"/>
      <c r="I239" s="231"/>
      <c r="J239" s="521"/>
      <c r="K239" s="522"/>
      <c r="L239" s="231"/>
      <c r="M239" s="231"/>
      <c r="N239" s="231"/>
      <c r="O239" s="231"/>
      <c r="P239" s="231"/>
      <c r="Q239" s="229"/>
      <c r="R239" s="522"/>
      <c r="S239" s="522"/>
      <c r="T239" s="522"/>
      <c r="U239" s="538"/>
      <c r="V239" s="538"/>
      <c r="W239" s="538"/>
      <c r="X239" s="538"/>
      <c r="Y239" s="538"/>
      <c r="Z239" s="538"/>
      <c r="AA239" s="538"/>
      <c r="AB239" s="538"/>
      <c r="AC239" s="522"/>
      <c r="AD239" s="231"/>
      <c r="AE239" s="231"/>
      <c r="AF239" s="231"/>
      <c r="AG239" s="231"/>
      <c r="AH239" s="231"/>
      <c r="AI239" s="231"/>
    </row>
    <row r="240" ht="22.5" hidden="1" customHeight="1">
      <c r="A240" s="231"/>
      <c r="B240" s="531" t="s">
        <v>2116</v>
      </c>
      <c r="C240" s="532" t="s">
        <v>2129</v>
      </c>
      <c r="D240" s="532" t="s">
        <v>2130</v>
      </c>
      <c r="E240" s="537">
        <v>45631.0</v>
      </c>
      <c r="F240" s="539">
        <v>50000.0</v>
      </c>
      <c r="G240" s="535" t="s">
        <v>2108</v>
      </c>
      <c r="H240" s="536"/>
      <c r="I240" s="231"/>
      <c r="J240" s="521"/>
      <c r="K240" s="522"/>
      <c r="L240" s="231"/>
      <c r="M240" s="231"/>
      <c r="N240" s="231"/>
      <c r="O240" s="231"/>
      <c r="P240" s="231"/>
      <c r="Q240" s="229"/>
      <c r="R240" s="522"/>
      <c r="S240" s="522"/>
      <c r="T240" s="522"/>
      <c r="U240" s="538"/>
      <c r="V240" s="538"/>
      <c r="W240" s="538"/>
      <c r="X240" s="538"/>
      <c r="Y240" s="538"/>
      <c r="Z240" s="538"/>
      <c r="AA240" s="538"/>
      <c r="AB240" s="538"/>
      <c r="AC240" s="522"/>
      <c r="AD240" s="231"/>
      <c r="AE240" s="231"/>
      <c r="AF240" s="231"/>
      <c r="AG240" s="231"/>
      <c r="AH240" s="231"/>
      <c r="AI240" s="231"/>
    </row>
    <row r="241" ht="22.5" hidden="1" customHeight="1">
      <c r="A241" s="231"/>
      <c r="B241" s="531" t="s">
        <v>2116</v>
      </c>
      <c r="C241" s="532" t="s">
        <v>2094</v>
      </c>
      <c r="D241" s="532" t="s">
        <v>2131</v>
      </c>
      <c r="E241" s="537">
        <v>45631.0</v>
      </c>
      <c r="F241" s="539">
        <v>30000.0</v>
      </c>
      <c r="G241" s="535" t="s">
        <v>2108</v>
      </c>
      <c r="H241" s="536"/>
      <c r="I241" s="231"/>
      <c r="J241" s="521"/>
      <c r="K241" s="522"/>
      <c r="L241" s="231"/>
      <c r="M241" s="231"/>
      <c r="N241" s="231"/>
      <c r="O241" s="231"/>
      <c r="P241" s="231"/>
      <c r="Q241" s="229"/>
      <c r="R241" s="522"/>
      <c r="S241" s="522"/>
      <c r="T241" s="522"/>
      <c r="U241" s="538"/>
      <c r="V241" s="538"/>
      <c r="W241" s="538"/>
      <c r="X241" s="538"/>
      <c r="Y241" s="538"/>
      <c r="Z241" s="538"/>
      <c r="AA241" s="538"/>
      <c r="AB241" s="538"/>
      <c r="AC241" s="522"/>
      <c r="AD241" s="231"/>
      <c r="AE241" s="231"/>
      <c r="AF241" s="231"/>
      <c r="AG241" s="231"/>
      <c r="AH241" s="231"/>
      <c r="AI241" s="231"/>
    </row>
    <row r="242" ht="22.5" hidden="1" customHeight="1">
      <c r="A242" s="231"/>
      <c r="B242" s="531" t="s">
        <v>2116</v>
      </c>
      <c r="C242" s="532" t="s">
        <v>2058</v>
      </c>
      <c r="D242" s="532" t="s">
        <v>2132</v>
      </c>
      <c r="E242" s="537">
        <v>45631.0</v>
      </c>
      <c r="F242" s="539">
        <v>100000.0</v>
      </c>
      <c r="G242" s="535" t="s">
        <v>2108</v>
      </c>
      <c r="H242" s="536"/>
      <c r="I242" s="231"/>
      <c r="J242" s="521"/>
      <c r="K242" s="522"/>
      <c r="L242" s="231"/>
      <c r="M242" s="231"/>
      <c r="N242" s="231"/>
      <c r="O242" s="231"/>
      <c r="P242" s="231"/>
      <c r="Q242" s="229"/>
      <c r="R242" s="522"/>
      <c r="S242" s="522"/>
      <c r="T242" s="522"/>
      <c r="U242" s="538"/>
      <c r="V242" s="538"/>
      <c r="W242" s="538"/>
      <c r="X242" s="538"/>
      <c r="Y242" s="538"/>
      <c r="Z242" s="538"/>
      <c r="AA242" s="538"/>
      <c r="AB242" s="538"/>
      <c r="AC242" s="522"/>
      <c r="AD242" s="231"/>
      <c r="AE242" s="231"/>
      <c r="AF242" s="231"/>
      <c r="AG242" s="231"/>
      <c r="AH242" s="231"/>
      <c r="AI242" s="231"/>
    </row>
    <row r="243" ht="22.5" hidden="1" customHeight="1">
      <c r="A243" s="231"/>
      <c r="B243" s="531" t="s">
        <v>2116</v>
      </c>
      <c r="C243" s="532" t="s">
        <v>2070</v>
      </c>
      <c r="D243" s="532" t="s">
        <v>2133</v>
      </c>
      <c r="E243" s="537">
        <v>45631.0</v>
      </c>
      <c r="F243" s="539">
        <v>55000.0</v>
      </c>
      <c r="G243" s="535" t="s">
        <v>2108</v>
      </c>
      <c r="H243" s="536"/>
      <c r="I243" s="231"/>
      <c r="J243" s="521"/>
      <c r="K243" s="522"/>
      <c r="L243" s="231"/>
      <c r="M243" s="231"/>
      <c r="N243" s="231"/>
      <c r="O243" s="231"/>
      <c r="P243" s="231"/>
      <c r="Q243" s="229"/>
      <c r="R243" s="522"/>
      <c r="S243" s="522"/>
      <c r="T243" s="522"/>
      <c r="U243" s="538"/>
      <c r="V243" s="538"/>
      <c r="W243" s="538"/>
      <c r="X243" s="538"/>
      <c r="Y243" s="538"/>
      <c r="Z243" s="538"/>
      <c r="AA243" s="538"/>
      <c r="AB243" s="538"/>
      <c r="AC243" s="522"/>
      <c r="AD243" s="231"/>
      <c r="AE243" s="231"/>
      <c r="AF243" s="231"/>
      <c r="AG243" s="231"/>
      <c r="AH243" s="231"/>
      <c r="AI243" s="231"/>
    </row>
    <row r="244" ht="22.5" hidden="1" customHeight="1">
      <c r="A244" s="231"/>
      <c r="B244" s="531" t="s">
        <v>2116</v>
      </c>
      <c r="C244" s="532" t="s">
        <v>2071</v>
      </c>
      <c r="D244" s="532" t="s">
        <v>2134</v>
      </c>
      <c r="E244" s="537">
        <v>45631.0</v>
      </c>
      <c r="F244" s="539">
        <v>20000.0</v>
      </c>
      <c r="G244" s="535" t="s">
        <v>2108</v>
      </c>
      <c r="H244" s="536"/>
      <c r="I244" s="231"/>
      <c r="J244" s="521"/>
      <c r="K244" s="522"/>
      <c r="L244" s="231"/>
      <c r="M244" s="231"/>
      <c r="N244" s="231"/>
      <c r="O244" s="231"/>
      <c r="P244" s="231"/>
      <c r="Q244" s="229"/>
      <c r="R244" s="522"/>
      <c r="S244" s="522"/>
      <c r="T244" s="522"/>
      <c r="U244" s="538"/>
      <c r="V244" s="538"/>
      <c r="W244" s="538"/>
      <c r="X244" s="538"/>
      <c r="Y244" s="538"/>
      <c r="Z244" s="538"/>
      <c r="AA244" s="538"/>
      <c r="AB244" s="538"/>
      <c r="AC244" s="522"/>
      <c r="AD244" s="231"/>
      <c r="AE244" s="231"/>
      <c r="AF244" s="231"/>
      <c r="AG244" s="231"/>
      <c r="AH244" s="231"/>
      <c r="AI244" s="231"/>
    </row>
    <row r="245" ht="22.5" hidden="1" customHeight="1">
      <c r="A245" s="231"/>
      <c r="B245" s="531" t="s">
        <v>2116</v>
      </c>
      <c r="C245" s="532" t="s">
        <v>2069</v>
      </c>
      <c r="D245" s="532" t="s">
        <v>2135</v>
      </c>
      <c r="E245" s="537">
        <v>45631.0</v>
      </c>
      <c r="F245" s="539">
        <v>140000.0</v>
      </c>
      <c r="G245" s="535" t="s">
        <v>2108</v>
      </c>
      <c r="H245" s="536"/>
      <c r="I245" s="231"/>
      <c r="J245" s="521"/>
      <c r="K245" s="522"/>
      <c r="L245" s="231"/>
      <c r="M245" s="231"/>
      <c r="N245" s="231"/>
      <c r="O245" s="231"/>
      <c r="P245" s="231"/>
      <c r="Q245" s="229"/>
      <c r="R245" s="522"/>
      <c r="S245" s="522"/>
      <c r="T245" s="522"/>
      <c r="U245" s="538"/>
      <c r="V245" s="538"/>
      <c r="W245" s="538"/>
      <c r="X245" s="538"/>
      <c r="Y245" s="538"/>
      <c r="Z245" s="538"/>
      <c r="AA245" s="538"/>
      <c r="AB245" s="538"/>
      <c r="AC245" s="522"/>
      <c r="AD245" s="231"/>
      <c r="AE245" s="231"/>
      <c r="AF245" s="231"/>
      <c r="AG245" s="231"/>
      <c r="AH245" s="231"/>
      <c r="AI245" s="231"/>
    </row>
    <row r="246" ht="22.5" hidden="1" customHeight="1">
      <c r="A246" s="231"/>
      <c r="B246" s="531" t="s">
        <v>2116</v>
      </c>
      <c r="C246" s="532" t="s">
        <v>2136</v>
      </c>
      <c r="D246" s="532" t="s">
        <v>2137</v>
      </c>
      <c r="E246" s="537">
        <v>45631.0</v>
      </c>
      <c r="F246" s="539">
        <v>85000.0</v>
      </c>
      <c r="G246" s="535" t="s">
        <v>2108</v>
      </c>
      <c r="H246" s="536"/>
      <c r="I246" s="231"/>
      <c r="J246" s="521"/>
      <c r="K246" s="522"/>
      <c r="L246" s="231"/>
      <c r="M246" s="231"/>
      <c r="N246" s="231"/>
      <c r="O246" s="231"/>
      <c r="P246" s="231"/>
      <c r="Q246" s="229"/>
      <c r="R246" s="522"/>
      <c r="S246" s="522"/>
      <c r="T246" s="522"/>
      <c r="U246" s="538"/>
      <c r="V246" s="538"/>
      <c r="W246" s="538"/>
      <c r="X246" s="538"/>
      <c r="Y246" s="538"/>
      <c r="Z246" s="538"/>
      <c r="AA246" s="538"/>
      <c r="AB246" s="538"/>
      <c r="AC246" s="538"/>
      <c r="AD246" s="231"/>
      <c r="AE246" s="231"/>
      <c r="AF246" s="231"/>
      <c r="AG246" s="231"/>
      <c r="AH246" s="231"/>
      <c r="AI246" s="231"/>
    </row>
    <row r="247" ht="22.5" hidden="1" customHeight="1">
      <c r="A247" s="231"/>
      <c r="B247" s="531" t="s">
        <v>2116</v>
      </c>
      <c r="C247" s="532" t="s">
        <v>2066</v>
      </c>
      <c r="D247" s="532" t="s">
        <v>2164</v>
      </c>
      <c r="E247" s="537">
        <v>45631.0</v>
      </c>
      <c r="F247" s="534">
        <v>50000.0</v>
      </c>
      <c r="G247" s="535" t="s">
        <v>2108</v>
      </c>
      <c r="H247" s="536"/>
      <c r="I247" s="231"/>
      <c r="J247" s="521"/>
      <c r="K247" s="522"/>
      <c r="L247" s="231"/>
      <c r="M247" s="231"/>
      <c r="N247" s="231"/>
      <c r="O247" s="231"/>
      <c r="P247" s="231"/>
      <c r="Q247" s="229"/>
      <c r="R247" s="522"/>
      <c r="S247" s="522"/>
      <c r="T247" s="522"/>
      <c r="U247" s="538"/>
      <c r="V247" s="538"/>
      <c r="W247" s="538"/>
      <c r="X247" s="538"/>
      <c r="Y247" s="538"/>
      <c r="Z247" s="538"/>
      <c r="AA247" s="538"/>
      <c r="AB247" s="538"/>
      <c r="AC247" s="522"/>
      <c r="AD247" s="231"/>
      <c r="AE247" s="231"/>
      <c r="AF247" s="231"/>
      <c r="AG247" s="231"/>
      <c r="AH247" s="231"/>
      <c r="AI247" s="231"/>
    </row>
    <row r="248" ht="22.5" hidden="1" customHeight="1">
      <c r="A248" s="231"/>
      <c r="B248" s="531" t="s">
        <v>2116</v>
      </c>
      <c r="C248" s="532" t="s">
        <v>2138</v>
      </c>
      <c r="D248" s="532" t="s">
        <v>2139</v>
      </c>
      <c r="E248" s="537">
        <v>45631.0</v>
      </c>
      <c r="F248" s="539">
        <v>50000.0</v>
      </c>
      <c r="G248" s="535" t="s">
        <v>2108</v>
      </c>
      <c r="H248" s="536"/>
      <c r="I248" s="231"/>
      <c r="J248" s="521"/>
      <c r="K248" s="522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  <c r="AA248" s="231"/>
      <c r="AB248" s="231"/>
      <c r="AC248" s="231"/>
      <c r="AD248" s="231"/>
      <c r="AE248" s="231"/>
      <c r="AF248" s="231"/>
      <c r="AG248" s="231"/>
      <c r="AH248" s="231"/>
      <c r="AI248" s="231"/>
    </row>
    <row r="249" ht="22.5" hidden="1" customHeight="1">
      <c r="A249" s="231"/>
      <c r="B249" s="531" t="s">
        <v>2117</v>
      </c>
      <c r="C249" s="532" t="s">
        <v>2059</v>
      </c>
      <c r="D249" s="532" t="s">
        <v>2128</v>
      </c>
      <c r="E249" s="537">
        <v>45650.0</v>
      </c>
      <c r="F249" s="534">
        <v>30000.0</v>
      </c>
      <c r="G249" s="535" t="s">
        <v>2108</v>
      </c>
      <c r="H249" s="536"/>
      <c r="I249" s="231"/>
      <c r="J249" s="521"/>
      <c r="K249" s="522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</row>
    <row r="250" ht="22.5" hidden="1" customHeight="1">
      <c r="A250" s="231"/>
      <c r="B250" s="531" t="s">
        <v>2116</v>
      </c>
      <c r="C250" s="532" t="s">
        <v>2144</v>
      </c>
      <c r="D250" s="532" t="s">
        <v>2145</v>
      </c>
      <c r="E250" s="537">
        <v>45650.0</v>
      </c>
      <c r="F250" s="534">
        <v>30000.0</v>
      </c>
      <c r="G250" s="535" t="s">
        <v>2108</v>
      </c>
      <c r="H250" s="536"/>
      <c r="I250" s="231"/>
      <c r="J250" s="521"/>
      <c r="K250" s="522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  <c r="AA250" s="231"/>
      <c r="AB250" s="231"/>
      <c r="AC250" s="231"/>
      <c r="AD250" s="231"/>
      <c r="AE250" s="231"/>
      <c r="AF250" s="231"/>
      <c r="AG250" s="231"/>
      <c r="AH250" s="231"/>
      <c r="AI250" s="231"/>
    </row>
    <row r="251" ht="22.5" hidden="1" customHeight="1">
      <c r="A251" s="231"/>
      <c r="B251" s="531" t="s">
        <v>2117</v>
      </c>
      <c r="C251" s="532" t="s">
        <v>2144</v>
      </c>
      <c r="D251" s="532" t="s">
        <v>2145</v>
      </c>
      <c r="E251" s="537">
        <v>45650.0</v>
      </c>
      <c r="F251" s="534">
        <v>30000.0</v>
      </c>
      <c r="G251" s="535" t="s">
        <v>2108</v>
      </c>
      <c r="H251" s="536"/>
      <c r="I251" s="231"/>
      <c r="J251" s="521"/>
      <c r="K251" s="522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  <c r="AA251" s="231"/>
      <c r="AB251" s="231"/>
      <c r="AC251" s="231"/>
      <c r="AD251" s="231"/>
      <c r="AE251" s="231"/>
      <c r="AF251" s="231"/>
      <c r="AG251" s="231"/>
      <c r="AH251" s="231"/>
      <c r="AI251" s="231"/>
    </row>
    <row r="252" ht="22.5" hidden="1" customHeight="1">
      <c r="A252" s="231"/>
      <c r="B252" s="531" t="s">
        <v>2117</v>
      </c>
      <c r="C252" s="532" t="s">
        <v>2059</v>
      </c>
      <c r="D252" s="532" t="s">
        <v>2128</v>
      </c>
      <c r="E252" s="537">
        <v>45651.0</v>
      </c>
      <c r="F252" s="534">
        <v>60030.0</v>
      </c>
      <c r="G252" s="535" t="s">
        <v>2175</v>
      </c>
      <c r="H252" s="536"/>
      <c r="I252" s="231"/>
      <c r="J252" s="521"/>
      <c r="K252" s="522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  <c r="AA252" s="231"/>
      <c r="AB252" s="231"/>
      <c r="AC252" s="231"/>
      <c r="AD252" s="231"/>
      <c r="AE252" s="231"/>
      <c r="AF252" s="231"/>
      <c r="AG252" s="231"/>
      <c r="AH252" s="231"/>
      <c r="AI252" s="231"/>
    </row>
    <row r="253" ht="22.5" hidden="1" customHeight="1">
      <c r="A253" s="231"/>
      <c r="B253" s="531" t="s">
        <v>2117</v>
      </c>
      <c r="C253" s="532" t="s">
        <v>2071</v>
      </c>
      <c r="D253" s="532" t="s">
        <v>2134</v>
      </c>
      <c r="E253" s="537">
        <v>45651.0</v>
      </c>
      <c r="F253" s="534">
        <v>24029.0</v>
      </c>
      <c r="G253" s="535" t="s">
        <v>2175</v>
      </c>
      <c r="H253" s="536"/>
      <c r="I253" s="231"/>
      <c r="J253" s="521"/>
      <c r="K253" s="522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  <c r="AA253" s="231"/>
      <c r="AB253" s="231"/>
      <c r="AC253" s="231"/>
      <c r="AD253" s="231"/>
      <c r="AE253" s="231"/>
      <c r="AF253" s="231"/>
      <c r="AG253" s="231"/>
      <c r="AH253" s="231"/>
      <c r="AI253" s="231"/>
    </row>
    <row r="254" ht="22.5" hidden="1" customHeight="1">
      <c r="A254" s="231"/>
      <c r="B254" s="531" t="s">
        <v>2117</v>
      </c>
      <c r="C254" s="532" t="s">
        <v>2069</v>
      </c>
      <c r="D254" s="532" t="s">
        <v>2135</v>
      </c>
      <c r="E254" s="537">
        <v>45651.0</v>
      </c>
      <c r="F254" s="534">
        <v>40020.0</v>
      </c>
      <c r="G254" s="535" t="s">
        <v>2175</v>
      </c>
      <c r="H254" s="536"/>
      <c r="I254" s="231"/>
      <c r="J254" s="521"/>
      <c r="K254" s="522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  <c r="AA254" s="231"/>
      <c r="AB254" s="231"/>
      <c r="AC254" s="231"/>
      <c r="AD254" s="231"/>
      <c r="AE254" s="231"/>
      <c r="AF254" s="231"/>
      <c r="AG254" s="231"/>
      <c r="AH254" s="231"/>
      <c r="AI254" s="231"/>
    </row>
    <row r="255" ht="22.5" hidden="1" customHeight="1">
      <c r="A255" s="231"/>
      <c r="B255" s="531" t="s">
        <v>2117</v>
      </c>
      <c r="C255" s="532" t="s">
        <v>2136</v>
      </c>
      <c r="D255" s="532" t="s">
        <v>2137</v>
      </c>
      <c r="E255" s="537">
        <v>45651.0</v>
      </c>
      <c r="F255" s="534">
        <v>40020.0</v>
      </c>
      <c r="G255" s="535" t="s">
        <v>2175</v>
      </c>
      <c r="H255" s="536"/>
      <c r="I255" s="231"/>
      <c r="J255" s="521"/>
      <c r="K255" s="522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  <c r="AA255" s="231"/>
      <c r="AB255" s="231"/>
      <c r="AC255" s="231"/>
      <c r="AD255" s="231"/>
      <c r="AE255" s="231"/>
      <c r="AF255" s="231"/>
      <c r="AG255" s="231"/>
      <c r="AH255" s="231"/>
      <c r="AI255" s="231"/>
    </row>
    <row r="256" ht="22.5" hidden="1" customHeight="1">
      <c r="A256" s="231"/>
      <c r="B256" s="531" t="s">
        <v>2117</v>
      </c>
      <c r="C256" s="532" t="s">
        <v>2094</v>
      </c>
      <c r="D256" s="532" t="s">
        <v>2131</v>
      </c>
      <c r="E256" s="537">
        <v>45651.0</v>
      </c>
      <c r="F256" s="534">
        <v>34034.0</v>
      </c>
      <c r="G256" s="535" t="s">
        <v>2175</v>
      </c>
      <c r="H256" s="536"/>
      <c r="I256" s="231"/>
      <c r="J256" s="521"/>
      <c r="K256" s="522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231"/>
      <c r="AB256" s="231"/>
      <c r="AC256" s="231"/>
      <c r="AD256" s="231"/>
      <c r="AE256" s="231"/>
      <c r="AF256" s="231"/>
      <c r="AG256" s="231"/>
      <c r="AH256" s="231"/>
      <c r="AI256" s="231"/>
    </row>
    <row r="257" ht="22.5" hidden="1" customHeight="1">
      <c r="A257" s="231"/>
      <c r="B257" s="531" t="s">
        <v>2117</v>
      </c>
      <c r="C257" s="532" t="s">
        <v>2129</v>
      </c>
      <c r="D257" s="532" t="s">
        <v>2130</v>
      </c>
      <c r="E257" s="537">
        <v>45651.0</v>
      </c>
      <c r="F257" s="534">
        <v>40020.0</v>
      </c>
      <c r="G257" s="535" t="s">
        <v>2175</v>
      </c>
      <c r="H257" s="536"/>
      <c r="I257" s="231"/>
      <c r="J257" s="521"/>
      <c r="K257" s="522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  <c r="AA257" s="231"/>
      <c r="AB257" s="231"/>
      <c r="AC257" s="231"/>
      <c r="AD257" s="231"/>
      <c r="AE257" s="231"/>
      <c r="AF257" s="231"/>
      <c r="AG257" s="231"/>
      <c r="AH257" s="231"/>
      <c r="AI257" s="231"/>
    </row>
    <row r="258" ht="22.5" hidden="1" customHeight="1">
      <c r="A258" s="231"/>
      <c r="B258" s="531" t="s">
        <v>2117</v>
      </c>
      <c r="C258" s="532" t="s">
        <v>2093</v>
      </c>
      <c r="D258" s="532" t="s">
        <v>124</v>
      </c>
      <c r="E258" s="537">
        <v>45651.0</v>
      </c>
      <c r="F258" s="534">
        <v>36018.0</v>
      </c>
      <c r="G258" s="535" t="s">
        <v>2175</v>
      </c>
      <c r="H258" s="536"/>
      <c r="I258" s="231"/>
      <c r="J258" s="521"/>
      <c r="K258" s="522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  <c r="AA258" s="231"/>
      <c r="AB258" s="231"/>
      <c r="AC258" s="231"/>
      <c r="AD258" s="231"/>
      <c r="AE258" s="231"/>
      <c r="AF258" s="231"/>
      <c r="AG258" s="231"/>
      <c r="AH258" s="231"/>
      <c r="AI258" s="231"/>
    </row>
    <row r="259" ht="22.5" hidden="1" customHeight="1">
      <c r="A259" s="231"/>
      <c r="B259" s="531" t="s">
        <v>2117</v>
      </c>
      <c r="C259" s="532" t="s">
        <v>2058</v>
      </c>
      <c r="D259" s="532" t="s">
        <v>2132</v>
      </c>
      <c r="E259" s="537">
        <v>45651.0</v>
      </c>
      <c r="F259" s="534">
        <v>40020.0</v>
      </c>
      <c r="G259" s="535" t="s">
        <v>2175</v>
      </c>
      <c r="H259" s="536"/>
      <c r="I259" s="231"/>
      <c r="J259" s="521"/>
      <c r="K259" s="522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  <c r="AA259" s="231"/>
      <c r="AB259" s="231"/>
      <c r="AC259" s="231"/>
      <c r="AD259" s="231"/>
      <c r="AE259" s="231"/>
      <c r="AF259" s="231"/>
      <c r="AG259" s="231"/>
      <c r="AH259" s="231"/>
      <c r="AI259" s="231"/>
    </row>
    <row r="260" ht="22.5" hidden="1" customHeight="1">
      <c r="A260" s="231"/>
      <c r="B260" s="531" t="s">
        <v>2117</v>
      </c>
      <c r="C260" s="532" t="s">
        <v>2069</v>
      </c>
      <c r="D260" s="532" t="s">
        <v>2135</v>
      </c>
      <c r="E260" s="537">
        <v>45654.0</v>
      </c>
      <c r="F260" s="534">
        <v>60030.0</v>
      </c>
      <c r="G260" s="535" t="s">
        <v>2171</v>
      </c>
      <c r="H260" s="536"/>
      <c r="I260" s="231"/>
      <c r="J260" s="521"/>
      <c r="K260" s="522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  <c r="AA260" s="231"/>
      <c r="AB260" s="231"/>
      <c r="AC260" s="231"/>
      <c r="AD260" s="231"/>
      <c r="AE260" s="231"/>
      <c r="AF260" s="231"/>
      <c r="AG260" s="231"/>
      <c r="AH260" s="231"/>
      <c r="AI260" s="231"/>
    </row>
    <row r="261" ht="22.5" hidden="1" customHeight="1">
      <c r="A261" s="231"/>
      <c r="B261" s="531" t="s">
        <v>2117</v>
      </c>
      <c r="C261" s="532" t="s">
        <v>2059</v>
      </c>
      <c r="D261" s="532" t="s">
        <v>2128</v>
      </c>
      <c r="E261" s="537">
        <v>45654.0</v>
      </c>
      <c r="F261" s="534">
        <v>90045.0</v>
      </c>
      <c r="G261" s="535" t="s">
        <v>2171</v>
      </c>
      <c r="H261" s="536"/>
      <c r="I261" s="231"/>
      <c r="J261" s="521"/>
      <c r="K261" s="522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  <c r="AA261" s="231"/>
      <c r="AB261" s="231"/>
      <c r="AC261" s="231"/>
      <c r="AD261" s="231"/>
      <c r="AE261" s="231"/>
      <c r="AF261" s="231"/>
      <c r="AG261" s="231"/>
      <c r="AH261" s="231"/>
      <c r="AI261" s="231"/>
    </row>
    <row r="262" ht="22.5" hidden="1" customHeight="1">
      <c r="A262" s="231"/>
      <c r="B262" s="531" t="s">
        <v>2117</v>
      </c>
      <c r="C262" s="532" t="s">
        <v>2071</v>
      </c>
      <c r="D262" s="532" t="s">
        <v>2134</v>
      </c>
      <c r="E262" s="537">
        <v>45654.0</v>
      </c>
      <c r="F262" s="534">
        <v>36044.0</v>
      </c>
      <c r="G262" s="535" t="s">
        <v>2171</v>
      </c>
      <c r="H262" s="536"/>
      <c r="I262" s="231"/>
      <c r="J262" s="521"/>
      <c r="K262" s="522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  <c r="AA262" s="231"/>
      <c r="AB262" s="231"/>
      <c r="AC262" s="231"/>
      <c r="AD262" s="231"/>
      <c r="AE262" s="231"/>
      <c r="AF262" s="231"/>
      <c r="AG262" s="231"/>
      <c r="AH262" s="231"/>
      <c r="AI262" s="231"/>
    </row>
    <row r="263" ht="22.5" hidden="1" customHeight="1">
      <c r="A263" s="231"/>
      <c r="B263" s="531" t="s">
        <v>2117</v>
      </c>
      <c r="C263" s="532" t="s">
        <v>2058</v>
      </c>
      <c r="D263" s="532" t="s">
        <v>2132</v>
      </c>
      <c r="E263" s="537">
        <v>45654.0</v>
      </c>
      <c r="F263" s="534">
        <v>60030.0</v>
      </c>
      <c r="G263" s="535" t="s">
        <v>2171</v>
      </c>
      <c r="H263" s="536"/>
      <c r="I263" s="231"/>
      <c r="J263" s="521"/>
      <c r="K263" s="522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  <c r="AA263" s="231"/>
      <c r="AB263" s="231"/>
      <c r="AC263" s="231"/>
      <c r="AD263" s="231"/>
      <c r="AE263" s="231"/>
      <c r="AF263" s="231"/>
      <c r="AG263" s="231"/>
      <c r="AH263" s="231"/>
      <c r="AI263" s="231"/>
    </row>
    <row r="264" ht="22.5" hidden="1" customHeight="1">
      <c r="A264" s="231"/>
      <c r="B264" s="531" t="s">
        <v>2117</v>
      </c>
      <c r="C264" s="532" t="s">
        <v>2136</v>
      </c>
      <c r="D264" s="532" t="s">
        <v>2137</v>
      </c>
      <c r="E264" s="537">
        <v>45654.0</v>
      </c>
      <c r="F264" s="534">
        <v>51052.0</v>
      </c>
      <c r="G264" s="535" t="s">
        <v>2171</v>
      </c>
      <c r="H264" s="536"/>
      <c r="I264" s="231"/>
      <c r="J264" s="521"/>
      <c r="K264" s="522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  <c r="AA264" s="231"/>
      <c r="AB264" s="231"/>
      <c r="AC264" s="231"/>
      <c r="AD264" s="231"/>
      <c r="AE264" s="231"/>
      <c r="AF264" s="231"/>
      <c r="AG264" s="231"/>
      <c r="AH264" s="231"/>
      <c r="AI264" s="231"/>
    </row>
    <row r="265" ht="22.5" hidden="1" customHeight="1">
      <c r="A265" s="231"/>
      <c r="B265" s="531" t="s">
        <v>2117</v>
      </c>
      <c r="C265" s="532" t="s">
        <v>2094</v>
      </c>
      <c r="D265" s="532" t="s">
        <v>2131</v>
      </c>
      <c r="E265" s="537">
        <v>45654.0</v>
      </c>
      <c r="F265" s="534">
        <v>60030.0</v>
      </c>
      <c r="G265" s="535" t="s">
        <v>2171</v>
      </c>
      <c r="H265" s="536"/>
      <c r="I265" s="231"/>
      <c r="J265" s="521"/>
      <c r="K265" s="522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</row>
    <row r="266" ht="22.5" hidden="1" customHeight="1">
      <c r="A266" s="231"/>
      <c r="B266" s="531" t="s">
        <v>2117</v>
      </c>
      <c r="C266" s="532" t="s">
        <v>2129</v>
      </c>
      <c r="D266" s="532" t="s">
        <v>2130</v>
      </c>
      <c r="E266" s="537">
        <v>45654.0</v>
      </c>
      <c r="F266" s="534">
        <v>54027.0</v>
      </c>
      <c r="G266" s="535" t="s">
        <v>2171</v>
      </c>
      <c r="H266" s="536"/>
      <c r="I266" s="231"/>
      <c r="J266" s="521"/>
      <c r="K266" s="522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</row>
    <row r="267" ht="22.5" hidden="1" customHeight="1">
      <c r="A267" s="231"/>
      <c r="B267" s="531" t="s">
        <v>2117</v>
      </c>
      <c r="C267" s="532" t="s">
        <v>2093</v>
      </c>
      <c r="D267" s="532" t="s">
        <v>124</v>
      </c>
      <c r="E267" s="537">
        <v>45654.0</v>
      </c>
      <c r="F267" s="534">
        <v>60030.0</v>
      </c>
      <c r="G267" s="535" t="s">
        <v>2171</v>
      </c>
      <c r="H267" s="536"/>
      <c r="I267" s="231"/>
      <c r="J267" s="521"/>
      <c r="K267" s="522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  <c r="AA267" s="231"/>
      <c r="AB267" s="231"/>
      <c r="AC267" s="231"/>
      <c r="AD267" s="231"/>
      <c r="AE267" s="231"/>
      <c r="AF267" s="231"/>
      <c r="AG267" s="231"/>
      <c r="AH267" s="231"/>
      <c r="AI267" s="231"/>
    </row>
    <row r="268" ht="22.5" hidden="1" customHeight="1">
      <c r="A268" s="231"/>
      <c r="B268" s="531" t="s">
        <v>2117</v>
      </c>
      <c r="C268" s="532" t="s">
        <v>2059</v>
      </c>
      <c r="D268" s="532" t="s">
        <v>2128</v>
      </c>
      <c r="E268" s="537">
        <v>45656.0</v>
      </c>
      <c r="F268" s="534">
        <v>120000.0</v>
      </c>
      <c r="G268" s="535" t="s">
        <v>2108</v>
      </c>
      <c r="H268" s="536"/>
      <c r="I268" s="231"/>
      <c r="J268" s="521"/>
      <c r="K268" s="522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231"/>
      <c r="AB268" s="231"/>
      <c r="AC268" s="231"/>
      <c r="AD268" s="231"/>
      <c r="AE268" s="231"/>
      <c r="AF268" s="231"/>
      <c r="AG268" s="231"/>
      <c r="AH268" s="231"/>
      <c r="AI268" s="231"/>
    </row>
    <row r="269" ht="22.5" hidden="1" customHeight="1">
      <c r="A269" s="231"/>
      <c r="B269" s="531" t="s">
        <v>2117</v>
      </c>
      <c r="C269" s="532" t="s">
        <v>2093</v>
      </c>
      <c r="D269" s="532" t="s">
        <v>124</v>
      </c>
      <c r="E269" s="537">
        <v>45656.0</v>
      </c>
      <c r="F269" s="534">
        <v>100000.0</v>
      </c>
      <c r="G269" s="535" t="s">
        <v>2108</v>
      </c>
      <c r="H269" s="536"/>
      <c r="I269" s="231"/>
      <c r="J269" s="521"/>
      <c r="K269" s="522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  <c r="AA269" s="231"/>
      <c r="AB269" s="231"/>
      <c r="AC269" s="231"/>
      <c r="AD269" s="231"/>
      <c r="AE269" s="231"/>
      <c r="AF269" s="231"/>
      <c r="AG269" s="231"/>
      <c r="AH269" s="231"/>
      <c r="AI269" s="231"/>
    </row>
    <row r="270" ht="22.5" hidden="1" customHeight="1">
      <c r="A270" s="231"/>
      <c r="B270" s="531" t="s">
        <v>2117</v>
      </c>
      <c r="C270" s="532" t="s">
        <v>2129</v>
      </c>
      <c r="D270" s="532" t="s">
        <v>2130</v>
      </c>
      <c r="E270" s="537">
        <v>45656.0</v>
      </c>
      <c r="F270" s="534">
        <v>50000.0</v>
      </c>
      <c r="G270" s="535" t="s">
        <v>2108</v>
      </c>
      <c r="H270" s="536"/>
      <c r="I270" s="231"/>
      <c r="J270" s="521"/>
      <c r="K270" s="522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  <c r="AA270" s="231"/>
      <c r="AB270" s="231"/>
      <c r="AC270" s="231"/>
      <c r="AD270" s="231"/>
      <c r="AE270" s="231"/>
      <c r="AF270" s="231"/>
      <c r="AG270" s="231"/>
      <c r="AH270" s="231"/>
      <c r="AI270" s="231"/>
    </row>
    <row r="271" ht="22.5" hidden="1" customHeight="1">
      <c r="A271" s="231"/>
      <c r="B271" s="531" t="s">
        <v>2117</v>
      </c>
      <c r="C271" s="532" t="s">
        <v>2094</v>
      </c>
      <c r="D271" s="532" t="s">
        <v>2131</v>
      </c>
      <c r="E271" s="537">
        <v>45656.0</v>
      </c>
      <c r="F271" s="534">
        <v>30000.0</v>
      </c>
      <c r="G271" s="535" t="s">
        <v>2108</v>
      </c>
      <c r="H271" s="536"/>
      <c r="I271" s="231"/>
      <c r="J271" s="521"/>
      <c r="K271" s="522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  <c r="AA271" s="231"/>
      <c r="AB271" s="231"/>
      <c r="AC271" s="231"/>
      <c r="AD271" s="231"/>
      <c r="AE271" s="231"/>
      <c r="AF271" s="231"/>
      <c r="AG271" s="231"/>
      <c r="AH271" s="231"/>
      <c r="AI271" s="231"/>
    </row>
    <row r="272" ht="22.5" hidden="1" customHeight="1">
      <c r="A272" s="231"/>
      <c r="B272" s="531" t="s">
        <v>2117</v>
      </c>
      <c r="C272" s="532" t="s">
        <v>2058</v>
      </c>
      <c r="D272" s="532" t="s">
        <v>2132</v>
      </c>
      <c r="E272" s="537">
        <v>45656.0</v>
      </c>
      <c r="F272" s="534">
        <v>100000.0</v>
      </c>
      <c r="G272" s="535" t="s">
        <v>2108</v>
      </c>
      <c r="H272" s="536"/>
      <c r="I272" s="231"/>
      <c r="J272" s="521"/>
      <c r="K272" s="522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  <c r="AA272" s="231"/>
      <c r="AB272" s="231"/>
      <c r="AC272" s="231"/>
      <c r="AD272" s="231"/>
      <c r="AE272" s="231"/>
      <c r="AF272" s="231"/>
      <c r="AG272" s="231"/>
      <c r="AH272" s="231"/>
      <c r="AI272" s="231"/>
    </row>
    <row r="273" ht="22.5" hidden="1" customHeight="1">
      <c r="A273" s="231"/>
      <c r="B273" s="531" t="s">
        <v>2117</v>
      </c>
      <c r="C273" s="532" t="s">
        <v>2070</v>
      </c>
      <c r="D273" s="532" t="s">
        <v>2133</v>
      </c>
      <c r="E273" s="537">
        <v>45656.0</v>
      </c>
      <c r="F273" s="534">
        <v>55000.0</v>
      </c>
      <c r="G273" s="535" t="s">
        <v>2108</v>
      </c>
      <c r="H273" s="536"/>
      <c r="I273" s="231"/>
      <c r="J273" s="521"/>
      <c r="K273" s="522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  <c r="AA273" s="231"/>
      <c r="AB273" s="231"/>
      <c r="AC273" s="231"/>
      <c r="AD273" s="231"/>
      <c r="AE273" s="231"/>
      <c r="AF273" s="231"/>
      <c r="AG273" s="231"/>
      <c r="AH273" s="231"/>
      <c r="AI273" s="231"/>
    </row>
    <row r="274" ht="22.5" hidden="1" customHeight="1">
      <c r="A274" s="231"/>
      <c r="B274" s="531" t="s">
        <v>2117</v>
      </c>
      <c r="C274" s="532" t="s">
        <v>2071</v>
      </c>
      <c r="D274" s="532" t="s">
        <v>2134</v>
      </c>
      <c r="E274" s="537">
        <v>45656.0</v>
      </c>
      <c r="F274" s="534">
        <v>20000.0</v>
      </c>
      <c r="G274" s="535" t="s">
        <v>2108</v>
      </c>
      <c r="H274" s="536"/>
      <c r="I274" s="231"/>
      <c r="J274" s="521"/>
      <c r="K274" s="522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  <c r="AA274" s="231"/>
      <c r="AB274" s="231"/>
      <c r="AC274" s="231"/>
      <c r="AD274" s="231"/>
      <c r="AE274" s="231"/>
      <c r="AF274" s="231"/>
      <c r="AG274" s="231"/>
      <c r="AH274" s="231"/>
      <c r="AI274" s="231"/>
    </row>
    <row r="275" ht="22.5" hidden="1" customHeight="1">
      <c r="A275" s="231"/>
      <c r="B275" s="531" t="s">
        <v>2117</v>
      </c>
      <c r="C275" s="532" t="s">
        <v>2069</v>
      </c>
      <c r="D275" s="532" t="s">
        <v>2135</v>
      </c>
      <c r="E275" s="537">
        <v>45656.0</v>
      </c>
      <c r="F275" s="534">
        <v>40000.0</v>
      </c>
      <c r="G275" s="535" t="s">
        <v>2108</v>
      </c>
      <c r="H275" s="536"/>
      <c r="I275" s="231"/>
      <c r="J275" s="521"/>
      <c r="K275" s="522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231"/>
      <c r="AB275" s="231"/>
      <c r="AC275" s="231"/>
      <c r="AD275" s="231"/>
      <c r="AE275" s="231"/>
      <c r="AF275" s="231"/>
      <c r="AG275" s="231"/>
      <c r="AH275" s="231"/>
      <c r="AI275" s="231"/>
    </row>
    <row r="276" ht="22.5" hidden="1" customHeight="1">
      <c r="A276" s="231"/>
      <c r="B276" s="531" t="s">
        <v>2117</v>
      </c>
      <c r="C276" s="532" t="s">
        <v>2136</v>
      </c>
      <c r="D276" s="532" t="s">
        <v>2137</v>
      </c>
      <c r="E276" s="537">
        <v>45656.0</v>
      </c>
      <c r="F276" s="534">
        <v>85000.0</v>
      </c>
      <c r="G276" s="535" t="s">
        <v>2108</v>
      </c>
      <c r="H276" s="536"/>
      <c r="I276" s="231"/>
      <c r="J276" s="521"/>
      <c r="K276" s="522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  <c r="AA276" s="231"/>
      <c r="AB276" s="231"/>
      <c r="AC276" s="231"/>
      <c r="AD276" s="231"/>
      <c r="AE276" s="231"/>
      <c r="AF276" s="231"/>
      <c r="AG276" s="231"/>
      <c r="AH276" s="231"/>
      <c r="AI276" s="231"/>
    </row>
    <row r="277" ht="22.5" hidden="1" customHeight="1">
      <c r="A277" s="231"/>
      <c r="B277" s="531" t="s">
        <v>2117</v>
      </c>
      <c r="C277" s="532" t="s">
        <v>2066</v>
      </c>
      <c r="D277" s="532" t="s">
        <v>2164</v>
      </c>
      <c r="E277" s="537">
        <v>45656.0</v>
      </c>
      <c r="F277" s="534">
        <v>250000.0</v>
      </c>
      <c r="G277" s="535" t="s">
        <v>2108</v>
      </c>
      <c r="H277" s="536"/>
      <c r="I277" s="231"/>
      <c r="J277" s="521"/>
      <c r="K277" s="522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  <c r="AA277" s="231"/>
      <c r="AB277" s="231"/>
      <c r="AC277" s="231"/>
      <c r="AD277" s="231"/>
      <c r="AE277" s="231"/>
      <c r="AF277" s="231"/>
      <c r="AG277" s="231"/>
      <c r="AH277" s="231"/>
      <c r="AI277" s="231"/>
    </row>
    <row r="278" ht="22.5" hidden="1" customHeight="1">
      <c r="A278" s="231"/>
      <c r="B278" s="531" t="s">
        <v>2117</v>
      </c>
      <c r="C278" s="532" t="s">
        <v>2093</v>
      </c>
      <c r="D278" s="532" t="s">
        <v>124</v>
      </c>
      <c r="E278" s="537">
        <v>45656.0</v>
      </c>
      <c r="F278" s="534">
        <v>150000.0</v>
      </c>
      <c r="G278" s="535" t="s">
        <v>2179</v>
      </c>
      <c r="H278" s="531" t="s">
        <v>2182</v>
      </c>
      <c r="I278" s="231"/>
      <c r="J278" s="521"/>
      <c r="K278" s="522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  <c r="AA278" s="231"/>
      <c r="AB278" s="231"/>
      <c r="AC278" s="231"/>
      <c r="AD278" s="231"/>
      <c r="AE278" s="231"/>
      <c r="AF278" s="231"/>
      <c r="AG278" s="231"/>
      <c r="AH278" s="231"/>
      <c r="AI278" s="231"/>
    </row>
    <row r="279" ht="22.5" hidden="1" customHeight="1">
      <c r="A279" s="231"/>
      <c r="B279" s="531" t="s">
        <v>2117</v>
      </c>
      <c r="C279" s="532" t="s">
        <v>2129</v>
      </c>
      <c r="D279" s="532" t="s">
        <v>2130</v>
      </c>
      <c r="E279" s="537">
        <v>45656.0</v>
      </c>
      <c r="F279" s="534">
        <v>100000.0</v>
      </c>
      <c r="G279" s="535" t="s">
        <v>2179</v>
      </c>
      <c r="H279" s="531" t="s">
        <v>2182</v>
      </c>
      <c r="I279" s="231"/>
      <c r="J279" s="521"/>
      <c r="K279" s="522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231"/>
      <c r="AB279" s="231"/>
      <c r="AC279" s="231"/>
      <c r="AD279" s="231"/>
      <c r="AE279" s="231"/>
      <c r="AF279" s="231"/>
      <c r="AG279" s="231"/>
      <c r="AH279" s="231"/>
      <c r="AI279" s="231"/>
    </row>
    <row r="280" ht="22.5" hidden="1" customHeight="1">
      <c r="A280" s="231"/>
      <c r="B280" s="531" t="s">
        <v>2117</v>
      </c>
      <c r="C280" s="532" t="s">
        <v>2069</v>
      </c>
      <c r="D280" s="532" t="s">
        <v>2135</v>
      </c>
      <c r="E280" s="537">
        <v>45656.0</v>
      </c>
      <c r="F280" s="534">
        <v>50000.0</v>
      </c>
      <c r="G280" s="535" t="s">
        <v>2179</v>
      </c>
      <c r="H280" s="531" t="s">
        <v>2182</v>
      </c>
      <c r="I280" s="231"/>
      <c r="J280" s="521"/>
      <c r="K280" s="522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  <c r="AA280" s="231"/>
      <c r="AB280" s="231"/>
      <c r="AC280" s="231"/>
      <c r="AD280" s="231"/>
      <c r="AE280" s="231"/>
      <c r="AF280" s="231"/>
      <c r="AG280" s="231"/>
      <c r="AH280" s="231"/>
      <c r="AI280" s="231"/>
    </row>
    <row r="281" ht="22.5" hidden="1" customHeight="1">
      <c r="A281" s="231"/>
      <c r="B281" s="531" t="s">
        <v>2117</v>
      </c>
      <c r="C281" s="532" t="s">
        <v>2094</v>
      </c>
      <c r="D281" s="532" t="s">
        <v>2131</v>
      </c>
      <c r="E281" s="537">
        <v>45656.0</v>
      </c>
      <c r="F281" s="534">
        <v>50000.0</v>
      </c>
      <c r="G281" s="535" t="s">
        <v>2179</v>
      </c>
      <c r="H281" s="531" t="s">
        <v>2182</v>
      </c>
      <c r="I281" s="231"/>
      <c r="J281" s="521"/>
      <c r="K281" s="522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231"/>
      <c r="AB281" s="231"/>
      <c r="AC281" s="231"/>
      <c r="AD281" s="231"/>
      <c r="AE281" s="231"/>
      <c r="AF281" s="231"/>
      <c r="AG281" s="231"/>
      <c r="AH281" s="231"/>
      <c r="AI281" s="231"/>
    </row>
    <row r="282" ht="22.5" customHeight="1">
      <c r="A282" s="471"/>
      <c r="B282" s="531" t="s">
        <v>2118</v>
      </c>
      <c r="C282" s="535" t="s">
        <v>2094</v>
      </c>
      <c r="D282" s="535" t="s">
        <v>2141</v>
      </c>
      <c r="E282" s="537">
        <v>45681.0</v>
      </c>
      <c r="F282" s="534">
        <v>14124.0</v>
      </c>
      <c r="G282" s="535" t="s">
        <v>2175</v>
      </c>
      <c r="H282" s="531"/>
      <c r="I282" s="471"/>
      <c r="J282" s="490"/>
      <c r="K282" s="491"/>
      <c r="L282" s="471"/>
      <c r="M282" s="471"/>
      <c r="N282" s="471"/>
      <c r="O282" s="471"/>
      <c r="P282" s="471"/>
      <c r="Q282" s="471"/>
      <c r="R282" s="471"/>
      <c r="S282" s="471"/>
      <c r="T282" s="471"/>
      <c r="U282" s="471"/>
      <c r="V282" s="471"/>
      <c r="W282" s="471"/>
      <c r="X282" s="471"/>
      <c r="Y282" s="471"/>
      <c r="Z282" s="471"/>
      <c r="AA282" s="471"/>
      <c r="AB282" s="491"/>
      <c r="AC282" s="471"/>
      <c r="AD282" s="471"/>
      <c r="AE282" s="471"/>
      <c r="AF282" s="471"/>
      <c r="AG282" s="471"/>
      <c r="AH282" s="471"/>
      <c r="AI282" s="471"/>
    </row>
    <row r="283" ht="22.5" customHeight="1">
      <c r="A283" s="471"/>
      <c r="B283" s="531" t="s">
        <v>2118</v>
      </c>
      <c r="C283" s="535" t="s">
        <v>2069</v>
      </c>
      <c r="D283" s="535" t="s">
        <v>2135</v>
      </c>
      <c r="E283" s="537">
        <v>45681.0</v>
      </c>
      <c r="F283" s="534">
        <v>40020.0</v>
      </c>
      <c r="G283" s="535" t="s">
        <v>2175</v>
      </c>
      <c r="H283" s="531"/>
      <c r="I283" s="471"/>
      <c r="J283" s="490"/>
      <c r="K283" s="491"/>
      <c r="L283" s="471"/>
      <c r="M283" s="471"/>
      <c r="N283" s="471"/>
      <c r="O283" s="471"/>
      <c r="P283" s="471"/>
      <c r="Q283" s="471"/>
      <c r="R283" s="471"/>
      <c r="S283" s="471"/>
      <c r="T283" s="471"/>
      <c r="U283" s="471"/>
      <c r="V283" s="471"/>
      <c r="W283" s="471"/>
      <c r="X283" s="471"/>
      <c r="Y283" s="471"/>
      <c r="Z283" s="471"/>
      <c r="AA283" s="471"/>
      <c r="AB283" s="491"/>
      <c r="AC283" s="471"/>
      <c r="AD283" s="471"/>
      <c r="AE283" s="471"/>
      <c r="AF283" s="471"/>
      <c r="AG283" s="471"/>
      <c r="AH283" s="471"/>
      <c r="AI283" s="471"/>
    </row>
    <row r="284" ht="22.5" customHeight="1">
      <c r="A284" s="471"/>
      <c r="B284" s="531" t="s">
        <v>2118</v>
      </c>
      <c r="C284" s="535" t="s">
        <v>2059</v>
      </c>
      <c r="D284" s="535" t="s">
        <v>2128</v>
      </c>
      <c r="E284" s="537">
        <v>45681.0</v>
      </c>
      <c r="F284" s="534">
        <v>60030.0</v>
      </c>
      <c r="G284" s="535" t="s">
        <v>2175</v>
      </c>
      <c r="H284" s="531"/>
      <c r="I284" s="471"/>
      <c r="J284" s="490"/>
      <c r="K284" s="491"/>
      <c r="L284" s="471"/>
      <c r="M284" s="471"/>
      <c r="N284" s="471"/>
      <c r="O284" s="471"/>
      <c r="P284" s="471"/>
      <c r="Q284" s="471"/>
      <c r="R284" s="471"/>
      <c r="S284" s="471"/>
      <c r="T284" s="471"/>
      <c r="U284" s="471"/>
      <c r="V284" s="484"/>
      <c r="W284" s="484"/>
      <c r="X284" s="471"/>
      <c r="Y284" s="471"/>
      <c r="Z284" s="471"/>
      <c r="AA284" s="471"/>
      <c r="AB284" s="491"/>
      <c r="AC284" s="471"/>
      <c r="AD284" s="471"/>
      <c r="AE284" s="471"/>
      <c r="AF284" s="471"/>
      <c r="AG284" s="471"/>
      <c r="AH284" s="471"/>
      <c r="AI284" s="471"/>
    </row>
    <row r="285" ht="22.5" customHeight="1">
      <c r="A285" s="471"/>
      <c r="B285" s="531" t="s">
        <v>2118</v>
      </c>
      <c r="C285" s="535" t="s">
        <v>2071</v>
      </c>
      <c r="D285" s="535" t="s">
        <v>2134</v>
      </c>
      <c r="E285" s="537">
        <v>45681.0</v>
      </c>
      <c r="F285" s="534">
        <v>24029.0</v>
      </c>
      <c r="G285" s="535" t="s">
        <v>2175</v>
      </c>
      <c r="H285" s="531"/>
      <c r="I285" s="471"/>
      <c r="J285" s="490"/>
      <c r="K285" s="491"/>
      <c r="L285" s="471"/>
      <c r="M285" s="471"/>
      <c r="N285" s="471"/>
      <c r="O285" s="471"/>
      <c r="P285" s="471"/>
      <c r="Q285" s="471"/>
      <c r="R285" s="471"/>
      <c r="S285" s="471"/>
      <c r="T285" s="471"/>
      <c r="U285" s="471"/>
      <c r="V285" s="484"/>
      <c r="W285" s="484"/>
      <c r="X285" s="471"/>
      <c r="Y285" s="471"/>
      <c r="Z285" s="471"/>
      <c r="AA285" s="471"/>
      <c r="AB285" s="471"/>
      <c r="AC285" s="471"/>
      <c r="AD285" s="471"/>
      <c r="AE285" s="471"/>
      <c r="AF285" s="471"/>
      <c r="AG285" s="471"/>
      <c r="AH285" s="471"/>
      <c r="AI285" s="471"/>
    </row>
    <row r="286" ht="22.5" customHeight="1">
      <c r="A286" s="471"/>
      <c r="B286" s="531" t="s">
        <v>2118</v>
      </c>
      <c r="C286" s="535" t="s">
        <v>2066</v>
      </c>
      <c r="D286" s="535" t="s">
        <v>2164</v>
      </c>
      <c r="E286" s="537">
        <v>45681.0</v>
      </c>
      <c r="F286" s="534">
        <v>68034.0</v>
      </c>
      <c r="G286" s="535" t="s">
        <v>2175</v>
      </c>
      <c r="H286" s="531"/>
      <c r="I286" s="471"/>
      <c r="J286" s="490"/>
      <c r="K286" s="491"/>
      <c r="L286" s="471"/>
      <c r="M286" s="471"/>
      <c r="N286" s="471"/>
      <c r="O286" s="471"/>
      <c r="P286" s="471"/>
      <c r="Q286" s="471"/>
      <c r="R286" s="471"/>
      <c r="S286" s="471"/>
      <c r="T286" s="471"/>
      <c r="U286" s="471"/>
      <c r="V286" s="484"/>
      <c r="W286" s="484"/>
      <c r="X286" s="471"/>
      <c r="Y286" s="471"/>
      <c r="Z286" s="471"/>
      <c r="AA286" s="471"/>
      <c r="AB286" s="471"/>
      <c r="AC286" s="471"/>
      <c r="AD286" s="471"/>
      <c r="AE286" s="471"/>
      <c r="AF286" s="471"/>
      <c r="AG286" s="471"/>
      <c r="AH286" s="471"/>
      <c r="AI286" s="471"/>
    </row>
    <row r="287" ht="22.5" customHeight="1">
      <c r="A287" s="471"/>
      <c r="B287" s="531" t="s">
        <v>2118</v>
      </c>
      <c r="C287" s="535" t="s">
        <v>2058</v>
      </c>
      <c r="D287" s="535" t="s">
        <v>2132</v>
      </c>
      <c r="E287" s="537">
        <v>45681.0</v>
      </c>
      <c r="F287" s="534">
        <v>40020.0</v>
      </c>
      <c r="G287" s="535" t="s">
        <v>2175</v>
      </c>
      <c r="H287" s="531"/>
      <c r="I287" s="471"/>
      <c r="J287" s="490"/>
      <c r="K287" s="491"/>
      <c r="L287" s="471"/>
      <c r="M287" s="471"/>
      <c r="N287" s="471"/>
      <c r="O287" s="471"/>
      <c r="P287" s="471"/>
      <c r="Q287" s="471"/>
      <c r="R287" s="471"/>
      <c r="S287" s="471"/>
      <c r="T287" s="471"/>
      <c r="U287" s="471"/>
      <c r="V287" s="484"/>
      <c r="W287" s="484"/>
      <c r="X287" s="471"/>
      <c r="Y287" s="471"/>
      <c r="Z287" s="471"/>
      <c r="AA287" s="471"/>
      <c r="AB287" s="471"/>
      <c r="AC287" s="471"/>
      <c r="AD287" s="471"/>
      <c r="AE287" s="471"/>
      <c r="AF287" s="471"/>
      <c r="AG287" s="471"/>
      <c r="AH287" s="471"/>
      <c r="AI287" s="471"/>
    </row>
    <row r="288" ht="22.5" customHeight="1">
      <c r="A288" s="471"/>
      <c r="B288" s="531" t="s">
        <v>2118</v>
      </c>
      <c r="C288" s="535" t="s">
        <v>2136</v>
      </c>
      <c r="D288" s="535" t="s">
        <v>2137</v>
      </c>
      <c r="E288" s="537">
        <v>45681.0</v>
      </c>
      <c r="F288" s="534">
        <v>34034.0</v>
      </c>
      <c r="G288" s="535" t="s">
        <v>2175</v>
      </c>
      <c r="H288" s="531"/>
      <c r="I288" s="471"/>
      <c r="J288" s="490"/>
      <c r="K288" s="491"/>
      <c r="L288" s="471"/>
      <c r="M288" s="471"/>
      <c r="N288" s="471"/>
      <c r="O288" s="471"/>
      <c r="P288" s="471"/>
      <c r="Q288" s="471"/>
      <c r="R288" s="471"/>
      <c r="S288" s="471"/>
      <c r="T288" s="471"/>
      <c r="U288" s="471"/>
      <c r="V288" s="484"/>
      <c r="W288" s="484"/>
      <c r="X288" s="471"/>
      <c r="Y288" s="471"/>
      <c r="Z288" s="471"/>
      <c r="AA288" s="471"/>
      <c r="AB288" s="471"/>
      <c r="AC288" s="471"/>
      <c r="AD288" s="471"/>
      <c r="AE288" s="471"/>
      <c r="AF288" s="471"/>
      <c r="AG288" s="471"/>
      <c r="AH288" s="471"/>
      <c r="AI288" s="471"/>
    </row>
    <row r="289" ht="22.5" customHeight="1">
      <c r="A289" s="471"/>
      <c r="B289" s="531" t="s">
        <v>2118</v>
      </c>
      <c r="C289" s="535" t="s">
        <v>2094</v>
      </c>
      <c r="D289" s="535" t="s">
        <v>2131</v>
      </c>
      <c r="E289" s="537">
        <v>45681.0</v>
      </c>
      <c r="F289" s="534">
        <v>40020.0</v>
      </c>
      <c r="G289" s="535" t="s">
        <v>2175</v>
      </c>
      <c r="H289" s="531"/>
      <c r="I289" s="471"/>
      <c r="J289" s="490"/>
      <c r="K289" s="491"/>
      <c r="L289" s="471"/>
      <c r="M289" s="471"/>
      <c r="N289" s="471"/>
      <c r="O289" s="471"/>
      <c r="P289" s="471"/>
      <c r="Q289" s="471"/>
      <c r="R289" s="471"/>
      <c r="S289" s="471"/>
      <c r="T289" s="471"/>
      <c r="U289" s="471"/>
      <c r="V289" s="484"/>
      <c r="W289" s="484"/>
      <c r="X289" s="471"/>
      <c r="Y289" s="471"/>
      <c r="Z289" s="471"/>
      <c r="AA289" s="471"/>
      <c r="AB289" s="471"/>
      <c r="AC289" s="471"/>
      <c r="AD289" s="471"/>
      <c r="AE289" s="471"/>
      <c r="AF289" s="471"/>
      <c r="AG289" s="471"/>
      <c r="AH289" s="471"/>
      <c r="AI289" s="471"/>
    </row>
    <row r="290" ht="22.5" customHeight="1">
      <c r="A290" s="471"/>
      <c r="B290" s="531" t="s">
        <v>2118</v>
      </c>
      <c r="C290" s="535" t="s">
        <v>2129</v>
      </c>
      <c r="D290" s="535" t="s">
        <v>2130</v>
      </c>
      <c r="E290" s="537">
        <v>45681.0</v>
      </c>
      <c r="F290" s="534">
        <v>36018.0</v>
      </c>
      <c r="G290" s="535" t="s">
        <v>2175</v>
      </c>
      <c r="H290" s="531"/>
      <c r="I290" s="471"/>
      <c r="J290" s="490"/>
      <c r="K290" s="491"/>
      <c r="L290" s="471"/>
      <c r="M290" s="471"/>
      <c r="N290" s="471"/>
      <c r="O290" s="471"/>
      <c r="P290" s="471"/>
      <c r="Q290" s="471"/>
      <c r="R290" s="471"/>
      <c r="S290" s="471"/>
      <c r="T290" s="471"/>
      <c r="U290" s="471"/>
      <c r="V290" s="484"/>
      <c r="W290" s="484"/>
      <c r="X290" s="471"/>
      <c r="Y290" s="471"/>
      <c r="Z290" s="471"/>
      <c r="AA290" s="471"/>
      <c r="AB290" s="471"/>
      <c r="AC290" s="471"/>
      <c r="AD290" s="471"/>
      <c r="AE290" s="471"/>
      <c r="AF290" s="471"/>
      <c r="AG290" s="471"/>
      <c r="AH290" s="471"/>
      <c r="AI290" s="471"/>
    </row>
    <row r="291" ht="22.5" customHeight="1">
      <c r="A291" s="471"/>
      <c r="B291" s="531" t="s">
        <v>2118</v>
      </c>
      <c r="C291" s="535" t="s">
        <v>2093</v>
      </c>
      <c r="D291" s="535" t="s">
        <v>124</v>
      </c>
      <c r="E291" s="537">
        <v>45681.0</v>
      </c>
      <c r="F291" s="534">
        <v>40020.0</v>
      </c>
      <c r="G291" s="535" t="s">
        <v>2175</v>
      </c>
      <c r="H291" s="531"/>
      <c r="I291" s="471"/>
      <c r="J291" s="490"/>
      <c r="K291" s="491"/>
      <c r="L291" s="471"/>
      <c r="M291" s="471"/>
      <c r="N291" s="471"/>
      <c r="O291" s="471"/>
      <c r="P291" s="471"/>
      <c r="Q291" s="471"/>
      <c r="R291" s="471"/>
      <c r="S291" s="471"/>
      <c r="T291" s="471"/>
      <c r="U291" s="471"/>
      <c r="V291" s="484"/>
      <c r="W291" s="484"/>
      <c r="X291" s="471"/>
      <c r="Y291" s="471"/>
      <c r="Z291" s="471"/>
      <c r="AA291" s="471"/>
      <c r="AB291" s="471"/>
      <c r="AC291" s="471"/>
      <c r="AD291" s="471"/>
      <c r="AE291" s="471"/>
      <c r="AF291" s="471"/>
      <c r="AG291" s="471"/>
      <c r="AH291" s="471"/>
      <c r="AI291" s="471"/>
    </row>
    <row r="292" ht="22.5" customHeight="1">
      <c r="A292" s="471"/>
      <c r="B292" s="531" t="s">
        <v>2118</v>
      </c>
      <c r="C292" s="535" t="s">
        <v>2059</v>
      </c>
      <c r="D292" s="535" t="s">
        <v>2128</v>
      </c>
      <c r="E292" s="537">
        <v>45684.0</v>
      </c>
      <c r="F292" s="534">
        <v>40000.0</v>
      </c>
      <c r="G292" s="535" t="s">
        <v>2108</v>
      </c>
      <c r="H292" s="531"/>
      <c r="I292" s="471"/>
      <c r="J292" s="490"/>
      <c r="K292" s="491"/>
      <c r="L292" s="471"/>
      <c r="M292" s="471"/>
      <c r="N292" s="471"/>
      <c r="O292" s="471"/>
      <c r="P292" s="471"/>
      <c r="Q292" s="471"/>
      <c r="R292" s="471"/>
      <c r="S292" s="471"/>
      <c r="T292" s="471"/>
      <c r="U292" s="471"/>
      <c r="V292" s="484"/>
      <c r="W292" s="484"/>
      <c r="X292" s="471"/>
      <c r="Y292" s="471"/>
      <c r="Z292" s="471"/>
      <c r="AA292" s="471"/>
      <c r="AB292" s="471"/>
      <c r="AC292" s="471"/>
      <c r="AD292" s="471"/>
      <c r="AE292" s="471"/>
      <c r="AF292" s="471"/>
      <c r="AG292" s="471"/>
      <c r="AH292" s="471"/>
      <c r="AI292" s="471"/>
    </row>
    <row r="293" ht="22.5" customHeight="1">
      <c r="A293" s="471"/>
      <c r="B293" s="531" t="s">
        <v>2118</v>
      </c>
      <c r="C293" s="535" t="s">
        <v>2059</v>
      </c>
      <c r="D293" s="519" t="s">
        <v>2128</v>
      </c>
      <c r="E293" s="540">
        <v>45693.0</v>
      </c>
      <c r="F293" s="524">
        <v>110000.0</v>
      </c>
      <c r="G293" s="535" t="s">
        <v>2108</v>
      </c>
      <c r="H293" s="531"/>
      <c r="I293" s="471"/>
      <c r="J293" s="490"/>
      <c r="K293" s="491"/>
      <c r="L293" s="471"/>
      <c r="M293" s="471"/>
      <c r="N293" s="471"/>
      <c r="O293" s="471"/>
      <c r="P293" s="471"/>
      <c r="Q293" s="471"/>
      <c r="R293" s="471"/>
      <c r="S293" s="471"/>
      <c r="T293" s="471"/>
      <c r="U293" s="471"/>
      <c r="V293" s="484"/>
      <c r="W293" s="484"/>
      <c r="X293" s="471"/>
      <c r="Y293" s="471"/>
      <c r="Z293" s="471"/>
      <c r="AA293" s="471"/>
      <c r="AB293" s="471"/>
      <c r="AC293" s="471"/>
      <c r="AD293" s="471"/>
      <c r="AE293" s="471"/>
      <c r="AF293" s="471"/>
      <c r="AG293" s="471"/>
      <c r="AH293" s="471"/>
      <c r="AI293" s="471"/>
    </row>
    <row r="294" ht="22.5" customHeight="1">
      <c r="A294" s="471"/>
      <c r="B294" s="531" t="s">
        <v>2118</v>
      </c>
      <c r="C294" s="535" t="s">
        <v>2093</v>
      </c>
      <c r="D294" s="519" t="s">
        <v>124</v>
      </c>
      <c r="E294" s="540">
        <v>45693.0</v>
      </c>
      <c r="F294" s="524">
        <v>100000.0</v>
      </c>
      <c r="G294" s="535" t="s">
        <v>2108</v>
      </c>
      <c r="H294" s="531"/>
      <c r="I294" s="471"/>
      <c r="J294" s="490"/>
      <c r="K294" s="491"/>
      <c r="L294" s="471"/>
      <c r="M294" s="471"/>
      <c r="N294" s="471"/>
      <c r="O294" s="471"/>
      <c r="P294" s="471"/>
      <c r="Q294" s="471"/>
      <c r="R294" s="471"/>
      <c r="S294" s="471"/>
      <c r="T294" s="471"/>
      <c r="U294" s="471"/>
      <c r="V294" s="471"/>
      <c r="W294" s="471"/>
      <c r="X294" s="471"/>
      <c r="Y294" s="471"/>
      <c r="Z294" s="471"/>
      <c r="AA294" s="471"/>
      <c r="AB294" s="471"/>
      <c r="AC294" s="471"/>
      <c r="AD294" s="471"/>
      <c r="AE294" s="471"/>
      <c r="AF294" s="471"/>
      <c r="AG294" s="471"/>
      <c r="AH294" s="471"/>
      <c r="AI294" s="471"/>
    </row>
    <row r="295" ht="22.5" customHeight="1">
      <c r="A295" s="471"/>
      <c r="B295" s="531" t="s">
        <v>2118</v>
      </c>
      <c r="C295" s="535" t="s">
        <v>2129</v>
      </c>
      <c r="D295" s="519" t="s">
        <v>2130</v>
      </c>
      <c r="E295" s="540">
        <v>45693.0</v>
      </c>
      <c r="F295" s="524">
        <v>50000.0</v>
      </c>
      <c r="G295" s="535" t="s">
        <v>2108</v>
      </c>
      <c r="H295" s="531"/>
      <c r="I295" s="471"/>
      <c r="J295" s="490"/>
      <c r="K295" s="491"/>
      <c r="L295" s="471"/>
      <c r="M295" s="471"/>
      <c r="N295" s="471"/>
      <c r="O295" s="471"/>
      <c r="P295" s="471"/>
      <c r="Q295" s="471"/>
      <c r="R295" s="471"/>
      <c r="S295" s="471"/>
      <c r="T295" s="471"/>
      <c r="U295" s="471"/>
      <c r="V295" s="471"/>
      <c r="W295" s="471"/>
      <c r="X295" s="471"/>
      <c r="Y295" s="471"/>
      <c r="Z295" s="471"/>
      <c r="AA295" s="471"/>
      <c r="AB295" s="471"/>
      <c r="AC295" s="471"/>
      <c r="AD295" s="471"/>
      <c r="AE295" s="471"/>
      <c r="AF295" s="471"/>
      <c r="AG295" s="471"/>
      <c r="AH295" s="471"/>
      <c r="AI295" s="471"/>
    </row>
    <row r="296" ht="22.5" customHeight="1">
      <c r="A296" s="471"/>
      <c r="B296" s="531" t="s">
        <v>2118</v>
      </c>
      <c r="C296" s="535" t="s">
        <v>2094</v>
      </c>
      <c r="D296" s="519" t="s">
        <v>2131</v>
      </c>
      <c r="E296" s="540">
        <v>45693.0</v>
      </c>
      <c r="F296" s="524">
        <v>30000.0</v>
      </c>
      <c r="G296" s="535" t="s">
        <v>2108</v>
      </c>
      <c r="H296" s="531"/>
      <c r="I296" s="471"/>
      <c r="J296" s="490"/>
      <c r="K296" s="491"/>
      <c r="L296" s="471"/>
      <c r="M296" s="471"/>
      <c r="N296" s="471"/>
      <c r="O296" s="471"/>
      <c r="P296" s="471"/>
      <c r="Q296" s="471"/>
      <c r="R296" s="471"/>
      <c r="S296" s="471"/>
      <c r="T296" s="471"/>
      <c r="U296" s="471"/>
      <c r="V296" s="471"/>
      <c r="W296" s="471"/>
      <c r="X296" s="471"/>
      <c r="Y296" s="471"/>
      <c r="Z296" s="471"/>
      <c r="AA296" s="471"/>
      <c r="AB296" s="471"/>
      <c r="AC296" s="471"/>
      <c r="AD296" s="471"/>
      <c r="AE296" s="471"/>
      <c r="AF296" s="471"/>
      <c r="AG296" s="471"/>
      <c r="AH296" s="471"/>
      <c r="AI296" s="471"/>
    </row>
    <row r="297" ht="22.5" customHeight="1">
      <c r="A297" s="471"/>
      <c r="B297" s="531" t="s">
        <v>2118</v>
      </c>
      <c r="C297" s="535" t="s">
        <v>2058</v>
      </c>
      <c r="D297" s="519" t="s">
        <v>2132</v>
      </c>
      <c r="E297" s="540">
        <v>45693.0</v>
      </c>
      <c r="F297" s="524">
        <v>100000.0</v>
      </c>
      <c r="G297" s="535" t="s">
        <v>2108</v>
      </c>
      <c r="H297" s="531"/>
      <c r="I297" s="471"/>
      <c r="J297" s="490"/>
      <c r="K297" s="491"/>
      <c r="L297" s="471"/>
      <c r="M297" s="471"/>
      <c r="N297" s="471"/>
      <c r="O297" s="471"/>
      <c r="P297" s="471"/>
      <c r="Q297" s="471"/>
      <c r="R297" s="471"/>
      <c r="S297" s="471"/>
      <c r="T297" s="471"/>
      <c r="U297" s="471"/>
      <c r="V297" s="471"/>
      <c r="W297" s="471"/>
      <c r="X297" s="471"/>
      <c r="Y297" s="471"/>
      <c r="Z297" s="471"/>
      <c r="AA297" s="471"/>
      <c r="AB297" s="471"/>
      <c r="AC297" s="471"/>
      <c r="AD297" s="471"/>
      <c r="AE297" s="471"/>
      <c r="AF297" s="471"/>
      <c r="AG297" s="471"/>
      <c r="AH297" s="471"/>
      <c r="AI297" s="471"/>
    </row>
    <row r="298" ht="22.5" customHeight="1">
      <c r="A298" s="471"/>
      <c r="B298" s="531" t="s">
        <v>2118</v>
      </c>
      <c r="C298" s="535" t="s">
        <v>2070</v>
      </c>
      <c r="D298" s="519" t="s">
        <v>2133</v>
      </c>
      <c r="E298" s="540">
        <v>45693.0</v>
      </c>
      <c r="F298" s="524">
        <v>70000.0</v>
      </c>
      <c r="G298" s="535" t="s">
        <v>2108</v>
      </c>
      <c r="H298" s="531"/>
      <c r="I298" s="471"/>
      <c r="J298" s="490"/>
      <c r="K298" s="491"/>
      <c r="L298" s="471"/>
      <c r="M298" s="471"/>
      <c r="N298" s="471"/>
      <c r="O298" s="471"/>
      <c r="P298" s="471"/>
      <c r="Q298" s="471"/>
      <c r="R298" s="471"/>
      <c r="S298" s="471"/>
      <c r="T298" s="471"/>
      <c r="U298" s="471"/>
      <c r="V298" s="471"/>
      <c r="W298" s="471"/>
      <c r="X298" s="471"/>
      <c r="Y298" s="471"/>
      <c r="Z298" s="471"/>
      <c r="AA298" s="471"/>
      <c r="AB298" s="471"/>
      <c r="AC298" s="471"/>
      <c r="AD298" s="471"/>
      <c r="AE298" s="471"/>
      <c r="AF298" s="471"/>
      <c r="AG298" s="471"/>
      <c r="AH298" s="471"/>
      <c r="AI298" s="471"/>
    </row>
    <row r="299" ht="22.5" customHeight="1">
      <c r="A299" s="471"/>
      <c r="B299" s="531" t="s">
        <v>2118</v>
      </c>
      <c r="C299" s="535" t="s">
        <v>2071</v>
      </c>
      <c r="D299" s="519" t="s">
        <v>2134</v>
      </c>
      <c r="E299" s="540">
        <v>45693.0</v>
      </c>
      <c r="F299" s="524">
        <v>20000.0</v>
      </c>
      <c r="G299" s="535" t="s">
        <v>2108</v>
      </c>
      <c r="H299" s="531"/>
      <c r="I299" s="471"/>
      <c r="J299" s="490"/>
      <c r="K299" s="491"/>
      <c r="L299" s="471"/>
      <c r="M299" s="471"/>
      <c r="N299" s="471"/>
      <c r="O299" s="471"/>
      <c r="P299" s="471"/>
      <c r="Q299" s="471"/>
      <c r="R299" s="471"/>
      <c r="S299" s="471"/>
      <c r="T299" s="471"/>
      <c r="U299" s="471"/>
      <c r="V299" s="471"/>
      <c r="W299" s="471"/>
      <c r="X299" s="471"/>
      <c r="Y299" s="471"/>
      <c r="Z299" s="471"/>
      <c r="AA299" s="471"/>
      <c r="AB299" s="471"/>
      <c r="AC299" s="471"/>
      <c r="AD299" s="471"/>
      <c r="AE299" s="471"/>
      <c r="AF299" s="471"/>
      <c r="AG299" s="471"/>
      <c r="AH299" s="471"/>
      <c r="AI299" s="471"/>
    </row>
    <row r="300" ht="22.5" customHeight="1">
      <c r="A300" s="471"/>
      <c r="B300" s="531" t="s">
        <v>2118</v>
      </c>
      <c r="C300" s="535" t="s">
        <v>2069</v>
      </c>
      <c r="D300" s="519" t="s">
        <v>2135</v>
      </c>
      <c r="E300" s="540">
        <v>45693.0</v>
      </c>
      <c r="F300" s="524">
        <v>40000.0</v>
      </c>
      <c r="G300" s="535" t="s">
        <v>2108</v>
      </c>
      <c r="H300" s="531"/>
      <c r="I300" s="471"/>
      <c r="J300" s="490"/>
      <c r="K300" s="491"/>
      <c r="L300" s="471"/>
      <c r="M300" s="471"/>
      <c r="N300" s="471"/>
      <c r="O300" s="471"/>
      <c r="P300" s="471"/>
      <c r="Q300" s="471"/>
      <c r="R300" s="471"/>
      <c r="S300" s="471"/>
      <c r="T300" s="471"/>
      <c r="U300" s="471"/>
      <c r="V300" s="471"/>
      <c r="W300" s="471"/>
      <c r="X300" s="471"/>
      <c r="Y300" s="471"/>
      <c r="Z300" s="471"/>
      <c r="AA300" s="471"/>
      <c r="AB300" s="471"/>
      <c r="AC300" s="471"/>
      <c r="AD300" s="471"/>
      <c r="AE300" s="471"/>
      <c r="AF300" s="471"/>
      <c r="AG300" s="471"/>
      <c r="AH300" s="471"/>
      <c r="AI300" s="471"/>
    </row>
    <row r="301" ht="22.5" customHeight="1">
      <c r="A301" s="471"/>
      <c r="B301" s="531" t="s">
        <v>2118</v>
      </c>
      <c r="C301" s="535" t="s">
        <v>2136</v>
      </c>
      <c r="D301" s="519" t="s">
        <v>2137</v>
      </c>
      <c r="E301" s="540">
        <v>45693.0</v>
      </c>
      <c r="F301" s="524">
        <v>85000.0</v>
      </c>
      <c r="G301" s="535" t="s">
        <v>2108</v>
      </c>
      <c r="H301" s="531"/>
      <c r="I301" s="471"/>
      <c r="J301" s="490"/>
      <c r="K301" s="491"/>
      <c r="L301" s="471"/>
      <c r="M301" s="471"/>
      <c r="N301" s="471"/>
      <c r="O301" s="471"/>
      <c r="P301" s="471"/>
      <c r="Q301" s="471"/>
      <c r="R301" s="471"/>
      <c r="S301" s="471"/>
      <c r="T301" s="471"/>
      <c r="U301" s="471"/>
      <c r="V301" s="471"/>
      <c r="W301" s="471"/>
      <c r="X301" s="471"/>
      <c r="Y301" s="471"/>
      <c r="Z301" s="471"/>
      <c r="AA301" s="471"/>
      <c r="AB301" s="471"/>
      <c r="AC301" s="471"/>
      <c r="AD301" s="471"/>
      <c r="AE301" s="471"/>
      <c r="AF301" s="471"/>
      <c r="AG301" s="471"/>
      <c r="AH301" s="471"/>
      <c r="AI301" s="471"/>
    </row>
    <row r="302" ht="22.5" customHeight="1">
      <c r="A302" s="471"/>
      <c r="B302" s="531" t="s">
        <v>2118</v>
      </c>
      <c r="C302" s="535" t="s">
        <v>2066</v>
      </c>
      <c r="D302" s="519" t="s">
        <v>2164</v>
      </c>
      <c r="E302" s="540">
        <v>45693.0</v>
      </c>
      <c r="F302" s="524">
        <v>80000.0</v>
      </c>
      <c r="G302" s="535" t="s">
        <v>2108</v>
      </c>
      <c r="H302" s="531"/>
      <c r="I302" s="471"/>
      <c r="J302" s="490"/>
      <c r="K302" s="491"/>
      <c r="L302" s="471"/>
      <c r="M302" s="471"/>
      <c r="N302" s="471"/>
      <c r="O302" s="471"/>
      <c r="P302" s="484"/>
      <c r="Q302" s="491"/>
      <c r="R302" s="491"/>
      <c r="S302" s="471"/>
      <c r="T302" s="471"/>
      <c r="U302" s="471"/>
      <c r="V302" s="471"/>
      <c r="W302" s="471"/>
      <c r="X302" s="471"/>
      <c r="Y302" s="471"/>
      <c r="Z302" s="471"/>
      <c r="AA302" s="471"/>
      <c r="AB302" s="471"/>
      <c r="AC302" s="471"/>
      <c r="AD302" s="471"/>
      <c r="AE302" s="471"/>
      <c r="AF302" s="471"/>
      <c r="AG302" s="471"/>
      <c r="AH302" s="471"/>
      <c r="AI302" s="471"/>
    </row>
    <row r="303" ht="22.5" customHeight="1">
      <c r="A303" s="471"/>
      <c r="B303" s="531" t="s">
        <v>2118</v>
      </c>
      <c r="C303" s="535" t="s">
        <v>2138</v>
      </c>
      <c r="D303" s="519" t="s">
        <v>2139</v>
      </c>
      <c r="E303" s="540">
        <v>45693.0</v>
      </c>
      <c r="F303" s="524">
        <v>50000.0</v>
      </c>
      <c r="G303" s="535" t="s">
        <v>2108</v>
      </c>
      <c r="H303" s="531"/>
      <c r="I303" s="471"/>
      <c r="J303" s="490"/>
      <c r="K303" s="491"/>
      <c r="L303" s="471"/>
      <c r="M303" s="471"/>
      <c r="N303" s="471"/>
      <c r="O303" s="471"/>
      <c r="P303" s="484"/>
      <c r="Q303" s="491"/>
      <c r="R303" s="491"/>
      <c r="S303" s="471"/>
      <c r="T303" s="471"/>
      <c r="U303" s="471"/>
      <c r="V303" s="471"/>
      <c r="W303" s="471"/>
      <c r="X303" s="471"/>
      <c r="Y303" s="471"/>
      <c r="Z303" s="471"/>
      <c r="AA303" s="471"/>
      <c r="AB303" s="471"/>
      <c r="AC303" s="471"/>
      <c r="AD303" s="471"/>
      <c r="AE303" s="471"/>
      <c r="AF303" s="471"/>
      <c r="AG303" s="471"/>
      <c r="AH303" s="471"/>
      <c r="AI303" s="471"/>
    </row>
    <row r="304" ht="22.5" customHeight="1">
      <c r="A304" s="471"/>
      <c r="B304" s="531" t="s">
        <v>2118</v>
      </c>
      <c r="C304" s="535" t="s">
        <v>2094</v>
      </c>
      <c r="D304" s="519" t="s">
        <v>2141</v>
      </c>
      <c r="E304" s="540">
        <v>45693.0</v>
      </c>
      <c r="F304" s="518">
        <v>10000.0</v>
      </c>
      <c r="G304" s="535" t="s">
        <v>2108</v>
      </c>
      <c r="H304" s="531"/>
      <c r="I304" s="471"/>
      <c r="J304" s="490"/>
      <c r="K304" s="491"/>
      <c r="L304" s="471"/>
      <c r="M304" s="471"/>
      <c r="N304" s="471"/>
      <c r="O304" s="471"/>
      <c r="P304" s="484"/>
      <c r="Q304" s="491"/>
      <c r="R304" s="491"/>
      <c r="S304" s="471"/>
      <c r="T304" s="471"/>
      <c r="U304" s="471"/>
      <c r="V304" s="471"/>
      <c r="W304" s="471"/>
      <c r="X304" s="471"/>
      <c r="Y304" s="471"/>
      <c r="Z304" s="471"/>
      <c r="AA304" s="471"/>
      <c r="AB304" s="471"/>
      <c r="AC304" s="471"/>
      <c r="AD304" s="471"/>
      <c r="AE304" s="471"/>
      <c r="AF304" s="471"/>
      <c r="AG304" s="471"/>
      <c r="AH304" s="471"/>
      <c r="AI304" s="471"/>
    </row>
    <row r="305" ht="22.5" customHeight="1">
      <c r="A305" s="471"/>
      <c r="B305" s="531" t="s">
        <v>2118</v>
      </c>
      <c r="C305" s="535" t="s">
        <v>2142</v>
      </c>
      <c r="D305" s="519" t="s">
        <v>2143</v>
      </c>
      <c r="E305" s="540">
        <v>45693.0</v>
      </c>
      <c r="F305" s="524">
        <v>30000.0</v>
      </c>
      <c r="G305" s="535" t="s">
        <v>2108</v>
      </c>
      <c r="H305" s="531"/>
      <c r="I305" s="471"/>
      <c r="J305" s="490"/>
      <c r="K305" s="491"/>
      <c r="L305" s="471"/>
      <c r="M305" s="471"/>
      <c r="N305" s="471"/>
      <c r="O305" s="471"/>
      <c r="P305" s="484"/>
      <c r="Q305" s="491"/>
      <c r="R305" s="491"/>
      <c r="S305" s="471"/>
      <c r="T305" s="471"/>
      <c r="U305" s="471"/>
      <c r="V305" s="471"/>
      <c r="W305" s="471"/>
      <c r="X305" s="471"/>
      <c r="Y305" s="471"/>
      <c r="Z305" s="471"/>
      <c r="AA305" s="471"/>
      <c r="AB305" s="471"/>
      <c r="AC305" s="471"/>
      <c r="AD305" s="471"/>
      <c r="AE305" s="471"/>
      <c r="AF305" s="471"/>
      <c r="AG305" s="471"/>
      <c r="AH305" s="471"/>
      <c r="AI305" s="471"/>
    </row>
    <row r="306" ht="22.5" customHeight="1">
      <c r="A306" s="471"/>
      <c r="B306" s="531" t="s">
        <v>2119</v>
      </c>
      <c r="C306" s="535" t="s">
        <v>2059</v>
      </c>
      <c r="D306" s="535" t="s">
        <v>2128</v>
      </c>
      <c r="E306" s="537">
        <v>45698.0</v>
      </c>
      <c r="F306" s="534">
        <v>15000.0</v>
      </c>
      <c r="G306" s="535" t="s">
        <v>2108</v>
      </c>
      <c r="H306" s="531"/>
      <c r="I306" s="471"/>
      <c r="J306" s="490"/>
      <c r="K306" s="491"/>
      <c r="L306" s="471"/>
      <c r="M306" s="471"/>
      <c r="N306" s="471"/>
      <c r="O306" s="471"/>
      <c r="P306" s="484"/>
      <c r="Q306" s="491"/>
      <c r="R306" s="491"/>
      <c r="S306" s="471"/>
      <c r="T306" s="471"/>
      <c r="U306" s="471"/>
      <c r="V306" s="471"/>
      <c r="W306" s="471"/>
      <c r="X306" s="471"/>
      <c r="Y306" s="471"/>
      <c r="Z306" s="471"/>
      <c r="AA306" s="471"/>
      <c r="AB306" s="471"/>
      <c r="AC306" s="471"/>
      <c r="AD306" s="471"/>
      <c r="AE306" s="471"/>
      <c r="AF306" s="471"/>
      <c r="AG306" s="471"/>
      <c r="AH306" s="471"/>
      <c r="AI306" s="471"/>
    </row>
    <row r="307" ht="22.5" customHeight="1">
      <c r="A307" s="471"/>
      <c r="B307" s="531" t="s">
        <v>2118</v>
      </c>
      <c r="C307" s="535" t="s">
        <v>2094</v>
      </c>
      <c r="D307" s="535" t="s">
        <v>2141</v>
      </c>
      <c r="E307" s="537">
        <v>45698.0</v>
      </c>
      <c r="F307" s="534">
        <v>56499.47</v>
      </c>
      <c r="G307" s="535" t="s">
        <v>2171</v>
      </c>
      <c r="H307" s="531"/>
      <c r="I307" s="471"/>
      <c r="J307" s="490"/>
      <c r="K307" s="491"/>
      <c r="L307" s="471"/>
      <c r="M307" s="471"/>
      <c r="N307" s="471"/>
      <c r="O307" s="471"/>
      <c r="P307" s="484"/>
      <c r="Q307" s="491"/>
      <c r="R307" s="491"/>
      <c r="S307" s="471"/>
      <c r="T307" s="471"/>
      <c r="U307" s="471"/>
      <c r="V307" s="471"/>
      <c r="W307" s="471"/>
      <c r="X307" s="471"/>
      <c r="Y307" s="471"/>
      <c r="Z307" s="471"/>
      <c r="AA307" s="471"/>
      <c r="AB307" s="471"/>
      <c r="AC307" s="471"/>
      <c r="AD307" s="471"/>
      <c r="AE307" s="471"/>
      <c r="AF307" s="471"/>
      <c r="AG307" s="471"/>
      <c r="AH307" s="471"/>
      <c r="AI307" s="471"/>
    </row>
    <row r="308" ht="22.5" customHeight="1">
      <c r="A308" s="471"/>
      <c r="B308" s="531" t="s">
        <v>2118</v>
      </c>
      <c r="C308" s="535" t="s">
        <v>2069</v>
      </c>
      <c r="D308" s="535" t="s">
        <v>2135</v>
      </c>
      <c r="E308" s="537">
        <v>45698.0</v>
      </c>
      <c r="F308" s="534">
        <v>60030.0</v>
      </c>
      <c r="G308" s="535" t="s">
        <v>2171</v>
      </c>
      <c r="H308" s="531"/>
      <c r="I308" s="471"/>
      <c r="J308" s="490"/>
      <c r="K308" s="491"/>
      <c r="L308" s="471"/>
      <c r="M308" s="471"/>
      <c r="N308" s="471"/>
      <c r="O308" s="471"/>
      <c r="P308" s="484"/>
      <c r="Q308" s="491"/>
      <c r="R308" s="491"/>
      <c r="S308" s="471"/>
      <c r="T308" s="471"/>
      <c r="U308" s="471"/>
      <c r="V308" s="471"/>
      <c r="W308" s="471"/>
      <c r="X308" s="471"/>
      <c r="Y308" s="471"/>
      <c r="Z308" s="471"/>
      <c r="AA308" s="471"/>
      <c r="AB308" s="471"/>
      <c r="AC308" s="471"/>
      <c r="AD308" s="471"/>
      <c r="AE308" s="471"/>
      <c r="AF308" s="471"/>
      <c r="AG308" s="471"/>
      <c r="AH308" s="471"/>
      <c r="AI308" s="471"/>
    </row>
    <row r="309" ht="22.5" customHeight="1">
      <c r="A309" s="471"/>
      <c r="B309" s="531" t="s">
        <v>2118</v>
      </c>
      <c r="C309" s="535" t="s">
        <v>2059</v>
      </c>
      <c r="D309" s="535" t="s">
        <v>2128</v>
      </c>
      <c r="E309" s="537">
        <v>45698.0</v>
      </c>
      <c r="F309" s="534">
        <v>90045.0</v>
      </c>
      <c r="G309" s="535" t="s">
        <v>2171</v>
      </c>
      <c r="H309" s="531"/>
      <c r="I309" s="471"/>
      <c r="J309" s="490"/>
      <c r="K309" s="491"/>
      <c r="L309" s="471"/>
      <c r="M309" s="471"/>
      <c r="N309" s="471"/>
      <c r="O309" s="471"/>
      <c r="P309" s="484"/>
      <c r="Q309" s="491"/>
      <c r="R309" s="491"/>
      <c r="S309" s="471"/>
      <c r="T309" s="471"/>
      <c r="U309" s="471"/>
      <c r="V309" s="471"/>
      <c r="W309" s="471"/>
      <c r="X309" s="471"/>
      <c r="Y309" s="471"/>
      <c r="Z309" s="471"/>
      <c r="AA309" s="471"/>
      <c r="AB309" s="471"/>
      <c r="AC309" s="471"/>
      <c r="AD309" s="471"/>
      <c r="AE309" s="471"/>
      <c r="AF309" s="471"/>
      <c r="AG309" s="471"/>
      <c r="AH309" s="471"/>
      <c r="AI309" s="471"/>
    </row>
    <row r="310" ht="22.5" customHeight="1">
      <c r="A310" s="471"/>
      <c r="B310" s="531" t="s">
        <v>2118</v>
      </c>
      <c r="C310" s="535" t="s">
        <v>2071</v>
      </c>
      <c r="D310" s="535" t="s">
        <v>2134</v>
      </c>
      <c r="E310" s="537">
        <v>45698.0</v>
      </c>
      <c r="F310" s="534">
        <v>36044.0</v>
      </c>
      <c r="G310" s="535" t="s">
        <v>2171</v>
      </c>
      <c r="H310" s="531"/>
      <c r="I310" s="471"/>
      <c r="J310" s="490"/>
      <c r="K310" s="491"/>
      <c r="L310" s="471"/>
      <c r="M310" s="471"/>
      <c r="N310" s="471"/>
      <c r="O310" s="471"/>
      <c r="P310" s="484"/>
      <c r="Q310" s="491"/>
      <c r="R310" s="491"/>
      <c r="S310" s="471"/>
      <c r="T310" s="471"/>
      <c r="U310" s="471"/>
      <c r="V310" s="471"/>
      <c r="W310" s="471"/>
      <c r="X310" s="471"/>
      <c r="Y310" s="471"/>
      <c r="Z310" s="471"/>
      <c r="AA310" s="471"/>
      <c r="AB310" s="471"/>
      <c r="AC310" s="471"/>
      <c r="AD310" s="471"/>
      <c r="AE310" s="471"/>
      <c r="AF310" s="471"/>
      <c r="AG310" s="471"/>
      <c r="AH310" s="471"/>
      <c r="AI310" s="471"/>
    </row>
    <row r="311" ht="22.5" customHeight="1">
      <c r="A311" s="471"/>
      <c r="B311" s="531" t="s">
        <v>2118</v>
      </c>
      <c r="C311" s="535" t="s">
        <v>2066</v>
      </c>
      <c r="D311" s="535" t="s">
        <v>2164</v>
      </c>
      <c r="E311" s="537">
        <v>45698.0</v>
      </c>
      <c r="F311" s="534">
        <v>102051.0</v>
      </c>
      <c r="G311" s="535" t="s">
        <v>2171</v>
      </c>
      <c r="H311" s="531"/>
      <c r="I311" s="471"/>
      <c r="J311" s="490"/>
      <c r="K311" s="491"/>
      <c r="L311" s="471"/>
      <c r="M311" s="471"/>
      <c r="N311" s="471"/>
      <c r="O311" s="471"/>
      <c r="P311" s="484"/>
      <c r="Q311" s="491"/>
      <c r="R311" s="491"/>
      <c r="S311" s="471"/>
      <c r="T311" s="471"/>
      <c r="U311" s="471"/>
      <c r="V311" s="471"/>
      <c r="W311" s="471"/>
      <c r="X311" s="471"/>
      <c r="Y311" s="471"/>
      <c r="Z311" s="471"/>
      <c r="AA311" s="471"/>
      <c r="AB311" s="471"/>
      <c r="AC311" s="471"/>
      <c r="AD311" s="471"/>
      <c r="AE311" s="471"/>
      <c r="AF311" s="471"/>
      <c r="AG311" s="471"/>
      <c r="AH311" s="471"/>
      <c r="AI311" s="471"/>
    </row>
    <row r="312" ht="22.5" customHeight="1">
      <c r="A312" s="471"/>
      <c r="B312" s="531" t="s">
        <v>2118</v>
      </c>
      <c r="C312" s="535" t="s">
        <v>2058</v>
      </c>
      <c r="D312" s="535" t="s">
        <v>2132</v>
      </c>
      <c r="E312" s="537">
        <v>45698.0</v>
      </c>
      <c r="F312" s="534">
        <v>60030.0</v>
      </c>
      <c r="G312" s="535" t="s">
        <v>2171</v>
      </c>
      <c r="H312" s="531"/>
      <c r="I312" s="471"/>
      <c r="J312" s="490"/>
      <c r="K312" s="491"/>
      <c r="L312" s="471"/>
      <c r="M312" s="471"/>
      <c r="N312" s="471"/>
      <c r="O312" s="471"/>
      <c r="P312" s="484"/>
      <c r="Q312" s="491"/>
      <c r="R312" s="491"/>
      <c r="S312" s="471"/>
      <c r="T312" s="471"/>
      <c r="U312" s="471"/>
      <c r="V312" s="471"/>
      <c r="W312" s="471"/>
      <c r="X312" s="471"/>
      <c r="Y312" s="471"/>
      <c r="Z312" s="471"/>
      <c r="AA312" s="471"/>
      <c r="AB312" s="471"/>
      <c r="AC312" s="471"/>
      <c r="AD312" s="471"/>
      <c r="AE312" s="471"/>
      <c r="AF312" s="471"/>
      <c r="AG312" s="471"/>
      <c r="AH312" s="471"/>
      <c r="AI312" s="471"/>
    </row>
    <row r="313" ht="22.5" customHeight="1">
      <c r="A313" s="471"/>
      <c r="B313" s="531" t="s">
        <v>2118</v>
      </c>
      <c r="C313" s="535" t="s">
        <v>2136</v>
      </c>
      <c r="D313" s="535" t="s">
        <v>2137</v>
      </c>
      <c r="E313" s="537">
        <v>45698.0</v>
      </c>
      <c r="F313" s="534">
        <v>51052.0</v>
      </c>
      <c r="G313" s="535" t="s">
        <v>2171</v>
      </c>
      <c r="H313" s="531"/>
      <c r="I313" s="471"/>
      <c r="J313" s="490"/>
      <c r="K313" s="491"/>
      <c r="L313" s="471"/>
      <c r="M313" s="471"/>
      <c r="N313" s="471"/>
      <c r="O313" s="471"/>
      <c r="P313" s="484"/>
      <c r="Q313" s="491"/>
      <c r="R313" s="474"/>
      <c r="S313" s="471"/>
      <c r="T313" s="471"/>
      <c r="U313" s="471"/>
      <c r="V313" s="471"/>
      <c r="W313" s="471"/>
      <c r="X313" s="471"/>
      <c r="Y313" s="471"/>
      <c r="Z313" s="471"/>
      <c r="AA313" s="471"/>
      <c r="AB313" s="471"/>
      <c r="AC313" s="471"/>
      <c r="AD313" s="471"/>
      <c r="AE313" s="471"/>
      <c r="AF313" s="471"/>
      <c r="AG313" s="471"/>
      <c r="AH313" s="471"/>
      <c r="AI313" s="471"/>
    </row>
    <row r="314" ht="22.5" customHeight="1">
      <c r="A314" s="471"/>
      <c r="B314" s="531" t="s">
        <v>2118</v>
      </c>
      <c r="C314" s="535" t="s">
        <v>2094</v>
      </c>
      <c r="D314" s="535" t="s">
        <v>2131</v>
      </c>
      <c r="E314" s="537">
        <v>45698.0</v>
      </c>
      <c r="F314" s="534">
        <v>60030.0</v>
      </c>
      <c r="G314" s="535" t="s">
        <v>2171</v>
      </c>
      <c r="H314" s="531"/>
      <c r="I314" s="471"/>
      <c r="J314" s="490"/>
      <c r="K314" s="491"/>
      <c r="L314" s="471"/>
      <c r="M314" s="471"/>
      <c r="N314" s="471"/>
      <c r="O314" s="471"/>
      <c r="P314" s="484"/>
      <c r="Q314" s="491"/>
      <c r="R314" s="491"/>
      <c r="S314" s="471"/>
      <c r="T314" s="471"/>
      <c r="U314" s="471"/>
      <c r="V314" s="471"/>
      <c r="W314" s="471"/>
      <c r="X314" s="471"/>
      <c r="Y314" s="471"/>
      <c r="Z314" s="471"/>
      <c r="AA314" s="471"/>
      <c r="AB314" s="471"/>
      <c r="AC314" s="471"/>
      <c r="AD314" s="471"/>
      <c r="AE314" s="471"/>
      <c r="AF314" s="471"/>
      <c r="AG314" s="471"/>
      <c r="AH314" s="471"/>
      <c r="AI314" s="471"/>
    </row>
    <row r="315" ht="22.5" customHeight="1">
      <c r="A315" s="471"/>
      <c r="B315" s="531" t="s">
        <v>2118</v>
      </c>
      <c r="C315" s="535" t="s">
        <v>2129</v>
      </c>
      <c r="D315" s="535" t="s">
        <v>2130</v>
      </c>
      <c r="E315" s="537">
        <v>45698.0</v>
      </c>
      <c r="F315" s="534">
        <v>54027.0</v>
      </c>
      <c r="G315" s="535" t="s">
        <v>2171</v>
      </c>
      <c r="H315" s="531"/>
      <c r="I315" s="471"/>
      <c r="J315" s="490"/>
      <c r="K315" s="491"/>
      <c r="L315" s="471"/>
      <c r="M315" s="471"/>
      <c r="N315" s="471"/>
      <c r="O315" s="471"/>
      <c r="P315" s="484"/>
      <c r="Q315" s="491"/>
      <c r="R315" s="491"/>
      <c r="S315" s="471"/>
      <c r="T315" s="471"/>
      <c r="U315" s="471"/>
      <c r="V315" s="471"/>
      <c r="W315" s="471"/>
      <c r="X315" s="471"/>
      <c r="Y315" s="471"/>
      <c r="Z315" s="471"/>
      <c r="AA315" s="471"/>
      <c r="AB315" s="471"/>
      <c r="AC315" s="471"/>
      <c r="AD315" s="471"/>
      <c r="AE315" s="471"/>
      <c r="AF315" s="471"/>
      <c r="AG315" s="471"/>
      <c r="AH315" s="471"/>
      <c r="AI315" s="471"/>
    </row>
    <row r="316" ht="22.5" customHeight="1">
      <c r="A316" s="471"/>
      <c r="B316" s="531" t="s">
        <v>2118</v>
      </c>
      <c r="C316" s="535" t="s">
        <v>2093</v>
      </c>
      <c r="D316" s="535" t="s">
        <v>124</v>
      </c>
      <c r="E316" s="537">
        <v>45698.0</v>
      </c>
      <c r="F316" s="534">
        <v>60030.0</v>
      </c>
      <c r="G316" s="535" t="s">
        <v>2171</v>
      </c>
      <c r="H316" s="531"/>
      <c r="I316" s="471"/>
      <c r="J316" s="490"/>
      <c r="K316" s="491"/>
      <c r="L316" s="471"/>
      <c r="M316" s="471"/>
      <c r="N316" s="471"/>
      <c r="O316" s="471"/>
      <c r="P316" s="471"/>
      <c r="Q316" s="471"/>
      <c r="R316" s="471"/>
      <c r="S316" s="471"/>
      <c r="T316" s="471"/>
      <c r="U316" s="471"/>
      <c r="V316" s="471"/>
      <c r="W316" s="471"/>
      <c r="X316" s="471"/>
      <c r="Y316" s="471"/>
      <c r="Z316" s="471"/>
      <c r="AA316" s="471"/>
      <c r="AB316" s="471"/>
      <c r="AC316" s="471"/>
      <c r="AD316" s="471"/>
      <c r="AE316" s="471"/>
      <c r="AF316" s="471"/>
      <c r="AG316" s="471"/>
      <c r="AH316" s="471"/>
      <c r="AI316" s="471"/>
    </row>
    <row r="317" ht="22.5" customHeight="1">
      <c r="A317" s="471"/>
      <c r="B317" s="531" t="s">
        <v>2118</v>
      </c>
      <c r="C317" s="535" t="s">
        <v>2094</v>
      </c>
      <c r="D317" s="535" t="s">
        <v>2145</v>
      </c>
      <c r="E317" s="537">
        <v>45698.0</v>
      </c>
      <c r="F317" s="534">
        <v>40063.0</v>
      </c>
      <c r="G317" s="535" t="s">
        <v>2171</v>
      </c>
      <c r="H317" s="531"/>
      <c r="I317" s="471"/>
      <c r="J317" s="490"/>
      <c r="K317" s="491"/>
      <c r="L317" s="471"/>
      <c r="M317" s="471"/>
      <c r="N317" s="471"/>
      <c r="O317" s="471"/>
      <c r="P317" s="471"/>
      <c r="Q317" s="471"/>
      <c r="R317" s="471"/>
      <c r="S317" s="471"/>
      <c r="T317" s="471"/>
      <c r="U317" s="471"/>
      <c r="V317" s="471"/>
      <c r="W317" s="471"/>
      <c r="X317" s="471"/>
      <c r="Y317" s="471"/>
      <c r="Z317" s="471"/>
      <c r="AA317" s="471"/>
      <c r="AB317" s="471"/>
      <c r="AC317" s="471"/>
      <c r="AD317" s="471"/>
      <c r="AE317" s="471"/>
      <c r="AF317" s="471"/>
      <c r="AG317" s="471"/>
      <c r="AH317" s="471"/>
      <c r="AI317" s="471"/>
    </row>
    <row r="318" ht="22.5" customHeight="1">
      <c r="A318" s="471"/>
      <c r="B318" s="531" t="s">
        <v>2119</v>
      </c>
      <c r="C318" s="535" t="s">
        <v>2059</v>
      </c>
      <c r="D318" s="535" t="s">
        <v>2128</v>
      </c>
      <c r="E318" s="537">
        <v>45706.0</v>
      </c>
      <c r="F318" s="534">
        <v>50000.0</v>
      </c>
      <c r="G318" s="535" t="s">
        <v>2108</v>
      </c>
      <c r="H318" s="531"/>
      <c r="I318" s="471"/>
      <c r="J318" s="490"/>
      <c r="K318" s="491"/>
      <c r="L318" s="471"/>
      <c r="M318" s="471"/>
      <c r="N318" s="471"/>
      <c r="O318" s="471"/>
      <c r="P318" s="471"/>
      <c r="Q318" s="471"/>
      <c r="R318" s="471"/>
      <c r="S318" s="471"/>
      <c r="T318" s="471"/>
      <c r="U318" s="471"/>
      <c r="V318" s="471"/>
      <c r="W318" s="471"/>
      <c r="X318" s="471"/>
      <c r="Y318" s="471"/>
      <c r="Z318" s="471"/>
      <c r="AA318" s="471"/>
      <c r="AB318" s="471"/>
      <c r="AC318" s="471"/>
      <c r="AD318" s="471"/>
      <c r="AE318" s="471"/>
      <c r="AF318" s="471"/>
      <c r="AG318" s="471"/>
      <c r="AH318" s="471"/>
      <c r="AI318" s="471"/>
    </row>
    <row r="319" ht="22.5" customHeight="1">
      <c r="A319" s="471"/>
      <c r="B319" s="531" t="s">
        <v>2119</v>
      </c>
      <c r="C319" s="535" t="s">
        <v>2144</v>
      </c>
      <c r="D319" s="535" t="s">
        <v>2145</v>
      </c>
      <c r="E319" s="537">
        <v>45713.0</v>
      </c>
      <c r="F319" s="534">
        <v>16026.0</v>
      </c>
      <c r="G319" s="535" t="s">
        <v>2175</v>
      </c>
      <c r="H319" s="531"/>
      <c r="I319" s="471"/>
      <c r="J319" s="490"/>
      <c r="K319" s="491"/>
      <c r="L319" s="471"/>
      <c r="M319" s="471"/>
      <c r="N319" s="471"/>
      <c r="O319" s="471"/>
      <c r="P319" s="471"/>
      <c r="Q319" s="471"/>
      <c r="R319" s="471"/>
      <c r="S319" s="471"/>
      <c r="T319" s="471"/>
      <c r="U319" s="471"/>
      <c r="V319" s="471"/>
      <c r="W319" s="471"/>
      <c r="X319" s="471"/>
      <c r="Y319" s="471"/>
      <c r="Z319" s="471"/>
      <c r="AA319" s="471"/>
      <c r="AB319" s="471"/>
      <c r="AC319" s="471"/>
      <c r="AD319" s="471"/>
      <c r="AE319" s="471"/>
      <c r="AF319" s="471"/>
      <c r="AG319" s="471"/>
      <c r="AH319" s="471"/>
      <c r="AI319" s="471"/>
    </row>
    <row r="320" ht="22.5" customHeight="1">
      <c r="A320" s="471"/>
      <c r="B320" s="531" t="s">
        <v>2119</v>
      </c>
      <c r="C320" s="535" t="s">
        <v>2094</v>
      </c>
      <c r="D320" s="519" t="s">
        <v>2141</v>
      </c>
      <c r="E320" s="540">
        <v>45713.0</v>
      </c>
      <c r="F320" s="518">
        <v>32016.0</v>
      </c>
      <c r="G320" s="535" t="s">
        <v>2175</v>
      </c>
      <c r="H320" s="531"/>
      <c r="I320" s="471"/>
      <c r="J320" s="490"/>
      <c r="K320" s="491"/>
      <c r="L320" s="471"/>
      <c r="M320" s="471"/>
      <c r="N320" s="471"/>
      <c r="O320" s="471"/>
      <c r="P320" s="471"/>
      <c r="Q320" s="471"/>
      <c r="R320" s="471"/>
      <c r="S320" s="471"/>
      <c r="T320" s="471"/>
      <c r="U320" s="471"/>
      <c r="V320" s="471"/>
      <c r="W320" s="471"/>
      <c r="X320" s="471"/>
      <c r="Y320" s="471"/>
      <c r="Z320" s="471"/>
      <c r="AA320" s="471"/>
      <c r="AB320" s="471"/>
      <c r="AC320" s="471"/>
      <c r="AD320" s="471"/>
      <c r="AE320" s="471"/>
      <c r="AF320" s="471"/>
      <c r="AG320" s="471"/>
      <c r="AH320" s="471"/>
      <c r="AI320" s="471"/>
    </row>
    <row r="321" ht="22.5" customHeight="1">
      <c r="A321" s="471"/>
      <c r="B321" s="531" t="s">
        <v>2119</v>
      </c>
      <c r="C321" s="535" t="s">
        <v>2069</v>
      </c>
      <c r="D321" s="535" t="s">
        <v>2135</v>
      </c>
      <c r="E321" s="540">
        <v>45713.0</v>
      </c>
      <c r="F321" s="534">
        <v>40020.0</v>
      </c>
      <c r="G321" s="535" t="s">
        <v>2175</v>
      </c>
      <c r="H321" s="531"/>
      <c r="I321" s="471"/>
      <c r="J321" s="490"/>
      <c r="K321" s="491"/>
      <c r="L321" s="471"/>
      <c r="M321" s="471"/>
      <c r="N321" s="471"/>
      <c r="O321" s="471"/>
      <c r="P321" s="471"/>
      <c r="Q321" s="471"/>
      <c r="R321" s="471"/>
      <c r="S321" s="471"/>
      <c r="T321" s="471"/>
      <c r="U321" s="471"/>
      <c r="V321" s="471"/>
      <c r="W321" s="471"/>
      <c r="X321" s="471"/>
      <c r="Y321" s="471"/>
      <c r="Z321" s="471"/>
      <c r="AA321" s="471"/>
      <c r="AB321" s="471"/>
      <c r="AC321" s="471"/>
      <c r="AD321" s="471"/>
      <c r="AE321" s="471"/>
      <c r="AF321" s="471"/>
      <c r="AG321" s="471"/>
      <c r="AH321" s="471"/>
      <c r="AI321" s="471"/>
    </row>
    <row r="322" ht="22.5" customHeight="1">
      <c r="A322" s="471"/>
      <c r="B322" s="531" t="s">
        <v>2119</v>
      </c>
      <c r="C322" s="535" t="s">
        <v>2059</v>
      </c>
      <c r="D322" s="535" t="s">
        <v>2128</v>
      </c>
      <c r="E322" s="540">
        <v>45713.0</v>
      </c>
      <c r="F322" s="534">
        <v>60030.0</v>
      </c>
      <c r="G322" s="535" t="s">
        <v>2175</v>
      </c>
      <c r="H322" s="531"/>
      <c r="I322" s="471"/>
      <c r="J322" s="490"/>
      <c r="K322" s="491"/>
      <c r="L322" s="471"/>
      <c r="M322" s="471"/>
      <c r="N322" s="471"/>
      <c r="O322" s="471"/>
      <c r="P322" s="471"/>
      <c r="Q322" s="471"/>
      <c r="R322" s="471"/>
      <c r="S322" s="471"/>
      <c r="T322" s="471"/>
      <c r="U322" s="471"/>
      <c r="V322" s="471"/>
      <c r="W322" s="471"/>
      <c r="X322" s="471"/>
      <c r="Y322" s="471"/>
      <c r="Z322" s="471"/>
      <c r="AA322" s="471"/>
      <c r="AB322" s="471"/>
      <c r="AC322" s="471"/>
      <c r="AD322" s="471"/>
      <c r="AE322" s="471"/>
      <c r="AF322" s="471"/>
      <c r="AG322" s="471"/>
      <c r="AH322" s="471"/>
      <c r="AI322" s="471"/>
    </row>
    <row r="323" ht="22.5" customHeight="1">
      <c r="A323" s="471"/>
      <c r="B323" s="531" t="s">
        <v>2119</v>
      </c>
      <c r="C323" s="535" t="s">
        <v>2070</v>
      </c>
      <c r="D323" s="535" t="s">
        <v>2134</v>
      </c>
      <c r="E323" s="540">
        <v>45713.0</v>
      </c>
      <c r="F323" s="534">
        <v>24030.0</v>
      </c>
      <c r="G323" s="535" t="s">
        <v>2175</v>
      </c>
      <c r="H323" s="531"/>
      <c r="I323" s="471"/>
      <c r="J323" s="490"/>
      <c r="K323" s="491"/>
      <c r="L323" s="471"/>
      <c r="M323" s="471"/>
      <c r="N323" s="471"/>
      <c r="O323" s="471"/>
      <c r="P323" s="471"/>
      <c r="Q323" s="471"/>
      <c r="R323" s="471"/>
      <c r="S323" s="471"/>
      <c r="T323" s="471"/>
      <c r="U323" s="471"/>
      <c r="V323" s="471"/>
      <c r="W323" s="471"/>
      <c r="X323" s="471"/>
      <c r="Y323" s="471"/>
      <c r="Z323" s="471"/>
      <c r="AA323" s="471"/>
      <c r="AB323" s="471"/>
      <c r="AC323" s="471"/>
      <c r="AD323" s="471"/>
      <c r="AE323" s="471"/>
      <c r="AF323" s="471"/>
      <c r="AG323" s="471"/>
      <c r="AH323" s="471"/>
      <c r="AI323" s="471"/>
    </row>
    <row r="324" ht="22.5" customHeight="1">
      <c r="A324" s="471"/>
      <c r="B324" s="531" t="s">
        <v>2119</v>
      </c>
      <c r="C324" s="535" t="s">
        <v>2066</v>
      </c>
      <c r="D324" s="535" t="s">
        <v>2164</v>
      </c>
      <c r="E324" s="540">
        <v>45713.0</v>
      </c>
      <c r="F324" s="534">
        <v>181110.0</v>
      </c>
      <c r="G324" s="535" t="s">
        <v>2175</v>
      </c>
      <c r="H324" s="531"/>
      <c r="I324" s="471"/>
      <c r="J324" s="490"/>
      <c r="K324" s="491"/>
      <c r="L324" s="471"/>
      <c r="M324" s="471"/>
      <c r="N324" s="471"/>
      <c r="O324" s="471"/>
      <c r="P324" s="471"/>
      <c r="Q324" s="471"/>
      <c r="R324" s="471"/>
      <c r="S324" s="471"/>
      <c r="T324" s="471"/>
      <c r="U324" s="471"/>
      <c r="V324" s="471"/>
      <c r="W324" s="471"/>
      <c r="X324" s="471"/>
      <c r="Y324" s="471"/>
      <c r="Z324" s="471"/>
      <c r="AA324" s="471"/>
      <c r="AB324" s="471"/>
      <c r="AC324" s="471"/>
      <c r="AD324" s="471"/>
      <c r="AE324" s="471"/>
      <c r="AF324" s="471"/>
      <c r="AG324" s="471"/>
      <c r="AH324" s="471"/>
      <c r="AI324" s="471"/>
    </row>
    <row r="325" ht="22.5" customHeight="1">
      <c r="A325" s="471"/>
      <c r="B325" s="531" t="s">
        <v>2119</v>
      </c>
      <c r="C325" s="535" t="s">
        <v>2058</v>
      </c>
      <c r="D325" s="535" t="s">
        <v>2132</v>
      </c>
      <c r="E325" s="540">
        <v>45713.0</v>
      </c>
      <c r="F325" s="534">
        <v>40020.0</v>
      </c>
      <c r="G325" s="535" t="s">
        <v>2175</v>
      </c>
      <c r="H325" s="531"/>
      <c r="I325" s="471"/>
      <c r="J325" s="490"/>
      <c r="K325" s="491"/>
      <c r="L325" s="471"/>
      <c r="M325" s="471"/>
      <c r="N325" s="471"/>
      <c r="O325" s="471"/>
      <c r="P325" s="484"/>
      <c r="Q325" s="491"/>
      <c r="R325" s="471"/>
      <c r="S325" s="471"/>
      <c r="T325" s="471"/>
      <c r="U325" s="471"/>
      <c r="V325" s="471"/>
      <c r="W325" s="471"/>
      <c r="X325" s="471"/>
      <c r="Y325" s="471"/>
      <c r="Z325" s="471"/>
      <c r="AA325" s="471"/>
      <c r="AB325" s="471"/>
      <c r="AC325" s="471"/>
      <c r="AD325" s="471"/>
      <c r="AE325" s="471"/>
      <c r="AF325" s="471"/>
      <c r="AG325" s="471"/>
      <c r="AH325" s="471"/>
      <c r="AI325" s="471"/>
    </row>
    <row r="326" ht="22.5" customHeight="1">
      <c r="A326" s="471"/>
      <c r="B326" s="531" t="s">
        <v>2119</v>
      </c>
      <c r="C326" s="535" t="s">
        <v>2136</v>
      </c>
      <c r="D326" s="535" t="s">
        <v>2137</v>
      </c>
      <c r="E326" s="540">
        <v>45713.0</v>
      </c>
      <c r="F326" s="534">
        <v>34034.0</v>
      </c>
      <c r="G326" s="535" t="s">
        <v>2175</v>
      </c>
      <c r="H326" s="531"/>
      <c r="I326" s="471"/>
      <c r="J326" s="490"/>
      <c r="K326" s="491"/>
      <c r="L326" s="471"/>
      <c r="M326" s="471"/>
      <c r="N326" s="471"/>
      <c r="O326" s="471"/>
      <c r="P326" s="484"/>
      <c r="Q326" s="491"/>
      <c r="R326" s="471"/>
      <c r="S326" s="471"/>
      <c r="T326" s="471"/>
      <c r="U326" s="471"/>
      <c r="V326" s="471"/>
      <c r="W326" s="471"/>
      <c r="X326" s="471"/>
      <c r="Y326" s="471"/>
      <c r="Z326" s="471"/>
      <c r="AA326" s="471"/>
      <c r="AB326" s="471"/>
      <c r="AC326" s="471"/>
      <c r="AD326" s="471"/>
      <c r="AE326" s="471"/>
      <c r="AF326" s="471"/>
      <c r="AG326" s="471"/>
      <c r="AH326" s="471"/>
      <c r="AI326" s="471"/>
    </row>
    <row r="327" ht="22.5" customHeight="1">
      <c r="A327" s="471"/>
      <c r="B327" s="531" t="s">
        <v>2119</v>
      </c>
      <c r="C327" s="535" t="s">
        <v>2094</v>
      </c>
      <c r="D327" s="535" t="s">
        <v>2131</v>
      </c>
      <c r="E327" s="540">
        <v>45713.0</v>
      </c>
      <c r="F327" s="534">
        <v>40020.0</v>
      </c>
      <c r="G327" s="535" t="s">
        <v>2175</v>
      </c>
      <c r="H327" s="531"/>
      <c r="I327" s="471"/>
      <c r="J327" s="490"/>
      <c r="K327" s="491"/>
      <c r="L327" s="471"/>
      <c r="M327" s="471"/>
      <c r="N327" s="471"/>
      <c r="O327" s="471"/>
      <c r="P327" s="484"/>
      <c r="Q327" s="491"/>
      <c r="R327" s="471"/>
      <c r="S327" s="471"/>
      <c r="T327" s="471"/>
      <c r="U327" s="471"/>
      <c r="V327" s="471"/>
      <c r="W327" s="471"/>
      <c r="X327" s="471"/>
      <c r="Y327" s="471"/>
      <c r="Z327" s="471"/>
      <c r="AA327" s="471"/>
      <c r="AB327" s="471"/>
      <c r="AC327" s="471"/>
      <c r="AD327" s="471"/>
      <c r="AE327" s="471"/>
      <c r="AF327" s="471"/>
      <c r="AG327" s="471"/>
      <c r="AH327" s="471"/>
      <c r="AI327" s="471"/>
    </row>
    <row r="328" ht="22.5" customHeight="1">
      <c r="A328" s="471"/>
      <c r="B328" s="531" t="s">
        <v>2119</v>
      </c>
      <c r="C328" s="535" t="s">
        <v>2129</v>
      </c>
      <c r="D328" s="535" t="s">
        <v>2130</v>
      </c>
      <c r="E328" s="540">
        <v>45713.0</v>
      </c>
      <c r="F328" s="534">
        <v>36018.0</v>
      </c>
      <c r="G328" s="535" t="s">
        <v>2175</v>
      </c>
      <c r="H328" s="531"/>
      <c r="I328" s="471"/>
      <c r="J328" s="490"/>
      <c r="K328" s="491"/>
      <c r="L328" s="471"/>
      <c r="M328" s="471"/>
      <c r="N328" s="471"/>
      <c r="O328" s="471"/>
      <c r="P328" s="484"/>
      <c r="Q328" s="491"/>
      <c r="R328" s="471"/>
      <c r="S328" s="471"/>
      <c r="T328" s="471"/>
      <c r="U328" s="471"/>
      <c r="V328" s="471"/>
      <c r="W328" s="471"/>
      <c r="X328" s="471"/>
      <c r="Y328" s="471"/>
      <c r="Z328" s="471"/>
      <c r="AA328" s="471"/>
      <c r="AB328" s="471"/>
      <c r="AC328" s="471"/>
      <c r="AD328" s="471"/>
      <c r="AE328" s="471"/>
      <c r="AF328" s="471"/>
      <c r="AG328" s="471"/>
      <c r="AH328" s="471"/>
      <c r="AI328" s="471"/>
    </row>
    <row r="329" ht="22.5" customHeight="1">
      <c r="A329" s="471"/>
      <c r="B329" s="531" t="s">
        <v>2119</v>
      </c>
      <c r="C329" s="535" t="s">
        <v>2094</v>
      </c>
      <c r="D329" s="535" t="s">
        <v>124</v>
      </c>
      <c r="E329" s="540">
        <v>45713.0</v>
      </c>
      <c r="F329" s="534">
        <v>40020.0</v>
      </c>
      <c r="G329" s="535" t="s">
        <v>2175</v>
      </c>
      <c r="H329" s="531"/>
      <c r="I329" s="471"/>
      <c r="J329" s="490"/>
      <c r="K329" s="491"/>
      <c r="L329" s="471"/>
      <c r="M329" s="471"/>
      <c r="N329" s="471"/>
      <c r="O329" s="471"/>
      <c r="P329" s="484"/>
      <c r="Q329" s="491"/>
      <c r="R329" s="471"/>
      <c r="S329" s="471"/>
      <c r="T329" s="471"/>
      <c r="U329" s="471"/>
      <c r="V329" s="471"/>
      <c r="W329" s="471"/>
      <c r="X329" s="471"/>
      <c r="Y329" s="471"/>
      <c r="Z329" s="471"/>
      <c r="AA329" s="471"/>
      <c r="AB329" s="471"/>
      <c r="AC329" s="471"/>
      <c r="AD329" s="471"/>
      <c r="AE329" s="471"/>
      <c r="AF329" s="471"/>
      <c r="AG329" s="471"/>
      <c r="AH329" s="471"/>
      <c r="AI329" s="471"/>
    </row>
    <row r="330" ht="22.5" customHeight="1">
      <c r="A330" s="471"/>
      <c r="B330" s="531" t="s">
        <v>2119</v>
      </c>
      <c r="C330" s="535" t="s">
        <v>2059</v>
      </c>
      <c r="D330" s="535" t="s">
        <v>2132</v>
      </c>
      <c r="E330" s="540">
        <v>45721.0</v>
      </c>
      <c r="F330" s="534">
        <v>100000.0</v>
      </c>
      <c r="G330" s="535" t="s">
        <v>2108</v>
      </c>
      <c r="H330" s="531"/>
      <c r="I330" s="471"/>
      <c r="J330" s="490"/>
      <c r="K330" s="491"/>
      <c r="L330" s="471"/>
      <c r="M330" s="471"/>
      <c r="N330" s="471"/>
      <c r="O330" s="471"/>
      <c r="P330" s="484"/>
      <c r="Q330" s="491"/>
      <c r="R330" s="471"/>
      <c r="S330" s="471"/>
      <c r="T330" s="471"/>
      <c r="U330" s="471"/>
      <c r="V330" s="471"/>
      <c r="W330" s="471"/>
      <c r="X330" s="471"/>
      <c r="Y330" s="471"/>
      <c r="Z330" s="471"/>
      <c r="AA330" s="471"/>
      <c r="AB330" s="471"/>
      <c r="AC330" s="471"/>
      <c r="AD330" s="471"/>
      <c r="AE330" s="471"/>
      <c r="AF330" s="471"/>
      <c r="AG330" s="471"/>
      <c r="AH330" s="471"/>
      <c r="AI330" s="471"/>
    </row>
    <row r="331" ht="22.5" customHeight="1">
      <c r="A331" s="471"/>
      <c r="B331" s="531" t="s">
        <v>2119</v>
      </c>
      <c r="C331" s="535" t="s">
        <v>2070</v>
      </c>
      <c r="D331" s="535" t="s">
        <v>2133</v>
      </c>
      <c r="E331" s="540">
        <v>45721.0</v>
      </c>
      <c r="F331" s="534">
        <v>70000.0</v>
      </c>
      <c r="G331" s="535" t="s">
        <v>2108</v>
      </c>
      <c r="H331" s="531"/>
      <c r="I331" s="471"/>
      <c r="J331" s="490"/>
      <c r="K331" s="491"/>
      <c r="L331" s="471"/>
      <c r="M331" s="471"/>
      <c r="N331" s="471"/>
      <c r="O331" s="471"/>
      <c r="P331" s="484"/>
      <c r="Q331" s="491"/>
      <c r="R331" s="471"/>
      <c r="S331" s="471"/>
      <c r="T331" s="471"/>
      <c r="U331" s="471"/>
      <c r="V331" s="471"/>
      <c r="W331" s="471"/>
      <c r="X331" s="471"/>
      <c r="Y331" s="471"/>
      <c r="Z331" s="471"/>
      <c r="AA331" s="471"/>
      <c r="AB331" s="471"/>
      <c r="AC331" s="471"/>
      <c r="AD331" s="471"/>
      <c r="AE331" s="471"/>
      <c r="AF331" s="471"/>
      <c r="AG331" s="471"/>
      <c r="AH331" s="471"/>
      <c r="AI331" s="471"/>
    </row>
    <row r="332" ht="22.5" customHeight="1">
      <c r="A332" s="471"/>
      <c r="B332" s="531" t="s">
        <v>2119</v>
      </c>
      <c r="C332" s="535" t="s">
        <v>2059</v>
      </c>
      <c r="D332" s="535" t="s">
        <v>2128</v>
      </c>
      <c r="E332" s="540">
        <v>45721.0</v>
      </c>
      <c r="F332" s="524">
        <v>85000.0</v>
      </c>
      <c r="G332" s="535" t="s">
        <v>2108</v>
      </c>
      <c r="H332" s="531"/>
      <c r="I332" s="471"/>
      <c r="J332" s="490"/>
      <c r="K332" s="491"/>
      <c r="L332" s="471"/>
      <c r="M332" s="471"/>
      <c r="N332" s="471"/>
      <c r="O332" s="471"/>
      <c r="P332" s="484"/>
      <c r="Q332" s="491"/>
      <c r="R332" s="471"/>
      <c r="S332" s="471"/>
      <c r="T332" s="471"/>
      <c r="U332" s="471"/>
      <c r="V332" s="471"/>
      <c r="W332" s="471"/>
      <c r="X332" s="471"/>
      <c r="Y332" s="471"/>
      <c r="Z332" s="471"/>
      <c r="AA332" s="471"/>
      <c r="AB332" s="471"/>
      <c r="AC332" s="471"/>
      <c r="AD332" s="471"/>
      <c r="AE332" s="471"/>
      <c r="AF332" s="471"/>
      <c r="AG332" s="471"/>
      <c r="AH332" s="471"/>
      <c r="AI332" s="471"/>
    </row>
    <row r="333" ht="22.5" customHeight="1">
      <c r="A333" s="471"/>
      <c r="B333" s="531" t="s">
        <v>2119</v>
      </c>
      <c r="C333" s="535" t="s">
        <v>2093</v>
      </c>
      <c r="D333" s="535" t="s">
        <v>124</v>
      </c>
      <c r="E333" s="540">
        <v>45721.0</v>
      </c>
      <c r="F333" s="539">
        <v>100000.0</v>
      </c>
      <c r="G333" s="535" t="s">
        <v>2108</v>
      </c>
      <c r="H333" s="531"/>
      <c r="I333" s="471"/>
      <c r="J333" s="490"/>
      <c r="K333" s="491"/>
      <c r="L333" s="471"/>
      <c r="M333" s="471"/>
      <c r="N333" s="471"/>
      <c r="O333" s="471"/>
      <c r="P333" s="484"/>
      <c r="Q333" s="491"/>
      <c r="R333" s="471"/>
      <c r="S333" s="471"/>
      <c r="T333" s="471"/>
      <c r="U333" s="471"/>
      <c r="V333" s="471"/>
      <c r="W333" s="471"/>
      <c r="X333" s="471"/>
      <c r="Y333" s="471"/>
      <c r="Z333" s="471"/>
      <c r="AA333" s="471"/>
      <c r="AB333" s="471"/>
      <c r="AC333" s="471"/>
      <c r="AD333" s="471"/>
      <c r="AE333" s="471"/>
      <c r="AF333" s="471"/>
      <c r="AG333" s="471"/>
      <c r="AH333" s="471"/>
      <c r="AI333" s="471"/>
    </row>
    <row r="334" ht="22.5" customHeight="1">
      <c r="A334" s="471"/>
      <c r="B334" s="531" t="s">
        <v>2119</v>
      </c>
      <c r="C334" s="535" t="s">
        <v>2129</v>
      </c>
      <c r="D334" s="535" t="s">
        <v>2130</v>
      </c>
      <c r="E334" s="540">
        <v>45721.0</v>
      </c>
      <c r="F334" s="539">
        <v>50000.0</v>
      </c>
      <c r="G334" s="535" t="s">
        <v>2108</v>
      </c>
      <c r="H334" s="531"/>
      <c r="I334" s="471"/>
      <c r="J334" s="490"/>
      <c r="K334" s="491"/>
      <c r="L334" s="471"/>
      <c r="M334" s="471"/>
      <c r="N334" s="471"/>
      <c r="O334" s="471"/>
      <c r="P334" s="484"/>
      <c r="Q334" s="491"/>
      <c r="R334" s="471"/>
      <c r="S334" s="471"/>
      <c r="T334" s="471"/>
      <c r="U334" s="471"/>
      <c r="V334" s="471"/>
      <c r="W334" s="471"/>
      <c r="X334" s="471"/>
      <c r="Y334" s="471"/>
      <c r="Z334" s="471"/>
      <c r="AA334" s="471"/>
      <c r="AB334" s="471"/>
      <c r="AC334" s="471"/>
      <c r="AD334" s="471"/>
      <c r="AE334" s="471"/>
      <c r="AF334" s="471"/>
      <c r="AG334" s="471"/>
      <c r="AH334" s="471"/>
      <c r="AI334" s="471"/>
    </row>
    <row r="335" ht="22.5" customHeight="1">
      <c r="A335" s="471"/>
      <c r="B335" s="531" t="s">
        <v>2119</v>
      </c>
      <c r="C335" s="535" t="s">
        <v>2094</v>
      </c>
      <c r="D335" s="535" t="s">
        <v>2131</v>
      </c>
      <c r="E335" s="540">
        <v>45721.0</v>
      </c>
      <c r="F335" s="539">
        <v>30000.0</v>
      </c>
      <c r="G335" s="535" t="s">
        <v>2108</v>
      </c>
      <c r="H335" s="531"/>
      <c r="I335" s="471"/>
      <c r="J335" s="490"/>
      <c r="K335" s="491"/>
      <c r="L335" s="471"/>
      <c r="M335" s="471"/>
      <c r="N335" s="471"/>
      <c r="O335" s="471"/>
      <c r="P335" s="484"/>
      <c r="Q335" s="491"/>
      <c r="R335" s="471"/>
      <c r="S335" s="471"/>
      <c r="T335" s="471"/>
      <c r="U335" s="471"/>
      <c r="V335" s="471"/>
      <c r="W335" s="471"/>
      <c r="X335" s="471"/>
      <c r="Y335" s="471"/>
      <c r="Z335" s="471"/>
      <c r="AA335" s="471"/>
      <c r="AB335" s="471"/>
      <c r="AC335" s="471"/>
      <c r="AD335" s="471"/>
      <c r="AE335" s="471"/>
      <c r="AF335" s="471"/>
      <c r="AG335" s="471"/>
      <c r="AH335" s="471"/>
      <c r="AI335" s="471"/>
    </row>
    <row r="336" ht="22.5" customHeight="1">
      <c r="A336" s="471"/>
      <c r="B336" s="531" t="s">
        <v>2119</v>
      </c>
      <c r="C336" s="535" t="s">
        <v>2071</v>
      </c>
      <c r="D336" s="535" t="s">
        <v>2134</v>
      </c>
      <c r="E336" s="540">
        <v>45721.0</v>
      </c>
      <c r="F336" s="539">
        <v>20000.0</v>
      </c>
      <c r="G336" s="535" t="s">
        <v>2108</v>
      </c>
      <c r="H336" s="531"/>
      <c r="I336" s="471"/>
      <c r="J336" s="490"/>
      <c r="K336" s="491"/>
      <c r="L336" s="471"/>
      <c r="M336" s="471"/>
      <c r="N336" s="471"/>
      <c r="O336" s="471"/>
      <c r="P336" s="484"/>
      <c r="Q336" s="491"/>
      <c r="R336" s="471"/>
      <c r="S336" s="471"/>
      <c r="T336" s="471"/>
      <c r="U336" s="471"/>
      <c r="V336" s="471"/>
      <c r="W336" s="471"/>
      <c r="X336" s="471"/>
      <c r="Y336" s="471"/>
      <c r="Z336" s="471"/>
      <c r="AA336" s="471"/>
      <c r="AB336" s="471"/>
      <c r="AC336" s="471"/>
      <c r="AD336" s="471"/>
      <c r="AE336" s="471"/>
      <c r="AF336" s="471"/>
      <c r="AG336" s="471"/>
      <c r="AH336" s="471"/>
      <c r="AI336" s="471"/>
    </row>
    <row r="337" ht="22.5" customHeight="1">
      <c r="A337" s="471"/>
      <c r="B337" s="531" t="s">
        <v>2119</v>
      </c>
      <c r="C337" s="535" t="s">
        <v>2069</v>
      </c>
      <c r="D337" s="535" t="s">
        <v>2135</v>
      </c>
      <c r="E337" s="540">
        <v>45721.0</v>
      </c>
      <c r="F337" s="539">
        <v>40000.0</v>
      </c>
      <c r="G337" s="535" t="s">
        <v>2108</v>
      </c>
      <c r="H337" s="531"/>
      <c r="I337" s="471"/>
      <c r="J337" s="490"/>
      <c r="K337" s="491"/>
      <c r="L337" s="471"/>
      <c r="M337" s="471"/>
      <c r="N337" s="471"/>
      <c r="O337" s="471"/>
      <c r="P337" s="484"/>
      <c r="Q337" s="491"/>
      <c r="R337" s="471"/>
      <c r="S337" s="471"/>
      <c r="T337" s="471"/>
      <c r="U337" s="471"/>
      <c r="V337" s="471"/>
      <c r="W337" s="471"/>
      <c r="X337" s="471"/>
      <c r="Y337" s="471"/>
      <c r="Z337" s="471"/>
      <c r="AA337" s="471"/>
      <c r="AB337" s="471"/>
      <c r="AC337" s="471"/>
      <c r="AD337" s="471"/>
      <c r="AE337" s="471"/>
      <c r="AF337" s="471"/>
      <c r="AG337" s="471"/>
      <c r="AH337" s="471"/>
      <c r="AI337" s="471"/>
    </row>
    <row r="338" ht="22.5" customHeight="1">
      <c r="A338" s="471"/>
      <c r="B338" s="531" t="s">
        <v>2119</v>
      </c>
      <c r="C338" s="535" t="s">
        <v>2136</v>
      </c>
      <c r="D338" s="535" t="s">
        <v>2137</v>
      </c>
      <c r="E338" s="540">
        <v>45721.0</v>
      </c>
      <c r="F338" s="539">
        <v>85000.0</v>
      </c>
      <c r="G338" s="535" t="s">
        <v>2108</v>
      </c>
      <c r="H338" s="531"/>
      <c r="I338" s="471"/>
      <c r="J338" s="490"/>
      <c r="K338" s="491"/>
      <c r="L338" s="471"/>
      <c r="M338" s="471"/>
      <c r="N338" s="471"/>
      <c r="O338" s="471"/>
      <c r="P338" s="484"/>
      <c r="Q338" s="491"/>
      <c r="R338" s="471"/>
      <c r="S338" s="471"/>
      <c r="T338" s="471"/>
      <c r="U338" s="471"/>
      <c r="V338" s="471"/>
      <c r="W338" s="471"/>
      <c r="X338" s="471"/>
      <c r="Y338" s="471"/>
      <c r="Z338" s="471"/>
      <c r="AA338" s="471"/>
      <c r="AB338" s="471"/>
      <c r="AC338" s="471"/>
      <c r="AD338" s="471"/>
      <c r="AE338" s="471"/>
      <c r="AF338" s="471"/>
      <c r="AG338" s="471"/>
      <c r="AH338" s="471"/>
      <c r="AI338" s="471"/>
    </row>
    <row r="339" ht="22.5" customHeight="1">
      <c r="A339" s="471"/>
      <c r="B339" s="531" t="s">
        <v>2119</v>
      </c>
      <c r="C339" s="535" t="s">
        <v>2094</v>
      </c>
      <c r="D339" s="535" t="s">
        <v>2139</v>
      </c>
      <c r="E339" s="540">
        <v>45721.0</v>
      </c>
      <c r="F339" s="539">
        <v>50000.0</v>
      </c>
      <c r="G339" s="535" t="s">
        <v>2108</v>
      </c>
      <c r="H339" s="531"/>
      <c r="I339" s="471"/>
      <c r="J339" s="490"/>
      <c r="K339" s="491"/>
      <c r="L339" s="471"/>
      <c r="M339" s="471"/>
      <c r="N339" s="471"/>
      <c r="O339" s="471"/>
      <c r="P339" s="471"/>
      <c r="Q339" s="471"/>
      <c r="R339" s="471"/>
      <c r="S339" s="471"/>
      <c r="T339" s="471"/>
      <c r="U339" s="471"/>
      <c r="V339" s="471"/>
      <c r="W339" s="471"/>
      <c r="X339" s="471"/>
      <c r="Y339" s="471"/>
      <c r="Z339" s="471"/>
      <c r="AA339" s="471"/>
      <c r="AB339" s="471"/>
      <c r="AC339" s="471"/>
      <c r="AD339" s="471"/>
      <c r="AE339" s="471"/>
      <c r="AF339" s="471"/>
      <c r="AG339" s="471"/>
      <c r="AH339" s="471"/>
      <c r="AI339" s="471"/>
    </row>
    <row r="340" ht="22.5" customHeight="1">
      <c r="A340" s="471"/>
      <c r="B340" s="531" t="s">
        <v>2119</v>
      </c>
      <c r="C340" s="535" t="s">
        <v>2094</v>
      </c>
      <c r="D340" s="535" t="s">
        <v>2141</v>
      </c>
      <c r="E340" s="540">
        <v>45721.0</v>
      </c>
      <c r="F340" s="539">
        <v>20000.0</v>
      </c>
      <c r="G340" s="535" t="s">
        <v>2108</v>
      </c>
      <c r="H340" s="531"/>
      <c r="I340" s="471"/>
      <c r="J340" s="490"/>
      <c r="K340" s="491"/>
      <c r="L340" s="471"/>
      <c r="M340" s="471"/>
      <c r="N340" s="471"/>
      <c r="O340" s="471"/>
      <c r="P340" s="471"/>
      <c r="Q340" s="471"/>
      <c r="R340" s="471"/>
      <c r="S340" s="471"/>
      <c r="T340" s="471"/>
      <c r="U340" s="471"/>
      <c r="V340" s="471"/>
      <c r="W340" s="471"/>
      <c r="X340" s="471"/>
      <c r="Y340" s="471"/>
      <c r="Z340" s="471"/>
      <c r="AA340" s="471"/>
      <c r="AB340" s="471"/>
      <c r="AC340" s="471"/>
      <c r="AD340" s="471"/>
      <c r="AE340" s="471"/>
      <c r="AF340" s="471"/>
      <c r="AG340" s="471"/>
      <c r="AH340" s="471"/>
      <c r="AI340" s="471"/>
    </row>
    <row r="341" ht="22.5" customHeight="1">
      <c r="A341" s="471"/>
      <c r="B341" s="531" t="s">
        <v>2119</v>
      </c>
      <c r="C341" s="535" t="s">
        <v>2142</v>
      </c>
      <c r="D341" s="535" t="s">
        <v>2143</v>
      </c>
      <c r="E341" s="540">
        <v>45721.0</v>
      </c>
      <c r="F341" s="539">
        <v>30000.0</v>
      </c>
      <c r="G341" s="535" t="s">
        <v>2108</v>
      </c>
      <c r="H341" s="531"/>
      <c r="I341" s="471"/>
      <c r="J341" s="490"/>
      <c r="K341" s="491"/>
      <c r="L341" s="471"/>
      <c r="M341" s="471"/>
      <c r="N341" s="471"/>
      <c r="O341" s="471"/>
      <c r="P341" s="471"/>
      <c r="Q341" s="471"/>
      <c r="R341" s="471"/>
      <c r="S341" s="471"/>
      <c r="T341" s="471"/>
      <c r="U341" s="471"/>
      <c r="V341" s="471"/>
      <c r="W341" s="471"/>
      <c r="X341" s="471"/>
      <c r="Y341" s="471"/>
      <c r="Z341" s="471"/>
      <c r="AA341" s="471"/>
      <c r="AB341" s="471"/>
      <c r="AC341" s="471"/>
      <c r="AD341" s="471"/>
      <c r="AE341" s="471"/>
      <c r="AF341" s="471"/>
      <c r="AG341" s="471"/>
      <c r="AH341" s="471"/>
      <c r="AI341" s="471"/>
    </row>
    <row r="342" ht="22.5" customHeight="1">
      <c r="A342" s="471"/>
      <c r="B342" s="531" t="s">
        <v>2120</v>
      </c>
      <c r="C342" s="535" t="s">
        <v>2093</v>
      </c>
      <c r="D342" s="535" t="s">
        <v>124</v>
      </c>
      <c r="E342" s="537">
        <v>45726.0</v>
      </c>
      <c r="F342" s="534">
        <v>20410.29</v>
      </c>
      <c r="G342" s="535" t="s">
        <v>2175</v>
      </c>
      <c r="H342" s="531" t="s">
        <v>1673</v>
      </c>
      <c r="I342" s="471"/>
      <c r="J342" s="490"/>
      <c r="K342" s="491"/>
      <c r="L342" s="471"/>
      <c r="M342" s="471"/>
      <c r="N342" s="471"/>
      <c r="O342" s="471"/>
      <c r="P342" s="471"/>
      <c r="Q342" s="471"/>
      <c r="R342" s="471"/>
      <c r="S342" s="471"/>
      <c r="T342" s="471"/>
      <c r="U342" s="471"/>
      <c r="V342" s="471"/>
      <c r="W342" s="471"/>
      <c r="X342" s="471"/>
      <c r="Y342" s="471"/>
      <c r="Z342" s="471"/>
      <c r="AA342" s="471"/>
      <c r="AB342" s="471"/>
      <c r="AC342" s="471"/>
      <c r="AD342" s="471"/>
      <c r="AE342" s="471"/>
      <c r="AF342" s="471"/>
      <c r="AG342" s="471"/>
      <c r="AH342" s="471"/>
      <c r="AI342" s="471"/>
    </row>
    <row r="343" ht="22.5" customHeight="1">
      <c r="A343" s="471"/>
      <c r="B343" s="531" t="s">
        <v>2119</v>
      </c>
      <c r="C343" s="535" t="s">
        <v>2094</v>
      </c>
      <c r="D343" s="535" t="s">
        <v>2141</v>
      </c>
      <c r="E343" s="537">
        <v>45726.0</v>
      </c>
      <c r="F343" s="534">
        <v>48024.0</v>
      </c>
      <c r="G343" s="535" t="s">
        <v>2171</v>
      </c>
      <c r="H343" s="531"/>
      <c r="I343" s="471"/>
      <c r="J343" s="490"/>
      <c r="K343" s="491"/>
      <c r="L343" s="471"/>
      <c r="M343" s="471"/>
      <c r="N343" s="471"/>
      <c r="O343" s="471"/>
      <c r="P343" s="471"/>
      <c r="Q343" s="471"/>
      <c r="R343" s="471"/>
      <c r="S343" s="471"/>
      <c r="T343" s="471"/>
      <c r="U343" s="471"/>
      <c r="V343" s="471"/>
      <c r="W343" s="471"/>
      <c r="X343" s="471"/>
      <c r="Y343" s="471"/>
      <c r="Z343" s="471"/>
      <c r="AA343" s="471"/>
      <c r="AB343" s="471"/>
      <c r="AC343" s="471"/>
      <c r="AD343" s="471"/>
      <c r="AE343" s="471"/>
      <c r="AF343" s="471"/>
      <c r="AG343" s="471"/>
      <c r="AH343" s="471"/>
      <c r="AI343" s="471"/>
    </row>
    <row r="344" ht="22.5" customHeight="1">
      <c r="A344" s="471"/>
      <c r="B344" s="531" t="s">
        <v>2119</v>
      </c>
      <c r="C344" s="535" t="s">
        <v>2069</v>
      </c>
      <c r="D344" s="535" t="s">
        <v>2135</v>
      </c>
      <c r="E344" s="537">
        <v>45726.0</v>
      </c>
      <c r="F344" s="534">
        <v>60030.0</v>
      </c>
      <c r="G344" s="535" t="s">
        <v>2171</v>
      </c>
      <c r="H344" s="531"/>
      <c r="I344" s="471"/>
      <c r="J344" s="490"/>
      <c r="K344" s="491"/>
      <c r="L344" s="471"/>
      <c r="M344" s="471"/>
      <c r="N344" s="471"/>
      <c r="O344" s="471"/>
      <c r="P344" s="471"/>
      <c r="Q344" s="471"/>
      <c r="R344" s="471"/>
      <c r="S344" s="471"/>
      <c r="T344" s="471"/>
      <c r="U344" s="471"/>
      <c r="V344" s="471"/>
      <c r="W344" s="471"/>
      <c r="X344" s="471"/>
      <c r="Y344" s="471"/>
      <c r="Z344" s="471"/>
      <c r="AA344" s="471"/>
      <c r="AB344" s="471"/>
      <c r="AC344" s="471"/>
      <c r="AD344" s="471"/>
      <c r="AE344" s="471"/>
      <c r="AF344" s="471"/>
      <c r="AG344" s="471"/>
      <c r="AH344" s="471"/>
      <c r="AI344" s="471"/>
    </row>
    <row r="345" ht="22.5" customHeight="1">
      <c r="A345" s="471"/>
      <c r="B345" s="531" t="s">
        <v>2119</v>
      </c>
      <c r="C345" s="535" t="s">
        <v>2059</v>
      </c>
      <c r="D345" s="535" t="s">
        <v>2128</v>
      </c>
      <c r="E345" s="537">
        <v>45726.0</v>
      </c>
      <c r="F345" s="534">
        <v>90045.0</v>
      </c>
      <c r="G345" s="535" t="s">
        <v>2171</v>
      </c>
      <c r="H345" s="531"/>
      <c r="I345" s="471"/>
      <c r="J345" s="490"/>
      <c r="K345" s="491"/>
      <c r="L345" s="471"/>
      <c r="M345" s="471"/>
      <c r="N345" s="471"/>
      <c r="O345" s="471"/>
      <c r="P345" s="471"/>
      <c r="Q345" s="471"/>
      <c r="R345" s="471"/>
      <c r="S345" s="471"/>
      <c r="T345" s="471"/>
      <c r="U345" s="471"/>
      <c r="V345" s="471"/>
      <c r="W345" s="471"/>
      <c r="X345" s="471"/>
      <c r="Y345" s="471"/>
      <c r="Z345" s="471"/>
      <c r="AA345" s="471"/>
      <c r="AB345" s="471"/>
      <c r="AC345" s="471"/>
      <c r="AD345" s="471"/>
      <c r="AE345" s="471"/>
      <c r="AF345" s="471"/>
      <c r="AG345" s="471"/>
      <c r="AH345" s="471"/>
      <c r="AI345" s="471"/>
    </row>
    <row r="346" ht="22.5" customHeight="1">
      <c r="A346" s="471"/>
      <c r="B346" s="531" t="s">
        <v>2119</v>
      </c>
      <c r="C346" s="535" t="s">
        <v>2071</v>
      </c>
      <c r="D346" s="535" t="s">
        <v>2134</v>
      </c>
      <c r="E346" s="537">
        <v>45726.0</v>
      </c>
      <c r="F346" s="534">
        <v>36044.0</v>
      </c>
      <c r="G346" s="535" t="s">
        <v>2171</v>
      </c>
      <c r="H346" s="531"/>
      <c r="I346" s="471"/>
      <c r="J346" s="490"/>
      <c r="K346" s="491"/>
      <c r="L346" s="471"/>
      <c r="M346" s="471"/>
      <c r="N346" s="471"/>
      <c r="O346" s="471"/>
      <c r="P346" s="471"/>
      <c r="Q346" s="471"/>
      <c r="R346" s="471"/>
      <c r="S346" s="471"/>
      <c r="T346" s="471"/>
      <c r="U346" s="471"/>
      <c r="V346" s="471"/>
      <c r="W346" s="471"/>
      <c r="X346" s="471"/>
      <c r="Y346" s="471"/>
      <c r="Z346" s="471"/>
      <c r="AA346" s="471"/>
      <c r="AB346" s="471"/>
      <c r="AC346" s="471"/>
      <c r="AD346" s="471"/>
      <c r="AE346" s="471"/>
      <c r="AF346" s="471"/>
      <c r="AG346" s="471"/>
      <c r="AH346" s="471"/>
      <c r="AI346" s="471"/>
    </row>
    <row r="347" ht="22.5" customHeight="1">
      <c r="A347" s="471"/>
      <c r="B347" s="531" t="s">
        <v>2119</v>
      </c>
      <c r="C347" s="535" t="s">
        <v>2058</v>
      </c>
      <c r="D347" s="535" t="s">
        <v>2132</v>
      </c>
      <c r="E347" s="537">
        <v>45726.0</v>
      </c>
      <c r="F347" s="534">
        <v>60030.0</v>
      </c>
      <c r="G347" s="535" t="s">
        <v>2171</v>
      </c>
      <c r="H347" s="531"/>
      <c r="I347" s="471"/>
      <c r="J347" s="490"/>
      <c r="K347" s="491"/>
      <c r="L347" s="471"/>
      <c r="M347" s="471"/>
      <c r="N347" s="471"/>
      <c r="O347" s="471"/>
      <c r="P347" s="471"/>
      <c r="Q347" s="471"/>
      <c r="R347" s="471"/>
      <c r="S347" s="471"/>
      <c r="T347" s="471"/>
      <c r="U347" s="471"/>
      <c r="V347" s="471"/>
      <c r="W347" s="471"/>
      <c r="X347" s="471"/>
      <c r="Y347" s="471"/>
      <c r="Z347" s="471"/>
      <c r="AA347" s="471"/>
      <c r="AB347" s="471"/>
      <c r="AC347" s="471"/>
      <c r="AD347" s="471"/>
      <c r="AE347" s="471"/>
      <c r="AF347" s="471"/>
      <c r="AG347" s="471"/>
      <c r="AH347" s="471"/>
      <c r="AI347" s="471"/>
    </row>
    <row r="348" ht="22.5" customHeight="1">
      <c r="A348" s="471"/>
      <c r="B348" s="531" t="s">
        <v>2119</v>
      </c>
      <c r="C348" s="535" t="s">
        <v>2136</v>
      </c>
      <c r="D348" s="535" t="s">
        <v>2137</v>
      </c>
      <c r="E348" s="537">
        <v>45726.0</v>
      </c>
      <c r="F348" s="534">
        <v>51052.0</v>
      </c>
      <c r="G348" s="535" t="s">
        <v>2171</v>
      </c>
      <c r="H348" s="531"/>
      <c r="I348" s="471"/>
      <c r="J348" s="490"/>
      <c r="K348" s="491"/>
      <c r="L348" s="471"/>
      <c r="M348" s="471"/>
      <c r="N348" s="471"/>
      <c r="O348" s="471"/>
      <c r="P348" s="471"/>
      <c r="Q348" s="471"/>
      <c r="R348" s="471"/>
      <c r="S348" s="471"/>
      <c r="T348" s="471"/>
      <c r="U348" s="471"/>
      <c r="V348" s="471"/>
      <c r="W348" s="471"/>
      <c r="X348" s="471"/>
      <c r="Y348" s="471"/>
      <c r="Z348" s="471"/>
      <c r="AA348" s="471"/>
      <c r="AB348" s="471"/>
      <c r="AC348" s="471"/>
      <c r="AD348" s="471"/>
      <c r="AE348" s="471"/>
      <c r="AF348" s="471"/>
      <c r="AG348" s="471"/>
      <c r="AH348" s="471"/>
      <c r="AI348" s="471"/>
    </row>
    <row r="349" ht="22.5" customHeight="1">
      <c r="A349" s="471"/>
      <c r="B349" s="531" t="s">
        <v>2119</v>
      </c>
      <c r="C349" s="535" t="s">
        <v>2094</v>
      </c>
      <c r="D349" s="535" t="s">
        <v>2131</v>
      </c>
      <c r="E349" s="537">
        <v>45726.0</v>
      </c>
      <c r="F349" s="534">
        <v>60030.0</v>
      </c>
      <c r="G349" s="535" t="s">
        <v>2171</v>
      </c>
      <c r="H349" s="531"/>
      <c r="I349" s="471"/>
      <c r="J349" s="490"/>
      <c r="K349" s="491"/>
      <c r="L349" s="471"/>
      <c r="M349" s="471"/>
      <c r="N349" s="471"/>
      <c r="O349" s="471"/>
      <c r="P349" s="471"/>
      <c r="Q349" s="471"/>
      <c r="R349" s="471"/>
      <c r="S349" s="471"/>
      <c r="T349" s="471"/>
      <c r="U349" s="471"/>
      <c r="V349" s="471"/>
      <c r="W349" s="471"/>
      <c r="X349" s="471"/>
      <c r="Y349" s="471"/>
      <c r="Z349" s="471"/>
      <c r="AA349" s="471"/>
      <c r="AB349" s="471"/>
      <c r="AC349" s="471"/>
      <c r="AD349" s="471"/>
      <c r="AE349" s="471"/>
      <c r="AF349" s="471"/>
      <c r="AG349" s="471"/>
      <c r="AH349" s="471"/>
      <c r="AI349" s="471"/>
    </row>
    <row r="350" ht="22.5" customHeight="1">
      <c r="A350" s="471"/>
      <c r="B350" s="531" t="s">
        <v>2119</v>
      </c>
      <c r="C350" s="535" t="s">
        <v>2129</v>
      </c>
      <c r="D350" s="535" t="s">
        <v>2130</v>
      </c>
      <c r="E350" s="537">
        <v>45726.0</v>
      </c>
      <c r="F350" s="534">
        <v>54027.0</v>
      </c>
      <c r="G350" s="535" t="s">
        <v>2171</v>
      </c>
      <c r="H350" s="531"/>
      <c r="I350" s="471"/>
      <c r="J350" s="490"/>
      <c r="K350" s="491"/>
      <c r="L350" s="471"/>
      <c r="M350" s="471"/>
      <c r="N350" s="471"/>
      <c r="O350" s="471"/>
      <c r="P350" s="471"/>
      <c r="Q350" s="471"/>
      <c r="R350" s="471"/>
      <c r="S350" s="471"/>
      <c r="T350" s="471"/>
      <c r="U350" s="471"/>
      <c r="V350" s="471"/>
      <c r="W350" s="471"/>
      <c r="X350" s="471"/>
      <c r="Y350" s="471"/>
      <c r="Z350" s="471"/>
      <c r="AA350" s="471"/>
      <c r="AB350" s="471"/>
      <c r="AC350" s="471"/>
      <c r="AD350" s="471"/>
      <c r="AE350" s="471"/>
      <c r="AF350" s="471"/>
      <c r="AG350" s="471"/>
      <c r="AH350" s="471"/>
      <c r="AI350" s="471"/>
    </row>
    <row r="351" ht="22.5" customHeight="1">
      <c r="A351" s="471"/>
      <c r="B351" s="531" t="s">
        <v>2119</v>
      </c>
      <c r="C351" s="535" t="s">
        <v>2093</v>
      </c>
      <c r="D351" s="535" t="s">
        <v>124</v>
      </c>
      <c r="E351" s="537">
        <v>45726.0</v>
      </c>
      <c r="F351" s="534">
        <v>60030.0</v>
      </c>
      <c r="G351" s="535" t="s">
        <v>2171</v>
      </c>
      <c r="H351" s="531"/>
      <c r="I351" s="471"/>
      <c r="J351" s="490"/>
      <c r="K351" s="491"/>
      <c r="L351" s="471"/>
      <c r="M351" s="471"/>
      <c r="N351" s="471"/>
      <c r="O351" s="471"/>
      <c r="P351" s="471"/>
      <c r="Q351" s="471"/>
      <c r="R351" s="471"/>
      <c r="S351" s="471"/>
      <c r="T351" s="471"/>
      <c r="U351" s="471"/>
      <c r="V351" s="471"/>
      <c r="W351" s="471"/>
      <c r="X351" s="471"/>
      <c r="Y351" s="471"/>
      <c r="Z351" s="471"/>
      <c r="AA351" s="471"/>
      <c r="AB351" s="471"/>
      <c r="AC351" s="471"/>
      <c r="AD351" s="471"/>
      <c r="AE351" s="471"/>
      <c r="AF351" s="471"/>
      <c r="AG351" s="471"/>
      <c r="AH351" s="471"/>
      <c r="AI351" s="471"/>
    </row>
    <row r="352" ht="22.5" customHeight="1">
      <c r="A352" s="471"/>
      <c r="B352" s="531" t="s">
        <v>2119</v>
      </c>
      <c r="C352" s="535" t="s">
        <v>2144</v>
      </c>
      <c r="D352" s="535" t="s">
        <v>2145</v>
      </c>
      <c r="E352" s="537">
        <v>45726.0</v>
      </c>
      <c r="F352" s="534">
        <v>24038.0</v>
      </c>
      <c r="G352" s="535" t="s">
        <v>2171</v>
      </c>
      <c r="H352" s="531"/>
      <c r="I352" s="471"/>
      <c r="J352" s="490"/>
      <c r="K352" s="491"/>
      <c r="L352" s="471"/>
      <c r="M352" s="471"/>
      <c r="N352" s="471"/>
      <c r="O352" s="471"/>
      <c r="P352" s="471"/>
      <c r="Q352" s="471"/>
      <c r="R352" s="471"/>
      <c r="S352" s="471"/>
      <c r="T352" s="471"/>
      <c r="U352" s="471"/>
      <c r="V352" s="471"/>
      <c r="W352" s="471"/>
      <c r="X352" s="471"/>
      <c r="Y352" s="471"/>
      <c r="Z352" s="471"/>
      <c r="AA352" s="471"/>
      <c r="AB352" s="471"/>
      <c r="AC352" s="471"/>
      <c r="AD352" s="471"/>
      <c r="AE352" s="471"/>
      <c r="AF352" s="471"/>
      <c r="AG352" s="471"/>
      <c r="AH352" s="471"/>
      <c r="AI352" s="471"/>
    </row>
    <row r="353" ht="22.5" customHeight="1">
      <c r="A353" s="471"/>
      <c r="B353" s="531" t="s">
        <v>2120</v>
      </c>
      <c r="C353" s="535" t="s">
        <v>2059</v>
      </c>
      <c r="D353" s="535" t="s">
        <v>2128</v>
      </c>
      <c r="E353" s="537">
        <v>45741.0</v>
      </c>
      <c r="F353" s="534">
        <v>60030.0</v>
      </c>
      <c r="G353" s="535" t="s">
        <v>2175</v>
      </c>
      <c r="H353" s="531"/>
      <c r="I353" s="471"/>
      <c r="J353" s="490"/>
      <c r="K353" s="491"/>
      <c r="L353" s="471"/>
      <c r="M353" s="471"/>
      <c r="N353" s="471"/>
      <c r="O353" s="471"/>
      <c r="P353" s="471"/>
      <c r="Q353" s="471"/>
      <c r="R353" s="471"/>
      <c r="S353" s="471"/>
      <c r="T353" s="471"/>
      <c r="U353" s="471"/>
      <c r="V353" s="471"/>
      <c r="W353" s="471"/>
      <c r="X353" s="471"/>
      <c r="Y353" s="471"/>
      <c r="Z353" s="471"/>
      <c r="AA353" s="471"/>
      <c r="AB353" s="471"/>
      <c r="AC353" s="471"/>
      <c r="AD353" s="471"/>
      <c r="AE353" s="471"/>
      <c r="AF353" s="471"/>
      <c r="AG353" s="471"/>
      <c r="AH353" s="471"/>
      <c r="AI353" s="471"/>
    </row>
    <row r="354" ht="22.5" customHeight="1">
      <c r="A354" s="471"/>
      <c r="B354" s="531" t="s">
        <v>2120</v>
      </c>
      <c r="C354" s="535" t="s">
        <v>2070</v>
      </c>
      <c r="D354" s="535" t="s">
        <v>2134</v>
      </c>
      <c r="E354" s="537">
        <v>45741.0</v>
      </c>
      <c r="F354" s="534">
        <v>24029.0</v>
      </c>
      <c r="G354" s="535" t="s">
        <v>2175</v>
      </c>
      <c r="H354" s="531"/>
      <c r="I354" s="471"/>
      <c r="J354" s="490"/>
      <c r="K354" s="491"/>
      <c r="L354" s="471"/>
      <c r="M354" s="471"/>
      <c r="N354" s="471"/>
      <c r="O354" s="471"/>
      <c r="P354" s="471"/>
      <c r="Q354" s="471"/>
      <c r="R354" s="471"/>
      <c r="S354" s="471"/>
      <c r="T354" s="471"/>
      <c r="U354" s="471"/>
      <c r="V354" s="471"/>
      <c r="W354" s="471"/>
      <c r="X354" s="471"/>
      <c r="Y354" s="471"/>
      <c r="Z354" s="471"/>
      <c r="AA354" s="471"/>
      <c r="AB354" s="471"/>
      <c r="AC354" s="471"/>
      <c r="AD354" s="471"/>
      <c r="AE354" s="471"/>
      <c r="AF354" s="471"/>
      <c r="AG354" s="471"/>
      <c r="AH354" s="471"/>
      <c r="AI354" s="471"/>
    </row>
    <row r="355" ht="22.5" customHeight="1">
      <c r="A355" s="471"/>
      <c r="B355" s="531" t="s">
        <v>2120</v>
      </c>
      <c r="C355" s="535" t="s">
        <v>2069</v>
      </c>
      <c r="D355" s="535" t="s">
        <v>2135</v>
      </c>
      <c r="E355" s="537">
        <v>45741.0</v>
      </c>
      <c r="F355" s="534">
        <v>40020.0</v>
      </c>
      <c r="G355" s="535" t="s">
        <v>2175</v>
      </c>
      <c r="H355" s="531"/>
      <c r="I355" s="471"/>
      <c r="J355" s="490"/>
      <c r="K355" s="491"/>
      <c r="L355" s="471"/>
      <c r="M355" s="471"/>
      <c r="N355" s="471"/>
      <c r="O355" s="471"/>
      <c r="P355" s="471"/>
      <c r="Q355" s="471"/>
      <c r="R355" s="471"/>
      <c r="S355" s="471"/>
      <c r="T355" s="471"/>
      <c r="U355" s="471"/>
      <c r="V355" s="471"/>
      <c r="W355" s="471"/>
      <c r="X355" s="471"/>
      <c r="Y355" s="471"/>
      <c r="Z355" s="471"/>
      <c r="AA355" s="471"/>
      <c r="AB355" s="471"/>
      <c r="AC355" s="471"/>
      <c r="AD355" s="471"/>
      <c r="AE355" s="471"/>
      <c r="AF355" s="471"/>
      <c r="AG355" s="471"/>
      <c r="AH355" s="471"/>
      <c r="AI355" s="471"/>
    </row>
    <row r="356" ht="22.5" customHeight="1">
      <c r="A356" s="471"/>
      <c r="B356" s="531" t="s">
        <v>2120</v>
      </c>
      <c r="C356" s="535" t="s">
        <v>2058</v>
      </c>
      <c r="D356" s="535" t="s">
        <v>2132</v>
      </c>
      <c r="E356" s="537">
        <v>45741.0</v>
      </c>
      <c r="F356" s="534">
        <v>40020.0</v>
      </c>
      <c r="G356" s="535" t="s">
        <v>2175</v>
      </c>
      <c r="H356" s="531"/>
      <c r="I356" s="471"/>
      <c r="J356" s="490"/>
      <c r="K356" s="491"/>
      <c r="L356" s="471"/>
      <c r="M356" s="471"/>
      <c r="N356" s="471"/>
      <c r="O356" s="471"/>
      <c r="P356" s="471"/>
      <c r="Q356" s="471"/>
      <c r="R356" s="471"/>
      <c r="S356" s="471"/>
      <c r="T356" s="471"/>
      <c r="U356" s="471"/>
      <c r="V356" s="471"/>
      <c r="W356" s="471"/>
      <c r="X356" s="471"/>
      <c r="Y356" s="471"/>
      <c r="Z356" s="471"/>
      <c r="AA356" s="471"/>
      <c r="AB356" s="471"/>
      <c r="AC356" s="471"/>
      <c r="AD356" s="471"/>
      <c r="AE356" s="471"/>
      <c r="AF356" s="471"/>
      <c r="AG356" s="471"/>
      <c r="AH356" s="471"/>
      <c r="AI356" s="471"/>
    </row>
    <row r="357" ht="22.5" customHeight="1">
      <c r="A357" s="471"/>
      <c r="B357" s="531" t="s">
        <v>2120</v>
      </c>
      <c r="C357" s="535" t="s">
        <v>2094</v>
      </c>
      <c r="D357" s="535" t="s">
        <v>2141</v>
      </c>
      <c r="E357" s="537">
        <v>45741.0</v>
      </c>
      <c r="F357" s="534">
        <v>32016.0</v>
      </c>
      <c r="G357" s="535" t="s">
        <v>2175</v>
      </c>
      <c r="H357" s="531"/>
      <c r="I357" s="471"/>
      <c r="J357" s="490"/>
      <c r="K357" s="491"/>
      <c r="L357" s="471"/>
      <c r="M357" s="471"/>
      <c r="N357" s="471"/>
      <c r="O357" s="471"/>
      <c r="P357" s="471"/>
      <c r="Q357" s="471"/>
      <c r="R357" s="471"/>
      <c r="S357" s="471"/>
      <c r="T357" s="471"/>
      <c r="U357" s="471"/>
      <c r="V357" s="471"/>
      <c r="W357" s="471"/>
      <c r="X357" s="471"/>
      <c r="Y357" s="471"/>
      <c r="Z357" s="471"/>
      <c r="AA357" s="471"/>
      <c r="AB357" s="471"/>
      <c r="AC357" s="471"/>
      <c r="AD357" s="471"/>
      <c r="AE357" s="471"/>
      <c r="AF357" s="471"/>
      <c r="AG357" s="471"/>
      <c r="AH357" s="471"/>
      <c r="AI357" s="471"/>
    </row>
    <row r="358" ht="22.5" customHeight="1">
      <c r="A358" s="471"/>
      <c r="B358" s="531" t="s">
        <v>2120</v>
      </c>
      <c r="C358" s="535" t="s">
        <v>2136</v>
      </c>
      <c r="D358" s="535" t="s">
        <v>2137</v>
      </c>
      <c r="E358" s="537">
        <v>45741.0</v>
      </c>
      <c r="F358" s="534">
        <v>34018.0</v>
      </c>
      <c r="G358" s="535" t="s">
        <v>2175</v>
      </c>
      <c r="H358" s="531"/>
      <c r="I358" s="471"/>
      <c r="J358" s="490"/>
      <c r="K358" s="491"/>
      <c r="L358" s="471"/>
      <c r="M358" s="471"/>
      <c r="N358" s="471"/>
      <c r="O358" s="471"/>
      <c r="P358" s="471"/>
      <c r="Q358" s="471"/>
      <c r="R358" s="471"/>
      <c r="S358" s="471"/>
      <c r="T358" s="471"/>
      <c r="U358" s="471"/>
      <c r="V358" s="471"/>
      <c r="W358" s="471"/>
      <c r="X358" s="471"/>
      <c r="Y358" s="471"/>
      <c r="Z358" s="471"/>
      <c r="AA358" s="471"/>
      <c r="AB358" s="471"/>
      <c r="AC358" s="471"/>
      <c r="AD358" s="471"/>
      <c r="AE358" s="471"/>
      <c r="AF358" s="471"/>
      <c r="AG358" s="471"/>
      <c r="AH358" s="471"/>
      <c r="AI358" s="471"/>
    </row>
    <row r="359" ht="22.5" customHeight="1">
      <c r="A359" s="471"/>
      <c r="B359" s="531" t="s">
        <v>2120</v>
      </c>
      <c r="C359" s="535" t="s">
        <v>2129</v>
      </c>
      <c r="D359" s="535" t="s">
        <v>2130</v>
      </c>
      <c r="E359" s="537">
        <v>45741.0</v>
      </c>
      <c r="F359" s="534">
        <v>36018.0</v>
      </c>
      <c r="G359" s="535" t="s">
        <v>2175</v>
      </c>
      <c r="H359" s="531"/>
      <c r="I359" s="471"/>
      <c r="J359" s="490"/>
      <c r="K359" s="491"/>
      <c r="L359" s="471"/>
      <c r="M359" s="471"/>
      <c r="N359" s="471"/>
      <c r="O359" s="471"/>
      <c r="P359" s="471"/>
      <c r="Q359" s="471"/>
      <c r="R359" s="471"/>
      <c r="S359" s="471"/>
      <c r="T359" s="471"/>
      <c r="U359" s="471"/>
      <c r="V359" s="471"/>
      <c r="W359" s="471"/>
      <c r="X359" s="471"/>
      <c r="Y359" s="471"/>
      <c r="Z359" s="471"/>
      <c r="AA359" s="471"/>
      <c r="AB359" s="471"/>
      <c r="AC359" s="471"/>
      <c r="AD359" s="471"/>
      <c r="AE359" s="471"/>
      <c r="AF359" s="471"/>
      <c r="AG359" s="471"/>
      <c r="AH359" s="471"/>
      <c r="AI359" s="471"/>
    </row>
    <row r="360" ht="22.5" customHeight="1">
      <c r="A360" s="471"/>
      <c r="B360" s="531" t="s">
        <v>2120</v>
      </c>
      <c r="C360" s="535" t="s">
        <v>2094</v>
      </c>
      <c r="D360" s="535" t="s">
        <v>2131</v>
      </c>
      <c r="E360" s="537">
        <v>45741.0</v>
      </c>
      <c r="F360" s="534">
        <v>40020.0</v>
      </c>
      <c r="G360" s="535" t="s">
        <v>2175</v>
      </c>
      <c r="H360" s="531"/>
      <c r="I360" s="471"/>
      <c r="J360" s="490"/>
      <c r="K360" s="491"/>
      <c r="L360" s="471"/>
      <c r="M360" s="471"/>
      <c r="N360" s="471"/>
      <c r="O360" s="471"/>
      <c r="P360" s="471"/>
      <c r="Q360" s="471"/>
      <c r="R360" s="471"/>
      <c r="S360" s="471"/>
      <c r="T360" s="471"/>
      <c r="U360" s="471"/>
      <c r="V360" s="471"/>
      <c r="W360" s="471"/>
      <c r="X360" s="471"/>
      <c r="Y360" s="471"/>
      <c r="Z360" s="471"/>
      <c r="AA360" s="471"/>
      <c r="AB360" s="471"/>
      <c r="AC360" s="471"/>
      <c r="AD360" s="471"/>
      <c r="AE360" s="471"/>
      <c r="AF360" s="471"/>
      <c r="AG360" s="471"/>
      <c r="AH360" s="471"/>
      <c r="AI360" s="471"/>
    </row>
    <row r="361" ht="22.5" customHeight="1">
      <c r="A361" s="471"/>
      <c r="B361" s="531" t="s">
        <v>2120</v>
      </c>
      <c r="C361" s="535" t="s">
        <v>2093</v>
      </c>
      <c r="D361" s="535" t="s">
        <v>124</v>
      </c>
      <c r="E361" s="537">
        <v>45741.0</v>
      </c>
      <c r="F361" s="534">
        <v>48024.0</v>
      </c>
      <c r="G361" s="535" t="s">
        <v>2175</v>
      </c>
      <c r="H361" s="531"/>
      <c r="I361" s="471"/>
      <c r="J361" s="490"/>
      <c r="K361" s="491"/>
      <c r="L361" s="471"/>
      <c r="M361" s="471"/>
      <c r="N361" s="471"/>
      <c r="O361" s="471"/>
      <c r="P361" s="471"/>
      <c r="Q361" s="471"/>
      <c r="R361" s="471"/>
      <c r="S361" s="471"/>
      <c r="T361" s="471"/>
      <c r="U361" s="471"/>
      <c r="V361" s="471"/>
      <c r="W361" s="471"/>
      <c r="X361" s="471"/>
      <c r="Y361" s="471"/>
      <c r="Z361" s="471"/>
      <c r="AA361" s="471"/>
      <c r="AB361" s="471"/>
      <c r="AC361" s="471"/>
      <c r="AD361" s="471"/>
      <c r="AE361" s="471"/>
      <c r="AF361" s="471"/>
      <c r="AG361" s="471"/>
      <c r="AH361" s="471"/>
      <c r="AI361" s="471"/>
    </row>
    <row r="362" ht="22.5" customHeight="1">
      <c r="A362" s="471"/>
      <c r="B362" s="531" t="s">
        <v>2120</v>
      </c>
      <c r="C362" s="535" t="s">
        <v>2144</v>
      </c>
      <c r="D362" s="535" t="s">
        <v>2145</v>
      </c>
      <c r="E362" s="537">
        <v>45741.0</v>
      </c>
      <c r="F362" s="534">
        <v>16025.0</v>
      </c>
      <c r="G362" s="535" t="s">
        <v>2175</v>
      </c>
      <c r="H362" s="531"/>
      <c r="I362" s="471"/>
      <c r="J362" s="490"/>
      <c r="K362" s="491"/>
      <c r="L362" s="471"/>
      <c r="M362" s="471"/>
      <c r="N362" s="471"/>
      <c r="O362" s="471"/>
      <c r="P362" s="471"/>
      <c r="Q362" s="471"/>
      <c r="R362" s="471"/>
      <c r="S362" s="471"/>
      <c r="T362" s="471"/>
      <c r="U362" s="471"/>
      <c r="V362" s="471"/>
      <c r="W362" s="471"/>
      <c r="X362" s="471"/>
      <c r="Y362" s="471"/>
      <c r="Z362" s="471"/>
      <c r="AA362" s="471"/>
      <c r="AB362" s="471"/>
      <c r="AC362" s="471"/>
      <c r="AD362" s="471"/>
      <c r="AE362" s="471"/>
      <c r="AF362" s="471"/>
      <c r="AG362" s="471"/>
      <c r="AH362" s="471"/>
      <c r="AI362" s="471"/>
    </row>
    <row r="363" ht="22.5" customHeight="1">
      <c r="A363" s="471"/>
      <c r="B363" s="531" t="s">
        <v>2120</v>
      </c>
      <c r="C363" s="535" t="s">
        <v>2059</v>
      </c>
      <c r="D363" s="535" t="s">
        <v>2128</v>
      </c>
      <c r="E363" s="540">
        <v>45748.0</v>
      </c>
      <c r="F363" s="518">
        <v>20000.0</v>
      </c>
      <c r="G363" s="535" t="s">
        <v>2108</v>
      </c>
      <c r="H363" s="531"/>
      <c r="I363" s="471"/>
      <c r="J363" s="490"/>
      <c r="K363" s="491"/>
      <c r="L363" s="471"/>
      <c r="M363" s="471"/>
      <c r="N363" s="471"/>
      <c r="O363" s="471"/>
      <c r="P363" s="471"/>
      <c r="Q363" s="471"/>
      <c r="R363" s="471"/>
      <c r="S363" s="471"/>
      <c r="T363" s="471"/>
      <c r="U363" s="471"/>
      <c r="V363" s="471"/>
      <c r="W363" s="471"/>
      <c r="X363" s="471"/>
      <c r="Y363" s="471"/>
      <c r="Z363" s="471"/>
      <c r="AA363" s="471"/>
      <c r="AB363" s="471"/>
      <c r="AC363" s="471"/>
      <c r="AD363" s="471"/>
      <c r="AE363" s="471"/>
      <c r="AF363" s="471"/>
      <c r="AG363" s="471"/>
      <c r="AH363" s="471"/>
      <c r="AI363" s="471"/>
    </row>
    <row r="364" ht="22.5" customHeight="1">
      <c r="A364" s="471"/>
      <c r="B364" s="531" t="s">
        <v>2120</v>
      </c>
      <c r="C364" s="535" t="s">
        <v>2059</v>
      </c>
      <c r="D364" s="535" t="s">
        <v>2128</v>
      </c>
      <c r="E364" s="540">
        <v>45750.0</v>
      </c>
      <c r="F364" s="518">
        <v>100000.0</v>
      </c>
      <c r="G364" s="535" t="s">
        <v>2108</v>
      </c>
      <c r="H364" s="531"/>
      <c r="I364" s="471"/>
      <c r="J364" s="490"/>
      <c r="K364" s="491"/>
      <c r="L364" s="471"/>
      <c r="M364" s="471"/>
      <c r="N364" s="471"/>
      <c r="O364" s="471"/>
      <c r="P364" s="471"/>
      <c r="Q364" s="471"/>
      <c r="R364" s="471"/>
      <c r="S364" s="471"/>
      <c r="T364" s="471"/>
      <c r="U364" s="471"/>
      <c r="V364" s="471"/>
      <c r="W364" s="471"/>
      <c r="X364" s="471"/>
      <c r="Y364" s="471"/>
      <c r="Z364" s="471"/>
      <c r="AA364" s="471"/>
      <c r="AB364" s="471"/>
      <c r="AC364" s="471"/>
      <c r="AD364" s="471"/>
      <c r="AE364" s="471"/>
      <c r="AF364" s="471"/>
      <c r="AG364" s="471"/>
      <c r="AH364" s="471"/>
      <c r="AI364" s="471"/>
    </row>
    <row r="365" ht="22.5" customHeight="1">
      <c r="A365" s="471"/>
      <c r="B365" s="531" t="s">
        <v>2120</v>
      </c>
      <c r="C365" s="535" t="s">
        <v>2146</v>
      </c>
      <c r="D365" s="535" t="s">
        <v>2147</v>
      </c>
      <c r="E365" s="537">
        <v>45751.0</v>
      </c>
      <c r="F365" s="534">
        <v>50000.0</v>
      </c>
      <c r="G365" s="535" t="s">
        <v>2171</v>
      </c>
      <c r="H365" s="531"/>
      <c r="I365" s="471"/>
      <c r="J365" s="490"/>
      <c r="K365" s="491"/>
      <c r="L365" s="471"/>
      <c r="M365" s="471"/>
      <c r="N365" s="471"/>
      <c r="O365" s="471"/>
      <c r="P365" s="471"/>
      <c r="Q365" s="471"/>
      <c r="R365" s="471"/>
      <c r="S365" s="471"/>
      <c r="T365" s="471"/>
      <c r="U365" s="471"/>
      <c r="V365" s="471"/>
      <c r="W365" s="471"/>
      <c r="X365" s="471"/>
      <c r="Y365" s="471"/>
      <c r="Z365" s="471"/>
      <c r="AA365" s="471"/>
      <c r="AB365" s="471"/>
      <c r="AC365" s="471"/>
      <c r="AD365" s="471"/>
      <c r="AE365" s="471"/>
      <c r="AF365" s="471"/>
      <c r="AG365" s="471"/>
      <c r="AH365" s="471"/>
      <c r="AI365" s="471"/>
    </row>
    <row r="366" ht="22.5" customHeight="1">
      <c r="A366" s="471"/>
      <c r="B366" s="531" t="s">
        <v>2120</v>
      </c>
      <c r="C366" s="535" t="s">
        <v>2148</v>
      </c>
      <c r="D366" s="535" t="s">
        <v>2166</v>
      </c>
      <c r="E366" s="537">
        <v>45751.0</v>
      </c>
      <c r="F366" s="534">
        <v>214000.0</v>
      </c>
      <c r="G366" s="535" t="s">
        <v>2171</v>
      </c>
      <c r="H366" s="531"/>
      <c r="I366" s="471"/>
      <c r="J366" s="490"/>
      <c r="K366" s="491"/>
      <c r="L366" s="471"/>
      <c r="M366" s="471"/>
      <c r="N366" s="471"/>
      <c r="O366" s="471"/>
      <c r="P366" s="471"/>
      <c r="Q366" s="471"/>
      <c r="R366" s="471"/>
      <c r="S366" s="471"/>
      <c r="T366" s="471"/>
      <c r="U366" s="471"/>
      <c r="V366" s="471"/>
      <c r="W366" s="471"/>
      <c r="X366" s="471"/>
      <c r="Y366" s="471"/>
      <c r="Z366" s="471"/>
      <c r="AA366" s="471"/>
      <c r="AB366" s="471"/>
      <c r="AC366" s="471"/>
      <c r="AD366" s="471"/>
      <c r="AE366" s="471"/>
      <c r="AF366" s="471"/>
      <c r="AG366" s="471"/>
      <c r="AH366" s="471"/>
      <c r="AI366" s="471"/>
    </row>
    <row r="367" ht="22.5" customHeight="1">
      <c r="A367" s="471"/>
      <c r="B367" s="531" t="s">
        <v>2120</v>
      </c>
      <c r="C367" s="535" t="s">
        <v>2138</v>
      </c>
      <c r="D367" s="535" t="s">
        <v>2139</v>
      </c>
      <c r="E367" s="537">
        <v>45751.0</v>
      </c>
      <c r="F367" s="534">
        <v>50000.0</v>
      </c>
      <c r="G367" s="535" t="s">
        <v>2108</v>
      </c>
      <c r="H367" s="531"/>
      <c r="I367" s="471"/>
      <c r="J367" s="490"/>
      <c r="K367" s="491"/>
      <c r="L367" s="471"/>
      <c r="M367" s="471"/>
      <c r="N367" s="471"/>
      <c r="O367" s="471"/>
      <c r="P367" s="471"/>
      <c r="Q367" s="471"/>
      <c r="R367" s="471"/>
      <c r="S367" s="471"/>
      <c r="T367" s="471"/>
      <c r="U367" s="471"/>
      <c r="V367" s="471"/>
      <c r="W367" s="471"/>
      <c r="X367" s="471"/>
      <c r="Y367" s="471"/>
      <c r="Z367" s="471"/>
      <c r="AA367" s="471"/>
      <c r="AB367" s="471"/>
      <c r="AC367" s="471"/>
      <c r="AD367" s="471"/>
      <c r="AE367" s="471"/>
      <c r="AF367" s="471"/>
      <c r="AG367" s="471"/>
      <c r="AH367" s="471"/>
      <c r="AI367" s="471"/>
    </row>
    <row r="368" ht="22.5" customHeight="1">
      <c r="A368" s="471"/>
      <c r="B368" s="531" t="s">
        <v>2120</v>
      </c>
      <c r="C368" s="535" t="s">
        <v>2059</v>
      </c>
      <c r="D368" s="535" t="s">
        <v>2128</v>
      </c>
      <c r="E368" s="537">
        <v>45751.0</v>
      </c>
      <c r="F368" s="539">
        <v>30000.0</v>
      </c>
      <c r="G368" s="535" t="s">
        <v>2108</v>
      </c>
      <c r="H368" s="531"/>
      <c r="I368" s="471"/>
      <c r="J368" s="490"/>
      <c r="K368" s="491"/>
      <c r="L368" s="471"/>
      <c r="M368" s="471"/>
      <c r="N368" s="471"/>
      <c r="O368" s="471"/>
      <c r="P368" s="471"/>
      <c r="Q368" s="471"/>
      <c r="R368" s="471"/>
      <c r="S368" s="471"/>
      <c r="T368" s="471"/>
      <c r="U368" s="471"/>
      <c r="V368" s="471"/>
      <c r="W368" s="471"/>
      <c r="X368" s="471"/>
      <c r="Y368" s="471"/>
      <c r="Z368" s="471"/>
      <c r="AA368" s="471"/>
      <c r="AB368" s="471"/>
      <c r="AC368" s="471"/>
      <c r="AD368" s="471"/>
      <c r="AE368" s="471"/>
      <c r="AF368" s="471"/>
      <c r="AG368" s="471"/>
      <c r="AH368" s="471"/>
      <c r="AI368" s="471"/>
    </row>
    <row r="369" ht="22.5" customHeight="1">
      <c r="A369" s="471"/>
      <c r="B369" s="531" t="s">
        <v>2120</v>
      </c>
      <c r="C369" s="535" t="s">
        <v>2093</v>
      </c>
      <c r="D369" s="535" t="s">
        <v>124</v>
      </c>
      <c r="E369" s="537">
        <v>45751.0</v>
      </c>
      <c r="F369" s="539">
        <v>100000.0</v>
      </c>
      <c r="G369" s="535" t="s">
        <v>2108</v>
      </c>
      <c r="H369" s="531"/>
      <c r="I369" s="471"/>
      <c r="J369" s="490"/>
      <c r="K369" s="491"/>
      <c r="L369" s="471"/>
      <c r="M369" s="471"/>
      <c r="N369" s="471"/>
      <c r="O369" s="471"/>
      <c r="P369" s="471"/>
      <c r="Q369" s="471"/>
      <c r="R369" s="471"/>
      <c r="S369" s="471"/>
      <c r="T369" s="471"/>
      <c r="U369" s="471"/>
      <c r="V369" s="471"/>
      <c r="W369" s="471"/>
      <c r="X369" s="471"/>
      <c r="Y369" s="471"/>
      <c r="Z369" s="471"/>
      <c r="AA369" s="471"/>
      <c r="AB369" s="471"/>
      <c r="AC369" s="471"/>
      <c r="AD369" s="471"/>
      <c r="AE369" s="471"/>
      <c r="AF369" s="471"/>
      <c r="AG369" s="471"/>
      <c r="AH369" s="471"/>
      <c r="AI369" s="471"/>
    </row>
    <row r="370" ht="22.5" customHeight="1">
      <c r="A370" s="471"/>
      <c r="B370" s="531" t="s">
        <v>2120</v>
      </c>
      <c r="C370" s="535" t="s">
        <v>2129</v>
      </c>
      <c r="D370" s="535" t="s">
        <v>2130</v>
      </c>
      <c r="E370" s="537">
        <v>45751.0</v>
      </c>
      <c r="F370" s="539">
        <v>50000.0</v>
      </c>
      <c r="G370" s="535" t="s">
        <v>2108</v>
      </c>
      <c r="H370" s="531"/>
      <c r="I370" s="471"/>
      <c r="J370" s="490"/>
      <c r="K370" s="491"/>
      <c r="L370" s="471"/>
      <c r="M370" s="471"/>
      <c r="N370" s="471"/>
      <c r="O370" s="471"/>
      <c r="P370" s="471"/>
      <c r="Q370" s="471"/>
      <c r="R370" s="471"/>
      <c r="S370" s="471"/>
      <c r="T370" s="471"/>
      <c r="U370" s="471"/>
      <c r="V370" s="471"/>
      <c r="W370" s="471"/>
      <c r="X370" s="471"/>
      <c r="Y370" s="471"/>
      <c r="Z370" s="471"/>
      <c r="AA370" s="471"/>
      <c r="AB370" s="471"/>
      <c r="AC370" s="471"/>
      <c r="AD370" s="471"/>
      <c r="AE370" s="471"/>
      <c r="AF370" s="471"/>
      <c r="AG370" s="471"/>
      <c r="AH370" s="471"/>
      <c r="AI370" s="471"/>
    </row>
    <row r="371" ht="22.5" customHeight="1">
      <c r="A371" s="471"/>
      <c r="B371" s="531" t="s">
        <v>2120</v>
      </c>
      <c r="C371" s="535" t="s">
        <v>2094</v>
      </c>
      <c r="D371" s="535" t="s">
        <v>2131</v>
      </c>
      <c r="E371" s="537">
        <v>45751.0</v>
      </c>
      <c r="F371" s="539">
        <v>30000.0</v>
      </c>
      <c r="G371" s="535" t="s">
        <v>2108</v>
      </c>
      <c r="H371" s="531"/>
      <c r="I371" s="471"/>
      <c r="J371" s="490"/>
      <c r="K371" s="491"/>
      <c r="L371" s="471"/>
      <c r="M371" s="471"/>
      <c r="N371" s="471"/>
      <c r="O371" s="471"/>
      <c r="P371" s="471"/>
      <c r="Q371" s="484"/>
      <c r="R371" s="491"/>
      <c r="S371" s="491"/>
      <c r="T371" s="471"/>
      <c r="U371" s="471"/>
      <c r="V371" s="471"/>
      <c r="W371" s="471"/>
      <c r="X371" s="471"/>
      <c r="Y371" s="471"/>
      <c r="Z371" s="471"/>
      <c r="AA371" s="471"/>
      <c r="AB371" s="471"/>
      <c r="AC371" s="471"/>
      <c r="AD371" s="471"/>
      <c r="AE371" s="471"/>
      <c r="AF371" s="471"/>
      <c r="AG371" s="471"/>
      <c r="AH371" s="471"/>
      <c r="AI371" s="471"/>
    </row>
    <row r="372" ht="22.5" customHeight="1">
      <c r="A372" s="471"/>
      <c r="B372" s="531" t="s">
        <v>2120</v>
      </c>
      <c r="C372" s="535" t="s">
        <v>2058</v>
      </c>
      <c r="D372" s="535" t="s">
        <v>2132</v>
      </c>
      <c r="E372" s="537">
        <v>45751.0</v>
      </c>
      <c r="F372" s="539">
        <v>100000.0</v>
      </c>
      <c r="G372" s="535" t="s">
        <v>2108</v>
      </c>
      <c r="H372" s="531"/>
      <c r="I372" s="471"/>
      <c r="J372" s="490"/>
      <c r="K372" s="491"/>
      <c r="L372" s="471"/>
      <c r="M372" s="471"/>
      <c r="N372" s="471"/>
      <c r="O372" s="471"/>
      <c r="P372" s="471"/>
      <c r="Q372" s="484"/>
      <c r="R372" s="491"/>
      <c r="S372" s="491"/>
      <c r="T372" s="471"/>
      <c r="U372" s="471"/>
      <c r="V372" s="471"/>
      <c r="W372" s="471"/>
      <c r="X372" s="471"/>
      <c r="Y372" s="471"/>
      <c r="Z372" s="471"/>
      <c r="AA372" s="471"/>
      <c r="AB372" s="471"/>
      <c r="AC372" s="471"/>
      <c r="AD372" s="471"/>
      <c r="AE372" s="471"/>
      <c r="AF372" s="471"/>
      <c r="AG372" s="471"/>
      <c r="AH372" s="471"/>
      <c r="AI372" s="471"/>
    </row>
    <row r="373" ht="22.5" customHeight="1">
      <c r="A373" s="471"/>
      <c r="B373" s="531" t="s">
        <v>2120</v>
      </c>
      <c r="C373" s="535" t="s">
        <v>2070</v>
      </c>
      <c r="D373" s="535" t="s">
        <v>2133</v>
      </c>
      <c r="E373" s="537">
        <v>45751.0</v>
      </c>
      <c r="F373" s="539">
        <v>70000.0</v>
      </c>
      <c r="G373" s="535" t="s">
        <v>2108</v>
      </c>
      <c r="H373" s="531"/>
      <c r="I373" s="471"/>
      <c r="J373" s="490"/>
      <c r="K373" s="491"/>
      <c r="L373" s="471"/>
      <c r="M373" s="471"/>
      <c r="N373" s="471"/>
      <c r="O373" s="471"/>
      <c r="P373" s="471"/>
      <c r="Q373" s="484"/>
      <c r="R373" s="491"/>
      <c r="S373" s="491"/>
      <c r="T373" s="471"/>
      <c r="U373" s="471"/>
      <c r="V373" s="471"/>
      <c r="W373" s="471"/>
      <c r="X373" s="471"/>
      <c r="Y373" s="471"/>
      <c r="Z373" s="471"/>
      <c r="AA373" s="471"/>
      <c r="AB373" s="471"/>
      <c r="AC373" s="471"/>
      <c r="AD373" s="471"/>
      <c r="AE373" s="471"/>
      <c r="AF373" s="471"/>
      <c r="AG373" s="471"/>
      <c r="AH373" s="471"/>
      <c r="AI373" s="471"/>
    </row>
    <row r="374" ht="22.5" customHeight="1">
      <c r="A374" s="471"/>
      <c r="B374" s="531" t="s">
        <v>2120</v>
      </c>
      <c r="C374" s="535" t="s">
        <v>2071</v>
      </c>
      <c r="D374" s="535" t="s">
        <v>2134</v>
      </c>
      <c r="E374" s="537">
        <v>45751.0</v>
      </c>
      <c r="F374" s="539">
        <v>20000.0</v>
      </c>
      <c r="G374" s="535" t="s">
        <v>2108</v>
      </c>
      <c r="H374" s="531"/>
      <c r="I374" s="471"/>
      <c r="J374" s="490"/>
      <c r="K374" s="491"/>
      <c r="L374" s="471"/>
      <c r="M374" s="471"/>
      <c r="N374" s="471"/>
      <c r="O374" s="471"/>
      <c r="P374" s="471"/>
      <c r="Q374" s="484"/>
      <c r="R374" s="491"/>
      <c r="S374" s="491"/>
      <c r="T374" s="471"/>
      <c r="U374" s="471"/>
      <c r="V374" s="471"/>
      <c r="W374" s="471"/>
      <c r="X374" s="471"/>
      <c r="Y374" s="471"/>
      <c r="Z374" s="471"/>
      <c r="AA374" s="471"/>
      <c r="AB374" s="471"/>
      <c r="AC374" s="471"/>
      <c r="AD374" s="471"/>
      <c r="AE374" s="471"/>
      <c r="AF374" s="471"/>
      <c r="AG374" s="471"/>
      <c r="AH374" s="471"/>
      <c r="AI374" s="471"/>
    </row>
    <row r="375" ht="22.5" customHeight="1">
      <c r="A375" s="471"/>
      <c r="B375" s="531" t="s">
        <v>2120</v>
      </c>
      <c r="C375" s="535" t="s">
        <v>2069</v>
      </c>
      <c r="D375" s="535" t="s">
        <v>2135</v>
      </c>
      <c r="E375" s="537">
        <v>45751.0</v>
      </c>
      <c r="F375" s="539">
        <v>40000.0</v>
      </c>
      <c r="G375" s="535" t="s">
        <v>2108</v>
      </c>
      <c r="H375" s="531"/>
      <c r="I375" s="471"/>
      <c r="J375" s="490"/>
      <c r="K375" s="491"/>
      <c r="L375" s="471"/>
      <c r="M375" s="471"/>
      <c r="N375" s="471"/>
      <c r="O375" s="471"/>
      <c r="P375" s="471"/>
      <c r="Q375" s="484"/>
      <c r="R375" s="491"/>
      <c r="S375" s="491"/>
      <c r="T375" s="471"/>
      <c r="U375" s="471"/>
      <c r="V375" s="471"/>
      <c r="W375" s="471"/>
      <c r="X375" s="471"/>
      <c r="Y375" s="471"/>
      <c r="Z375" s="471"/>
      <c r="AA375" s="471"/>
      <c r="AB375" s="471"/>
      <c r="AC375" s="471"/>
      <c r="AD375" s="471"/>
      <c r="AE375" s="471"/>
      <c r="AF375" s="471"/>
      <c r="AG375" s="471"/>
      <c r="AH375" s="471"/>
      <c r="AI375" s="471"/>
    </row>
    <row r="376" ht="22.5" customHeight="1">
      <c r="A376" s="471"/>
      <c r="B376" s="531" t="s">
        <v>2120</v>
      </c>
      <c r="C376" s="535" t="s">
        <v>2136</v>
      </c>
      <c r="D376" s="535" t="s">
        <v>2137</v>
      </c>
      <c r="E376" s="537">
        <v>45751.0</v>
      </c>
      <c r="F376" s="539">
        <v>85000.0</v>
      </c>
      <c r="G376" s="535" t="s">
        <v>2108</v>
      </c>
      <c r="H376" s="531"/>
      <c r="I376" s="471"/>
      <c r="J376" s="490"/>
      <c r="K376" s="491"/>
      <c r="L376" s="471"/>
      <c r="M376" s="471"/>
      <c r="N376" s="471"/>
      <c r="O376" s="471"/>
      <c r="P376" s="471"/>
      <c r="Q376" s="484"/>
      <c r="R376" s="491"/>
      <c r="S376" s="491"/>
      <c r="T376" s="471"/>
      <c r="U376" s="471"/>
      <c r="V376" s="471"/>
      <c r="W376" s="471"/>
      <c r="X376" s="471"/>
      <c r="Y376" s="471"/>
      <c r="Z376" s="471"/>
      <c r="AA376" s="471"/>
      <c r="AB376" s="471"/>
      <c r="AC376" s="471"/>
      <c r="AD376" s="471"/>
      <c r="AE376" s="471"/>
      <c r="AF376" s="471"/>
      <c r="AG376" s="471"/>
      <c r="AH376" s="471"/>
      <c r="AI376" s="471"/>
    </row>
    <row r="377" ht="22.5" customHeight="1">
      <c r="A377" s="471"/>
      <c r="B377" s="531" t="s">
        <v>2120</v>
      </c>
      <c r="C377" s="535" t="s">
        <v>2094</v>
      </c>
      <c r="D377" s="535" t="s">
        <v>2141</v>
      </c>
      <c r="E377" s="537">
        <v>45751.0</v>
      </c>
      <c r="F377" s="539">
        <v>20000.0</v>
      </c>
      <c r="G377" s="535" t="s">
        <v>2108</v>
      </c>
      <c r="H377" s="531"/>
      <c r="I377" s="471"/>
      <c r="J377" s="490"/>
      <c r="K377" s="491"/>
      <c r="L377" s="471"/>
      <c r="M377" s="471"/>
      <c r="N377" s="471"/>
      <c r="O377" s="471"/>
      <c r="P377" s="471"/>
      <c r="Q377" s="484"/>
      <c r="R377" s="491"/>
      <c r="S377" s="491"/>
      <c r="T377" s="471"/>
      <c r="U377" s="471"/>
      <c r="V377" s="471"/>
      <c r="W377" s="471"/>
      <c r="X377" s="471"/>
      <c r="Y377" s="471"/>
      <c r="Z377" s="471"/>
      <c r="AA377" s="471"/>
      <c r="AB377" s="471"/>
      <c r="AC377" s="471"/>
      <c r="AD377" s="471"/>
      <c r="AE377" s="471"/>
      <c r="AF377" s="471"/>
      <c r="AG377" s="471"/>
      <c r="AH377" s="471"/>
      <c r="AI377" s="471"/>
    </row>
    <row r="378" ht="22.5" customHeight="1">
      <c r="A378" s="471"/>
      <c r="B378" s="531" t="s">
        <v>2120</v>
      </c>
      <c r="C378" s="535" t="s">
        <v>2142</v>
      </c>
      <c r="D378" s="535" t="s">
        <v>2143</v>
      </c>
      <c r="E378" s="537">
        <v>45751.0</v>
      </c>
      <c r="F378" s="539">
        <v>30000.0</v>
      </c>
      <c r="G378" s="535" t="s">
        <v>2108</v>
      </c>
      <c r="H378" s="531"/>
      <c r="I378" s="471"/>
      <c r="J378" s="490"/>
      <c r="K378" s="491"/>
      <c r="L378" s="471"/>
      <c r="M378" s="471"/>
      <c r="N378" s="471"/>
      <c r="O378" s="471"/>
      <c r="P378" s="471"/>
      <c r="Q378" s="484"/>
      <c r="R378" s="491"/>
      <c r="S378" s="491"/>
      <c r="T378" s="471"/>
      <c r="U378" s="471"/>
      <c r="V378" s="471"/>
      <c r="W378" s="471"/>
      <c r="X378" s="471"/>
      <c r="Y378" s="471"/>
      <c r="Z378" s="471"/>
      <c r="AA378" s="471"/>
      <c r="AB378" s="471"/>
      <c r="AC378" s="471"/>
      <c r="AD378" s="471"/>
      <c r="AE378" s="471"/>
      <c r="AF378" s="471"/>
      <c r="AG378" s="471"/>
      <c r="AH378" s="471"/>
      <c r="AI378" s="471"/>
    </row>
    <row r="379" ht="22.5" customHeight="1">
      <c r="A379" s="471"/>
      <c r="B379" s="531" t="s">
        <v>2121</v>
      </c>
      <c r="C379" s="535" t="s">
        <v>2059</v>
      </c>
      <c r="D379" s="535" t="s">
        <v>2128</v>
      </c>
      <c r="E379" s="537">
        <v>45754.0</v>
      </c>
      <c r="F379" s="534">
        <v>15500.0</v>
      </c>
      <c r="G379" s="535" t="s">
        <v>2108</v>
      </c>
      <c r="H379" s="531" t="s">
        <v>2183</v>
      </c>
      <c r="I379" s="471"/>
      <c r="J379" s="490"/>
      <c r="K379" s="491"/>
      <c r="L379" s="471"/>
      <c r="M379" s="471"/>
      <c r="N379" s="471"/>
      <c r="O379" s="471"/>
      <c r="P379" s="471"/>
      <c r="Q379" s="484"/>
      <c r="R379" s="491"/>
      <c r="S379" s="491"/>
      <c r="T379" s="471"/>
      <c r="U379" s="471"/>
      <c r="V379" s="471"/>
      <c r="W379" s="471"/>
      <c r="X379" s="471"/>
      <c r="Y379" s="471"/>
      <c r="Z379" s="471"/>
      <c r="AA379" s="471"/>
      <c r="AB379" s="471"/>
      <c r="AC379" s="471"/>
      <c r="AD379" s="471"/>
      <c r="AE379" s="471"/>
      <c r="AF379" s="471"/>
      <c r="AG379" s="471"/>
      <c r="AH379" s="471"/>
      <c r="AI379" s="471"/>
    </row>
    <row r="380" ht="22.5" customHeight="1">
      <c r="A380" s="471"/>
      <c r="B380" s="531" t="s">
        <v>2121</v>
      </c>
      <c r="C380" s="535" t="s">
        <v>2059</v>
      </c>
      <c r="D380" s="535" t="s">
        <v>2128</v>
      </c>
      <c r="E380" s="537">
        <v>45756.0</v>
      </c>
      <c r="F380" s="534">
        <v>50000.0</v>
      </c>
      <c r="G380" s="535" t="s">
        <v>2108</v>
      </c>
      <c r="H380" s="531" t="s">
        <v>1183</v>
      </c>
      <c r="I380" s="471"/>
      <c r="J380" s="490"/>
      <c r="K380" s="491"/>
      <c r="L380" s="471"/>
      <c r="M380" s="471"/>
      <c r="N380" s="471"/>
      <c r="O380" s="471"/>
      <c r="P380" s="471"/>
      <c r="Q380" s="541"/>
      <c r="R380" s="542"/>
      <c r="S380" s="542"/>
      <c r="T380" s="471"/>
      <c r="U380" s="471"/>
      <c r="V380" s="471"/>
      <c r="W380" s="471"/>
      <c r="X380" s="471"/>
      <c r="Y380" s="471"/>
      <c r="Z380" s="471"/>
      <c r="AA380" s="471"/>
      <c r="AB380" s="471"/>
      <c r="AC380" s="471"/>
      <c r="AD380" s="471"/>
      <c r="AE380" s="471"/>
      <c r="AF380" s="471"/>
      <c r="AG380" s="471"/>
      <c r="AH380" s="471"/>
      <c r="AI380" s="471"/>
    </row>
    <row r="381" ht="22.5" customHeight="1">
      <c r="A381" s="471"/>
      <c r="B381" s="531" t="s">
        <v>2120</v>
      </c>
      <c r="C381" s="535" t="s">
        <v>2144</v>
      </c>
      <c r="D381" s="535" t="s">
        <v>2145</v>
      </c>
      <c r="E381" s="537">
        <v>45757.0</v>
      </c>
      <c r="F381" s="534">
        <v>24038.0</v>
      </c>
      <c r="G381" s="535" t="s">
        <v>2171</v>
      </c>
      <c r="H381" s="531"/>
      <c r="I381" s="471"/>
      <c r="J381" s="490"/>
      <c r="K381" s="491"/>
      <c r="L381" s="471"/>
      <c r="M381" s="471"/>
      <c r="N381" s="471"/>
      <c r="O381" s="471"/>
      <c r="P381" s="471"/>
      <c r="Q381" s="541"/>
      <c r="R381" s="542"/>
      <c r="S381" s="542"/>
      <c r="T381" s="471"/>
      <c r="U381" s="471"/>
      <c r="V381" s="471"/>
      <c r="W381" s="471"/>
      <c r="X381" s="471"/>
      <c r="Y381" s="471"/>
      <c r="Z381" s="471"/>
      <c r="AA381" s="471"/>
      <c r="AB381" s="471"/>
      <c r="AC381" s="471"/>
      <c r="AD381" s="471"/>
      <c r="AE381" s="471"/>
      <c r="AF381" s="471"/>
      <c r="AG381" s="471"/>
      <c r="AH381" s="471"/>
      <c r="AI381" s="471"/>
    </row>
    <row r="382" ht="22.5" customHeight="1">
      <c r="A382" s="471"/>
      <c r="B382" s="531" t="s">
        <v>2120</v>
      </c>
      <c r="C382" s="535" t="s">
        <v>2094</v>
      </c>
      <c r="D382" s="535" t="s">
        <v>2141</v>
      </c>
      <c r="E382" s="537">
        <v>45757.0</v>
      </c>
      <c r="F382" s="534">
        <v>48024.0</v>
      </c>
      <c r="G382" s="535" t="s">
        <v>2171</v>
      </c>
      <c r="H382" s="531"/>
      <c r="I382" s="471"/>
      <c r="J382" s="490"/>
      <c r="K382" s="491"/>
      <c r="L382" s="471"/>
      <c r="M382" s="471"/>
      <c r="N382" s="471"/>
      <c r="O382" s="471"/>
      <c r="P382" s="471"/>
      <c r="Q382" s="484"/>
      <c r="R382" s="491"/>
      <c r="S382" s="491"/>
      <c r="T382" s="471"/>
      <c r="U382" s="471"/>
      <c r="V382" s="471"/>
      <c r="W382" s="471"/>
      <c r="X382" s="471"/>
      <c r="Y382" s="471"/>
      <c r="Z382" s="471"/>
      <c r="AA382" s="471"/>
      <c r="AB382" s="471"/>
      <c r="AC382" s="471"/>
      <c r="AD382" s="471"/>
      <c r="AE382" s="471"/>
      <c r="AF382" s="471"/>
      <c r="AG382" s="471"/>
      <c r="AH382" s="471"/>
      <c r="AI382" s="471"/>
    </row>
    <row r="383" ht="22.5" customHeight="1">
      <c r="A383" s="471"/>
      <c r="B383" s="531" t="s">
        <v>2120</v>
      </c>
      <c r="C383" s="535" t="s">
        <v>2069</v>
      </c>
      <c r="D383" s="535" t="s">
        <v>2135</v>
      </c>
      <c r="E383" s="537">
        <v>45757.0</v>
      </c>
      <c r="F383" s="534">
        <v>60030.0</v>
      </c>
      <c r="G383" s="535" t="s">
        <v>2171</v>
      </c>
      <c r="H383" s="531"/>
      <c r="I383" s="471"/>
      <c r="J383" s="490"/>
      <c r="K383" s="491"/>
      <c r="L383" s="471"/>
      <c r="M383" s="471"/>
      <c r="N383" s="471"/>
      <c r="O383" s="471"/>
      <c r="P383" s="471"/>
      <c r="Q383" s="484"/>
      <c r="R383" s="491"/>
      <c r="S383" s="491"/>
      <c r="T383" s="471"/>
      <c r="U383" s="471"/>
      <c r="V383" s="471"/>
      <c r="W383" s="471"/>
      <c r="X383" s="471"/>
      <c r="Y383" s="471"/>
      <c r="Z383" s="471"/>
      <c r="AA383" s="471"/>
      <c r="AB383" s="471"/>
      <c r="AC383" s="471"/>
      <c r="AD383" s="471"/>
      <c r="AE383" s="471"/>
      <c r="AF383" s="471"/>
      <c r="AG383" s="471"/>
      <c r="AH383" s="471"/>
      <c r="AI383" s="471"/>
    </row>
    <row r="384" ht="22.5" customHeight="1">
      <c r="A384" s="471"/>
      <c r="B384" s="531" t="s">
        <v>2120</v>
      </c>
      <c r="C384" s="535" t="s">
        <v>2071</v>
      </c>
      <c r="D384" s="535" t="s">
        <v>2134</v>
      </c>
      <c r="E384" s="537">
        <v>45757.0</v>
      </c>
      <c r="F384" s="534">
        <v>36044.0</v>
      </c>
      <c r="G384" s="535" t="s">
        <v>2171</v>
      </c>
      <c r="H384" s="531"/>
      <c r="I384" s="471"/>
      <c r="J384" s="490"/>
      <c r="K384" s="491"/>
      <c r="L384" s="471"/>
      <c r="M384" s="471"/>
      <c r="N384" s="471"/>
      <c r="O384" s="471"/>
      <c r="P384" s="471"/>
      <c r="Q384" s="484"/>
      <c r="R384" s="491"/>
      <c r="S384" s="491"/>
      <c r="T384" s="471"/>
      <c r="U384" s="471"/>
      <c r="V384" s="471"/>
      <c r="W384" s="471"/>
      <c r="X384" s="471"/>
      <c r="Y384" s="471"/>
      <c r="Z384" s="471"/>
      <c r="AA384" s="471"/>
      <c r="AB384" s="471"/>
      <c r="AC384" s="471"/>
      <c r="AD384" s="471"/>
      <c r="AE384" s="471"/>
      <c r="AF384" s="471"/>
      <c r="AG384" s="471"/>
      <c r="AH384" s="471"/>
      <c r="AI384" s="471"/>
    </row>
    <row r="385" ht="22.5" customHeight="1">
      <c r="A385" s="471"/>
      <c r="B385" s="531" t="s">
        <v>2120</v>
      </c>
      <c r="C385" s="535" t="s">
        <v>2058</v>
      </c>
      <c r="D385" s="535" t="s">
        <v>2132</v>
      </c>
      <c r="E385" s="537">
        <v>45757.0</v>
      </c>
      <c r="F385" s="534">
        <v>60030.0</v>
      </c>
      <c r="G385" s="535" t="s">
        <v>2171</v>
      </c>
      <c r="H385" s="531"/>
      <c r="I385" s="471"/>
      <c r="J385" s="490"/>
      <c r="K385" s="491"/>
      <c r="L385" s="471"/>
      <c r="M385" s="471"/>
      <c r="N385" s="471"/>
      <c r="O385" s="471"/>
      <c r="P385" s="471"/>
      <c r="Q385" s="484"/>
      <c r="R385" s="491"/>
      <c r="S385" s="491"/>
      <c r="T385" s="471"/>
      <c r="U385" s="471"/>
      <c r="V385" s="471"/>
      <c r="W385" s="471"/>
      <c r="X385" s="471"/>
      <c r="Y385" s="471"/>
      <c r="Z385" s="471"/>
      <c r="AA385" s="471"/>
      <c r="AB385" s="471"/>
      <c r="AC385" s="471"/>
      <c r="AD385" s="471"/>
      <c r="AE385" s="471"/>
      <c r="AF385" s="471"/>
      <c r="AG385" s="471"/>
      <c r="AH385" s="471"/>
      <c r="AI385" s="471"/>
    </row>
    <row r="386" ht="22.5" customHeight="1">
      <c r="A386" s="471"/>
      <c r="B386" s="531" t="s">
        <v>2120</v>
      </c>
      <c r="C386" s="535" t="s">
        <v>2136</v>
      </c>
      <c r="D386" s="535" t="s">
        <v>2137</v>
      </c>
      <c r="E386" s="537">
        <v>45757.0</v>
      </c>
      <c r="F386" s="534">
        <v>51052.0</v>
      </c>
      <c r="G386" s="535" t="s">
        <v>2171</v>
      </c>
      <c r="H386" s="531"/>
      <c r="I386" s="471"/>
      <c r="J386" s="490"/>
      <c r="K386" s="491"/>
      <c r="L386" s="471"/>
      <c r="M386" s="471"/>
      <c r="N386" s="471"/>
      <c r="O386" s="471"/>
      <c r="P386" s="471"/>
      <c r="Q386" s="471"/>
      <c r="R386" s="471"/>
      <c r="S386" s="471"/>
      <c r="T386" s="471"/>
      <c r="U386" s="471"/>
      <c r="V386" s="471"/>
      <c r="W386" s="471"/>
      <c r="X386" s="471"/>
      <c r="Y386" s="471"/>
      <c r="Z386" s="471"/>
      <c r="AA386" s="471"/>
      <c r="AB386" s="471"/>
      <c r="AC386" s="471"/>
      <c r="AD386" s="471"/>
      <c r="AE386" s="471"/>
      <c r="AF386" s="471"/>
      <c r="AG386" s="471"/>
      <c r="AH386" s="471"/>
      <c r="AI386" s="471"/>
    </row>
    <row r="387" ht="22.5" customHeight="1">
      <c r="A387" s="471"/>
      <c r="B387" s="531" t="s">
        <v>2120</v>
      </c>
      <c r="C387" s="535" t="s">
        <v>2094</v>
      </c>
      <c r="D387" s="535" t="s">
        <v>2131</v>
      </c>
      <c r="E387" s="537">
        <v>45757.0</v>
      </c>
      <c r="F387" s="534">
        <v>60030.0</v>
      </c>
      <c r="G387" s="535" t="s">
        <v>2171</v>
      </c>
      <c r="H387" s="531"/>
      <c r="I387" s="471"/>
      <c r="J387" s="490"/>
      <c r="K387" s="491"/>
      <c r="L387" s="471"/>
      <c r="M387" s="471"/>
      <c r="N387" s="471"/>
      <c r="O387" s="471"/>
      <c r="P387" s="471"/>
      <c r="Q387" s="471"/>
      <c r="R387" s="471"/>
      <c r="S387" s="471"/>
      <c r="T387" s="471"/>
      <c r="U387" s="471"/>
      <c r="V387" s="471"/>
      <c r="W387" s="471"/>
      <c r="X387" s="471"/>
      <c r="Y387" s="471"/>
      <c r="Z387" s="471"/>
      <c r="AA387" s="471"/>
      <c r="AB387" s="471"/>
      <c r="AC387" s="471"/>
      <c r="AD387" s="471"/>
      <c r="AE387" s="471"/>
      <c r="AF387" s="471"/>
      <c r="AG387" s="471"/>
      <c r="AH387" s="471"/>
      <c r="AI387" s="471"/>
    </row>
    <row r="388" ht="22.5" customHeight="1">
      <c r="A388" s="471"/>
      <c r="B388" s="531" t="s">
        <v>2120</v>
      </c>
      <c r="C388" s="535" t="s">
        <v>2129</v>
      </c>
      <c r="D388" s="535" t="s">
        <v>2130</v>
      </c>
      <c r="E388" s="537">
        <v>45757.0</v>
      </c>
      <c r="F388" s="534">
        <v>54027.0</v>
      </c>
      <c r="G388" s="535" t="s">
        <v>2171</v>
      </c>
      <c r="H388" s="531"/>
      <c r="I388" s="471"/>
      <c r="J388" s="490"/>
      <c r="K388" s="491"/>
      <c r="L388" s="471"/>
      <c r="M388" s="471"/>
      <c r="N388" s="471"/>
      <c r="O388" s="471"/>
      <c r="P388" s="471"/>
      <c r="Q388" s="471"/>
      <c r="R388" s="471"/>
      <c r="S388" s="471"/>
      <c r="T388" s="471"/>
      <c r="U388" s="471"/>
      <c r="V388" s="471"/>
      <c r="W388" s="471"/>
      <c r="X388" s="471"/>
      <c r="Y388" s="471"/>
      <c r="Z388" s="471"/>
      <c r="AA388" s="471"/>
      <c r="AB388" s="471"/>
      <c r="AC388" s="471"/>
      <c r="AD388" s="471"/>
      <c r="AE388" s="471"/>
      <c r="AF388" s="471"/>
      <c r="AG388" s="471"/>
      <c r="AH388" s="471"/>
      <c r="AI388" s="471"/>
    </row>
    <row r="389" ht="22.5" customHeight="1">
      <c r="A389" s="471"/>
      <c r="B389" s="531" t="s">
        <v>2120</v>
      </c>
      <c r="C389" s="535" t="s">
        <v>2093</v>
      </c>
      <c r="D389" s="535" t="s">
        <v>124</v>
      </c>
      <c r="E389" s="537">
        <v>45757.0</v>
      </c>
      <c r="F389" s="534">
        <v>43450.86</v>
      </c>
      <c r="G389" s="535" t="s">
        <v>2171</v>
      </c>
      <c r="H389" s="531"/>
      <c r="I389" s="471"/>
      <c r="J389" s="490"/>
      <c r="K389" s="491"/>
      <c r="L389" s="471"/>
      <c r="M389" s="471"/>
      <c r="N389" s="471"/>
      <c r="O389" s="471"/>
      <c r="P389" s="471"/>
      <c r="Q389" s="471"/>
      <c r="R389" s="471"/>
      <c r="S389" s="471"/>
      <c r="T389" s="471"/>
      <c r="U389" s="471"/>
      <c r="V389" s="471"/>
      <c r="W389" s="471"/>
      <c r="X389" s="471"/>
      <c r="Y389" s="471"/>
      <c r="Z389" s="471"/>
      <c r="AA389" s="471"/>
      <c r="AB389" s="471"/>
      <c r="AC389" s="471"/>
      <c r="AD389" s="471"/>
      <c r="AE389" s="471"/>
      <c r="AF389" s="471"/>
      <c r="AG389" s="471"/>
      <c r="AH389" s="471"/>
      <c r="AI389" s="471"/>
    </row>
    <row r="390" ht="22.5" customHeight="1">
      <c r="A390" s="471"/>
      <c r="B390" s="531" t="s">
        <v>2120</v>
      </c>
      <c r="C390" s="535" t="s">
        <v>2059</v>
      </c>
      <c r="D390" s="535" t="s">
        <v>2128</v>
      </c>
      <c r="E390" s="537">
        <v>45757.0</v>
      </c>
      <c r="F390" s="534">
        <v>90045.0</v>
      </c>
      <c r="G390" s="535" t="s">
        <v>2171</v>
      </c>
      <c r="H390" s="531"/>
      <c r="I390" s="471"/>
      <c r="J390" s="490"/>
      <c r="K390" s="491"/>
      <c r="L390" s="471"/>
      <c r="M390" s="471"/>
      <c r="N390" s="471"/>
      <c r="O390" s="471"/>
      <c r="P390" s="471"/>
      <c r="Q390" s="471"/>
      <c r="R390" s="471"/>
      <c r="S390" s="471"/>
      <c r="T390" s="471"/>
      <c r="U390" s="471"/>
      <c r="V390" s="471"/>
      <c r="W390" s="471"/>
      <c r="X390" s="471"/>
      <c r="Y390" s="471"/>
      <c r="Z390" s="471"/>
      <c r="AA390" s="471"/>
      <c r="AB390" s="471"/>
      <c r="AC390" s="471"/>
      <c r="AD390" s="471"/>
      <c r="AE390" s="471"/>
      <c r="AF390" s="471"/>
      <c r="AG390" s="471"/>
      <c r="AH390" s="471"/>
      <c r="AI390" s="471"/>
    </row>
    <row r="391" ht="22.5" customHeight="1">
      <c r="A391" s="471"/>
      <c r="B391" s="531" t="s">
        <v>2121</v>
      </c>
      <c r="C391" s="535" t="s">
        <v>2094</v>
      </c>
      <c r="D391" s="535" t="s">
        <v>2141</v>
      </c>
      <c r="E391" s="537">
        <v>45772.0</v>
      </c>
      <c r="F391" s="534">
        <v>32016.0</v>
      </c>
      <c r="G391" s="535" t="s">
        <v>2175</v>
      </c>
      <c r="H391" s="531"/>
      <c r="I391" s="471"/>
      <c r="J391" s="490"/>
      <c r="K391" s="491"/>
      <c r="L391" s="471"/>
      <c r="M391" s="471"/>
      <c r="N391" s="471"/>
      <c r="O391" s="471"/>
      <c r="P391" s="471"/>
      <c r="Q391" s="471"/>
      <c r="R391" s="471"/>
      <c r="S391" s="471"/>
      <c r="T391" s="471"/>
      <c r="U391" s="471"/>
      <c r="V391" s="471"/>
      <c r="W391" s="471"/>
      <c r="X391" s="471"/>
      <c r="Y391" s="471"/>
      <c r="Z391" s="471"/>
      <c r="AA391" s="471"/>
      <c r="AB391" s="471"/>
      <c r="AC391" s="471"/>
      <c r="AD391" s="471"/>
      <c r="AE391" s="471"/>
      <c r="AF391" s="471"/>
      <c r="AG391" s="471"/>
      <c r="AH391" s="471"/>
      <c r="AI391" s="471"/>
    </row>
    <row r="392" ht="22.5" customHeight="1">
      <c r="A392" s="471"/>
      <c r="B392" s="531" t="s">
        <v>2121</v>
      </c>
      <c r="C392" s="535" t="s">
        <v>2069</v>
      </c>
      <c r="D392" s="535" t="s">
        <v>2135</v>
      </c>
      <c r="E392" s="537">
        <v>45772.0</v>
      </c>
      <c r="F392" s="534">
        <v>40020.0</v>
      </c>
      <c r="G392" s="535" t="s">
        <v>2175</v>
      </c>
      <c r="H392" s="531"/>
      <c r="I392" s="471"/>
      <c r="J392" s="490"/>
      <c r="K392" s="491"/>
      <c r="L392" s="471"/>
      <c r="M392" s="471"/>
      <c r="N392" s="471"/>
      <c r="O392" s="471"/>
      <c r="P392" s="471"/>
      <c r="Q392" s="471"/>
      <c r="R392" s="471"/>
      <c r="S392" s="471"/>
      <c r="T392" s="471"/>
      <c r="U392" s="471"/>
      <c r="V392" s="471"/>
      <c r="W392" s="471"/>
      <c r="X392" s="471"/>
      <c r="Y392" s="471"/>
      <c r="Z392" s="471"/>
      <c r="AA392" s="471"/>
      <c r="AB392" s="471"/>
      <c r="AC392" s="471"/>
      <c r="AD392" s="471"/>
      <c r="AE392" s="471"/>
      <c r="AF392" s="471"/>
      <c r="AG392" s="471"/>
      <c r="AH392" s="471"/>
      <c r="AI392" s="471"/>
    </row>
    <row r="393" ht="22.5" customHeight="1">
      <c r="A393" s="471"/>
      <c r="B393" s="531" t="s">
        <v>2121</v>
      </c>
      <c r="C393" s="535" t="s">
        <v>2059</v>
      </c>
      <c r="D393" s="535" t="s">
        <v>2128</v>
      </c>
      <c r="E393" s="537">
        <v>45772.0</v>
      </c>
      <c r="F393" s="534">
        <v>88027.0</v>
      </c>
      <c r="G393" s="535" t="s">
        <v>2175</v>
      </c>
      <c r="H393" s="531"/>
      <c r="I393" s="471"/>
      <c r="J393" s="490"/>
      <c r="K393" s="491"/>
      <c r="L393" s="471"/>
      <c r="M393" s="471"/>
      <c r="N393" s="471"/>
      <c r="O393" s="471"/>
      <c r="P393" s="471"/>
      <c r="Q393" s="471"/>
      <c r="R393" s="471"/>
      <c r="S393" s="471"/>
      <c r="T393" s="471"/>
      <c r="U393" s="471"/>
      <c r="V393" s="471"/>
      <c r="W393" s="471"/>
      <c r="X393" s="471"/>
      <c r="Y393" s="471"/>
      <c r="Z393" s="471"/>
      <c r="AA393" s="471"/>
      <c r="AB393" s="471"/>
      <c r="AC393" s="471"/>
      <c r="AD393" s="471"/>
      <c r="AE393" s="471"/>
      <c r="AF393" s="471"/>
      <c r="AG393" s="471"/>
      <c r="AH393" s="471"/>
      <c r="AI393" s="471"/>
    </row>
    <row r="394" ht="22.5" customHeight="1">
      <c r="A394" s="471"/>
      <c r="B394" s="531" t="s">
        <v>2121</v>
      </c>
      <c r="C394" s="535" t="s">
        <v>2071</v>
      </c>
      <c r="D394" s="535" t="s">
        <v>2134</v>
      </c>
      <c r="E394" s="537">
        <v>45772.0</v>
      </c>
      <c r="F394" s="534">
        <v>24030.0</v>
      </c>
      <c r="G394" s="535" t="s">
        <v>2175</v>
      </c>
      <c r="H394" s="531"/>
      <c r="I394" s="471"/>
      <c r="J394" s="490"/>
      <c r="K394" s="491"/>
      <c r="L394" s="471"/>
      <c r="M394" s="471"/>
      <c r="N394" s="471"/>
      <c r="O394" s="471"/>
      <c r="P394" s="471"/>
      <c r="Q394" s="471"/>
      <c r="R394" s="471"/>
      <c r="S394" s="471"/>
      <c r="T394" s="471"/>
      <c r="U394" s="471"/>
      <c r="V394" s="471"/>
      <c r="W394" s="471"/>
      <c r="X394" s="471"/>
      <c r="Y394" s="471"/>
      <c r="Z394" s="471"/>
      <c r="AA394" s="471"/>
      <c r="AB394" s="471"/>
      <c r="AC394" s="471"/>
      <c r="AD394" s="471"/>
      <c r="AE394" s="471"/>
      <c r="AF394" s="471"/>
      <c r="AG394" s="471"/>
      <c r="AH394" s="471"/>
      <c r="AI394" s="471"/>
    </row>
    <row r="395" ht="22.5" customHeight="1">
      <c r="A395" s="471"/>
      <c r="B395" s="531" t="s">
        <v>2121</v>
      </c>
      <c r="C395" s="535" t="s">
        <v>2058</v>
      </c>
      <c r="D395" s="535" t="s">
        <v>2132</v>
      </c>
      <c r="E395" s="537">
        <v>45772.0</v>
      </c>
      <c r="F395" s="534">
        <v>64015.0</v>
      </c>
      <c r="G395" s="535" t="s">
        <v>2175</v>
      </c>
      <c r="H395" s="531"/>
      <c r="I395" s="471"/>
      <c r="J395" s="490"/>
      <c r="K395" s="491"/>
      <c r="L395" s="471"/>
      <c r="M395" s="471"/>
      <c r="N395" s="471"/>
      <c r="O395" s="471"/>
      <c r="P395" s="471"/>
      <c r="Q395" s="471"/>
      <c r="R395" s="471"/>
      <c r="S395" s="471"/>
      <c r="T395" s="471"/>
      <c r="U395" s="471"/>
      <c r="V395" s="471"/>
      <c r="W395" s="471"/>
      <c r="X395" s="471"/>
      <c r="Y395" s="471"/>
      <c r="Z395" s="471"/>
      <c r="AA395" s="471"/>
      <c r="AB395" s="471"/>
      <c r="AC395" s="471"/>
      <c r="AD395" s="471"/>
      <c r="AE395" s="471"/>
      <c r="AF395" s="471"/>
      <c r="AG395" s="471"/>
      <c r="AH395" s="471"/>
      <c r="AI395" s="471"/>
    </row>
    <row r="396" ht="22.5" customHeight="1">
      <c r="A396" s="471"/>
      <c r="B396" s="531" t="s">
        <v>2121</v>
      </c>
      <c r="C396" s="535" t="s">
        <v>2136</v>
      </c>
      <c r="D396" s="535" t="s">
        <v>2137</v>
      </c>
      <c r="E396" s="537">
        <v>45772.0</v>
      </c>
      <c r="F396" s="534">
        <v>34034.0</v>
      </c>
      <c r="G396" s="535" t="s">
        <v>2175</v>
      </c>
      <c r="H396" s="531"/>
      <c r="I396" s="471"/>
      <c r="J396" s="490"/>
      <c r="K396" s="491"/>
      <c r="L396" s="471"/>
      <c r="M396" s="471"/>
      <c r="N396" s="471"/>
      <c r="O396" s="471"/>
      <c r="P396" s="471"/>
      <c r="Q396" s="471"/>
      <c r="R396" s="471"/>
      <c r="S396" s="471"/>
      <c r="T396" s="471"/>
      <c r="U396" s="471"/>
      <c r="V396" s="471"/>
      <c r="W396" s="471"/>
      <c r="X396" s="471"/>
      <c r="Y396" s="471"/>
      <c r="Z396" s="471"/>
      <c r="AA396" s="471"/>
      <c r="AB396" s="471"/>
      <c r="AC396" s="471"/>
      <c r="AD396" s="471"/>
      <c r="AE396" s="471"/>
      <c r="AF396" s="471"/>
      <c r="AG396" s="471"/>
      <c r="AH396" s="471"/>
      <c r="AI396" s="471"/>
    </row>
    <row r="397" ht="22.5" customHeight="1">
      <c r="A397" s="471"/>
      <c r="B397" s="531" t="s">
        <v>2121</v>
      </c>
      <c r="C397" s="535" t="s">
        <v>2094</v>
      </c>
      <c r="D397" s="535" t="s">
        <v>2131</v>
      </c>
      <c r="E397" s="537">
        <v>45772.0</v>
      </c>
      <c r="F397" s="534">
        <v>40020.0</v>
      </c>
      <c r="G397" s="535" t="s">
        <v>2175</v>
      </c>
      <c r="H397" s="531"/>
      <c r="I397" s="471"/>
      <c r="J397" s="490"/>
      <c r="K397" s="491"/>
      <c r="L397" s="471"/>
      <c r="M397" s="471"/>
      <c r="N397" s="471"/>
      <c r="O397" s="471"/>
      <c r="P397" s="471"/>
      <c r="Q397" s="471"/>
      <c r="R397" s="471"/>
      <c r="S397" s="471"/>
      <c r="T397" s="471"/>
      <c r="U397" s="471"/>
      <c r="V397" s="471"/>
      <c r="W397" s="471"/>
      <c r="X397" s="471"/>
      <c r="Y397" s="471"/>
      <c r="Z397" s="471"/>
      <c r="AA397" s="471"/>
      <c r="AB397" s="471"/>
      <c r="AC397" s="471"/>
      <c r="AD397" s="471"/>
      <c r="AE397" s="471"/>
      <c r="AF397" s="471"/>
      <c r="AG397" s="471"/>
      <c r="AH397" s="471"/>
      <c r="AI397" s="471"/>
    </row>
    <row r="398" ht="22.5" customHeight="1">
      <c r="A398" s="471"/>
      <c r="B398" s="531" t="s">
        <v>2121</v>
      </c>
      <c r="C398" s="535" t="s">
        <v>2129</v>
      </c>
      <c r="D398" s="535" t="s">
        <v>2130</v>
      </c>
      <c r="E398" s="537">
        <v>45772.0</v>
      </c>
      <c r="F398" s="534">
        <v>36018.0</v>
      </c>
      <c r="G398" s="535" t="s">
        <v>2175</v>
      </c>
      <c r="H398" s="531"/>
      <c r="I398" s="471"/>
      <c r="J398" s="490"/>
      <c r="K398" s="491"/>
      <c r="L398" s="471"/>
      <c r="M398" s="471"/>
      <c r="N398" s="471"/>
      <c r="O398" s="471"/>
      <c r="P398" s="471"/>
      <c r="Q398" s="471"/>
      <c r="R398" s="471"/>
      <c r="S398" s="471"/>
      <c r="T398" s="471"/>
      <c r="U398" s="471"/>
      <c r="V398" s="471"/>
      <c r="W398" s="471"/>
      <c r="X398" s="471"/>
      <c r="Y398" s="471"/>
      <c r="Z398" s="471"/>
      <c r="AA398" s="471"/>
      <c r="AB398" s="471"/>
      <c r="AC398" s="471"/>
      <c r="AD398" s="471"/>
      <c r="AE398" s="471"/>
      <c r="AF398" s="471"/>
      <c r="AG398" s="471"/>
      <c r="AH398" s="471"/>
      <c r="AI398" s="471"/>
    </row>
    <row r="399" ht="22.5" customHeight="1">
      <c r="A399" s="471"/>
      <c r="B399" s="531" t="s">
        <v>2121</v>
      </c>
      <c r="C399" s="535" t="s">
        <v>2093</v>
      </c>
      <c r="D399" s="535" t="s">
        <v>124</v>
      </c>
      <c r="E399" s="537">
        <v>45772.0</v>
      </c>
      <c r="F399" s="534">
        <v>48024.0</v>
      </c>
      <c r="G399" s="535" t="s">
        <v>2175</v>
      </c>
      <c r="H399" s="531"/>
      <c r="I399" s="471"/>
      <c r="J399" s="490"/>
      <c r="K399" s="491"/>
      <c r="L399" s="471"/>
      <c r="M399" s="471"/>
      <c r="N399" s="471"/>
      <c r="O399" s="471"/>
      <c r="P399" s="471"/>
      <c r="Q399" s="471"/>
      <c r="R399" s="471"/>
      <c r="S399" s="471"/>
      <c r="T399" s="471"/>
      <c r="U399" s="471"/>
      <c r="V399" s="471"/>
      <c r="W399" s="471"/>
      <c r="X399" s="471"/>
      <c r="Y399" s="471"/>
      <c r="Z399" s="471"/>
      <c r="AA399" s="471"/>
      <c r="AB399" s="471"/>
      <c r="AC399" s="471"/>
      <c r="AD399" s="471"/>
      <c r="AE399" s="471"/>
      <c r="AF399" s="471"/>
      <c r="AG399" s="471"/>
      <c r="AH399" s="471"/>
      <c r="AI399" s="471"/>
    </row>
    <row r="400" ht="22.5" customHeight="1">
      <c r="A400" s="471"/>
      <c r="B400" s="531" t="s">
        <v>2121</v>
      </c>
      <c r="C400" s="535" t="s">
        <v>2144</v>
      </c>
      <c r="D400" s="535" t="s">
        <v>2145</v>
      </c>
      <c r="E400" s="537">
        <v>45772.0</v>
      </c>
      <c r="F400" s="534">
        <v>16026.0</v>
      </c>
      <c r="G400" s="535" t="s">
        <v>2175</v>
      </c>
      <c r="H400" s="531"/>
      <c r="I400" s="471"/>
      <c r="J400" s="490"/>
      <c r="K400" s="491"/>
      <c r="L400" s="471"/>
      <c r="M400" s="471"/>
      <c r="N400" s="471"/>
      <c r="O400" s="471"/>
      <c r="P400" s="471"/>
      <c r="Q400" s="471"/>
      <c r="R400" s="471"/>
      <c r="S400" s="471"/>
      <c r="T400" s="471"/>
      <c r="U400" s="471"/>
      <c r="V400" s="471"/>
      <c r="W400" s="471"/>
      <c r="X400" s="471"/>
      <c r="Y400" s="471"/>
      <c r="Z400" s="471"/>
      <c r="AA400" s="471"/>
      <c r="AB400" s="471"/>
      <c r="AC400" s="471"/>
      <c r="AD400" s="471"/>
      <c r="AE400" s="471"/>
      <c r="AF400" s="471"/>
      <c r="AG400" s="471"/>
      <c r="AH400" s="471"/>
      <c r="AI400" s="471"/>
    </row>
    <row r="401" ht="22.5" customHeight="1">
      <c r="A401" s="471"/>
      <c r="B401" s="531" t="s">
        <v>2121</v>
      </c>
      <c r="C401" s="535" t="s">
        <v>2138</v>
      </c>
      <c r="D401" s="535" t="s">
        <v>2139</v>
      </c>
      <c r="E401" s="537">
        <v>45777.0</v>
      </c>
      <c r="F401" s="534">
        <v>50000.0</v>
      </c>
      <c r="G401" s="535" t="s">
        <v>2108</v>
      </c>
      <c r="H401" s="531"/>
      <c r="I401" s="471"/>
      <c r="J401" s="490"/>
      <c r="K401" s="491"/>
      <c r="L401" s="471"/>
      <c r="M401" s="471"/>
      <c r="N401" s="471"/>
      <c r="O401" s="471"/>
      <c r="P401" s="471"/>
      <c r="Q401" s="471"/>
      <c r="R401" s="471"/>
      <c r="S401" s="471"/>
      <c r="T401" s="471"/>
      <c r="U401" s="471"/>
      <c r="V401" s="471"/>
      <c r="W401" s="471"/>
      <c r="X401" s="471"/>
      <c r="Y401" s="471"/>
      <c r="Z401" s="471"/>
      <c r="AA401" s="471"/>
      <c r="AB401" s="471"/>
      <c r="AC401" s="471"/>
      <c r="AD401" s="471"/>
      <c r="AE401" s="471"/>
      <c r="AF401" s="471"/>
      <c r="AG401" s="471"/>
      <c r="AH401" s="471"/>
      <c r="AI401" s="471"/>
    </row>
    <row r="402" ht="22.5" customHeight="1">
      <c r="A402" s="471"/>
      <c r="B402" s="531" t="s">
        <v>2121</v>
      </c>
      <c r="C402" s="535" t="s">
        <v>2070</v>
      </c>
      <c r="D402" s="535" t="s">
        <v>2133</v>
      </c>
      <c r="E402" s="537">
        <v>45784.0</v>
      </c>
      <c r="F402" s="534">
        <v>70000.0</v>
      </c>
      <c r="G402" s="535" t="s">
        <v>2108</v>
      </c>
      <c r="H402" s="531"/>
      <c r="I402" s="471"/>
      <c r="J402" s="490"/>
      <c r="K402" s="491"/>
      <c r="L402" s="471"/>
      <c r="M402" s="471"/>
      <c r="N402" s="471"/>
      <c r="O402" s="471"/>
      <c r="P402" s="471"/>
      <c r="Q402" s="471"/>
      <c r="R402" s="471"/>
      <c r="S402" s="471"/>
      <c r="T402" s="471"/>
      <c r="U402" s="471"/>
      <c r="V402" s="471"/>
      <c r="W402" s="471"/>
      <c r="X402" s="471"/>
      <c r="Y402" s="471"/>
      <c r="Z402" s="471"/>
      <c r="AA402" s="471"/>
      <c r="AB402" s="471"/>
      <c r="AC402" s="471"/>
      <c r="AD402" s="471"/>
      <c r="AE402" s="471"/>
      <c r="AF402" s="471"/>
      <c r="AG402" s="471"/>
      <c r="AH402" s="471"/>
      <c r="AI402" s="471"/>
    </row>
    <row r="403" ht="22.5" customHeight="1">
      <c r="A403" s="471"/>
      <c r="B403" s="531" t="s">
        <v>2121</v>
      </c>
      <c r="C403" s="535" t="s">
        <v>2094</v>
      </c>
      <c r="D403" s="535" t="s">
        <v>2141</v>
      </c>
      <c r="E403" s="537">
        <v>45784.0</v>
      </c>
      <c r="F403" s="534">
        <v>48024.0</v>
      </c>
      <c r="G403" s="535" t="s">
        <v>2171</v>
      </c>
      <c r="H403" s="531"/>
      <c r="I403" s="471"/>
      <c r="J403" s="490"/>
      <c r="K403" s="491"/>
      <c r="L403" s="471"/>
      <c r="M403" s="471"/>
      <c r="N403" s="471"/>
      <c r="O403" s="471"/>
      <c r="P403" s="471"/>
      <c r="Q403" s="471"/>
      <c r="R403" s="471"/>
      <c r="S403" s="471"/>
      <c r="T403" s="471"/>
      <c r="U403" s="471"/>
      <c r="V403" s="471"/>
      <c r="W403" s="471"/>
      <c r="X403" s="471"/>
      <c r="Y403" s="471"/>
      <c r="Z403" s="471"/>
      <c r="AA403" s="471"/>
      <c r="AB403" s="471"/>
      <c r="AC403" s="471"/>
      <c r="AD403" s="471"/>
      <c r="AE403" s="471"/>
      <c r="AF403" s="471"/>
      <c r="AG403" s="471"/>
      <c r="AH403" s="471"/>
      <c r="AI403" s="471"/>
    </row>
    <row r="404" ht="22.5" customHeight="1">
      <c r="A404" s="471"/>
      <c r="B404" s="531" t="s">
        <v>2121</v>
      </c>
      <c r="C404" s="535" t="s">
        <v>2069</v>
      </c>
      <c r="D404" s="535" t="s">
        <v>2135</v>
      </c>
      <c r="E404" s="537">
        <v>45784.0</v>
      </c>
      <c r="F404" s="534">
        <v>60030.0</v>
      </c>
      <c r="G404" s="535" t="s">
        <v>2171</v>
      </c>
      <c r="H404" s="531"/>
      <c r="I404" s="471"/>
      <c r="J404" s="490"/>
      <c r="K404" s="491"/>
      <c r="L404" s="471"/>
      <c r="M404" s="471"/>
      <c r="N404" s="471"/>
      <c r="O404" s="471"/>
      <c r="P404" s="471"/>
      <c r="Q404" s="471"/>
      <c r="R404" s="471"/>
      <c r="S404" s="471"/>
      <c r="T404" s="471"/>
      <c r="U404" s="471"/>
      <c r="V404" s="471"/>
      <c r="W404" s="471"/>
      <c r="X404" s="471"/>
      <c r="Y404" s="471"/>
      <c r="Z404" s="471"/>
      <c r="AA404" s="471"/>
      <c r="AB404" s="471"/>
      <c r="AC404" s="471"/>
      <c r="AD404" s="471"/>
      <c r="AE404" s="471"/>
      <c r="AF404" s="471"/>
      <c r="AG404" s="471"/>
      <c r="AH404" s="471"/>
      <c r="AI404" s="471"/>
    </row>
    <row r="405" ht="22.5" customHeight="1">
      <c r="A405" s="471"/>
      <c r="B405" s="531" t="s">
        <v>2121</v>
      </c>
      <c r="C405" s="535" t="s">
        <v>2059</v>
      </c>
      <c r="D405" s="535" t="s">
        <v>2128</v>
      </c>
      <c r="E405" s="537">
        <v>45784.0</v>
      </c>
      <c r="F405" s="534">
        <v>132039.0</v>
      </c>
      <c r="G405" s="535" t="s">
        <v>2171</v>
      </c>
      <c r="H405" s="531"/>
      <c r="I405" s="471"/>
      <c r="J405" s="490"/>
      <c r="K405" s="491"/>
      <c r="L405" s="471"/>
      <c r="M405" s="471"/>
      <c r="N405" s="471"/>
      <c r="O405" s="471"/>
      <c r="P405" s="471"/>
      <c r="Q405" s="471"/>
      <c r="R405" s="471"/>
      <c r="S405" s="471"/>
      <c r="T405" s="471"/>
      <c r="U405" s="471"/>
      <c r="V405" s="471"/>
      <c r="W405" s="471"/>
      <c r="X405" s="471"/>
      <c r="Y405" s="471"/>
      <c r="Z405" s="471"/>
      <c r="AA405" s="471"/>
      <c r="AB405" s="471"/>
      <c r="AC405" s="471"/>
      <c r="AD405" s="471"/>
      <c r="AE405" s="471"/>
      <c r="AF405" s="471"/>
      <c r="AG405" s="471"/>
      <c r="AH405" s="471"/>
      <c r="AI405" s="471"/>
    </row>
    <row r="406" ht="22.5" customHeight="1">
      <c r="A406" s="471"/>
      <c r="B406" s="531" t="s">
        <v>2121</v>
      </c>
      <c r="C406" s="535" t="s">
        <v>2071</v>
      </c>
      <c r="D406" s="535" t="s">
        <v>2134</v>
      </c>
      <c r="E406" s="537">
        <v>45784.0</v>
      </c>
      <c r="F406" s="534">
        <v>36044.0</v>
      </c>
      <c r="G406" s="535" t="s">
        <v>2171</v>
      </c>
      <c r="H406" s="531"/>
      <c r="I406" s="471"/>
      <c r="J406" s="490"/>
      <c r="K406" s="491"/>
      <c r="L406" s="471"/>
      <c r="M406" s="471"/>
      <c r="N406" s="471"/>
      <c r="O406" s="471"/>
      <c r="P406" s="471"/>
      <c r="Q406" s="471"/>
      <c r="R406" s="471"/>
      <c r="S406" s="471"/>
      <c r="T406" s="471"/>
      <c r="U406" s="471"/>
      <c r="V406" s="471"/>
      <c r="W406" s="471"/>
      <c r="X406" s="471"/>
      <c r="Y406" s="471"/>
      <c r="Z406" s="471"/>
      <c r="AA406" s="471"/>
      <c r="AB406" s="471"/>
      <c r="AC406" s="471"/>
      <c r="AD406" s="471"/>
      <c r="AE406" s="471"/>
      <c r="AF406" s="471"/>
      <c r="AG406" s="471"/>
      <c r="AH406" s="471"/>
      <c r="AI406" s="471"/>
    </row>
    <row r="407" ht="22.5" customHeight="1">
      <c r="A407" s="471"/>
      <c r="B407" s="531" t="s">
        <v>2121</v>
      </c>
      <c r="C407" s="535" t="s">
        <v>2058</v>
      </c>
      <c r="D407" s="535" t="s">
        <v>2132</v>
      </c>
      <c r="E407" s="537">
        <v>45784.0</v>
      </c>
      <c r="F407" s="534">
        <v>37826.09</v>
      </c>
      <c r="G407" s="535" t="s">
        <v>2171</v>
      </c>
      <c r="H407" s="531"/>
      <c r="I407" s="471"/>
      <c r="J407" s="490"/>
      <c r="K407" s="491"/>
      <c r="L407" s="471"/>
      <c r="M407" s="471"/>
      <c r="N407" s="471"/>
      <c r="O407" s="471"/>
      <c r="P407" s="471"/>
      <c r="Q407" s="471"/>
      <c r="R407" s="471"/>
      <c r="S407" s="471"/>
      <c r="T407" s="471"/>
      <c r="U407" s="471"/>
      <c r="V407" s="471"/>
      <c r="W407" s="471"/>
      <c r="X407" s="471"/>
      <c r="Y407" s="471"/>
      <c r="Z407" s="471"/>
      <c r="AA407" s="471"/>
      <c r="AB407" s="471"/>
      <c r="AC407" s="471"/>
      <c r="AD407" s="471"/>
      <c r="AE407" s="471"/>
      <c r="AF407" s="471"/>
      <c r="AG407" s="471"/>
      <c r="AH407" s="471"/>
      <c r="AI407" s="471"/>
    </row>
    <row r="408" ht="22.5" customHeight="1">
      <c r="A408" s="471"/>
      <c r="B408" s="531" t="s">
        <v>2121</v>
      </c>
      <c r="C408" s="535" t="s">
        <v>2136</v>
      </c>
      <c r="D408" s="535" t="s">
        <v>2137</v>
      </c>
      <c r="E408" s="537">
        <v>45784.0</v>
      </c>
      <c r="F408" s="534">
        <v>39448.64</v>
      </c>
      <c r="G408" s="535" t="s">
        <v>2171</v>
      </c>
      <c r="H408" s="531"/>
      <c r="I408" s="471"/>
      <c r="J408" s="490"/>
      <c r="K408" s="491"/>
      <c r="L408" s="471"/>
      <c r="M408" s="471"/>
      <c r="N408" s="471"/>
      <c r="O408" s="471"/>
      <c r="P408" s="471"/>
      <c r="Q408" s="471"/>
      <c r="R408" s="471"/>
      <c r="S408" s="471"/>
      <c r="T408" s="471"/>
      <c r="U408" s="471"/>
      <c r="V408" s="471"/>
      <c r="W408" s="471"/>
      <c r="X408" s="471"/>
      <c r="Y408" s="471"/>
      <c r="Z408" s="471"/>
      <c r="AA408" s="471"/>
      <c r="AB408" s="471"/>
      <c r="AC408" s="471"/>
      <c r="AD408" s="471"/>
      <c r="AE408" s="471"/>
      <c r="AF408" s="471"/>
      <c r="AG408" s="471"/>
      <c r="AH408" s="471"/>
      <c r="AI408" s="471"/>
    </row>
    <row r="409" ht="22.5" customHeight="1">
      <c r="A409" s="471"/>
      <c r="B409" s="531" t="s">
        <v>2121</v>
      </c>
      <c r="C409" s="535" t="s">
        <v>2094</v>
      </c>
      <c r="D409" s="535" t="s">
        <v>2131</v>
      </c>
      <c r="E409" s="537">
        <v>45784.0</v>
      </c>
      <c r="F409" s="534">
        <v>60030.0</v>
      </c>
      <c r="G409" s="535" t="s">
        <v>2171</v>
      </c>
      <c r="H409" s="531"/>
      <c r="I409" s="471"/>
      <c r="J409" s="490"/>
      <c r="K409" s="491"/>
      <c r="L409" s="471"/>
      <c r="M409" s="471"/>
      <c r="N409" s="471"/>
      <c r="O409" s="471"/>
      <c r="P409" s="471"/>
      <c r="Q409" s="471"/>
      <c r="R409" s="471"/>
      <c r="S409" s="471"/>
      <c r="T409" s="471"/>
      <c r="U409" s="471"/>
      <c r="V409" s="471"/>
      <c r="W409" s="471"/>
      <c r="X409" s="471"/>
      <c r="Y409" s="471"/>
      <c r="Z409" s="471"/>
      <c r="AA409" s="471"/>
      <c r="AB409" s="471"/>
      <c r="AC409" s="471"/>
      <c r="AD409" s="471"/>
      <c r="AE409" s="471"/>
      <c r="AF409" s="471"/>
      <c r="AG409" s="471"/>
      <c r="AH409" s="471"/>
      <c r="AI409" s="471"/>
    </row>
    <row r="410" ht="22.5" customHeight="1">
      <c r="A410" s="471"/>
      <c r="B410" s="531" t="s">
        <v>2121</v>
      </c>
      <c r="C410" s="535" t="s">
        <v>2129</v>
      </c>
      <c r="D410" s="535" t="s">
        <v>2130</v>
      </c>
      <c r="E410" s="537">
        <v>45784.0</v>
      </c>
      <c r="F410" s="534">
        <v>54027.0</v>
      </c>
      <c r="G410" s="535" t="s">
        <v>2171</v>
      </c>
      <c r="H410" s="531"/>
      <c r="I410" s="471"/>
      <c r="J410" s="490"/>
      <c r="K410" s="491"/>
      <c r="L410" s="471"/>
      <c r="M410" s="471"/>
      <c r="N410" s="471"/>
      <c r="O410" s="471"/>
      <c r="P410" s="471"/>
      <c r="Q410" s="471"/>
      <c r="R410" s="471"/>
      <c r="S410" s="471"/>
      <c r="T410" s="471"/>
      <c r="U410" s="471"/>
      <c r="V410" s="471"/>
      <c r="W410" s="471"/>
      <c r="X410" s="471"/>
      <c r="Y410" s="471"/>
      <c r="Z410" s="471"/>
      <c r="AA410" s="471"/>
      <c r="AB410" s="471"/>
      <c r="AC410" s="471"/>
      <c r="AD410" s="471"/>
      <c r="AE410" s="471"/>
      <c r="AF410" s="471"/>
      <c r="AG410" s="471"/>
      <c r="AH410" s="471"/>
      <c r="AI410" s="471"/>
    </row>
    <row r="411" ht="22.5" customHeight="1">
      <c r="A411" s="471"/>
      <c r="B411" s="531" t="s">
        <v>2121</v>
      </c>
      <c r="C411" s="535" t="s">
        <v>2093</v>
      </c>
      <c r="D411" s="535" t="s">
        <v>124</v>
      </c>
      <c r="E411" s="537">
        <v>45784.0</v>
      </c>
      <c r="F411" s="534">
        <v>72036.0</v>
      </c>
      <c r="G411" s="535" t="s">
        <v>2171</v>
      </c>
      <c r="H411" s="531"/>
      <c r="I411" s="471"/>
      <c r="J411" s="490"/>
      <c r="K411" s="491"/>
      <c r="L411" s="471"/>
      <c r="M411" s="471"/>
      <c r="N411" s="471"/>
      <c r="O411" s="471"/>
      <c r="P411" s="471"/>
      <c r="Q411" s="471"/>
      <c r="R411" s="471"/>
      <c r="S411" s="471"/>
      <c r="T411" s="471"/>
      <c r="U411" s="471"/>
      <c r="V411" s="471"/>
      <c r="W411" s="471"/>
      <c r="X411" s="471"/>
      <c r="Y411" s="471"/>
      <c r="Z411" s="471"/>
      <c r="AA411" s="471"/>
      <c r="AB411" s="471"/>
      <c r="AC411" s="471"/>
      <c r="AD411" s="471"/>
      <c r="AE411" s="471"/>
      <c r="AF411" s="471"/>
      <c r="AG411" s="471"/>
      <c r="AH411" s="471"/>
      <c r="AI411" s="471"/>
    </row>
    <row r="412" ht="22.5" customHeight="1">
      <c r="A412" s="471"/>
      <c r="B412" s="531" t="s">
        <v>2121</v>
      </c>
      <c r="C412" s="535" t="s">
        <v>2144</v>
      </c>
      <c r="D412" s="535" t="s">
        <v>2145</v>
      </c>
      <c r="E412" s="537">
        <v>45784.0</v>
      </c>
      <c r="F412" s="534">
        <v>24038.0</v>
      </c>
      <c r="G412" s="535" t="s">
        <v>2171</v>
      </c>
      <c r="H412" s="531"/>
      <c r="I412" s="471"/>
      <c r="J412" s="490"/>
      <c r="K412" s="491"/>
      <c r="L412" s="471"/>
      <c r="M412" s="471"/>
      <c r="N412" s="471"/>
      <c r="O412" s="471"/>
      <c r="P412" s="471"/>
      <c r="Q412" s="471"/>
      <c r="R412" s="471"/>
      <c r="S412" s="471"/>
      <c r="T412" s="471"/>
      <c r="U412" s="471"/>
      <c r="V412" s="471"/>
      <c r="W412" s="471"/>
      <c r="X412" s="471"/>
      <c r="Y412" s="471"/>
      <c r="Z412" s="471"/>
      <c r="AA412" s="471"/>
      <c r="AB412" s="471"/>
      <c r="AC412" s="471"/>
      <c r="AD412" s="471"/>
      <c r="AE412" s="471"/>
      <c r="AF412" s="471"/>
      <c r="AG412" s="471"/>
      <c r="AH412" s="471"/>
      <c r="AI412" s="471"/>
    </row>
    <row r="413" ht="22.5" customHeight="1">
      <c r="A413" s="471"/>
      <c r="B413" s="531" t="s">
        <v>2121</v>
      </c>
      <c r="C413" s="535" t="s">
        <v>2058</v>
      </c>
      <c r="D413" s="535" t="s">
        <v>2132</v>
      </c>
      <c r="E413" s="537">
        <v>45784.0</v>
      </c>
      <c r="F413" s="534">
        <v>140000.0</v>
      </c>
      <c r="G413" s="535" t="s">
        <v>2108</v>
      </c>
      <c r="H413" s="531"/>
      <c r="I413" s="471"/>
      <c r="J413" s="490"/>
      <c r="K413" s="491"/>
      <c r="L413" s="471"/>
      <c r="M413" s="471"/>
      <c r="N413" s="471"/>
      <c r="O413" s="471"/>
      <c r="P413" s="471"/>
      <c r="Q413" s="471"/>
      <c r="R413" s="471"/>
      <c r="S413" s="471"/>
      <c r="T413" s="471"/>
      <c r="U413" s="471"/>
      <c r="V413" s="471"/>
      <c r="W413" s="471"/>
      <c r="X413" s="471"/>
      <c r="Y413" s="471"/>
      <c r="Z413" s="471"/>
      <c r="AA413" s="471"/>
      <c r="AB413" s="471"/>
      <c r="AC413" s="471"/>
      <c r="AD413" s="471"/>
      <c r="AE413" s="471"/>
      <c r="AF413" s="471"/>
      <c r="AG413" s="471"/>
      <c r="AH413" s="471"/>
      <c r="AI413" s="471"/>
    </row>
    <row r="414" ht="22.5" customHeight="1">
      <c r="A414" s="471"/>
      <c r="B414" s="531" t="s">
        <v>2121</v>
      </c>
      <c r="C414" s="535" t="s">
        <v>2059</v>
      </c>
      <c r="D414" s="535" t="s">
        <v>2128</v>
      </c>
      <c r="E414" s="537">
        <v>45787.0</v>
      </c>
      <c r="F414" s="534">
        <v>114500.0</v>
      </c>
      <c r="G414" s="535" t="s">
        <v>2108</v>
      </c>
      <c r="H414" s="531"/>
      <c r="I414" s="471"/>
      <c r="J414" s="490"/>
      <c r="K414" s="491"/>
      <c r="L414" s="471"/>
      <c r="M414" s="471"/>
      <c r="N414" s="471"/>
      <c r="O414" s="471"/>
      <c r="P414" s="471"/>
      <c r="Q414" s="471"/>
      <c r="R414" s="471"/>
      <c r="S414" s="471"/>
      <c r="T414" s="471"/>
      <c r="U414" s="471"/>
      <c r="V414" s="471"/>
      <c r="W414" s="471"/>
      <c r="X414" s="471"/>
      <c r="Y414" s="471"/>
      <c r="Z414" s="471"/>
      <c r="AA414" s="471"/>
      <c r="AB414" s="471"/>
      <c r="AC414" s="471"/>
      <c r="AD414" s="471"/>
      <c r="AE414" s="471"/>
      <c r="AF414" s="471"/>
      <c r="AG414" s="471"/>
      <c r="AH414" s="471"/>
      <c r="AI414" s="471"/>
    </row>
    <row r="415" ht="22.5" customHeight="1">
      <c r="A415" s="471"/>
      <c r="B415" s="531" t="s">
        <v>2121</v>
      </c>
      <c r="C415" s="535" t="s">
        <v>2093</v>
      </c>
      <c r="D415" s="535" t="s">
        <v>124</v>
      </c>
      <c r="E415" s="537">
        <v>45787.0</v>
      </c>
      <c r="F415" s="534">
        <v>100000.0</v>
      </c>
      <c r="G415" s="535" t="s">
        <v>2108</v>
      </c>
      <c r="H415" s="531"/>
      <c r="I415" s="471"/>
      <c r="J415" s="490"/>
      <c r="K415" s="491"/>
      <c r="L415" s="471"/>
      <c r="M415" s="471"/>
      <c r="N415" s="471"/>
      <c r="O415" s="471"/>
      <c r="P415" s="471"/>
      <c r="Q415" s="471"/>
      <c r="R415" s="471"/>
      <c r="S415" s="471"/>
      <c r="T415" s="471"/>
      <c r="U415" s="471"/>
      <c r="V415" s="471"/>
      <c r="W415" s="471"/>
      <c r="X415" s="471"/>
      <c r="Y415" s="471"/>
      <c r="Z415" s="471"/>
      <c r="AA415" s="471"/>
      <c r="AB415" s="471"/>
      <c r="AC415" s="471"/>
      <c r="AD415" s="471"/>
      <c r="AE415" s="471"/>
      <c r="AF415" s="471"/>
      <c r="AG415" s="471"/>
      <c r="AH415" s="471"/>
      <c r="AI415" s="471"/>
    </row>
    <row r="416" ht="22.5" customHeight="1">
      <c r="A416" s="471"/>
      <c r="B416" s="531" t="s">
        <v>2121</v>
      </c>
      <c r="C416" s="535" t="s">
        <v>2142</v>
      </c>
      <c r="D416" s="535" t="s">
        <v>2143</v>
      </c>
      <c r="E416" s="537">
        <v>45787.0</v>
      </c>
      <c r="F416" s="534">
        <v>30000.0</v>
      </c>
      <c r="G416" s="535" t="s">
        <v>2108</v>
      </c>
      <c r="H416" s="531"/>
      <c r="I416" s="471"/>
      <c r="J416" s="490"/>
      <c r="K416" s="491"/>
      <c r="L416" s="471"/>
      <c r="M416" s="471"/>
      <c r="N416" s="471"/>
      <c r="O416" s="471"/>
      <c r="P416" s="471"/>
      <c r="Q416" s="471"/>
      <c r="R416" s="471"/>
      <c r="S416" s="471"/>
      <c r="T416" s="471"/>
      <c r="U416" s="471"/>
      <c r="V416" s="471"/>
      <c r="W416" s="471"/>
      <c r="X416" s="471"/>
      <c r="Y416" s="471"/>
      <c r="Z416" s="471"/>
      <c r="AA416" s="471"/>
      <c r="AB416" s="471"/>
      <c r="AC416" s="471"/>
      <c r="AD416" s="471"/>
      <c r="AE416" s="471"/>
      <c r="AF416" s="471"/>
      <c r="AG416" s="471"/>
      <c r="AH416" s="471"/>
      <c r="AI416" s="471"/>
    </row>
    <row r="417" ht="22.5" customHeight="1">
      <c r="A417" s="471"/>
      <c r="B417" s="531" t="s">
        <v>2121</v>
      </c>
      <c r="C417" s="535" t="s">
        <v>2071</v>
      </c>
      <c r="D417" s="535" t="s">
        <v>2134</v>
      </c>
      <c r="E417" s="537">
        <v>45787.0</v>
      </c>
      <c r="F417" s="534">
        <v>20000.0</v>
      </c>
      <c r="G417" s="535" t="s">
        <v>2108</v>
      </c>
      <c r="H417" s="531"/>
      <c r="I417" s="471"/>
      <c r="J417" s="490"/>
      <c r="K417" s="491"/>
      <c r="L417" s="471"/>
      <c r="M417" s="471"/>
      <c r="N417" s="471"/>
      <c r="O417" s="471"/>
      <c r="P417" s="471"/>
      <c r="Q417" s="471"/>
      <c r="R417" s="471"/>
      <c r="S417" s="471"/>
      <c r="T417" s="471"/>
      <c r="U417" s="471"/>
      <c r="V417" s="471"/>
      <c r="W417" s="471"/>
      <c r="X417" s="471"/>
      <c r="Y417" s="471"/>
      <c r="Z417" s="471"/>
      <c r="AA417" s="471"/>
      <c r="AB417" s="471"/>
      <c r="AC417" s="471"/>
      <c r="AD417" s="471"/>
      <c r="AE417" s="471"/>
      <c r="AF417" s="471"/>
      <c r="AG417" s="471"/>
      <c r="AH417" s="471"/>
      <c r="AI417" s="471"/>
    </row>
    <row r="418" ht="22.5" customHeight="1">
      <c r="A418" s="471"/>
      <c r="B418" s="531" t="s">
        <v>2121</v>
      </c>
      <c r="C418" s="535" t="s">
        <v>2069</v>
      </c>
      <c r="D418" s="535" t="s">
        <v>2135</v>
      </c>
      <c r="E418" s="537">
        <v>45787.0</v>
      </c>
      <c r="F418" s="534">
        <v>40000.0</v>
      </c>
      <c r="G418" s="535" t="s">
        <v>2108</v>
      </c>
      <c r="H418" s="531"/>
      <c r="I418" s="471"/>
      <c r="J418" s="490"/>
      <c r="K418" s="491"/>
      <c r="L418" s="471"/>
      <c r="M418" s="471"/>
      <c r="N418" s="471"/>
      <c r="O418" s="471"/>
      <c r="P418" s="471"/>
      <c r="Q418" s="471"/>
      <c r="R418" s="471"/>
      <c r="S418" s="471"/>
      <c r="T418" s="471"/>
      <c r="U418" s="471"/>
      <c r="V418" s="471"/>
      <c r="W418" s="471"/>
      <c r="X418" s="471"/>
      <c r="Y418" s="471"/>
      <c r="Z418" s="471"/>
      <c r="AA418" s="471"/>
      <c r="AB418" s="471"/>
      <c r="AC418" s="471"/>
      <c r="AD418" s="471"/>
      <c r="AE418" s="471"/>
      <c r="AF418" s="471"/>
      <c r="AG418" s="471"/>
      <c r="AH418" s="471"/>
      <c r="AI418" s="471"/>
    </row>
    <row r="419" ht="22.5" customHeight="1">
      <c r="A419" s="471"/>
      <c r="B419" s="531" t="s">
        <v>2121</v>
      </c>
      <c r="C419" s="535" t="s">
        <v>2094</v>
      </c>
      <c r="D419" s="535" t="s">
        <v>2131</v>
      </c>
      <c r="E419" s="537">
        <v>45787.0</v>
      </c>
      <c r="F419" s="534">
        <v>20000.0</v>
      </c>
      <c r="G419" s="535" t="s">
        <v>2108</v>
      </c>
      <c r="H419" s="531"/>
      <c r="I419" s="471"/>
      <c r="J419" s="490"/>
      <c r="K419" s="491"/>
      <c r="L419" s="471"/>
      <c r="M419" s="471"/>
      <c r="N419" s="471"/>
      <c r="O419" s="471"/>
      <c r="P419" s="471"/>
      <c r="Q419" s="471"/>
      <c r="R419" s="471"/>
      <c r="S419" s="471"/>
      <c r="T419" s="471"/>
      <c r="U419" s="471"/>
      <c r="V419" s="471"/>
      <c r="W419" s="471"/>
      <c r="X419" s="471"/>
      <c r="Y419" s="471"/>
      <c r="Z419" s="471"/>
      <c r="AA419" s="471"/>
      <c r="AB419" s="471"/>
      <c r="AC419" s="471"/>
      <c r="AD419" s="471"/>
      <c r="AE419" s="471"/>
      <c r="AF419" s="471"/>
      <c r="AG419" s="471"/>
      <c r="AH419" s="471"/>
      <c r="AI419" s="471"/>
    </row>
    <row r="420" ht="22.5" customHeight="1">
      <c r="A420" s="471"/>
      <c r="B420" s="531" t="s">
        <v>2121</v>
      </c>
      <c r="C420" s="535" t="s">
        <v>2129</v>
      </c>
      <c r="D420" s="535" t="s">
        <v>2130</v>
      </c>
      <c r="E420" s="537">
        <v>45787.0</v>
      </c>
      <c r="F420" s="539">
        <v>50000.0</v>
      </c>
      <c r="G420" s="535" t="s">
        <v>2108</v>
      </c>
      <c r="H420" s="531"/>
      <c r="I420" s="471"/>
      <c r="J420" s="490"/>
      <c r="K420" s="491"/>
      <c r="L420" s="471"/>
      <c r="M420" s="471"/>
      <c r="N420" s="471"/>
      <c r="O420" s="471"/>
      <c r="P420" s="471"/>
      <c r="Q420" s="471"/>
      <c r="R420" s="471"/>
      <c r="S420" s="471"/>
      <c r="T420" s="471"/>
      <c r="U420" s="471"/>
      <c r="V420" s="471"/>
      <c r="W420" s="471"/>
      <c r="X420" s="471"/>
      <c r="Y420" s="471"/>
      <c r="Z420" s="471"/>
      <c r="AA420" s="471"/>
      <c r="AB420" s="471"/>
      <c r="AC420" s="471"/>
      <c r="AD420" s="471"/>
      <c r="AE420" s="471"/>
      <c r="AF420" s="471"/>
      <c r="AG420" s="471"/>
      <c r="AH420" s="471"/>
      <c r="AI420" s="471"/>
    </row>
    <row r="421" ht="22.5" customHeight="1">
      <c r="A421" s="471"/>
      <c r="B421" s="531" t="s">
        <v>2121</v>
      </c>
      <c r="C421" s="535" t="s">
        <v>2094</v>
      </c>
      <c r="D421" s="535" t="s">
        <v>2141</v>
      </c>
      <c r="E421" s="537">
        <v>45787.0</v>
      </c>
      <c r="F421" s="539">
        <v>30000.0</v>
      </c>
      <c r="G421" s="535" t="s">
        <v>2108</v>
      </c>
      <c r="H421" s="531"/>
      <c r="I421" s="471"/>
      <c r="J421" s="490"/>
      <c r="K421" s="491"/>
      <c r="L421" s="471"/>
      <c r="M421" s="471"/>
      <c r="N421" s="471"/>
      <c r="O421" s="471"/>
      <c r="P421" s="471"/>
      <c r="Q421" s="471"/>
      <c r="R421" s="471"/>
      <c r="S421" s="471"/>
      <c r="T421" s="471"/>
      <c r="U421" s="471"/>
      <c r="V421" s="471"/>
      <c r="W421" s="471"/>
      <c r="X421" s="471"/>
      <c r="Y421" s="471"/>
      <c r="Z421" s="471"/>
      <c r="AA421" s="471"/>
      <c r="AB421" s="471"/>
      <c r="AC421" s="471"/>
      <c r="AD421" s="471"/>
      <c r="AE421" s="471"/>
      <c r="AF421" s="471"/>
      <c r="AG421" s="471"/>
      <c r="AH421" s="471"/>
      <c r="AI421" s="471"/>
    </row>
    <row r="422" ht="22.5" customHeight="1">
      <c r="A422" s="471"/>
      <c r="B422" s="531" t="s">
        <v>2121</v>
      </c>
      <c r="C422" s="535" t="s">
        <v>2136</v>
      </c>
      <c r="D422" s="535" t="s">
        <v>2166</v>
      </c>
      <c r="E422" s="537">
        <v>45800.0</v>
      </c>
      <c r="F422" s="534">
        <v>200000.0</v>
      </c>
      <c r="G422" s="535" t="s">
        <v>2175</v>
      </c>
      <c r="H422" s="531"/>
      <c r="I422" s="471"/>
      <c r="J422" s="490"/>
      <c r="K422" s="491"/>
      <c r="L422" s="471"/>
      <c r="M422" s="471"/>
      <c r="N422" s="471"/>
      <c r="O422" s="471"/>
      <c r="P422" s="471"/>
      <c r="Q422" s="471"/>
      <c r="R422" s="471"/>
      <c r="S422" s="471"/>
      <c r="T422" s="471"/>
      <c r="U422" s="471"/>
      <c r="V422" s="471"/>
      <c r="W422" s="471"/>
      <c r="X422" s="471"/>
      <c r="Y422" s="471"/>
      <c r="Z422" s="471"/>
      <c r="AA422" s="471"/>
      <c r="AB422" s="471"/>
      <c r="AC422" s="471"/>
      <c r="AD422" s="471"/>
      <c r="AE422" s="471"/>
      <c r="AF422" s="471"/>
      <c r="AG422" s="471"/>
      <c r="AH422" s="471"/>
      <c r="AI422" s="471"/>
    </row>
    <row r="423" ht="22.5" customHeight="1">
      <c r="A423" s="471"/>
      <c r="B423" s="531" t="s">
        <v>2122</v>
      </c>
      <c r="C423" s="535" t="s">
        <v>2094</v>
      </c>
      <c r="D423" s="535" t="s">
        <v>2141</v>
      </c>
      <c r="E423" s="537">
        <v>45800.0</v>
      </c>
      <c r="F423" s="534">
        <v>36018.0</v>
      </c>
      <c r="G423" s="535" t="s">
        <v>2175</v>
      </c>
      <c r="H423" s="531"/>
      <c r="I423" s="471"/>
      <c r="J423" s="490"/>
      <c r="K423" s="491"/>
      <c r="L423" s="471"/>
      <c r="M423" s="471"/>
      <c r="N423" s="471"/>
      <c r="O423" s="471"/>
      <c r="P423" s="471"/>
      <c r="Q423" s="471"/>
      <c r="R423" s="471"/>
      <c r="S423" s="471"/>
      <c r="T423" s="471"/>
      <c r="U423" s="471"/>
      <c r="V423" s="471"/>
      <c r="W423" s="471"/>
      <c r="X423" s="471"/>
      <c r="Y423" s="471"/>
      <c r="Z423" s="471"/>
      <c r="AA423" s="471"/>
      <c r="AB423" s="471"/>
      <c r="AC423" s="471"/>
      <c r="AD423" s="471"/>
      <c r="AE423" s="471"/>
      <c r="AF423" s="471"/>
      <c r="AG423" s="471"/>
      <c r="AH423" s="471"/>
      <c r="AI423" s="471"/>
    </row>
    <row r="424" ht="22.5" customHeight="1">
      <c r="A424" s="471"/>
      <c r="B424" s="531" t="s">
        <v>2122</v>
      </c>
      <c r="C424" s="535" t="s">
        <v>2069</v>
      </c>
      <c r="D424" s="535" t="s">
        <v>2135</v>
      </c>
      <c r="E424" s="537">
        <v>45800.0</v>
      </c>
      <c r="F424" s="534">
        <v>40020.0</v>
      </c>
      <c r="G424" s="535" t="s">
        <v>2175</v>
      </c>
      <c r="H424" s="531"/>
      <c r="I424" s="471"/>
      <c r="J424" s="490"/>
      <c r="K424" s="491"/>
      <c r="L424" s="471"/>
      <c r="M424" s="471"/>
      <c r="N424" s="471"/>
      <c r="O424" s="471"/>
      <c r="P424" s="471"/>
      <c r="Q424" s="471"/>
      <c r="R424" s="471"/>
      <c r="S424" s="471"/>
      <c r="T424" s="471"/>
      <c r="U424" s="471"/>
      <c r="V424" s="471"/>
      <c r="W424" s="471"/>
      <c r="X424" s="471"/>
      <c r="Y424" s="471"/>
      <c r="Z424" s="471"/>
      <c r="AA424" s="471"/>
      <c r="AB424" s="471"/>
      <c r="AC424" s="471"/>
      <c r="AD424" s="471"/>
      <c r="AE424" s="471"/>
      <c r="AF424" s="471"/>
      <c r="AG424" s="471"/>
      <c r="AH424" s="471"/>
      <c r="AI424" s="471"/>
    </row>
    <row r="425" ht="22.5" customHeight="1">
      <c r="A425" s="471"/>
      <c r="B425" s="531" t="s">
        <v>2122</v>
      </c>
      <c r="C425" s="535" t="s">
        <v>2059</v>
      </c>
      <c r="D425" s="535" t="s">
        <v>2128</v>
      </c>
      <c r="E425" s="537">
        <v>45800.0</v>
      </c>
      <c r="F425" s="534">
        <v>88027.0</v>
      </c>
      <c r="G425" s="535" t="s">
        <v>2175</v>
      </c>
      <c r="H425" s="531"/>
      <c r="I425" s="471"/>
      <c r="J425" s="490"/>
      <c r="K425" s="491"/>
      <c r="L425" s="471"/>
      <c r="M425" s="471"/>
      <c r="N425" s="471"/>
      <c r="O425" s="471"/>
      <c r="P425" s="471"/>
      <c r="Q425" s="471"/>
      <c r="R425" s="471"/>
      <c r="S425" s="471"/>
      <c r="T425" s="471"/>
      <c r="U425" s="471"/>
      <c r="V425" s="471"/>
      <c r="W425" s="471"/>
      <c r="X425" s="471"/>
      <c r="Y425" s="471"/>
      <c r="Z425" s="471"/>
      <c r="AA425" s="471"/>
      <c r="AB425" s="471"/>
      <c r="AC425" s="471"/>
      <c r="AD425" s="471"/>
      <c r="AE425" s="471"/>
      <c r="AF425" s="471"/>
      <c r="AG425" s="471"/>
      <c r="AH425" s="471"/>
      <c r="AI425" s="471"/>
    </row>
    <row r="426" ht="22.5" customHeight="1">
      <c r="A426" s="471"/>
      <c r="B426" s="531" t="s">
        <v>2122</v>
      </c>
      <c r="C426" s="535" t="s">
        <v>2071</v>
      </c>
      <c r="D426" s="535" t="s">
        <v>2134</v>
      </c>
      <c r="E426" s="537">
        <v>45800.0</v>
      </c>
      <c r="F426" s="534">
        <v>24029.0</v>
      </c>
      <c r="G426" s="535" t="s">
        <v>2175</v>
      </c>
      <c r="H426" s="531"/>
      <c r="I426" s="471"/>
      <c r="J426" s="490"/>
      <c r="K426" s="491"/>
      <c r="L426" s="471"/>
      <c r="M426" s="471"/>
      <c r="N426" s="471"/>
      <c r="O426" s="471"/>
      <c r="P426" s="471"/>
      <c r="Q426" s="471"/>
      <c r="R426" s="471"/>
      <c r="S426" s="471"/>
      <c r="T426" s="471"/>
      <c r="U426" s="471"/>
      <c r="V426" s="471"/>
      <c r="W426" s="471"/>
      <c r="X426" s="471"/>
      <c r="Y426" s="471"/>
      <c r="Z426" s="471"/>
      <c r="AA426" s="471"/>
      <c r="AB426" s="471"/>
      <c r="AC426" s="471"/>
      <c r="AD426" s="471"/>
      <c r="AE426" s="471"/>
      <c r="AF426" s="471"/>
      <c r="AG426" s="471"/>
      <c r="AH426" s="471"/>
      <c r="AI426" s="471"/>
    </row>
    <row r="427" ht="22.5" customHeight="1">
      <c r="A427" s="471"/>
      <c r="B427" s="531" t="s">
        <v>2122</v>
      </c>
      <c r="C427" s="535" t="s">
        <v>2058</v>
      </c>
      <c r="D427" s="535" t="s">
        <v>2132</v>
      </c>
      <c r="E427" s="537">
        <v>45800.0</v>
      </c>
      <c r="F427" s="534">
        <v>54869.57</v>
      </c>
      <c r="G427" s="535" t="s">
        <v>2175</v>
      </c>
      <c r="H427" s="531"/>
      <c r="I427" s="471"/>
      <c r="J427" s="490"/>
      <c r="K427" s="491"/>
      <c r="L427" s="471"/>
      <c r="M427" s="471"/>
      <c r="N427" s="471"/>
      <c r="O427" s="471"/>
      <c r="P427" s="471"/>
      <c r="Q427" s="471"/>
      <c r="R427" s="471"/>
      <c r="S427" s="471"/>
      <c r="T427" s="471"/>
      <c r="U427" s="471"/>
      <c r="V427" s="471"/>
      <c r="W427" s="471"/>
      <c r="X427" s="471"/>
      <c r="Y427" s="471"/>
      <c r="Z427" s="471"/>
      <c r="AA427" s="471"/>
      <c r="AB427" s="471"/>
      <c r="AC427" s="471"/>
      <c r="AD427" s="471"/>
      <c r="AE427" s="471"/>
      <c r="AF427" s="471"/>
      <c r="AG427" s="471"/>
      <c r="AH427" s="471"/>
      <c r="AI427" s="471"/>
    </row>
    <row r="428" ht="22.5" customHeight="1">
      <c r="A428" s="471"/>
      <c r="B428" s="531" t="s">
        <v>2122</v>
      </c>
      <c r="C428" s="535" t="s">
        <v>2136</v>
      </c>
      <c r="D428" s="535" t="s">
        <v>2137</v>
      </c>
      <c r="E428" s="537">
        <v>45800.0</v>
      </c>
      <c r="F428" s="534">
        <v>24310.86</v>
      </c>
      <c r="G428" s="535" t="s">
        <v>2175</v>
      </c>
      <c r="H428" s="531"/>
      <c r="I428" s="471"/>
      <c r="J428" s="490"/>
      <c r="K428" s="491"/>
      <c r="L428" s="471"/>
      <c r="M428" s="471"/>
      <c r="N428" s="471"/>
      <c r="O428" s="471"/>
      <c r="P428" s="471"/>
      <c r="Q428" s="471"/>
      <c r="R428" s="471"/>
      <c r="S428" s="471"/>
      <c r="T428" s="471"/>
      <c r="U428" s="471"/>
      <c r="V428" s="471"/>
      <c r="W428" s="471"/>
      <c r="X428" s="471"/>
      <c r="Y428" s="471"/>
      <c r="Z428" s="471"/>
      <c r="AA428" s="471"/>
      <c r="AB428" s="471"/>
      <c r="AC428" s="471"/>
      <c r="AD428" s="471"/>
      <c r="AE428" s="471"/>
      <c r="AF428" s="471"/>
      <c r="AG428" s="471"/>
      <c r="AH428" s="471"/>
      <c r="AI428" s="471"/>
    </row>
    <row r="429" ht="22.5" customHeight="1">
      <c r="A429" s="471"/>
      <c r="B429" s="531" t="s">
        <v>2122</v>
      </c>
      <c r="C429" s="535" t="s">
        <v>2094</v>
      </c>
      <c r="D429" s="535" t="s">
        <v>2131</v>
      </c>
      <c r="E429" s="537">
        <v>45800.0</v>
      </c>
      <c r="F429" s="534">
        <v>48007.0</v>
      </c>
      <c r="G429" s="535" t="s">
        <v>2175</v>
      </c>
      <c r="H429" s="531"/>
      <c r="I429" s="471"/>
      <c r="J429" s="490"/>
      <c r="K429" s="491"/>
      <c r="L429" s="471"/>
      <c r="M429" s="471"/>
      <c r="N429" s="471"/>
      <c r="O429" s="471"/>
      <c r="P429" s="471"/>
      <c r="Q429" s="471"/>
      <c r="R429" s="471"/>
      <c r="S429" s="471"/>
      <c r="T429" s="471"/>
      <c r="U429" s="471"/>
      <c r="V429" s="471"/>
      <c r="W429" s="471"/>
      <c r="X429" s="471"/>
      <c r="Y429" s="471"/>
      <c r="Z429" s="471"/>
      <c r="AA429" s="471"/>
      <c r="AB429" s="471"/>
      <c r="AC429" s="471"/>
      <c r="AD429" s="471"/>
      <c r="AE429" s="471"/>
      <c r="AF429" s="471"/>
      <c r="AG429" s="471"/>
      <c r="AH429" s="471"/>
      <c r="AI429" s="471"/>
    </row>
    <row r="430" ht="22.5" customHeight="1">
      <c r="A430" s="471"/>
      <c r="B430" s="531" t="s">
        <v>2122</v>
      </c>
      <c r="C430" s="535" t="s">
        <v>2129</v>
      </c>
      <c r="D430" s="535" t="s">
        <v>2130</v>
      </c>
      <c r="E430" s="537">
        <v>45800.0</v>
      </c>
      <c r="F430" s="534">
        <v>36018.0</v>
      </c>
      <c r="G430" s="535" t="s">
        <v>2175</v>
      </c>
      <c r="H430" s="531"/>
      <c r="I430" s="471"/>
      <c r="J430" s="490"/>
      <c r="K430" s="491"/>
      <c r="L430" s="471"/>
      <c r="M430" s="471"/>
      <c r="N430" s="471"/>
      <c r="O430" s="471"/>
      <c r="P430" s="471"/>
      <c r="Q430" s="471"/>
      <c r="R430" s="471"/>
      <c r="S430" s="471"/>
      <c r="T430" s="471"/>
      <c r="U430" s="471"/>
      <c r="V430" s="471"/>
      <c r="W430" s="471"/>
      <c r="X430" s="471"/>
      <c r="Y430" s="471"/>
      <c r="Z430" s="471"/>
      <c r="AA430" s="471"/>
      <c r="AB430" s="471"/>
      <c r="AC430" s="471"/>
      <c r="AD430" s="471"/>
      <c r="AE430" s="471"/>
      <c r="AF430" s="471"/>
      <c r="AG430" s="471"/>
      <c r="AH430" s="471"/>
      <c r="AI430" s="471"/>
    </row>
    <row r="431" ht="22.5" customHeight="1">
      <c r="A431" s="471"/>
      <c r="B431" s="531" t="s">
        <v>2122</v>
      </c>
      <c r="C431" s="535" t="s">
        <v>2093</v>
      </c>
      <c r="D431" s="535" t="s">
        <v>124</v>
      </c>
      <c r="E431" s="537">
        <v>45800.0</v>
      </c>
      <c r="F431" s="534">
        <v>48024.0</v>
      </c>
      <c r="G431" s="535" t="s">
        <v>2175</v>
      </c>
      <c r="H431" s="531"/>
      <c r="I431" s="471"/>
      <c r="J431" s="490"/>
      <c r="K431" s="491"/>
      <c r="L431" s="471"/>
      <c r="M431" s="471"/>
      <c r="N431" s="471"/>
      <c r="O431" s="471"/>
      <c r="P431" s="471"/>
      <c r="Q431" s="471"/>
      <c r="R431" s="471"/>
      <c r="S431" s="471"/>
      <c r="T431" s="471"/>
      <c r="U431" s="471"/>
      <c r="V431" s="471"/>
      <c r="W431" s="471"/>
      <c r="X431" s="471"/>
      <c r="Y431" s="471"/>
      <c r="Z431" s="471"/>
      <c r="AA431" s="471"/>
      <c r="AB431" s="471"/>
      <c r="AC431" s="471"/>
      <c r="AD431" s="471"/>
      <c r="AE431" s="471"/>
      <c r="AF431" s="471"/>
      <c r="AG431" s="471"/>
      <c r="AH431" s="471"/>
      <c r="AI431" s="471"/>
    </row>
    <row r="432" ht="22.5" customHeight="1">
      <c r="A432" s="471"/>
      <c r="B432" s="531" t="s">
        <v>2122</v>
      </c>
      <c r="C432" s="535" t="s">
        <v>2144</v>
      </c>
      <c r="D432" s="535" t="s">
        <v>2145</v>
      </c>
      <c r="E432" s="537">
        <v>45800.0</v>
      </c>
      <c r="F432" s="534">
        <v>16025.0</v>
      </c>
      <c r="G432" s="535" t="s">
        <v>2175</v>
      </c>
      <c r="H432" s="531"/>
      <c r="I432" s="471"/>
      <c r="J432" s="490"/>
      <c r="K432" s="491"/>
      <c r="L432" s="471"/>
      <c r="M432" s="471"/>
      <c r="N432" s="471"/>
      <c r="O432" s="471"/>
      <c r="P432" s="471"/>
      <c r="Q432" s="471"/>
      <c r="R432" s="471"/>
      <c r="S432" s="471"/>
      <c r="T432" s="471"/>
      <c r="U432" s="471"/>
      <c r="V432" s="471"/>
      <c r="W432" s="471"/>
      <c r="X432" s="471"/>
      <c r="Y432" s="471"/>
      <c r="Z432" s="471"/>
      <c r="AA432" s="471"/>
      <c r="AB432" s="471"/>
      <c r="AC432" s="471"/>
      <c r="AD432" s="471"/>
      <c r="AE432" s="471"/>
      <c r="AF432" s="471"/>
      <c r="AG432" s="471"/>
      <c r="AH432" s="471"/>
      <c r="AI432" s="471"/>
    </row>
    <row r="433" ht="22.5" customHeight="1">
      <c r="A433" s="471"/>
      <c r="B433" s="531" t="s">
        <v>2122</v>
      </c>
      <c r="C433" s="535" t="s">
        <v>2094</v>
      </c>
      <c r="D433" s="535" t="s">
        <v>2131</v>
      </c>
      <c r="E433" s="537">
        <v>45800.0</v>
      </c>
      <c r="F433" s="534">
        <v>30000.0</v>
      </c>
      <c r="G433" s="535" t="s">
        <v>2108</v>
      </c>
      <c r="H433" s="531"/>
      <c r="I433" s="471"/>
      <c r="J433" s="490"/>
      <c r="K433" s="491"/>
      <c r="L433" s="471"/>
      <c r="M433" s="471"/>
      <c r="N433" s="471"/>
      <c r="O433" s="471"/>
      <c r="P433" s="471"/>
      <c r="Q433" s="471"/>
      <c r="R433" s="471"/>
      <c r="S433" s="471"/>
      <c r="T433" s="471"/>
      <c r="U433" s="471"/>
      <c r="V433" s="471"/>
      <c r="W433" s="471"/>
      <c r="X433" s="471"/>
      <c r="Y433" s="471"/>
      <c r="Z433" s="471"/>
      <c r="AA433" s="471"/>
      <c r="AB433" s="471"/>
      <c r="AC433" s="471"/>
      <c r="AD433" s="471"/>
      <c r="AE433" s="471"/>
      <c r="AF433" s="471"/>
      <c r="AG433" s="471"/>
      <c r="AH433" s="471"/>
      <c r="AI433" s="471"/>
    </row>
    <row r="434" ht="22.5" customHeight="1">
      <c r="A434" s="471"/>
      <c r="B434" s="531" t="s">
        <v>2122</v>
      </c>
      <c r="C434" s="535" t="s">
        <v>2094</v>
      </c>
      <c r="D434" s="535" t="s">
        <v>2141</v>
      </c>
      <c r="E434" s="537">
        <v>45800.0</v>
      </c>
      <c r="F434" s="534">
        <v>30000.0</v>
      </c>
      <c r="G434" s="535" t="s">
        <v>2108</v>
      </c>
      <c r="H434" s="531"/>
      <c r="I434" s="471"/>
      <c r="J434" s="490"/>
      <c r="K434" s="491"/>
      <c r="L434" s="471"/>
      <c r="M434" s="471"/>
      <c r="N434" s="471"/>
      <c r="O434" s="471"/>
      <c r="P434" s="471"/>
      <c r="Q434" s="471"/>
      <c r="R434" s="471"/>
      <c r="S434" s="471"/>
      <c r="T434" s="471"/>
      <c r="U434" s="471"/>
      <c r="V434" s="471"/>
      <c r="W434" s="471"/>
      <c r="X434" s="471"/>
      <c r="Y434" s="471"/>
      <c r="Z434" s="471"/>
      <c r="AA434" s="471"/>
      <c r="AB434" s="471"/>
      <c r="AC434" s="471"/>
      <c r="AD434" s="471"/>
      <c r="AE434" s="471"/>
      <c r="AF434" s="471"/>
      <c r="AG434" s="471"/>
      <c r="AH434" s="471"/>
      <c r="AI434" s="471"/>
    </row>
    <row r="435" ht="22.5" customHeight="1">
      <c r="A435" s="471"/>
      <c r="B435" s="531" t="s">
        <v>2122</v>
      </c>
      <c r="C435" s="535" t="s">
        <v>2146</v>
      </c>
      <c r="D435" s="535" t="s">
        <v>2147</v>
      </c>
      <c r="E435" s="537">
        <v>45810.0</v>
      </c>
      <c r="F435" s="534">
        <v>50000.0</v>
      </c>
      <c r="G435" s="535" t="s">
        <v>2108</v>
      </c>
      <c r="H435" s="531"/>
      <c r="I435" s="471"/>
      <c r="J435" s="490"/>
      <c r="K435" s="491"/>
      <c r="L435" s="471"/>
      <c r="M435" s="471"/>
      <c r="N435" s="471"/>
      <c r="O435" s="471"/>
      <c r="P435" s="471"/>
      <c r="Q435" s="471"/>
      <c r="R435" s="471"/>
      <c r="S435" s="471"/>
      <c r="T435" s="471"/>
      <c r="U435" s="471"/>
      <c r="V435" s="471"/>
      <c r="W435" s="471"/>
      <c r="X435" s="471"/>
      <c r="Y435" s="471"/>
      <c r="Z435" s="471"/>
      <c r="AA435" s="471"/>
      <c r="AB435" s="471"/>
      <c r="AC435" s="471"/>
      <c r="AD435" s="471"/>
      <c r="AE435" s="471"/>
      <c r="AF435" s="471"/>
      <c r="AG435" s="471"/>
      <c r="AH435" s="471"/>
      <c r="AI435" s="471"/>
    </row>
    <row r="436" ht="22.5" customHeight="1">
      <c r="A436" s="471"/>
      <c r="B436" s="531" t="s">
        <v>2122</v>
      </c>
      <c r="C436" s="535" t="s">
        <v>2059</v>
      </c>
      <c r="D436" s="535" t="s">
        <v>2128</v>
      </c>
      <c r="E436" s="537">
        <v>45798.0</v>
      </c>
      <c r="F436" s="534">
        <v>50000.0</v>
      </c>
      <c r="G436" s="535" t="s">
        <v>2108</v>
      </c>
      <c r="H436" s="531"/>
      <c r="I436" s="471"/>
      <c r="J436" s="490"/>
      <c r="K436" s="491"/>
      <c r="L436" s="471"/>
      <c r="M436" s="471"/>
      <c r="N436" s="471"/>
      <c r="O436" s="471"/>
      <c r="P436" s="471"/>
      <c r="Q436" s="471"/>
      <c r="R436" s="471"/>
      <c r="S436" s="471"/>
      <c r="T436" s="471"/>
      <c r="U436" s="471"/>
      <c r="V436" s="471"/>
      <c r="W436" s="471"/>
      <c r="X436" s="471"/>
      <c r="Y436" s="471"/>
      <c r="Z436" s="471"/>
      <c r="AA436" s="471"/>
      <c r="AB436" s="471"/>
      <c r="AC436" s="471"/>
      <c r="AD436" s="471"/>
      <c r="AE436" s="471"/>
      <c r="AF436" s="471"/>
      <c r="AG436" s="471"/>
      <c r="AH436" s="471"/>
      <c r="AI436" s="471"/>
    </row>
    <row r="437" ht="22.5" customHeight="1">
      <c r="A437" s="471"/>
      <c r="B437" s="531" t="s">
        <v>2122</v>
      </c>
      <c r="C437" s="535" t="s">
        <v>2059</v>
      </c>
      <c r="D437" s="535" t="s">
        <v>2128</v>
      </c>
      <c r="E437" s="537">
        <v>45811.0</v>
      </c>
      <c r="F437" s="534">
        <v>130000.0</v>
      </c>
      <c r="G437" s="535" t="s">
        <v>2108</v>
      </c>
      <c r="H437" s="531"/>
      <c r="I437" s="471"/>
      <c r="J437" s="490"/>
      <c r="K437" s="491"/>
      <c r="L437" s="471"/>
      <c r="M437" s="471"/>
      <c r="N437" s="471"/>
      <c r="O437" s="471"/>
      <c r="P437" s="471"/>
      <c r="Q437" s="471"/>
      <c r="R437" s="471"/>
      <c r="S437" s="471"/>
      <c r="T437" s="471"/>
      <c r="U437" s="471"/>
      <c r="V437" s="471"/>
      <c r="W437" s="471"/>
      <c r="X437" s="471"/>
      <c r="Y437" s="471"/>
      <c r="Z437" s="471"/>
      <c r="AA437" s="471"/>
      <c r="AB437" s="471"/>
      <c r="AC437" s="471"/>
      <c r="AD437" s="471"/>
      <c r="AE437" s="471"/>
      <c r="AF437" s="471"/>
      <c r="AG437" s="471"/>
      <c r="AH437" s="471"/>
      <c r="AI437" s="471"/>
    </row>
    <row r="438" ht="22.5" customHeight="1">
      <c r="A438" s="471"/>
      <c r="B438" s="531" t="s">
        <v>2122</v>
      </c>
      <c r="C438" s="535" t="s">
        <v>2058</v>
      </c>
      <c r="D438" s="535" t="s">
        <v>2132</v>
      </c>
      <c r="E438" s="537">
        <v>45811.0</v>
      </c>
      <c r="F438" s="534">
        <v>140000.0</v>
      </c>
      <c r="G438" s="535" t="s">
        <v>2108</v>
      </c>
      <c r="H438" s="531"/>
      <c r="I438" s="471"/>
      <c r="J438" s="490"/>
      <c r="K438" s="491"/>
      <c r="L438" s="471"/>
      <c r="M438" s="471"/>
      <c r="N438" s="471"/>
      <c r="O438" s="471"/>
      <c r="P438" s="471"/>
      <c r="Q438" s="471"/>
      <c r="R438" s="471"/>
      <c r="S438" s="471"/>
      <c r="T438" s="471"/>
      <c r="U438" s="471"/>
      <c r="V438" s="471"/>
      <c r="W438" s="471"/>
      <c r="X438" s="471"/>
      <c r="Y438" s="471"/>
      <c r="Z438" s="471"/>
      <c r="AA438" s="471"/>
      <c r="AB438" s="471"/>
      <c r="AC438" s="471"/>
      <c r="AD438" s="471"/>
      <c r="AE438" s="471"/>
      <c r="AF438" s="471"/>
      <c r="AG438" s="471"/>
      <c r="AH438" s="471"/>
      <c r="AI438" s="471"/>
    </row>
    <row r="439" ht="22.5" customHeight="1">
      <c r="A439" s="471"/>
      <c r="B439" s="531" t="s">
        <v>2122</v>
      </c>
      <c r="C439" s="535" t="s">
        <v>2070</v>
      </c>
      <c r="D439" s="535" t="s">
        <v>2133</v>
      </c>
      <c r="E439" s="537">
        <v>45811.0</v>
      </c>
      <c r="F439" s="534">
        <v>70000.0</v>
      </c>
      <c r="G439" s="535" t="s">
        <v>2108</v>
      </c>
      <c r="H439" s="531"/>
      <c r="I439" s="471"/>
      <c r="J439" s="490"/>
      <c r="K439" s="491"/>
      <c r="L439" s="471"/>
      <c r="M439" s="471"/>
      <c r="N439" s="471"/>
      <c r="O439" s="471"/>
      <c r="P439" s="471"/>
      <c r="Q439" s="471"/>
      <c r="R439" s="471"/>
      <c r="S439" s="471"/>
      <c r="T439" s="471"/>
      <c r="U439" s="471"/>
      <c r="V439" s="471"/>
      <c r="W439" s="471"/>
      <c r="X439" s="471"/>
      <c r="Y439" s="471"/>
      <c r="Z439" s="471"/>
      <c r="AA439" s="471"/>
      <c r="AB439" s="471"/>
      <c r="AC439" s="471"/>
      <c r="AD439" s="471"/>
      <c r="AE439" s="471"/>
      <c r="AF439" s="471"/>
      <c r="AG439" s="471"/>
      <c r="AH439" s="471"/>
      <c r="AI439" s="471"/>
    </row>
    <row r="440" ht="22.5" customHeight="1">
      <c r="A440" s="471"/>
      <c r="B440" s="531" t="s">
        <v>2122</v>
      </c>
      <c r="C440" s="535" t="s">
        <v>2071</v>
      </c>
      <c r="D440" s="535" t="s">
        <v>2134</v>
      </c>
      <c r="E440" s="537">
        <v>45811.0</v>
      </c>
      <c r="F440" s="534">
        <v>20000.0</v>
      </c>
      <c r="G440" s="535" t="s">
        <v>2108</v>
      </c>
      <c r="H440" s="531"/>
      <c r="I440" s="471"/>
      <c r="J440" s="490"/>
      <c r="K440" s="491"/>
      <c r="L440" s="471"/>
      <c r="M440" s="471"/>
      <c r="N440" s="471"/>
      <c r="O440" s="471"/>
      <c r="P440" s="471"/>
      <c r="Q440" s="471"/>
      <c r="R440" s="471"/>
      <c r="S440" s="471"/>
      <c r="T440" s="471"/>
      <c r="U440" s="471"/>
      <c r="V440" s="471"/>
      <c r="W440" s="471"/>
      <c r="X440" s="471"/>
      <c r="Y440" s="471"/>
      <c r="Z440" s="471"/>
      <c r="AA440" s="471"/>
      <c r="AB440" s="471"/>
      <c r="AC440" s="471"/>
      <c r="AD440" s="471"/>
      <c r="AE440" s="471"/>
      <c r="AF440" s="471"/>
      <c r="AG440" s="471"/>
      <c r="AH440" s="471"/>
      <c r="AI440" s="471"/>
    </row>
    <row r="441" ht="22.5" customHeight="1">
      <c r="A441" s="471"/>
      <c r="B441" s="531" t="s">
        <v>2122</v>
      </c>
      <c r="C441" s="535" t="s">
        <v>2136</v>
      </c>
      <c r="D441" s="535" t="s">
        <v>2137</v>
      </c>
      <c r="E441" s="537">
        <v>45811.0</v>
      </c>
      <c r="F441" s="534">
        <v>85000.0</v>
      </c>
      <c r="G441" s="535" t="s">
        <v>2108</v>
      </c>
      <c r="H441" s="531"/>
      <c r="I441" s="471"/>
      <c r="J441" s="490"/>
      <c r="K441" s="491"/>
      <c r="L441" s="471"/>
      <c r="M441" s="471"/>
      <c r="N441" s="471"/>
      <c r="O441" s="471"/>
      <c r="P441" s="471"/>
      <c r="Q441" s="471"/>
      <c r="R441" s="471"/>
      <c r="S441" s="471"/>
      <c r="T441" s="471"/>
      <c r="U441" s="471"/>
      <c r="V441" s="471"/>
      <c r="W441" s="471"/>
      <c r="X441" s="471"/>
      <c r="Y441" s="471"/>
      <c r="Z441" s="471"/>
      <c r="AA441" s="471"/>
      <c r="AB441" s="471"/>
      <c r="AC441" s="471"/>
      <c r="AD441" s="471"/>
      <c r="AE441" s="471"/>
      <c r="AF441" s="471"/>
      <c r="AG441" s="471"/>
      <c r="AH441" s="471"/>
      <c r="AI441" s="471"/>
    </row>
    <row r="442" ht="22.5" customHeight="1">
      <c r="A442" s="471"/>
      <c r="B442" s="531" t="s">
        <v>2122</v>
      </c>
      <c r="C442" s="535" t="s">
        <v>2093</v>
      </c>
      <c r="D442" s="535" t="s">
        <v>124</v>
      </c>
      <c r="E442" s="537">
        <v>45811.0</v>
      </c>
      <c r="F442" s="534">
        <v>150000.0</v>
      </c>
      <c r="G442" s="535" t="s">
        <v>2108</v>
      </c>
      <c r="H442" s="531"/>
      <c r="I442" s="471"/>
      <c r="J442" s="490"/>
      <c r="K442" s="491"/>
      <c r="L442" s="471"/>
      <c r="M442" s="471"/>
      <c r="N442" s="471"/>
      <c r="O442" s="471"/>
      <c r="P442" s="471"/>
      <c r="Q442" s="471"/>
      <c r="R442" s="471"/>
      <c r="S442" s="471"/>
      <c r="T442" s="471"/>
      <c r="U442" s="471"/>
      <c r="V442" s="471"/>
      <c r="W442" s="471"/>
      <c r="X442" s="471"/>
      <c r="Y442" s="471"/>
      <c r="Z442" s="471"/>
      <c r="AA442" s="471"/>
      <c r="AB442" s="471"/>
      <c r="AC442" s="471"/>
      <c r="AD442" s="471"/>
      <c r="AE442" s="471"/>
      <c r="AF442" s="471"/>
      <c r="AG442" s="471"/>
      <c r="AH442" s="471"/>
      <c r="AI442" s="471"/>
    </row>
    <row r="443" ht="22.5" customHeight="1">
      <c r="A443" s="471"/>
      <c r="B443" s="531" t="s">
        <v>2122</v>
      </c>
      <c r="C443" s="535" t="s">
        <v>2069</v>
      </c>
      <c r="D443" s="535" t="s">
        <v>2135</v>
      </c>
      <c r="E443" s="537">
        <v>45811.0</v>
      </c>
      <c r="F443" s="534">
        <v>40000.0</v>
      </c>
      <c r="G443" s="535" t="s">
        <v>2108</v>
      </c>
      <c r="H443" s="531"/>
      <c r="I443" s="471"/>
      <c r="J443" s="490"/>
      <c r="K443" s="491"/>
      <c r="L443" s="471"/>
      <c r="M443" s="471"/>
      <c r="N443" s="471"/>
      <c r="O443" s="471"/>
      <c r="P443" s="471"/>
      <c r="Q443" s="471"/>
      <c r="R443" s="471"/>
      <c r="S443" s="471"/>
      <c r="T443" s="471"/>
      <c r="U443" s="471"/>
      <c r="V443" s="471"/>
      <c r="W443" s="471"/>
      <c r="X443" s="471"/>
      <c r="Y443" s="471"/>
      <c r="Z443" s="471"/>
      <c r="AA443" s="471"/>
      <c r="AB443" s="471"/>
      <c r="AC443" s="471"/>
      <c r="AD443" s="471"/>
      <c r="AE443" s="471"/>
      <c r="AF443" s="471"/>
      <c r="AG443" s="471"/>
      <c r="AH443" s="471"/>
      <c r="AI443" s="471"/>
    </row>
    <row r="444" ht="22.5" customHeight="1">
      <c r="A444" s="471"/>
      <c r="B444" s="531" t="s">
        <v>2122</v>
      </c>
      <c r="C444" s="535" t="s">
        <v>2142</v>
      </c>
      <c r="D444" s="535" t="s">
        <v>2143</v>
      </c>
      <c r="E444" s="537">
        <v>45811.0</v>
      </c>
      <c r="F444" s="534">
        <v>30000.0</v>
      </c>
      <c r="G444" s="535" t="s">
        <v>2108</v>
      </c>
      <c r="H444" s="531"/>
      <c r="I444" s="471"/>
      <c r="J444" s="490"/>
      <c r="K444" s="491"/>
      <c r="L444" s="471"/>
      <c r="M444" s="471"/>
      <c r="N444" s="471"/>
      <c r="O444" s="471"/>
      <c r="P444" s="471"/>
      <c r="Q444" s="471"/>
      <c r="R444" s="471"/>
      <c r="S444" s="471"/>
      <c r="T444" s="471"/>
      <c r="U444" s="471"/>
      <c r="V444" s="471"/>
      <c r="W444" s="471"/>
      <c r="X444" s="471"/>
      <c r="Y444" s="471"/>
      <c r="Z444" s="471"/>
      <c r="AA444" s="471"/>
      <c r="AB444" s="471"/>
      <c r="AC444" s="471"/>
      <c r="AD444" s="471"/>
      <c r="AE444" s="471"/>
      <c r="AF444" s="471"/>
      <c r="AG444" s="471"/>
      <c r="AH444" s="471"/>
      <c r="AI444" s="471"/>
    </row>
    <row r="445" ht="22.5" customHeight="1">
      <c r="A445" s="471"/>
      <c r="B445" s="531" t="s">
        <v>2122</v>
      </c>
      <c r="C445" s="535" t="s">
        <v>2138</v>
      </c>
      <c r="D445" s="535" t="s">
        <v>2139</v>
      </c>
      <c r="E445" s="537">
        <v>45798.0</v>
      </c>
      <c r="F445" s="534">
        <v>50000.0</v>
      </c>
      <c r="G445" s="535" t="s">
        <v>2108</v>
      </c>
      <c r="H445" s="531"/>
      <c r="I445" s="471"/>
      <c r="J445" s="490"/>
      <c r="K445" s="491"/>
      <c r="L445" s="471"/>
      <c r="M445" s="471"/>
      <c r="N445" s="471"/>
      <c r="O445" s="471"/>
      <c r="P445" s="471"/>
      <c r="Q445" s="471"/>
      <c r="R445" s="471"/>
      <c r="S445" s="471"/>
      <c r="T445" s="471"/>
      <c r="U445" s="471"/>
      <c r="V445" s="471"/>
      <c r="W445" s="471"/>
      <c r="X445" s="471"/>
      <c r="Y445" s="471"/>
      <c r="Z445" s="471"/>
      <c r="AA445" s="471"/>
      <c r="AB445" s="471"/>
      <c r="AC445" s="471"/>
      <c r="AD445" s="471"/>
      <c r="AE445" s="471"/>
      <c r="AF445" s="471"/>
      <c r="AG445" s="471"/>
      <c r="AH445" s="471"/>
      <c r="AI445" s="471"/>
    </row>
    <row r="446" ht="22.5" customHeight="1">
      <c r="A446" s="471"/>
      <c r="B446" s="531" t="s">
        <v>2122</v>
      </c>
      <c r="C446" s="535" t="s">
        <v>2150</v>
      </c>
      <c r="D446" s="535" t="s">
        <v>2151</v>
      </c>
      <c r="E446" s="537">
        <v>45812.0</v>
      </c>
      <c r="F446" s="534">
        <v>150000.0</v>
      </c>
      <c r="G446" s="535" t="s">
        <v>2108</v>
      </c>
      <c r="H446" s="531"/>
      <c r="I446" s="471"/>
      <c r="J446" s="490"/>
      <c r="K446" s="491"/>
      <c r="L446" s="471"/>
      <c r="M446" s="471"/>
      <c r="N446" s="471"/>
      <c r="O446" s="471"/>
      <c r="P446" s="471"/>
      <c r="Q446" s="471"/>
      <c r="R446" s="471"/>
      <c r="S446" s="471"/>
      <c r="T446" s="471"/>
      <c r="U446" s="471"/>
      <c r="V446" s="471"/>
      <c r="W446" s="471"/>
      <c r="X446" s="471"/>
      <c r="Y446" s="471"/>
      <c r="Z446" s="471"/>
      <c r="AA446" s="471"/>
      <c r="AB446" s="471"/>
      <c r="AC446" s="471"/>
      <c r="AD446" s="471"/>
      <c r="AE446" s="471"/>
      <c r="AF446" s="471"/>
      <c r="AG446" s="471"/>
      <c r="AH446" s="471"/>
      <c r="AI446" s="471"/>
    </row>
    <row r="447" ht="22.5" customHeight="1">
      <c r="A447" s="471"/>
      <c r="B447" s="531" t="s">
        <v>2122</v>
      </c>
      <c r="C447" s="535" t="s">
        <v>2150</v>
      </c>
      <c r="D447" s="535" t="s">
        <v>2165</v>
      </c>
      <c r="E447" s="537">
        <v>45812.0</v>
      </c>
      <c r="F447" s="534">
        <v>150000.0</v>
      </c>
      <c r="G447" s="535" t="s">
        <v>2108</v>
      </c>
      <c r="H447" s="531"/>
      <c r="I447" s="471"/>
      <c r="J447" s="490"/>
      <c r="K447" s="491"/>
      <c r="L447" s="471"/>
      <c r="M447" s="471"/>
      <c r="N447" s="471"/>
      <c r="O447" s="471"/>
      <c r="P447" s="471"/>
      <c r="Q447" s="471"/>
      <c r="R447" s="471"/>
      <c r="S447" s="471"/>
      <c r="T447" s="471"/>
      <c r="U447" s="471"/>
      <c r="V447" s="471"/>
      <c r="W447" s="471"/>
      <c r="X447" s="471"/>
      <c r="Y447" s="471"/>
      <c r="Z447" s="471"/>
      <c r="AA447" s="471"/>
      <c r="AB447" s="471"/>
      <c r="AC447" s="471"/>
      <c r="AD447" s="471"/>
      <c r="AE447" s="471"/>
      <c r="AF447" s="471"/>
      <c r="AG447" s="471"/>
      <c r="AH447" s="471"/>
      <c r="AI447" s="471"/>
    </row>
    <row r="448" ht="22.5" customHeight="1">
      <c r="A448" s="471"/>
      <c r="B448" s="531" t="s">
        <v>2122</v>
      </c>
      <c r="C448" s="535" t="s">
        <v>2129</v>
      </c>
      <c r="D448" s="535" t="s">
        <v>2130</v>
      </c>
      <c r="E448" s="537">
        <v>45813.0</v>
      </c>
      <c r="F448" s="534">
        <v>50000.0</v>
      </c>
      <c r="G448" s="535" t="s">
        <v>2108</v>
      </c>
      <c r="H448" s="531"/>
      <c r="I448" s="471"/>
      <c r="J448" s="490"/>
      <c r="K448" s="491"/>
      <c r="L448" s="471"/>
      <c r="M448" s="471"/>
      <c r="N448" s="471"/>
      <c r="O448" s="471"/>
      <c r="P448" s="471"/>
      <c r="Q448" s="471"/>
      <c r="R448" s="471"/>
      <c r="S448" s="471"/>
      <c r="T448" s="471"/>
      <c r="U448" s="471"/>
      <c r="V448" s="471"/>
      <c r="W448" s="471"/>
      <c r="X448" s="471"/>
      <c r="Y448" s="471"/>
      <c r="Z448" s="471"/>
      <c r="AA448" s="471"/>
      <c r="AB448" s="471"/>
      <c r="AC448" s="471"/>
      <c r="AD448" s="471"/>
      <c r="AE448" s="471"/>
      <c r="AF448" s="471"/>
      <c r="AG448" s="471"/>
      <c r="AH448" s="471"/>
      <c r="AI448" s="471"/>
    </row>
    <row r="449" ht="22.5" customHeight="1">
      <c r="A449" s="471"/>
      <c r="B449" s="531" t="s">
        <v>2122</v>
      </c>
      <c r="C449" s="535" t="s">
        <v>2069</v>
      </c>
      <c r="D449" s="535" t="s">
        <v>2154</v>
      </c>
      <c r="E449" s="537">
        <v>45813.0</v>
      </c>
      <c r="F449" s="534">
        <v>20000.0</v>
      </c>
      <c r="G449" s="535" t="s">
        <v>2108</v>
      </c>
      <c r="H449" s="531"/>
      <c r="I449" s="471"/>
      <c r="J449" s="490"/>
      <c r="K449" s="491"/>
      <c r="L449" s="471"/>
      <c r="M449" s="471"/>
      <c r="N449" s="471"/>
      <c r="O449" s="471"/>
      <c r="P449" s="471"/>
      <c r="Q449" s="471"/>
      <c r="R449" s="471"/>
      <c r="S449" s="471"/>
      <c r="T449" s="471"/>
      <c r="U449" s="471"/>
      <c r="V449" s="471"/>
      <c r="W449" s="471"/>
      <c r="X449" s="471"/>
      <c r="Y449" s="471"/>
      <c r="Z449" s="471"/>
      <c r="AA449" s="471"/>
      <c r="AB449" s="471"/>
      <c r="AC449" s="471"/>
      <c r="AD449" s="471"/>
      <c r="AE449" s="471"/>
      <c r="AF449" s="471"/>
      <c r="AG449" s="471"/>
      <c r="AH449" s="471"/>
      <c r="AI449" s="471"/>
    </row>
    <row r="450" ht="22.5" customHeight="1">
      <c r="A450" s="471"/>
      <c r="B450" s="531" t="s">
        <v>2123</v>
      </c>
      <c r="C450" s="535" t="s">
        <v>2094</v>
      </c>
      <c r="D450" s="535" t="s">
        <v>2141</v>
      </c>
      <c r="E450" s="537">
        <v>45834.0</v>
      </c>
      <c r="F450" s="534">
        <v>36018.0</v>
      </c>
      <c r="G450" s="535" t="s">
        <v>2175</v>
      </c>
      <c r="H450" s="531"/>
      <c r="I450" s="471"/>
      <c r="J450" s="490"/>
      <c r="K450" s="491"/>
      <c r="L450" s="471"/>
      <c r="M450" s="471"/>
      <c r="N450" s="471"/>
      <c r="O450" s="471"/>
      <c r="P450" s="471"/>
      <c r="Q450" s="471"/>
      <c r="R450" s="471"/>
      <c r="S450" s="471"/>
      <c r="T450" s="471"/>
      <c r="U450" s="471"/>
      <c r="V450" s="471"/>
      <c r="W450" s="471"/>
      <c r="X450" s="471"/>
      <c r="Y450" s="471"/>
      <c r="Z450" s="471"/>
      <c r="AA450" s="471"/>
      <c r="AB450" s="471"/>
      <c r="AC450" s="471"/>
      <c r="AD450" s="471"/>
      <c r="AE450" s="471"/>
      <c r="AF450" s="471"/>
      <c r="AG450" s="471"/>
      <c r="AH450" s="471"/>
      <c r="AI450" s="471"/>
    </row>
    <row r="451" ht="22.5" customHeight="1">
      <c r="A451" s="471"/>
      <c r="B451" s="531" t="s">
        <v>2123</v>
      </c>
      <c r="C451" s="535" t="s">
        <v>2069</v>
      </c>
      <c r="D451" s="535" t="s">
        <v>2135</v>
      </c>
      <c r="E451" s="537">
        <v>45834.0</v>
      </c>
      <c r="F451" s="534">
        <v>40020.0</v>
      </c>
      <c r="G451" s="535" t="s">
        <v>2175</v>
      </c>
      <c r="H451" s="531"/>
      <c r="I451" s="471"/>
      <c r="J451" s="490"/>
      <c r="K451" s="491"/>
      <c r="L451" s="471"/>
      <c r="M451" s="471"/>
      <c r="N451" s="471"/>
      <c r="O451" s="471"/>
      <c r="P451" s="471"/>
      <c r="Q451" s="471"/>
      <c r="R451" s="471"/>
      <c r="S451" s="471"/>
      <c r="T451" s="471"/>
      <c r="U451" s="471"/>
      <c r="V451" s="471"/>
      <c r="W451" s="471"/>
      <c r="X451" s="471"/>
      <c r="Y451" s="471"/>
      <c r="Z451" s="471"/>
      <c r="AA451" s="471"/>
      <c r="AB451" s="471"/>
      <c r="AC451" s="471"/>
      <c r="AD451" s="471"/>
      <c r="AE451" s="471"/>
      <c r="AF451" s="471"/>
      <c r="AG451" s="471"/>
      <c r="AH451" s="471"/>
      <c r="AI451" s="471"/>
    </row>
    <row r="452" ht="22.5" customHeight="1">
      <c r="A452" s="471"/>
      <c r="B452" s="531" t="s">
        <v>2123</v>
      </c>
      <c r="C452" s="535" t="s">
        <v>2059</v>
      </c>
      <c r="D452" s="535" t="s">
        <v>2128</v>
      </c>
      <c r="E452" s="537">
        <v>45834.0</v>
      </c>
      <c r="F452" s="534">
        <v>88027.0</v>
      </c>
      <c r="G452" s="535" t="s">
        <v>2175</v>
      </c>
      <c r="H452" s="531"/>
      <c r="I452" s="471"/>
      <c r="J452" s="490"/>
      <c r="K452" s="491"/>
      <c r="L452" s="471"/>
      <c r="M452" s="471"/>
      <c r="N452" s="471"/>
      <c r="O452" s="471"/>
      <c r="P452" s="471"/>
      <c r="Q452" s="471"/>
      <c r="R452" s="471"/>
      <c r="S452" s="471"/>
      <c r="T452" s="471"/>
      <c r="U452" s="471"/>
      <c r="V452" s="471"/>
      <c r="W452" s="471"/>
      <c r="X452" s="471"/>
      <c r="Y452" s="471"/>
      <c r="Z452" s="471"/>
      <c r="AA452" s="471"/>
      <c r="AB452" s="471"/>
      <c r="AC452" s="471"/>
      <c r="AD452" s="471"/>
      <c r="AE452" s="471"/>
      <c r="AF452" s="471"/>
      <c r="AG452" s="471"/>
      <c r="AH452" s="471"/>
      <c r="AI452" s="471"/>
    </row>
    <row r="453" ht="22.5" customHeight="1">
      <c r="A453" s="471"/>
      <c r="B453" s="531" t="s">
        <v>2123</v>
      </c>
      <c r="C453" s="535" t="s">
        <v>2071</v>
      </c>
      <c r="D453" s="535" t="s">
        <v>2134</v>
      </c>
      <c r="E453" s="537">
        <v>45834.0</v>
      </c>
      <c r="F453" s="534">
        <v>24030.0</v>
      </c>
      <c r="G453" s="535" t="s">
        <v>2175</v>
      </c>
      <c r="H453" s="531"/>
      <c r="I453" s="471"/>
      <c r="J453" s="490"/>
      <c r="K453" s="491"/>
      <c r="L453" s="471"/>
      <c r="M453" s="471"/>
      <c r="N453" s="471"/>
      <c r="O453" s="471"/>
      <c r="P453" s="471"/>
      <c r="Q453" s="471"/>
      <c r="R453" s="471"/>
      <c r="S453" s="471"/>
      <c r="T453" s="471"/>
      <c r="U453" s="471"/>
      <c r="V453" s="471"/>
      <c r="W453" s="471"/>
      <c r="X453" s="471"/>
      <c r="Y453" s="471"/>
      <c r="Z453" s="471"/>
      <c r="AA453" s="471"/>
      <c r="AB453" s="471"/>
      <c r="AC453" s="471"/>
      <c r="AD453" s="471"/>
      <c r="AE453" s="471"/>
      <c r="AF453" s="471"/>
      <c r="AG453" s="471"/>
      <c r="AH453" s="471"/>
      <c r="AI453" s="471"/>
    </row>
    <row r="454" ht="22.5" customHeight="1">
      <c r="A454" s="471"/>
      <c r="B454" s="531" t="s">
        <v>2123</v>
      </c>
      <c r="C454" s="535" t="s">
        <v>2069</v>
      </c>
      <c r="D454" s="535" t="s">
        <v>2154</v>
      </c>
      <c r="E454" s="537">
        <v>45834.0</v>
      </c>
      <c r="F454" s="534">
        <v>40020.0</v>
      </c>
      <c r="G454" s="535" t="s">
        <v>2175</v>
      </c>
      <c r="H454" s="531"/>
      <c r="I454" s="471"/>
      <c r="J454" s="490"/>
      <c r="K454" s="491"/>
      <c r="L454" s="471"/>
      <c r="M454" s="471"/>
      <c r="N454" s="471"/>
      <c r="O454" s="471"/>
      <c r="P454" s="471"/>
      <c r="Q454" s="471"/>
      <c r="R454" s="471"/>
      <c r="S454" s="471"/>
      <c r="T454" s="471"/>
      <c r="U454" s="471"/>
      <c r="V454" s="471"/>
      <c r="W454" s="471"/>
      <c r="X454" s="471"/>
      <c r="Y454" s="471"/>
      <c r="Z454" s="471"/>
      <c r="AA454" s="471"/>
      <c r="AB454" s="471"/>
      <c r="AC454" s="471"/>
      <c r="AD454" s="471"/>
      <c r="AE454" s="471"/>
      <c r="AF454" s="471"/>
      <c r="AG454" s="471"/>
      <c r="AH454" s="471"/>
      <c r="AI454" s="471"/>
    </row>
    <row r="455" ht="22.5" customHeight="1">
      <c r="A455" s="471"/>
      <c r="B455" s="531" t="s">
        <v>2123</v>
      </c>
      <c r="C455" s="535" t="s">
        <v>2058</v>
      </c>
      <c r="D455" s="535" t="s">
        <v>2132</v>
      </c>
      <c r="E455" s="537">
        <v>45834.0</v>
      </c>
      <c r="F455" s="534">
        <v>64015.0</v>
      </c>
      <c r="G455" s="535" t="s">
        <v>2175</v>
      </c>
      <c r="H455" s="531"/>
      <c r="I455" s="471"/>
      <c r="J455" s="490"/>
      <c r="K455" s="491"/>
      <c r="L455" s="471"/>
      <c r="M455" s="471"/>
      <c r="N455" s="471"/>
      <c r="O455" s="471"/>
      <c r="P455" s="471"/>
      <c r="Q455" s="471"/>
      <c r="R455" s="471"/>
      <c r="S455" s="471"/>
      <c r="T455" s="471"/>
      <c r="U455" s="471"/>
      <c r="V455" s="471"/>
      <c r="W455" s="471"/>
      <c r="X455" s="471"/>
      <c r="Y455" s="471"/>
      <c r="Z455" s="471"/>
      <c r="AA455" s="471"/>
      <c r="AB455" s="471"/>
      <c r="AC455" s="471"/>
      <c r="AD455" s="471"/>
      <c r="AE455" s="471"/>
      <c r="AF455" s="471"/>
      <c r="AG455" s="471"/>
      <c r="AH455" s="471"/>
      <c r="AI455" s="471"/>
    </row>
    <row r="456" ht="22.5" customHeight="1">
      <c r="A456" s="471"/>
      <c r="B456" s="531" t="s">
        <v>2123</v>
      </c>
      <c r="C456" s="535" t="s">
        <v>2150</v>
      </c>
      <c r="D456" s="535" t="s">
        <v>2151</v>
      </c>
      <c r="E456" s="537">
        <v>45834.0</v>
      </c>
      <c r="F456" s="534">
        <v>52026.0</v>
      </c>
      <c r="G456" s="535" t="s">
        <v>2175</v>
      </c>
      <c r="H456" s="531"/>
      <c r="I456" s="471"/>
      <c r="J456" s="490"/>
      <c r="K456" s="491"/>
      <c r="L456" s="471"/>
      <c r="M456" s="471"/>
      <c r="N456" s="471"/>
      <c r="O456" s="471"/>
      <c r="P456" s="471"/>
      <c r="Q456" s="471"/>
      <c r="R456" s="471"/>
      <c r="S456" s="471"/>
      <c r="T456" s="471"/>
      <c r="U456" s="471"/>
      <c r="V456" s="471"/>
      <c r="W456" s="471"/>
      <c r="X456" s="471"/>
      <c r="Y456" s="471"/>
      <c r="Z456" s="471"/>
      <c r="AA456" s="471"/>
      <c r="AB456" s="471"/>
      <c r="AC456" s="471"/>
      <c r="AD456" s="471"/>
      <c r="AE456" s="471"/>
      <c r="AF456" s="471"/>
      <c r="AG456" s="471"/>
      <c r="AH456" s="471"/>
      <c r="AI456" s="471"/>
    </row>
    <row r="457" ht="22.5" customHeight="1">
      <c r="A457" s="471"/>
      <c r="B457" s="531" t="s">
        <v>2123</v>
      </c>
      <c r="C457" s="535" t="s">
        <v>2148</v>
      </c>
      <c r="D457" s="535" t="s">
        <v>2137</v>
      </c>
      <c r="E457" s="537">
        <v>45834.0</v>
      </c>
      <c r="F457" s="534">
        <v>34034.0</v>
      </c>
      <c r="G457" s="535" t="s">
        <v>2175</v>
      </c>
      <c r="H457" s="531"/>
      <c r="I457" s="471"/>
      <c r="J457" s="490"/>
      <c r="K457" s="491"/>
      <c r="L457" s="471"/>
      <c r="M457" s="471"/>
      <c r="N457" s="471"/>
      <c r="O457" s="471"/>
      <c r="P457" s="471"/>
      <c r="Q457" s="471"/>
      <c r="R457" s="471"/>
      <c r="S457" s="471"/>
      <c r="T457" s="471"/>
      <c r="U457" s="471"/>
      <c r="V457" s="471"/>
      <c r="W457" s="471"/>
      <c r="X457" s="471"/>
      <c r="Y457" s="471"/>
      <c r="Z457" s="471"/>
      <c r="AA457" s="471"/>
      <c r="AB457" s="471"/>
      <c r="AC457" s="471"/>
      <c r="AD457" s="471"/>
      <c r="AE457" s="471"/>
      <c r="AF457" s="471"/>
      <c r="AG457" s="471"/>
      <c r="AH457" s="471"/>
      <c r="AI457" s="471"/>
    </row>
    <row r="458" ht="22.5" customHeight="1">
      <c r="A458" s="471"/>
      <c r="B458" s="531" t="s">
        <v>2123</v>
      </c>
      <c r="C458" s="535" t="s">
        <v>2070</v>
      </c>
      <c r="D458" s="535" t="s">
        <v>2133</v>
      </c>
      <c r="E458" s="537">
        <v>45834.0</v>
      </c>
      <c r="F458" s="534">
        <v>20010.0</v>
      </c>
      <c r="G458" s="535" t="s">
        <v>2175</v>
      </c>
      <c r="H458" s="531"/>
      <c r="I458" s="471"/>
      <c r="J458" s="490"/>
      <c r="K458" s="491"/>
      <c r="L458" s="471"/>
      <c r="M458" s="471"/>
      <c r="N458" s="471"/>
      <c r="O458" s="471"/>
      <c r="P458" s="471"/>
      <c r="Q458" s="471"/>
      <c r="R458" s="471"/>
      <c r="S458" s="471"/>
      <c r="T458" s="471"/>
      <c r="U458" s="471"/>
      <c r="V458" s="471"/>
      <c r="W458" s="471"/>
      <c r="X458" s="471"/>
      <c r="Y458" s="471"/>
      <c r="Z458" s="471"/>
      <c r="AA458" s="471"/>
      <c r="AB458" s="471"/>
      <c r="AC458" s="471"/>
      <c r="AD458" s="471"/>
      <c r="AE458" s="471"/>
      <c r="AF458" s="471"/>
      <c r="AG458" s="471"/>
      <c r="AH458" s="471"/>
      <c r="AI458" s="471"/>
    </row>
    <row r="459" ht="22.5" customHeight="1">
      <c r="A459" s="471"/>
      <c r="B459" s="531" t="s">
        <v>2123</v>
      </c>
      <c r="C459" s="535" t="s">
        <v>2094</v>
      </c>
      <c r="D459" s="535" t="s">
        <v>2131</v>
      </c>
      <c r="E459" s="537">
        <v>45834.0</v>
      </c>
      <c r="F459" s="534">
        <v>48007.0</v>
      </c>
      <c r="G459" s="535" t="s">
        <v>2175</v>
      </c>
      <c r="H459" s="531"/>
      <c r="I459" s="471"/>
      <c r="J459" s="490"/>
      <c r="K459" s="491"/>
      <c r="L459" s="471"/>
      <c r="M459" s="471"/>
      <c r="N459" s="471"/>
      <c r="O459" s="471"/>
      <c r="P459" s="471"/>
      <c r="Q459" s="471"/>
      <c r="R459" s="471"/>
      <c r="S459" s="471"/>
      <c r="T459" s="471"/>
      <c r="U459" s="471"/>
      <c r="V459" s="471"/>
      <c r="W459" s="471"/>
      <c r="X459" s="471"/>
      <c r="Y459" s="471"/>
      <c r="Z459" s="471"/>
      <c r="AA459" s="471"/>
      <c r="AB459" s="471"/>
      <c r="AC459" s="471"/>
      <c r="AD459" s="471"/>
      <c r="AE459" s="471"/>
      <c r="AF459" s="471"/>
      <c r="AG459" s="471"/>
      <c r="AH459" s="471"/>
      <c r="AI459" s="471"/>
    </row>
    <row r="460" ht="22.5" customHeight="1">
      <c r="A460" s="471"/>
      <c r="B460" s="531" t="s">
        <v>2123</v>
      </c>
      <c r="C460" s="535" t="s">
        <v>2129</v>
      </c>
      <c r="D460" s="535" t="s">
        <v>2130</v>
      </c>
      <c r="E460" s="537">
        <v>45834.0</v>
      </c>
      <c r="F460" s="534">
        <v>36018.0</v>
      </c>
      <c r="G460" s="535" t="s">
        <v>2175</v>
      </c>
      <c r="H460" s="531"/>
      <c r="I460" s="471"/>
      <c r="J460" s="490"/>
      <c r="K460" s="491"/>
      <c r="L460" s="471"/>
      <c r="M460" s="471"/>
      <c r="N460" s="471"/>
      <c r="O460" s="471"/>
      <c r="P460" s="471"/>
      <c r="Q460" s="471"/>
      <c r="R460" s="471"/>
      <c r="S460" s="471"/>
      <c r="T460" s="471"/>
      <c r="U460" s="471"/>
      <c r="V460" s="471"/>
      <c r="W460" s="471"/>
      <c r="X460" s="471"/>
      <c r="Y460" s="471"/>
      <c r="Z460" s="471"/>
      <c r="AA460" s="471"/>
      <c r="AB460" s="471"/>
      <c r="AC460" s="471"/>
      <c r="AD460" s="471"/>
      <c r="AE460" s="471"/>
      <c r="AF460" s="471"/>
      <c r="AG460" s="471"/>
      <c r="AH460" s="471"/>
      <c r="AI460" s="471"/>
    </row>
    <row r="461" ht="22.5" customHeight="1">
      <c r="A461" s="471"/>
      <c r="B461" s="531" t="s">
        <v>2123</v>
      </c>
      <c r="C461" s="535" t="s">
        <v>2152</v>
      </c>
      <c r="D461" s="535" t="s">
        <v>2153</v>
      </c>
      <c r="E461" s="537">
        <v>45834.0</v>
      </c>
      <c r="F461" s="534">
        <v>80005.0</v>
      </c>
      <c r="G461" s="535" t="s">
        <v>2175</v>
      </c>
      <c r="H461" s="531"/>
      <c r="I461" s="471"/>
      <c r="J461" s="490"/>
      <c r="K461" s="491"/>
      <c r="L461" s="471"/>
      <c r="M461" s="471"/>
      <c r="N461" s="471"/>
      <c r="O461" s="471"/>
      <c r="P461" s="471"/>
      <c r="Q461" s="471"/>
      <c r="R461" s="471"/>
      <c r="S461" s="471"/>
      <c r="T461" s="471"/>
      <c r="U461" s="471"/>
      <c r="V461" s="471"/>
      <c r="W461" s="471"/>
      <c r="X461" s="471"/>
      <c r="Y461" s="471"/>
      <c r="Z461" s="471"/>
      <c r="AA461" s="471"/>
      <c r="AB461" s="471"/>
      <c r="AC461" s="471"/>
      <c r="AD461" s="471"/>
      <c r="AE461" s="471"/>
      <c r="AF461" s="471"/>
      <c r="AG461" s="471"/>
      <c r="AH461" s="471"/>
      <c r="AI461" s="471"/>
    </row>
    <row r="462" ht="22.5" customHeight="1">
      <c r="A462" s="471"/>
      <c r="B462" s="531" t="s">
        <v>2123</v>
      </c>
      <c r="C462" s="535" t="s">
        <v>2093</v>
      </c>
      <c r="D462" s="535" t="s">
        <v>124</v>
      </c>
      <c r="E462" s="537">
        <v>45834.0</v>
      </c>
      <c r="F462" s="534">
        <v>60030.0</v>
      </c>
      <c r="G462" s="535" t="s">
        <v>2175</v>
      </c>
      <c r="H462" s="531"/>
      <c r="I462" s="471"/>
      <c r="J462" s="490"/>
      <c r="K462" s="491"/>
      <c r="L462" s="471"/>
      <c r="M462" s="471"/>
      <c r="N462" s="471"/>
      <c r="O462" s="471"/>
      <c r="P462" s="471"/>
      <c r="Q462" s="471"/>
      <c r="R462" s="471"/>
      <c r="S462" s="471"/>
      <c r="T462" s="471"/>
      <c r="U462" s="471"/>
      <c r="V462" s="471"/>
      <c r="W462" s="471"/>
      <c r="X462" s="471"/>
      <c r="Y462" s="471"/>
      <c r="Z462" s="471"/>
      <c r="AA462" s="471"/>
      <c r="AB462" s="471"/>
      <c r="AC462" s="471"/>
      <c r="AD462" s="471"/>
      <c r="AE462" s="471"/>
      <c r="AF462" s="471"/>
      <c r="AG462" s="471"/>
      <c r="AH462" s="471"/>
      <c r="AI462" s="471"/>
    </row>
    <row r="463" ht="22.5" customHeight="1">
      <c r="A463" s="471"/>
      <c r="B463" s="531" t="s">
        <v>2123</v>
      </c>
      <c r="C463" s="535" t="s">
        <v>2144</v>
      </c>
      <c r="D463" s="535" t="s">
        <v>2145</v>
      </c>
      <c r="E463" s="537">
        <v>45834.0</v>
      </c>
      <c r="F463" s="534">
        <v>16026.0</v>
      </c>
      <c r="G463" s="535" t="s">
        <v>2175</v>
      </c>
      <c r="H463" s="531"/>
      <c r="I463" s="471"/>
      <c r="J463" s="490"/>
      <c r="K463" s="491"/>
      <c r="L463" s="471"/>
      <c r="M463" s="471"/>
      <c r="N463" s="471"/>
      <c r="O463" s="471"/>
      <c r="P463" s="471"/>
      <c r="Q463" s="471"/>
      <c r="R463" s="471"/>
      <c r="S463" s="471"/>
      <c r="T463" s="471"/>
      <c r="U463" s="471"/>
      <c r="V463" s="471"/>
      <c r="W463" s="471"/>
      <c r="X463" s="471"/>
      <c r="Y463" s="471"/>
      <c r="Z463" s="471"/>
      <c r="AA463" s="471"/>
      <c r="AB463" s="471"/>
      <c r="AC463" s="471"/>
      <c r="AD463" s="471"/>
      <c r="AE463" s="471"/>
      <c r="AF463" s="471"/>
      <c r="AG463" s="471"/>
      <c r="AH463" s="471"/>
      <c r="AI463" s="471"/>
    </row>
    <row r="464" ht="22.5" customHeight="1">
      <c r="A464" s="471"/>
      <c r="B464" s="531" t="s">
        <v>2123</v>
      </c>
      <c r="C464" s="535" t="s">
        <v>2059</v>
      </c>
      <c r="D464" s="535" t="s">
        <v>2128</v>
      </c>
      <c r="E464" s="537">
        <v>45830.0</v>
      </c>
      <c r="F464" s="534">
        <v>30000.0</v>
      </c>
      <c r="G464" s="535" t="s">
        <v>2108</v>
      </c>
      <c r="H464" s="531"/>
      <c r="I464" s="471"/>
      <c r="J464" s="490"/>
      <c r="K464" s="491"/>
      <c r="L464" s="471"/>
      <c r="M464" s="471"/>
      <c r="N464" s="471"/>
      <c r="O464" s="471"/>
      <c r="P464" s="471"/>
      <c r="Q464" s="471"/>
      <c r="R464" s="471"/>
      <c r="S464" s="471"/>
      <c r="T464" s="471"/>
      <c r="U464" s="471"/>
      <c r="V464" s="471"/>
      <c r="W464" s="471"/>
      <c r="X464" s="471"/>
      <c r="Y464" s="471"/>
      <c r="Z464" s="471"/>
      <c r="AA464" s="471"/>
      <c r="AB464" s="471"/>
      <c r="AC464" s="471"/>
      <c r="AD464" s="471"/>
      <c r="AE464" s="471"/>
      <c r="AF464" s="471"/>
      <c r="AG464" s="471"/>
      <c r="AH464" s="471"/>
      <c r="AI464" s="471"/>
    </row>
    <row r="465" ht="22.5" customHeight="1">
      <c r="A465" s="471"/>
      <c r="B465" s="531" t="s">
        <v>2123</v>
      </c>
      <c r="C465" s="535" t="s">
        <v>2059</v>
      </c>
      <c r="D465" s="535" t="s">
        <v>2128</v>
      </c>
      <c r="E465" s="537">
        <v>45839.0</v>
      </c>
      <c r="F465" s="534">
        <v>100000.0</v>
      </c>
      <c r="G465" s="535" t="s">
        <v>2108</v>
      </c>
      <c r="H465" s="531"/>
      <c r="I465" s="471"/>
      <c r="J465" s="490"/>
      <c r="K465" s="491"/>
      <c r="L465" s="471"/>
      <c r="M465" s="471"/>
      <c r="N465" s="471"/>
      <c r="O465" s="471"/>
      <c r="P465" s="471"/>
      <c r="Q465" s="471"/>
      <c r="R465" s="471"/>
      <c r="S465" s="471"/>
      <c r="T465" s="471"/>
      <c r="U465" s="471"/>
      <c r="V465" s="471"/>
      <c r="W465" s="471"/>
      <c r="X465" s="471"/>
      <c r="Y465" s="471"/>
      <c r="Z465" s="471"/>
      <c r="AA465" s="471"/>
      <c r="AB465" s="471"/>
      <c r="AC465" s="471"/>
      <c r="AD465" s="471"/>
      <c r="AE465" s="471"/>
      <c r="AF465" s="471"/>
      <c r="AG465" s="471"/>
      <c r="AH465" s="471"/>
      <c r="AI465" s="471"/>
    </row>
    <row r="466" ht="22.5" customHeight="1">
      <c r="A466" s="471"/>
      <c r="B466" s="531" t="s">
        <v>2123</v>
      </c>
      <c r="C466" s="535"/>
      <c r="D466" s="535" t="s">
        <v>2151</v>
      </c>
      <c r="E466" s="537">
        <v>45848.0</v>
      </c>
      <c r="F466" s="534">
        <v>78039.0</v>
      </c>
      <c r="G466" s="535" t="s">
        <v>2171</v>
      </c>
      <c r="H466" s="531"/>
      <c r="I466" s="471"/>
      <c r="J466" s="490"/>
      <c r="K466" s="491"/>
      <c r="L466" s="471"/>
      <c r="M466" s="471"/>
      <c r="N466" s="471"/>
      <c r="O466" s="471"/>
      <c r="P466" s="471"/>
      <c r="Q466" s="471"/>
      <c r="R466" s="471"/>
      <c r="S466" s="471"/>
      <c r="T466" s="471"/>
      <c r="U466" s="471"/>
      <c r="V466" s="471"/>
      <c r="W466" s="471"/>
      <c r="X466" s="471"/>
      <c r="Y466" s="471"/>
      <c r="Z466" s="471"/>
      <c r="AA466" s="471"/>
      <c r="AB466" s="471"/>
      <c r="AC466" s="471"/>
      <c r="AD466" s="471"/>
      <c r="AE466" s="471"/>
      <c r="AF466" s="471"/>
      <c r="AG466" s="471"/>
      <c r="AH466" s="471"/>
      <c r="AI466" s="471"/>
    </row>
    <row r="467" ht="22.5" customHeight="1">
      <c r="A467" s="471"/>
      <c r="B467" s="531" t="s">
        <v>2123</v>
      </c>
      <c r="C467" s="535"/>
      <c r="D467" s="535" t="s">
        <v>2141</v>
      </c>
      <c r="E467" s="537">
        <v>45848.0</v>
      </c>
      <c r="F467" s="534">
        <v>54021.0</v>
      </c>
      <c r="G467" s="535" t="s">
        <v>2171</v>
      </c>
      <c r="H467" s="531"/>
      <c r="I467" s="471"/>
      <c r="J467" s="490"/>
      <c r="K467" s="491"/>
      <c r="L467" s="471"/>
      <c r="M467" s="471"/>
      <c r="N467" s="471"/>
      <c r="O467" s="471"/>
      <c r="P467" s="471"/>
      <c r="Q467" s="471"/>
      <c r="R467" s="471"/>
      <c r="S467" s="471"/>
      <c r="T467" s="471"/>
      <c r="U467" s="471"/>
      <c r="V467" s="471"/>
      <c r="W467" s="471"/>
      <c r="X467" s="471"/>
      <c r="Y467" s="471"/>
      <c r="Z467" s="471"/>
      <c r="AA467" s="471"/>
      <c r="AB467" s="471"/>
      <c r="AC467" s="471"/>
      <c r="AD467" s="471"/>
      <c r="AE467" s="471"/>
      <c r="AF467" s="471"/>
      <c r="AG467" s="471"/>
      <c r="AH467" s="471"/>
      <c r="AI467" s="471"/>
    </row>
    <row r="468" ht="22.5" customHeight="1">
      <c r="A468" s="471"/>
      <c r="B468" s="531" t="s">
        <v>2123</v>
      </c>
      <c r="C468" s="535"/>
      <c r="D468" s="535" t="s">
        <v>2135</v>
      </c>
      <c r="E468" s="537">
        <v>45848.0</v>
      </c>
      <c r="F468" s="534">
        <v>60030.0</v>
      </c>
      <c r="G468" s="535" t="s">
        <v>2171</v>
      </c>
      <c r="H468" s="531"/>
      <c r="I468" s="471"/>
      <c r="J468" s="490"/>
      <c r="K468" s="491"/>
      <c r="L468" s="471"/>
      <c r="M468" s="471"/>
      <c r="N468" s="471"/>
      <c r="O468" s="471"/>
      <c r="P468" s="471"/>
      <c r="Q468" s="471"/>
      <c r="R468" s="471"/>
      <c r="S468" s="471"/>
      <c r="T468" s="471"/>
      <c r="U468" s="471"/>
      <c r="V468" s="471"/>
      <c r="W468" s="471"/>
      <c r="X468" s="471"/>
      <c r="Y468" s="471"/>
      <c r="Z468" s="471"/>
      <c r="AA468" s="471"/>
      <c r="AB468" s="471"/>
      <c r="AC468" s="471"/>
      <c r="AD468" s="471"/>
      <c r="AE468" s="471"/>
      <c r="AF468" s="471"/>
      <c r="AG468" s="471"/>
      <c r="AH468" s="471"/>
      <c r="AI468" s="471"/>
    </row>
    <row r="469" ht="22.5" customHeight="1">
      <c r="A469" s="471"/>
      <c r="B469" s="531" t="s">
        <v>2123</v>
      </c>
      <c r="C469" s="535"/>
      <c r="D469" s="535" t="s">
        <v>2153</v>
      </c>
      <c r="E469" s="537">
        <v>45848.0</v>
      </c>
      <c r="F469" s="534">
        <v>120008.0</v>
      </c>
      <c r="G469" s="535" t="s">
        <v>2171</v>
      </c>
      <c r="H469" s="531"/>
      <c r="I469" s="471"/>
      <c r="J469" s="490"/>
      <c r="K469" s="491"/>
      <c r="L469" s="471"/>
      <c r="M469" s="471"/>
      <c r="N469" s="471"/>
      <c r="O469" s="471"/>
      <c r="P469" s="471"/>
      <c r="Q469" s="471"/>
      <c r="R469" s="471"/>
      <c r="S469" s="471"/>
      <c r="T469" s="471"/>
      <c r="U469" s="471"/>
      <c r="V469" s="471"/>
      <c r="W469" s="471"/>
      <c r="X469" s="471"/>
      <c r="Y469" s="471"/>
      <c r="Z469" s="471"/>
      <c r="AA469" s="471"/>
      <c r="AB469" s="471"/>
      <c r="AC469" s="471"/>
      <c r="AD469" s="471"/>
      <c r="AE469" s="471"/>
      <c r="AF469" s="471"/>
      <c r="AG469" s="471"/>
      <c r="AH469" s="471"/>
      <c r="AI469" s="471"/>
    </row>
    <row r="470" ht="22.5" customHeight="1">
      <c r="A470" s="471"/>
      <c r="B470" s="531" t="s">
        <v>2123</v>
      </c>
      <c r="C470" s="535"/>
      <c r="D470" s="535" t="s">
        <v>2133</v>
      </c>
      <c r="E470" s="537">
        <v>45848.0</v>
      </c>
      <c r="F470" s="534">
        <v>30015.0</v>
      </c>
      <c r="G470" s="535" t="s">
        <v>2171</v>
      </c>
      <c r="H470" s="531"/>
      <c r="I470" s="471"/>
      <c r="J470" s="490"/>
      <c r="K470" s="491"/>
      <c r="L470" s="471"/>
      <c r="M470" s="471"/>
      <c r="N470" s="471"/>
      <c r="O470" s="471"/>
      <c r="P470" s="471"/>
      <c r="Q470" s="471"/>
      <c r="R470" s="471"/>
      <c r="S470" s="471"/>
      <c r="T470" s="471"/>
      <c r="U470" s="471"/>
      <c r="V470" s="471"/>
      <c r="W470" s="471"/>
      <c r="X470" s="471"/>
      <c r="Y470" s="471"/>
      <c r="Z470" s="471"/>
      <c r="AA470" s="471"/>
      <c r="AB470" s="471"/>
      <c r="AC470" s="471"/>
      <c r="AD470" s="471"/>
      <c r="AE470" s="471"/>
      <c r="AF470" s="471"/>
      <c r="AG470" s="471"/>
      <c r="AH470" s="471"/>
      <c r="AI470" s="471"/>
    </row>
    <row r="471" ht="22.5" customHeight="1">
      <c r="A471" s="471"/>
      <c r="B471" s="531" t="s">
        <v>2123</v>
      </c>
      <c r="C471" s="535"/>
      <c r="D471" s="535" t="s">
        <v>2128</v>
      </c>
      <c r="E471" s="537">
        <v>45848.0</v>
      </c>
      <c r="F471" s="534">
        <v>132039.0</v>
      </c>
      <c r="G471" s="535" t="s">
        <v>2171</v>
      </c>
      <c r="H471" s="531"/>
      <c r="I471" s="471"/>
      <c r="J471" s="490"/>
      <c r="K471" s="491"/>
      <c r="L471" s="471"/>
      <c r="M471" s="471"/>
      <c r="N471" s="471"/>
      <c r="O471" s="471"/>
      <c r="P471" s="471"/>
      <c r="Q471" s="471"/>
      <c r="R471" s="471"/>
      <c r="S471" s="471"/>
      <c r="T471" s="471"/>
      <c r="U471" s="471"/>
      <c r="V471" s="471"/>
      <c r="W471" s="471"/>
      <c r="X471" s="471"/>
      <c r="Y471" s="471"/>
      <c r="Z471" s="471"/>
      <c r="AA471" s="471"/>
      <c r="AB471" s="471"/>
      <c r="AC471" s="471"/>
      <c r="AD471" s="471"/>
      <c r="AE471" s="471"/>
      <c r="AF471" s="471"/>
      <c r="AG471" s="471"/>
      <c r="AH471" s="471"/>
      <c r="AI471" s="471"/>
    </row>
    <row r="472" ht="22.5" customHeight="1">
      <c r="A472" s="471"/>
      <c r="B472" s="531" t="s">
        <v>2123</v>
      </c>
      <c r="C472" s="535"/>
      <c r="D472" s="535" t="s">
        <v>2134</v>
      </c>
      <c r="E472" s="537">
        <v>45848.0</v>
      </c>
      <c r="F472" s="534">
        <v>36044.0</v>
      </c>
      <c r="G472" s="535" t="s">
        <v>2171</v>
      </c>
      <c r="H472" s="531"/>
      <c r="I472" s="471"/>
      <c r="J472" s="490"/>
      <c r="K472" s="491"/>
      <c r="L472" s="471"/>
      <c r="M472" s="471"/>
      <c r="N472" s="471"/>
      <c r="O472" s="471"/>
      <c r="P472" s="471"/>
      <c r="Q472" s="471"/>
      <c r="R472" s="471"/>
      <c r="S472" s="471"/>
      <c r="T472" s="471"/>
      <c r="U472" s="471"/>
      <c r="V472" s="471"/>
      <c r="W472" s="471"/>
      <c r="X472" s="471"/>
      <c r="Y472" s="471"/>
      <c r="Z472" s="471"/>
      <c r="AA472" s="471"/>
      <c r="AB472" s="471"/>
      <c r="AC472" s="471"/>
      <c r="AD472" s="471"/>
      <c r="AE472" s="471"/>
      <c r="AF472" s="471"/>
      <c r="AG472" s="471"/>
      <c r="AH472" s="471"/>
      <c r="AI472" s="471"/>
    </row>
    <row r="473" ht="22.5" customHeight="1">
      <c r="A473" s="471"/>
      <c r="B473" s="531" t="s">
        <v>2123</v>
      </c>
      <c r="C473" s="535"/>
      <c r="D473" s="535" t="s">
        <v>2154</v>
      </c>
      <c r="E473" s="537">
        <v>45848.0</v>
      </c>
      <c r="F473" s="534">
        <v>60030.0</v>
      </c>
      <c r="G473" s="535" t="s">
        <v>2171</v>
      </c>
      <c r="H473" s="531"/>
      <c r="I473" s="471"/>
      <c r="J473" s="490"/>
      <c r="K473" s="491"/>
      <c r="L473" s="471"/>
      <c r="M473" s="471"/>
      <c r="N473" s="471"/>
      <c r="O473" s="471"/>
      <c r="P473" s="471"/>
      <c r="Q473" s="471"/>
      <c r="R473" s="471"/>
      <c r="S473" s="471"/>
      <c r="T473" s="471"/>
      <c r="U473" s="471"/>
      <c r="V473" s="471"/>
      <c r="W473" s="471"/>
      <c r="X473" s="471"/>
      <c r="Y473" s="471"/>
      <c r="Z473" s="471"/>
      <c r="AA473" s="471"/>
      <c r="AB473" s="471"/>
      <c r="AC473" s="471"/>
      <c r="AD473" s="471"/>
      <c r="AE473" s="471"/>
      <c r="AF473" s="471"/>
      <c r="AG473" s="471"/>
      <c r="AH473" s="471"/>
      <c r="AI473" s="471"/>
    </row>
    <row r="474" ht="22.5" customHeight="1">
      <c r="A474" s="471"/>
      <c r="B474" s="531" t="s">
        <v>2123</v>
      </c>
      <c r="C474" s="535"/>
      <c r="D474" s="535" t="s">
        <v>2132</v>
      </c>
      <c r="E474" s="537">
        <v>45848.0</v>
      </c>
      <c r="F474" s="534">
        <v>96022.0</v>
      </c>
      <c r="G474" s="535" t="s">
        <v>2171</v>
      </c>
      <c r="H474" s="531"/>
      <c r="I474" s="471"/>
      <c r="J474" s="490"/>
      <c r="K474" s="491"/>
      <c r="L474" s="471"/>
      <c r="M474" s="471"/>
      <c r="N474" s="471"/>
      <c r="O474" s="471"/>
      <c r="P474" s="471"/>
      <c r="Q474" s="471"/>
      <c r="R474" s="471"/>
      <c r="S474" s="471"/>
      <c r="T474" s="471"/>
      <c r="U474" s="471"/>
      <c r="V474" s="471"/>
      <c r="W474" s="471"/>
      <c r="X474" s="471"/>
      <c r="Y474" s="471"/>
      <c r="Z474" s="471"/>
      <c r="AA474" s="471"/>
      <c r="AB474" s="471"/>
      <c r="AC474" s="471"/>
      <c r="AD474" s="471"/>
      <c r="AE474" s="471"/>
      <c r="AF474" s="471"/>
      <c r="AG474" s="471"/>
      <c r="AH474" s="471"/>
      <c r="AI474" s="471"/>
    </row>
    <row r="475" ht="22.5" customHeight="1">
      <c r="A475" s="471"/>
      <c r="B475" s="531" t="s">
        <v>2123</v>
      </c>
      <c r="C475" s="535"/>
      <c r="D475" s="535" t="s">
        <v>2137</v>
      </c>
      <c r="E475" s="537">
        <v>45848.0</v>
      </c>
      <c r="F475" s="534">
        <v>51052.0</v>
      </c>
      <c r="G475" s="535" t="s">
        <v>2171</v>
      </c>
      <c r="H475" s="531"/>
      <c r="I475" s="471"/>
      <c r="J475" s="490"/>
      <c r="K475" s="491"/>
      <c r="L475" s="471"/>
      <c r="M475" s="471"/>
      <c r="N475" s="471"/>
      <c r="O475" s="471"/>
      <c r="P475" s="471"/>
      <c r="Q475" s="471"/>
      <c r="R475" s="471"/>
      <c r="S475" s="471"/>
      <c r="T475" s="471"/>
      <c r="U475" s="471"/>
      <c r="V475" s="471"/>
      <c r="W475" s="471"/>
      <c r="X475" s="471"/>
      <c r="Y475" s="471"/>
      <c r="Z475" s="471"/>
      <c r="AA475" s="471"/>
      <c r="AB475" s="471"/>
      <c r="AC475" s="471"/>
      <c r="AD475" s="471"/>
      <c r="AE475" s="471"/>
      <c r="AF475" s="471"/>
      <c r="AG475" s="471"/>
      <c r="AH475" s="471"/>
      <c r="AI475" s="471"/>
    </row>
    <row r="476" ht="22.5" customHeight="1">
      <c r="A476" s="471"/>
      <c r="B476" s="531" t="s">
        <v>2123</v>
      </c>
      <c r="C476" s="535"/>
      <c r="D476" s="535" t="s">
        <v>2131</v>
      </c>
      <c r="E476" s="537">
        <v>45848.0</v>
      </c>
      <c r="F476" s="534">
        <v>72010.0</v>
      </c>
      <c r="G476" s="535" t="s">
        <v>2171</v>
      </c>
      <c r="H476" s="531"/>
      <c r="I476" s="471"/>
      <c r="J476" s="490"/>
      <c r="K476" s="491"/>
      <c r="L476" s="471"/>
      <c r="M476" s="471"/>
      <c r="N476" s="471"/>
      <c r="O476" s="471"/>
      <c r="P476" s="471"/>
      <c r="Q476" s="471"/>
      <c r="R476" s="471"/>
      <c r="S476" s="471"/>
      <c r="T476" s="471"/>
      <c r="U476" s="471"/>
      <c r="V476" s="471"/>
      <c r="W476" s="471"/>
      <c r="X476" s="471"/>
      <c r="Y476" s="471"/>
      <c r="Z476" s="471"/>
      <c r="AA476" s="471"/>
      <c r="AB476" s="471"/>
      <c r="AC476" s="471"/>
      <c r="AD476" s="471"/>
      <c r="AE476" s="471"/>
      <c r="AF476" s="471"/>
      <c r="AG476" s="471"/>
      <c r="AH476" s="471"/>
      <c r="AI476" s="471"/>
    </row>
    <row r="477" ht="22.5" customHeight="1">
      <c r="A477" s="471"/>
      <c r="B477" s="531" t="s">
        <v>2123</v>
      </c>
      <c r="C477" s="535"/>
      <c r="D477" s="535" t="s">
        <v>124</v>
      </c>
      <c r="E477" s="537">
        <v>45848.0</v>
      </c>
      <c r="F477" s="534">
        <v>90045.0</v>
      </c>
      <c r="G477" s="535" t="s">
        <v>2171</v>
      </c>
      <c r="H477" s="531"/>
      <c r="I477" s="471"/>
      <c r="J477" s="490"/>
      <c r="K477" s="491"/>
      <c r="L477" s="471"/>
      <c r="M477" s="471"/>
      <c r="N477" s="471"/>
      <c r="O477" s="471"/>
      <c r="P477" s="471"/>
      <c r="Q477" s="471"/>
      <c r="R477" s="471"/>
      <c r="S477" s="471"/>
      <c r="T477" s="471"/>
      <c r="U477" s="471"/>
      <c r="V477" s="471"/>
      <c r="W477" s="471"/>
      <c r="X477" s="471"/>
      <c r="Y477" s="471"/>
      <c r="Z477" s="471"/>
      <c r="AA477" s="471"/>
      <c r="AB477" s="471"/>
      <c r="AC477" s="471"/>
      <c r="AD477" s="471"/>
      <c r="AE477" s="471"/>
      <c r="AF477" s="471"/>
      <c r="AG477" s="471"/>
      <c r="AH477" s="471"/>
      <c r="AI477" s="471"/>
    </row>
    <row r="478" ht="22.5" customHeight="1">
      <c r="A478" s="471"/>
      <c r="B478" s="531" t="s">
        <v>2123</v>
      </c>
      <c r="C478" s="535"/>
      <c r="D478" s="535" t="s">
        <v>2130</v>
      </c>
      <c r="E478" s="537">
        <v>45848.0</v>
      </c>
      <c r="F478" s="534">
        <v>54027.0</v>
      </c>
      <c r="G478" s="535" t="s">
        <v>2171</v>
      </c>
      <c r="H478" s="531"/>
      <c r="I478" s="471"/>
      <c r="J478" s="490"/>
      <c r="K478" s="491"/>
      <c r="L478" s="471"/>
      <c r="M478" s="471"/>
      <c r="N478" s="471"/>
      <c r="O478" s="471"/>
      <c r="P478" s="471"/>
      <c r="Q478" s="471"/>
      <c r="R478" s="471"/>
      <c r="S478" s="471"/>
      <c r="T478" s="471"/>
      <c r="U478" s="471"/>
      <c r="V478" s="471"/>
      <c r="W478" s="471"/>
      <c r="X478" s="471"/>
      <c r="Y478" s="471"/>
      <c r="Z478" s="471"/>
      <c r="AA478" s="471"/>
      <c r="AB478" s="471"/>
      <c r="AC478" s="471"/>
      <c r="AD478" s="471"/>
      <c r="AE478" s="471"/>
      <c r="AF478" s="471"/>
      <c r="AG478" s="471"/>
      <c r="AH478" s="471"/>
      <c r="AI478" s="471"/>
    </row>
    <row r="479" ht="22.5" customHeight="1">
      <c r="A479" s="471"/>
      <c r="B479" s="531" t="s">
        <v>2123</v>
      </c>
      <c r="C479" s="535"/>
      <c r="D479" s="535" t="s">
        <v>2145</v>
      </c>
      <c r="E479" s="537">
        <v>45848.0</v>
      </c>
      <c r="F479" s="534">
        <v>24038.0</v>
      </c>
      <c r="G479" s="535" t="s">
        <v>2171</v>
      </c>
      <c r="H479" s="531"/>
      <c r="I479" s="471"/>
      <c r="J479" s="490"/>
      <c r="K479" s="491"/>
      <c r="L479" s="471"/>
      <c r="M479" s="471"/>
      <c r="N479" s="471"/>
      <c r="O479" s="471"/>
      <c r="P479" s="471"/>
      <c r="Q479" s="471"/>
      <c r="R479" s="471"/>
      <c r="S479" s="471"/>
      <c r="T479" s="471"/>
      <c r="U479" s="471"/>
      <c r="V479" s="471"/>
      <c r="W479" s="471"/>
      <c r="X479" s="471"/>
      <c r="Y479" s="471"/>
      <c r="Z479" s="471"/>
      <c r="AA479" s="471"/>
      <c r="AB479" s="471"/>
      <c r="AC479" s="471"/>
      <c r="AD479" s="471"/>
      <c r="AE479" s="471"/>
      <c r="AF479" s="471"/>
      <c r="AG479" s="471"/>
      <c r="AH479" s="471"/>
      <c r="AI479" s="471"/>
    </row>
    <row r="480" ht="22.5" customHeight="1">
      <c r="A480" s="471"/>
      <c r="B480" s="531" t="s">
        <v>2123</v>
      </c>
      <c r="C480" s="535" t="s">
        <v>2150</v>
      </c>
      <c r="D480" s="535" t="s">
        <v>2165</v>
      </c>
      <c r="E480" s="537">
        <v>45848.0</v>
      </c>
      <c r="F480" s="534">
        <v>180000.0</v>
      </c>
      <c r="G480" s="535" t="s">
        <v>2108</v>
      </c>
      <c r="H480" s="531"/>
      <c r="I480" s="471"/>
      <c r="J480" s="490"/>
      <c r="K480" s="491"/>
      <c r="L480" s="471"/>
      <c r="M480" s="471"/>
      <c r="N480" s="471"/>
      <c r="O480" s="471"/>
      <c r="P480" s="471"/>
      <c r="Q480" s="471"/>
      <c r="R480" s="471"/>
      <c r="S480" s="471"/>
      <c r="T480" s="471"/>
      <c r="U480" s="471"/>
      <c r="V480" s="471"/>
      <c r="W480" s="471"/>
      <c r="X480" s="471"/>
      <c r="Y480" s="471"/>
      <c r="Z480" s="471"/>
      <c r="AA480" s="471"/>
      <c r="AB480" s="471"/>
      <c r="AC480" s="471"/>
      <c r="AD480" s="471"/>
      <c r="AE480" s="471"/>
      <c r="AF480" s="471"/>
      <c r="AG480" s="471"/>
      <c r="AH480" s="471"/>
      <c r="AI480" s="471"/>
    </row>
    <row r="481" ht="22.5" customHeight="1">
      <c r="A481" s="471"/>
      <c r="B481" s="531" t="s">
        <v>2123</v>
      </c>
      <c r="C481" s="535"/>
      <c r="D481" s="535" t="s">
        <v>2143</v>
      </c>
      <c r="E481" s="537">
        <v>45848.0</v>
      </c>
      <c r="F481" s="534">
        <v>30000.0</v>
      </c>
      <c r="G481" s="535" t="s">
        <v>2108</v>
      </c>
      <c r="H481" s="531"/>
      <c r="I481" s="471"/>
      <c r="J481" s="490"/>
      <c r="K481" s="491"/>
      <c r="L481" s="471"/>
      <c r="M481" s="471"/>
      <c r="N481" s="471"/>
      <c r="O481" s="471"/>
      <c r="P481" s="471"/>
      <c r="Q481" s="471"/>
      <c r="R481" s="471"/>
      <c r="S481" s="471"/>
      <c r="T481" s="471"/>
      <c r="U481" s="471"/>
      <c r="V481" s="471"/>
      <c r="W481" s="471"/>
      <c r="X481" s="471"/>
      <c r="Y481" s="471"/>
      <c r="Z481" s="471"/>
      <c r="AA481" s="471"/>
      <c r="AB481" s="471"/>
      <c r="AC481" s="471"/>
      <c r="AD481" s="471"/>
      <c r="AE481" s="471"/>
      <c r="AF481" s="471"/>
      <c r="AG481" s="471"/>
      <c r="AH481" s="471"/>
      <c r="AI481" s="471"/>
    </row>
    <row r="482" ht="22.5" customHeight="1">
      <c r="A482" s="471"/>
      <c r="B482" s="531" t="s">
        <v>2123</v>
      </c>
      <c r="C482" s="535"/>
      <c r="D482" s="535" t="s">
        <v>2128</v>
      </c>
      <c r="E482" s="537">
        <v>45848.0</v>
      </c>
      <c r="F482" s="539">
        <v>50000.0</v>
      </c>
      <c r="G482" s="535" t="s">
        <v>2108</v>
      </c>
      <c r="H482" s="531"/>
      <c r="I482" s="471"/>
      <c r="J482" s="490"/>
      <c r="K482" s="491"/>
      <c r="L482" s="471"/>
      <c r="M482" s="471"/>
      <c r="N482" s="471"/>
      <c r="O482" s="471"/>
      <c r="P482" s="471"/>
      <c r="Q482" s="471"/>
      <c r="R482" s="471"/>
      <c r="S482" s="471"/>
      <c r="T482" s="471"/>
      <c r="U482" s="471"/>
      <c r="V482" s="484"/>
      <c r="W482" s="491"/>
      <c r="X482" s="491"/>
      <c r="Y482" s="474"/>
      <c r="Z482" s="491"/>
      <c r="AA482" s="491"/>
      <c r="AB482" s="471"/>
      <c r="AC482" s="471"/>
      <c r="AD482" s="471"/>
      <c r="AE482" s="471"/>
      <c r="AF482" s="471"/>
      <c r="AG482" s="471"/>
      <c r="AH482" s="471"/>
      <c r="AI482" s="471"/>
    </row>
    <row r="483" ht="22.5" customHeight="1">
      <c r="A483" s="471"/>
      <c r="B483" s="531" t="s">
        <v>2123</v>
      </c>
      <c r="C483" s="535"/>
      <c r="D483" s="535" t="s">
        <v>124</v>
      </c>
      <c r="E483" s="537">
        <v>45848.0</v>
      </c>
      <c r="F483" s="539">
        <v>100000.0</v>
      </c>
      <c r="G483" s="535" t="s">
        <v>2108</v>
      </c>
      <c r="H483" s="531"/>
      <c r="I483" s="471"/>
      <c r="J483" s="490"/>
      <c r="K483" s="491"/>
      <c r="L483" s="471"/>
      <c r="M483" s="471"/>
      <c r="N483" s="471"/>
      <c r="O483" s="471"/>
      <c r="P483" s="471"/>
      <c r="Q483" s="471"/>
      <c r="R483" s="471"/>
      <c r="S483" s="471"/>
      <c r="T483" s="471"/>
      <c r="U483" s="471"/>
      <c r="V483" s="484"/>
      <c r="W483" s="491"/>
      <c r="X483" s="491"/>
      <c r="Y483" s="474"/>
      <c r="Z483" s="491"/>
      <c r="AA483" s="491"/>
      <c r="AB483" s="471"/>
      <c r="AC483" s="471"/>
      <c r="AD483" s="471"/>
      <c r="AE483" s="471"/>
      <c r="AF483" s="471"/>
      <c r="AG483" s="471"/>
      <c r="AH483" s="471"/>
      <c r="AI483" s="471"/>
    </row>
    <row r="484" ht="22.5" customHeight="1">
      <c r="A484" s="471"/>
      <c r="B484" s="531" t="s">
        <v>2123</v>
      </c>
      <c r="C484" s="535"/>
      <c r="D484" s="535" t="s">
        <v>2130</v>
      </c>
      <c r="E484" s="537">
        <v>45848.0</v>
      </c>
      <c r="F484" s="539">
        <v>50000.0</v>
      </c>
      <c r="G484" s="535" t="s">
        <v>2108</v>
      </c>
      <c r="H484" s="531"/>
      <c r="I484" s="471"/>
      <c r="J484" s="490"/>
      <c r="K484" s="491"/>
      <c r="L484" s="471"/>
      <c r="M484" s="471"/>
      <c r="N484" s="471"/>
      <c r="O484" s="471"/>
      <c r="P484" s="471"/>
      <c r="Q484" s="471"/>
      <c r="R484" s="471"/>
      <c r="S484" s="471"/>
      <c r="T484" s="471"/>
      <c r="U484" s="471"/>
      <c r="V484" s="484"/>
      <c r="W484" s="491"/>
      <c r="X484" s="491"/>
      <c r="Y484" s="474"/>
      <c r="Z484" s="491"/>
      <c r="AA484" s="491"/>
      <c r="AB484" s="471"/>
      <c r="AC484" s="471"/>
      <c r="AD484" s="471"/>
      <c r="AE484" s="471"/>
      <c r="AF484" s="471"/>
      <c r="AG484" s="471"/>
      <c r="AH484" s="471"/>
      <c r="AI484" s="471"/>
    </row>
    <row r="485" ht="22.5" customHeight="1">
      <c r="A485" s="471"/>
      <c r="B485" s="531" t="s">
        <v>2123</v>
      </c>
      <c r="C485" s="535"/>
      <c r="D485" s="535" t="s">
        <v>2131</v>
      </c>
      <c r="E485" s="537">
        <v>45848.0</v>
      </c>
      <c r="F485" s="539">
        <v>30000.0</v>
      </c>
      <c r="G485" s="535" t="s">
        <v>2108</v>
      </c>
      <c r="H485" s="531"/>
      <c r="I485" s="471"/>
      <c r="J485" s="490"/>
      <c r="K485" s="491"/>
      <c r="L485" s="471"/>
      <c r="M485" s="471"/>
      <c r="N485" s="471"/>
      <c r="O485" s="471"/>
      <c r="P485" s="471"/>
      <c r="Q485" s="471"/>
      <c r="R485" s="471"/>
      <c r="S485" s="471"/>
      <c r="T485" s="471"/>
      <c r="U485" s="471"/>
      <c r="V485" s="484"/>
      <c r="W485" s="491"/>
      <c r="X485" s="491"/>
      <c r="Y485" s="474"/>
      <c r="Z485" s="491"/>
      <c r="AA485" s="491"/>
      <c r="AB485" s="471"/>
      <c r="AC485" s="471"/>
      <c r="AD485" s="471"/>
      <c r="AE485" s="471"/>
      <c r="AF485" s="471"/>
      <c r="AG485" s="471"/>
      <c r="AH485" s="471"/>
      <c r="AI485" s="471"/>
    </row>
    <row r="486" ht="22.5" customHeight="1">
      <c r="A486" s="471"/>
      <c r="B486" s="531" t="s">
        <v>2123</v>
      </c>
      <c r="C486" s="535"/>
      <c r="D486" s="535" t="s">
        <v>2132</v>
      </c>
      <c r="E486" s="537">
        <v>45848.0</v>
      </c>
      <c r="F486" s="539">
        <v>140000.0</v>
      </c>
      <c r="G486" s="535" t="s">
        <v>2108</v>
      </c>
      <c r="H486" s="531"/>
      <c r="I486" s="471"/>
      <c r="J486" s="490"/>
      <c r="K486" s="491"/>
      <c r="L486" s="471"/>
      <c r="M486" s="471"/>
      <c r="N486" s="471"/>
      <c r="O486" s="471"/>
      <c r="P486" s="471"/>
      <c r="Q486" s="471"/>
      <c r="R486" s="471"/>
      <c r="S486" s="471"/>
      <c r="T486" s="471"/>
      <c r="U486" s="471"/>
      <c r="V486" s="484"/>
      <c r="W486" s="491"/>
      <c r="X486" s="491"/>
      <c r="Y486" s="474"/>
      <c r="Z486" s="491"/>
      <c r="AA486" s="491"/>
      <c r="AB486" s="471"/>
      <c r="AC486" s="471"/>
      <c r="AD486" s="471"/>
      <c r="AE486" s="471"/>
      <c r="AF486" s="471"/>
      <c r="AG486" s="471"/>
      <c r="AH486" s="471"/>
      <c r="AI486" s="471"/>
    </row>
    <row r="487" ht="22.5" customHeight="1">
      <c r="A487" s="471"/>
      <c r="B487" s="531" t="s">
        <v>2123</v>
      </c>
      <c r="C487" s="535"/>
      <c r="D487" s="535" t="s">
        <v>2133</v>
      </c>
      <c r="E487" s="537">
        <v>45848.0</v>
      </c>
      <c r="F487" s="539">
        <v>20000.0</v>
      </c>
      <c r="G487" s="535" t="s">
        <v>2108</v>
      </c>
      <c r="H487" s="531"/>
      <c r="I487" s="471"/>
      <c r="J487" s="490"/>
      <c r="K487" s="491"/>
      <c r="L487" s="471"/>
      <c r="M487" s="471"/>
      <c r="N487" s="471"/>
      <c r="O487" s="471"/>
      <c r="P487" s="471"/>
      <c r="Q487" s="471"/>
      <c r="R487" s="471"/>
      <c r="S487" s="471"/>
      <c r="T487" s="471"/>
      <c r="U487" s="471"/>
      <c r="V487" s="484"/>
      <c r="W487" s="491"/>
      <c r="X487" s="491"/>
      <c r="Y487" s="474"/>
      <c r="Z487" s="491"/>
      <c r="AA487" s="491"/>
      <c r="AB487" s="471"/>
      <c r="AC487" s="471"/>
      <c r="AD487" s="471"/>
      <c r="AE487" s="471"/>
      <c r="AF487" s="471"/>
      <c r="AG487" s="471"/>
      <c r="AH487" s="471"/>
      <c r="AI487" s="471"/>
    </row>
    <row r="488" ht="22.5" customHeight="1">
      <c r="A488" s="471"/>
      <c r="B488" s="531" t="s">
        <v>2123</v>
      </c>
      <c r="C488" s="535"/>
      <c r="D488" s="535" t="s">
        <v>2134</v>
      </c>
      <c r="E488" s="537">
        <v>45848.0</v>
      </c>
      <c r="F488" s="539">
        <v>20000.0</v>
      </c>
      <c r="G488" s="535" t="s">
        <v>2108</v>
      </c>
      <c r="H488" s="531"/>
      <c r="I488" s="471"/>
      <c r="J488" s="490"/>
      <c r="K488" s="491"/>
      <c r="L488" s="471"/>
      <c r="M488" s="471"/>
      <c r="N488" s="471"/>
      <c r="O488" s="471"/>
      <c r="P488" s="471"/>
      <c r="Q488" s="471"/>
      <c r="R488" s="471"/>
      <c r="S488" s="471"/>
      <c r="T488" s="471"/>
      <c r="U488" s="471"/>
      <c r="V488" s="484"/>
      <c r="W488" s="491"/>
      <c r="X488" s="491"/>
      <c r="Y488" s="474"/>
      <c r="Z488" s="491"/>
      <c r="AA488" s="491"/>
      <c r="AB488" s="471"/>
      <c r="AC488" s="471"/>
      <c r="AD488" s="471"/>
      <c r="AE488" s="471"/>
      <c r="AF488" s="471"/>
      <c r="AG488" s="471"/>
      <c r="AH488" s="471"/>
      <c r="AI488" s="471"/>
    </row>
    <row r="489" ht="22.5" customHeight="1">
      <c r="A489" s="471"/>
      <c r="B489" s="531" t="s">
        <v>2123</v>
      </c>
      <c r="C489" s="535"/>
      <c r="D489" s="535" t="s">
        <v>2135</v>
      </c>
      <c r="E489" s="537">
        <v>45848.0</v>
      </c>
      <c r="F489" s="539">
        <v>40000.0</v>
      </c>
      <c r="G489" s="535" t="s">
        <v>2108</v>
      </c>
      <c r="H489" s="531"/>
      <c r="I489" s="471"/>
      <c r="J489" s="490"/>
      <c r="K489" s="491"/>
      <c r="L489" s="471"/>
      <c r="M489" s="471"/>
      <c r="N489" s="471"/>
      <c r="O489" s="471"/>
      <c r="P489" s="471"/>
      <c r="Q489" s="471"/>
      <c r="R489" s="471"/>
      <c r="S489" s="471"/>
      <c r="T489" s="471"/>
      <c r="U489" s="471"/>
      <c r="V489" s="484"/>
      <c r="W489" s="491"/>
      <c r="X489" s="491"/>
      <c r="Y489" s="474"/>
      <c r="Z489" s="491"/>
      <c r="AA489" s="491"/>
      <c r="AB489" s="471"/>
      <c r="AC489" s="471"/>
      <c r="AD489" s="471"/>
      <c r="AE489" s="471"/>
      <c r="AF489" s="471"/>
      <c r="AG489" s="471"/>
      <c r="AH489" s="471"/>
      <c r="AI489" s="471"/>
    </row>
    <row r="490" ht="22.5" customHeight="1">
      <c r="A490" s="471"/>
      <c r="B490" s="531" t="s">
        <v>2123</v>
      </c>
      <c r="C490" s="535"/>
      <c r="D490" s="535" t="s">
        <v>2137</v>
      </c>
      <c r="E490" s="537">
        <v>45848.0</v>
      </c>
      <c r="F490" s="534">
        <v>85000.0</v>
      </c>
      <c r="G490" s="535" t="s">
        <v>2108</v>
      </c>
      <c r="H490" s="531"/>
      <c r="I490" s="471"/>
      <c r="J490" s="490"/>
      <c r="K490" s="491"/>
      <c r="L490" s="471"/>
      <c r="M490" s="471"/>
      <c r="N490" s="471"/>
      <c r="O490" s="471"/>
      <c r="P490" s="471"/>
      <c r="Q490" s="471"/>
      <c r="R490" s="471"/>
      <c r="S490" s="471"/>
      <c r="T490" s="471"/>
      <c r="U490" s="471"/>
      <c r="V490" s="484"/>
      <c r="W490" s="491"/>
      <c r="X490" s="491"/>
      <c r="Y490" s="474"/>
      <c r="Z490" s="491"/>
      <c r="AA490" s="491"/>
      <c r="AB490" s="471"/>
      <c r="AC490" s="471"/>
      <c r="AD490" s="471"/>
      <c r="AE490" s="471"/>
      <c r="AF490" s="471"/>
      <c r="AG490" s="471"/>
      <c r="AH490" s="471"/>
      <c r="AI490" s="471"/>
    </row>
    <row r="491" ht="22.5" customHeight="1">
      <c r="A491" s="471"/>
      <c r="B491" s="531" t="s">
        <v>2123</v>
      </c>
      <c r="C491" s="543"/>
      <c r="D491" s="535" t="s">
        <v>2139</v>
      </c>
      <c r="E491" s="537">
        <v>45848.0</v>
      </c>
      <c r="F491" s="539">
        <v>150000.0</v>
      </c>
      <c r="G491" s="535" t="s">
        <v>2108</v>
      </c>
      <c r="H491" s="531"/>
      <c r="I491" s="471"/>
      <c r="J491" s="490"/>
      <c r="K491" s="491"/>
      <c r="L491" s="471"/>
      <c r="M491" s="471"/>
      <c r="N491" s="471"/>
      <c r="O491" s="471"/>
      <c r="P491" s="471"/>
      <c r="Q491" s="471"/>
      <c r="R491" s="471"/>
      <c r="S491" s="471"/>
      <c r="T491" s="471"/>
      <c r="U491" s="471"/>
      <c r="V491" s="484"/>
      <c r="W491" s="491"/>
      <c r="X491" s="491"/>
      <c r="Y491" s="474"/>
      <c r="Z491" s="491"/>
      <c r="AA491" s="491"/>
      <c r="AB491" s="471"/>
      <c r="AC491" s="471"/>
      <c r="AD491" s="471"/>
      <c r="AE491" s="471"/>
      <c r="AF491" s="471"/>
      <c r="AG491" s="471"/>
      <c r="AH491" s="471"/>
      <c r="AI491" s="471"/>
    </row>
    <row r="492" ht="22.5" customHeight="1">
      <c r="A492" s="471"/>
      <c r="B492" s="531" t="s">
        <v>2123</v>
      </c>
      <c r="C492" s="543"/>
      <c r="D492" s="535" t="s">
        <v>2141</v>
      </c>
      <c r="E492" s="537">
        <v>45848.0</v>
      </c>
      <c r="F492" s="539">
        <v>30000.0</v>
      </c>
      <c r="G492" s="535" t="s">
        <v>2108</v>
      </c>
      <c r="H492" s="531"/>
      <c r="I492" s="471"/>
      <c r="J492" s="490"/>
      <c r="K492" s="491"/>
      <c r="L492" s="471"/>
      <c r="M492" s="471"/>
      <c r="N492" s="471"/>
      <c r="O492" s="471"/>
      <c r="P492" s="471"/>
      <c r="Q492" s="471"/>
      <c r="R492" s="471"/>
      <c r="S492" s="471"/>
      <c r="T492" s="471"/>
      <c r="U492" s="471"/>
      <c r="V492" s="484"/>
      <c r="W492" s="491"/>
      <c r="X492" s="491"/>
      <c r="Y492" s="474"/>
      <c r="Z492" s="491"/>
      <c r="AA492" s="491"/>
      <c r="AB492" s="471"/>
      <c r="AC492" s="471"/>
      <c r="AD492" s="471"/>
      <c r="AE492" s="471"/>
      <c r="AF492" s="471"/>
      <c r="AG492" s="471"/>
      <c r="AH492" s="471"/>
      <c r="AI492" s="471"/>
    </row>
    <row r="493" ht="22.5" customHeight="1">
      <c r="A493" s="471"/>
      <c r="B493" s="531" t="s">
        <v>2123</v>
      </c>
      <c r="C493" s="543"/>
      <c r="D493" s="535" t="s">
        <v>2151</v>
      </c>
      <c r="E493" s="537">
        <v>45848.0</v>
      </c>
      <c r="F493" s="534">
        <v>12100.0</v>
      </c>
      <c r="G493" s="535" t="s">
        <v>2108</v>
      </c>
      <c r="H493" s="531"/>
      <c r="I493" s="471"/>
      <c r="J493" s="490"/>
      <c r="K493" s="491"/>
      <c r="L493" s="471"/>
      <c r="M493" s="471"/>
      <c r="N493" s="471"/>
      <c r="O493" s="471"/>
      <c r="P493" s="471"/>
      <c r="Q493" s="471"/>
      <c r="R493" s="471"/>
      <c r="S493" s="471"/>
      <c r="T493" s="471"/>
      <c r="U493" s="471"/>
      <c r="V493" s="484"/>
      <c r="W493" s="491"/>
      <c r="X493" s="491"/>
      <c r="Y493" s="474"/>
      <c r="Z493" s="491"/>
      <c r="AA493" s="491"/>
      <c r="AB493" s="471"/>
      <c r="AC493" s="471"/>
      <c r="AD493" s="471"/>
      <c r="AE493" s="471"/>
      <c r="AF493" s="471"/>
      <c r="AG493" s="471"/>
      <c r="AH493" s="471"/>
      <c r="AI493" s="471"/>
    </row>
    <row r="494" ht="22.5" customHeight="1">
      <c r="A494" s="471"/>
      <c r="B494" s="531" t="s">
        <v>2123</v>
      </c>
      <c r="C494" s="543"/>
      <c r="D494" s="535" t="s">
        <v>2153</v>
      </c>
      <c r="E494" s="537">
        <v>45848.0</v>
      </c>
      <c r="F494" s="539">
        <v>108000.0</v>
      </c>
      <c r="G494" s="535" t="s">
        <v>2108</v>
      </c>
      <c r="H494" s="531"/>
      <c r="I494" s="471"/>
      <c r="J494" s="490"/>
      <c r="K494" s="491"/>
      <c r="L494" s="471"/>
      <c r="M494" s="471"/>
      <c r="N494" s="471"/>
      <c r="O494" s="471"/>
      <c r="P494" s="471"/>
      <c r="Q494" s="471"/>
      <c r="R494" s="471"/>
      <c r="S494" s="471"/>
      <c r="T494" s="471"/>
      <c r="U494" s="471"/>
      <c r="V494" s="484"/>
      <c r="W494" s="491"/>
      <c r="X494" s="491"/>
      <c r="Y494" s="474"/>
      <c r="Z494" s="491"/>
      <c r="AA494" s="491"/>
      <c r="AB494" s="471"/>
      <c r="AC494" s="471"/>
      <c r="AD494" s="471"/>
      <c r="AE494" s="471"/>
      <c r="AF494" s="471"/>
      <c r="AG494" s="471"/>
      <c r="AH494" s="471"/>
      <c r="AI494" s="471"/>
    </row>
    <row r="495" ht="22.5" customHeight="1">
      <c r="A495" s="471"/>
      <c r="B495" s="531" t="s">
        <v>2123</v>
      </c>
      <c r="C495" s="543"/>
      <c r="D495" s="535" t="s">
        <v>2154</v>
      </c>
      <c r="E495" s="537">
        <v>45848.0</v>
      </c>
      <c r="F495" s="539">
        <v>30000.0</v>
      </c>
      <c r="G495" s="535" t="s">
        <v>2108</v>
      </c>
      <c r="H495" s="531"/>
      <c r="I495" s="471"/>
      <c r="J495" s="490"/>
      <c r="K495" s="491"/>
      <c r="L495" s="471"/>
      <c r="M495" s="471"/>
      <c r="N495" s="471"/>
      <c r="O495" s="471"/>
      <c r="P495" s="471"/>
      <c r="Q495" s="471"/>
      <c r="R495" s="471"/>
      <c r="S495" s="471"/>
      <c r="T495" s="471"/>
      <c r="U495" s="471"/>
      <c r="V495" s="484"/>
      <c r="W495" s="491"/>
      <c r="X495" s="491"/>
      <c r="Y495" s="474"/>
      <c r="Z495" s="491"/>
      <c r="AA495" s="491"/>
      <c r="AB495" s="471"/>
      <c r="AC495" s="471"/>
      <c r="AD495" s="471"/>
      <c r="AE495" s="471"/>
      <c r="AF495" s="471"/>
      <c r="AG495" s="471"/>
      <c r="AH495" s="471"/>
      <c r="AI495" s="471"/>
    </row>
    <row r="496" ht="22.5" customHeight="1">
      <c r="A496" s="471"/>
      <c r="B496" s="531" t="s">
        <v>2124</v>
      </c>
      <c r="C496" s="543"/>
      <c r="D496" s="535" t="s">
        <v>2128</v>
      </c>
      <c r="E496" s="537">
        <v>45859.0</v>
      </c>
      <c r="F496" s="534">
        <v>25000.0</v>
      </c>
      <c r="G496" s="535" t="s">
        <v>2108</v>
      </c>
      <c r="H496" s="531"/>
      <c r="I496" s="471"/>
      <c r="J496" s="490"/>
      <c r="K496" s="491"/>
      <c r="L496" s="471"/>
      <c r="M496" s="471"/>
      <c r="N496" s="471"/>
      <c r="O496" s="471"/>
      <c r="P496" s="471"/>
      <c r="Q496" s="471"/>
      <c r="R496" s="471"/>
      <c r="S496" s="471"/>
      <c r="T496" s="471"/>
      <c r="U496" s="471"/>
      <c r="V496" s="484"/>
      <c r="W496" s="491"/>
      <c r="X496" s="491"/>
      <c r="Y496" s="474"/>
      <c r="Z496" s="474"/>
      <c r="AA496" s="474"/>
      <c r="AB496" s="471"/>
      <c r="AC496" s="471"/>
      <c r="AD496" s="471"/>
      <c r="AE496" s="471"/>
      <c r="AF496" s="471"/>
      <c r="AG496" s="471"/>
      <c r="AH496" s="471"/>
      <c r="AI496" s="471"/>
    </row>
    <row r="497" ht="22.5" customHeight="1">
      <c r="A497" s="471"/>
      <c r="B497" s="531" t="s">
        <v>2124</v>
      </c>
      <c r="C497" s="543"/>
      <c r="D497" s="535" t="s">
        <v>2128</v>
      </c>
      <c r="E497" s="537">
        <v>45868.0</v>
      </c>
      <c r="F497" s="534">
        <v>30000.0</v>
      </c>
      <c r="G497" s="535" t="s">
        <v>2108</v>
      </c>
      <c r="H497" s="531"/>
      <c r="I497" s="471"/>
      <c r="J497" s="490"/>
      <c r="K497" s="491"/>
      <c r="L497" s="471"/>
      <c r="M497" s="471"/>
      <c r="N497" s="471"/>
      <c r="O497" s="471"/>
      <c r="P497" s="471"/>
      <c r="Q497" s="471"/>
      <c r="R497" s="471"/>
      <c r="S497" s="471"/>
      <c r="T497" s="471"/>
      <c r="U497" s="471"/>
      <c r="V497" s="484"/>
      <c r="W497" s="491"/>
      <c r="X497" s="491"/>
      <c r="Y497" s="474"/>
      <c r="Z497" s="491"/>
      <c r="AA497" s="491"/>
      <c r="AB497" s="471"/>
      <c r="AC497" s="471"/>
      <c r="AD497" s="471"/>
      <c r="AE497" s="471"/>
      <c r="AF497" s="471"/>
      <c r="AG497" s="471"/>
      <c r="AH497" s="471"/>
      <c r="AI497" s="471"/>
    </row>
    <row r="498" ht="22.5" customHeight="1">
      <c r="A498" s="471"/>
      <c r="B498" s="531" t="s">
        <v>2124</v>
      </c>
      <c r="C498" s="543"/>
      <c r="D498" s="535" t="s">
        <v>2151</v>
      </c>
      <c r="E498" s="537">
        <v>45863.0</v>
      </c>
      <c r="F498" s="534">
        <v>52026.0</v>
      </c>
      <c r="G498" s="535" t="s">
        <v>2175</v>
      </c>
      <c r="H498" s="531"/>
      <c r="I498" s="471"/>
      <c r="J498" s="490"/>
      <c r="K498" s="491"/>
      <c r="L498" s="471"/>
      <c r="M498" s="471"/>
      <c r="N498" s="471"/>
      <c r="O498" s="471"/>
      <c r="P498" s="471"/>
      <c r="Q498" s="471"/>
      <c r="R498" s="471"/>
      <c r="S498" s="471"/>
      <c r="T498" s="471"/>
      <c r="U498" s="471"/>
      <c r="V498" s="484"/>
      <c r="W498" s="491"/>
      <c r="X498" s="491"/>
      <c r="Y498" s="474"/>
      <c r="Z498" s="491"/>
      <c r="AA498" s="491"/>
      <c r="AB498" s="471"/>
      <c r="AC498" s="471"/>
      <c r="AD498" s="471"/>
      <c r="AE498" s="471"/>
      <c r="AF498" s="471"/>
      <c r="AG498" s="471"/>
      <c r="AH498" s="471"/>
      <c r="AI498" s="471"/>
    </row>
    <row r="499" ht="22.5" customHeight="1">
      <c r="A499" s="471"/>
      <c r="B499" s="531" t="s">
        <v>2124</v>
      </c>
      <c r="C499" s="543"/>
      <c r="D499" s="535" t="s">
        <v>2141</v>
      </c>
      <c r="E499" s="537">
        <v>45863.0</v>
      </c>
      <c r="F499" s="534">
        <v>36018.0</v>
      </c>
      <c r="G499" s="535" t="s">
        <v>2175</v>
      </c>
      <c r="H499" s="531"/>
      <c r="I499" s="471"/>
      <c r="J499" s="490"/>
      <c r="K499" s="491"/>
      <c r="L499" s="471"/>
      <c r="M499" s="471"/>
      <c r="N499" s="471"/>
      <c r="O499" s="471"/>
      <c r="P499" s="471"/>
      <c r="Q499" s="471"/>
      <c r="R499" s="471"/>
      <c r="S499" s="471"/>
      <c r="T499" s="471"/>
      <c r="U499" s="471"/>
      <c r="V499" s="471"/>
      <c r="W499" s="471"/>
      <c r="X499" s="471"/>
      <c r="Y499" s="471"/>
      <c r="Z499" s="471"/>
      <c r="AA499" s="471"/>
      <c r="AB499" s="471"/>
      <c r="AC499" s="471"/>
      <c r="AD499" s="471"/>
      <c r="AE499" s="471"/>
      <c r="AF499" s="471"/>
      <c r="AG499" s="471"/>
      <c r="AH499" s="471"/>
      <c r="AI499" s="471"/>
    </row>
    <row r="500" ht="22.5" customHeight="1">
      <c r="A500" s="471"/>
      <c r="B500" s="531" t="s">
        <v>2124</v>
      </c>
      <c r="C500" s="543"/>
      <c r="D500" s="535" t="s">
        <v>2135</v>
      </c>
      <c r="E500" s="537">
        <v>45863.0</v>
      </c>
      <c r="F500" s="534">
        <v>40020.0</v>
      </c>
      <c r="G500" s="535" t="s">
        <v>2175</v>
      </c>
      <c r="H500" s="531"/>
      <c r="I500" s="471"/>
      <c r="J500" s="490"/>
      <c r="K500" s="491"/>
      <c r="L500" s="471"/>
      <c r="M500" s="471"/>
      <c r="N500" s="471"/>
      <c r="O500" s="471"/>
      <c r="P500" s="471"/>
      <c r="Q500" s="471"/>
      <c r="R500" s="471"/>
      <c r="S500" s="471"/>
      <c r="T500" s="471"/>
      <c r="U500" s="471"/>
      <c r="V500" s="471"/>
      <c r="W500" s="471"/>
      <c r="X500" s="471"/>
      <c r="Y500" s="471"/>
      <c r="Z500" s="471"/>
      <c r="AA500" s="471"/>
      <c r="AB500" s="471"/>
      <c r="AC500" s="471"/>
      <c r="AD500" s="471"/>
      <c r="AE500" s="471"/>
      <c r="AF500" s="471"/>
      <c r="AG500" s="471"/>
      <c r="AH500" s="471"/>
      <c r="AI500" s="471"/>
    </row>
    <row r="501" ht="22.5" customHeight="1">
      <c r="A501" s="471"/>
      <c r="B501" s="531" t="s">
        <v>2124</v>
      </c>
      <c r="C501" s="543"/>
      <c r="D501" s="535" t="s">
        <v>2153</v>
      </c>
      <c r="E501" s="537">
        <v>45863.0</v>
      </c>
      <c r="F501" s="534">
        <v>80005.0</v>
      </c>
      <c r="G501" s="535" t="s">
        <v>2175</v>
      </c>
      <c r="H501" s="531"/>
      <c r="I501" s="471"/>
      <c r="J501" s="490"/>
      <c r="K501" s="491"/>
      <c r="L501" s="471"/>
      <c r="M501" s="471"/>
      <c r="N501" s="471"/>
      <c r="O501" s="471"/>
      <c r="P501" s="471"/>
      <c r="Q501" s="471"/>
      <c r="R501" s="471"/>
      <c r="S501" s="471"/>
      <c r="T501" s="471"/>
      <c r="U501" s="471"/>
      <c r="V501" s="471"/>
      <c r="W501" s="471"/>
      <c r="X501" s="471"/>
      <c r="Y501" s="471"/>
      <c r="Z501" s="471"/>
      <c r="AA501" s="471"/>
      <c r="AB501" s="471"/>
      <c r="AC501" s="471"/>
      <c r="AD501" s="471"/>
      <c r="AE501" s="471"/>
      <c r="AF501" s="471"/>
      <c r="AG501" s="471"/>
      <c r="AH501" s="471"/>
      <c r="AI501" s="471"/>
    </row>
    <row r="502" ht="22.5" customHeight="1">
      <c r="A502" s="471"/>
      <c r="B502" s="531" t="s">
        <v>2124</v>
      </c>
      <c r="C502" s="543"/>
      <c r="D502" s="535" t="s">
        <v>2133</v>
      </c>
      <c r="E502" s="537">
        <v>45863.0</v>
      </c>
      <c r="F502" s="534">
        <v>20010.0</v>
      </c>
      <c r="G502" s="535" t="s">
        <v>2175</v>
      </c>
      <c r="H502" s="531"/>
      <c r="I502" s="471"/>
      <c r="J502" s="490"/>
      <c r="K502" s="491"/>
      <c r="L502" s="471"/>
      <c r="M502" s="471"/>
      <c r="N502" s="471"/>
      <c r="O502" s="471"/>
      <c r="P502" s="471"/>
      <c r="Q502" s="471"/>
      <c r="R502" s="471"/>
      <c r="S502" s="471"/>
      <c r="T502" s="471"/>
      <c r="U502" s="471"/>
      <c r="V502" s="471"/>
      <c r="W502" s="471"/>
      <c r="X502" s="471"/>
      <c r="Y502" s="471"/>
      <c r="Z502" s="471"/>
      <c r="AA502" s="471"/>
      <c r="AB502" s="471"/>
      <c r="AC502" s="471"/>
      <c r="AD502" s="471"/>
      <c r="AE502" s="471"/>
      <c r="AF502" s="471"/>
      <c r="AG502" s="471"/>
      <c r="AH502" s="471"/>
      <c r="AI502" s="471"/>
    </row>
    <row r="503" ht="22.5" customHeight="1">
      <c r="A503" s="471"/>
      <c r="B503" s="531" t="s">
        <v>2124</v>
      </c>
      <c r="C503" s="543"/>
      <c r="D503" s="535" t="s">
        <v>2128</v>
      </c>
      <c r="E503" s="537">
        <v>45863.0</v>
      </c>
      <c r="F503" s="534">
        <v>88027.0</v>
      </c>
      <c r="G503" s="535" t="s">
        <v>2175</v>
      </c>
      <c r="H503" s="531"/>
      <c r="I503" s="471"/>
      <c r="J503" s="490"/>
      <c r="K503" s="491"/>
      <c r="L503" s="471"/>
      <c r="M503" s="471"/>
      <c r="N503" s="471"/>
      <c r="O503" s="471"/>
      <c r="P503" s="471"/>
      <c r="Q503" s="471"/>
      <c r="R503" s="471"/>
      <c r="S503" s="471"/>
      <c r="T503" s="471"/>
      <c r="U503" s="471"/>
      <c r="V503" s="471"/>
      <c r="W503" s="471"/>
      <c r="X503" s="471"/>
      <c r="Y503" s="471"/>
      <c r="Z503" s="471"/>
      <c r="AA503" s="471"/>
      <c r="AB503" s="471"/>
      <c r="AC503" s="471"/>
      <c r="AD503" s="471"/>
      <c r="AE503" s="471"/>
      <c r="AF503" s="471"/>
      <c r="AG503" s="471"/>
      <c r="AH503" s="471"/>
      <c r="AI503" s="471"/>
    </row>
    <row r="504" ht="22.5" customHeight="1">
      <c r="A504" s="471"/>
      <c r="B504" s="531" t="s">
        <v>2124</v>
      </c>
      <c r="C504" s="543"/>
      <c r="D504" s="535" t="s">
        <v>2134</v>
      </c>
      <c r="E504" s="537">
        <v>45863.0</v>
      </c>
      <c r="F504" s="534">
        <v>24029.0</v>
      </c>
      <c r="G504" s="535" t="s">
        <v>2175</v>
      </c>
      <c r="H504" s="531"/>
      <c r="I504" s="471"/>
      <c r="J504" s="490"/>
      <c r="K504" s="491"/>
      <c r="L504" s="471"/>
      <c r="M504" s="471"/>
      <c r="N504" s="471"/>
      <c r="O504" s="471"/>
      <c r="P504" s="471"/>
      <c r="Q504" s="471"/>
      <c r="R504" s="471"/>
      <c r="S504" s="471"/>
      <c r="T504" s="471"/>
      <c r="U504" s="471"/>
      <c r="V504" s="471"/>
      <c r="W504" s="471"/>
      <c r="X504" s="471"/>
      <c r="Y504" s="471"/>
      <c r="Z504" s="471"/>
      <c r="AA504" s="471"/>
      <c r="AB504" s="471"/>
      <c r="AC504" s="471"/>
      <c r="AD504" s="471"/>
      <c r="AE504" s="471"/>
      <c r="AF504" s="471"/>
      <c r="AG504" s="471"/>
      <c r="AH504" s="471"/>
      <c r="AI504" s="471"/>
    </row>
    <row r="505" ht="22.5" customHeight="1">
      <c r="A505" s="471"/>
      <c r="B505" s="531" t="s">
        <v>2124</v>
      </c>
      <c r="C505" s="543"/>
      <c r="D505" s="535" t="s">
        <v>2154</v>
      </c>
      <c r="E505" s="537">
        <v>45863.0</v>
      </c>
      <c r="F505" s="534">
        <v>40020.0</v>
      </c>
      <c r="G505" s="535" t="s">
        <v>2175</v>
      </c>
      <c r="H505" s="531"/>
      <c r="I505" s="471"/>
      <c r="J505" s="490"/>
      <c r="K505" s="491"/>
      <c r="L505" s="471"/>
      <c r="M505" s="471"/>
      <c r="N505" s="471"/>
      <c r="O505" s="471"/>
      <c r="P505" s="471"/>
      <c r="Q505" s="471"/>
      <c r="R505" s="471"/>
      <c r="S505" s="471"/>
      <c r="T505" s="471"/>
      <c r="U505" s="471"/>
      <c r="V505" s="471"/>
      <c r="W505" s="471"/>
      <c r="X505" s="471"/>
      <c r="Y505" s="471"/>
      <c r="Z505" s="471"/>
      <c r="AA505" s="471"/>
      <c r="AB505" s="471"/>
      <c r="AC505" s="471"/>
      <c r="AD505" s="471"/>
      <c r="AE505" s="471"/>
      <c r="AF505" s="471"/>
      <c r="AG505" s="471"/>
      <c r="AH505" s="471"/>
      <c r="AI505" s="471"/>
    </row>
    <row r="506" ht="22.5" customHeight="1">
      <c r="A506" s="471"/>
      <c r="B506" s="531" t="s">
        <v>2124</v>
      </c>
      <c r="C506" s="543"/>
      <c r="D506" s="535" t="s">
        <v>2132</v>
      </c>
      <c r="E506" s="537">
        <v>45863.0</v>
      </c>
      <c r="F506" s="534">
        <v>64014.0</v>
      </c>
      <c r="G506" s="535" t="s">
        <v>2175</v>
      </c>
      <c r="H506" s="531"/>
      <c r="I506" s="471"/>
      <c r="J506" s="490"/>
      <c r="K506" s="491"/>
      <c r="L506" s="471"/>
      <c r="M506" s="471"/>
      <c r="N506" s="471"/>
      <c r="O506" s="471"/>
      <c r="P506" s="471"/>
      <c r="Q506" s="471"/>
      <c r="R506" s="471"/>
      <c r="S506" s="471"/>
      <c r="T506" s="471"/>
      <c r="U506" s="471"/>
      <c r="V506" s="471"/>
      <c r="W506" s="471"/>
      <c r="X506" s="471"/>
      <c r="Y506" s="471"/>
      <c r="Z506" s="471"/>
      <c r="AA506" s="471"/>
      <c r="AB506" s="471"/>
      <c r="AC506" s="471"/>
      <c r="AD506" s="471"/>
      <c r="AE506" s="471"/>
      <c r="AF506" s="471"/>
      <c r="AG506" s="471"/>
      <c r="AH506" s="471"/>
      <c r="AI506" s="471"/>
    </row>
    <row r="507" ht="22.5" customHeight="1">
      <c r="A507" s="471"/>
      <c r="B507" s="531" t="s">
        <v>2124</v>
      </c>
      <c r="C507" s="543"/>
      <c r="D507" s="535" t="s">
        <v>2137</v>
      </c>
      <c r="E507" s="537">
        <v>45863.0</v>
      </c>
      <c r="F507" s="534">
        <v>34034.0</v>
      </c>
      <c r="G507" s="535" t="s">
        <v>2175</v>
      </c>
      <c r="H507" s="531"/>
      <c r="I507" s="471"/>
      <c r="J507" s="490"/>
      <c r="K507" s="491"/>
      <c r="L507" s="471"/>
      <c r="M507" s="471"/>
      <c r="N507" s="471"/>
      <c r="O507" s="471"/>
      <c r="P507" s="471"/>
      <c r="Q507" s="471"/>
      <c r="R507" s="471"/>
      <c r="S507" s="471"/>
      <c r="T507" s="471"/>
      <c r="U507" s="471"/>
      <c r="V507" s="471"/>
      <c r="W507" s="471"/>
      <c r="X507" s="471"/>
      <c r="Y507" s="471"/>
      <c r="Z507" s="471"/>
      <c r="AA507" s="471"/>
      <c r="AB507" s="471"/>
      <c r="AC507" s="471"/>
      <c r="AD507" s="471"/>
      <c r="AE507" s="471"/>
      <c r="AF507" s="471"/>
      <c r="AG507" s="471"/>
      <c r="AH507" s="471"/>
      <c r="AI507" s="471"/>
    </row>
    <row r="508" ht="22.5" customHeight="1">
      <c r="A508" s="471"/>
      <c r="B508" s="531" t="s">
        <v>2124</v>
      </c>
      <c r="C508" s="543"/>
      <c r="D508" s="535" t="s">
        <v>2131</v>
      </c>
      <c r="E508" s="537">
        <v>45863.0</v>
      </c>
      <c r="F508" s="534">
        <v>48007.0</v>
      </c>
      <c r="G508" s="535" t="s">
        <v>2175</v>
      </c>
      <c r="H508" s="531"/>
      <c r="I508" s="471"/>
      <c r="J508" s="490"/>
      <c r="K508" s="491"/>
      <c r="L508" s="471"/>
      <c r="M508" s="471"/>
      <c r="N508" s="471"/>
      <c r="O508" s="471"/>
      <c r="P508" s="471"/>
      <c r="Q508" s="471"/>
      <c r="R508" s="471"/>
      <c r="S508" s="471"/>
      <c r="T508" s="471"/>
      <c r="U508" s="471"/>
      <c r="V508" s="471"/>
      <c r="W508" s="471"/>
      <c r="X508" s="471"/>
      <c r="Y508" s="471"/>
      <c r="Z508" s="471"/>
      <c r="AA508" s="471"/>
      <c r="AB508" s="471"/>
      <c r="AC508" s="471"/>
      <c r="AD508" s="471"/>
      <c r="AE508" s="471"/>
      <c r="AF508" s="471"/>
      <c r="AG508" s="471"/>
      <c r="AH508" s="471"/>
      <c r="AI508" s="471"/>
    </row>
    <row r="509" ht="22.5" customHeight="1">
      <c r="A509" s="471"/>
      <c r="B509" s="531" t="s">
        <v>2124</v>
      </c>
      <c r="C509" s="543"/>
      <c r="D509" s="535" t="s">
        <v>2130</v>
      </c>
      <c r="E509" s="537">
        <v>45863.0</v>
      </c>
      <c r="F509" s="534">
        <v>36018.0</v>
      </c>
      <c r="G509" s="535" t="s">
        <v>2175</v>
      </c>
      <c r="H509" s="531"/>
      <c r="I509" s="471"/>
      <c r="J509" s="490"/>
      <c r="K509" s="491"/>
      <c r="L509" s="471"/>
      <c r="M509" s="471"/>
      <c r="N509" s="471"/>
      <c r="O509" s="471"/>
      <c r="P509" s="471"/>
      <c r="Q509" s="471"/>
      <c r="R509" s="471"/>
      <c r="S509" s="471"/>
      <c r="T509" s="471"/>
      <c r="U509" s="471"/>
      <c r="V509" s="471"/>
      <c r="W509" s="471"/>
      <c r="X509" s="471"/>
      <c r="Y509" s="471"/>
      <c r="Z509" s="471"/>
      <c r="AA509" s="471"/>
      <c r="AB509" s="471"/>
      <c r="AC509" s="471"/>
      <c r="AD509" s="471"/>
      <c r="AE509" s="471"/>
      <c r="AF509" s="471"/>
      <c r="AG509" s="471"/>
      <c r="AH509" s="471"/>
      <c r="AI509" s="471"/>
    </row>
    <row r="510" ht="22.5" customHeight="1">
      <c r="A510" s="471"/>
      <c r="B510" s="531" t="s">
        <v>2124</v>
      </c>
      <c r="C510" s="543"/>
      <c r="D510" s="535" t="s">
        <v>124</v>
      </c>
      <c r="E510" s="537">
        <v>45863.0</v>
      </c>
      <c r="F510" s="534">
        <v>60030.0</v>
      </c>
      <c r="G510" s="535" t="s">
        <v>2175</v>
      </c>
      <c r="H510" s="531"/>
      <c r="I510" s="471"/>
      <c r="J510" s="490"/>
      <c r="K510" s="491"/>
      <c r="L510" s="471"/>
      <c r="M510" s="471"/>
      <c r="N510" s="471"/>
      <c r="O510" s="471"/>
      <c r="P510" s="471"/>
      <c r="Q510" s="471"/>
      <c r="R510" s="471"/>
      <c r="S510" s="471"/>
      <c r="T510" s="471"/>
      <c r="U510" s="471"/>
      <c r="V510" s="484"/>
      <c r="W510" s="484"/>
      <c r="X510" s="471"/>
      <c r="Y510" s="471"/>
      <c r="Z510" s="471"/>
      <c r="AA510" s="471"/>
      <c r="AB510" s="471"/>
      <c r="AC510" s="471"/>
      <c r="AD510" s="471"/>
      <c r="AE510" s="471"/>
      <c r="AF510" s="471"/>
      <c r="AG510" s="471"/>
      <c r="AH510" s="471"/>
      <c r="AI510" s="471"/>
    </row>
    <row r="511" ht="22.5" customHeight="1">
      <c r="A511" s="471"/>
      <c r="B511" s="531" t="s">
        <v>2124</v>
      </c>
      <c r="C511" s="535" t="s">
        <v>2150</v>
      </c>
      <c r="D511" s="535" t="s">
        <v>2165</v>
      </c>
      <c r="E511" s="537">
        <v>45879.0</v>
      </c>
      <c r="F511" s="534">
        <v>180000.0</v>
      </c>
      <c r="G511" s="535" t="s">
        <v>2108</v>
      </c>
      <c r="H511" s="531"/>
      <c r="I511" s="471"/>
      <c r="J511" s="490"/>
      <c r="K511" s="491"/>
      <c r="L511" s="471"/>
      <c r="M511" s="471"/>
      <c r="N511" s="471"/>
      <c r="O511" s="471"/>
      <c r="P511" s="471"/>
      <c r="Q511" s="471"/>
      <c r="R511" s="471"/>
      <c r="S511" s="471"/>
      <c r="T511" s="471"/>
      <c r="U511" s="471"/>
      <c r="V511" s="484"/>
      <c r="W511" s="484"/>
      <c r="X511" s="471"/>
      <c r="Y511" s="471"/>
      <c r="Z511" s="471"/>
      <c r="AA511" s="471"/>
      <c r="AB511" s="471"/>
      <c r="AC511" s="471"/>
      <c r="AD511" s="471"/>
      <c r="AE511" s="471"/>
      <c r="AF511" s="471"/>
      <c r="AG511" s="471"/>
      <c r="AH511" s="471"/>
      <c r="AI511" s="471"/>
    </row>
    <row r="512" ht="22.5" customHeight="1">
      <c r="A512" s="471"/>
      <c r="B512" s="531" t="s">
        <v>2124</v>
      </c>
      <c r="C512" s="535"/>
      <c r="D512" s="535" t="s">
        <v>2128</v>
      </c>
      <c r="E512" s="537">
        <v>45873.0</v>
      </c>
      <c r="F512" s="534">
        <v>80000.0</v>
      </c>
      <c r="G512" s="535" t="s">
        <v>2108</v>
      </c>
      <c r="H512" s="531"/>
      <c r="I512" s="471"/>
      <c r="J512" s="490"/>
      <c r="K512" s="491"/>
      <c r="L512" s="471"/>
      <c r="M512" s="471"/>
      <c r="N512" s="471"/>
      <c r="O512" s="471"/>
      <c r="P512" s="471"/>
      <c r="Q512" s="471"/>
      <c r="R512" s="471"/>
      <c r="S512" s="471"/>
      <c r="T512" s="471"/>
      <c r="U512" s="471"/>
      <c r="V512" s="484"/>
      <c r="W512" s="484"/>
      <c r="X512" s="471"/>
      <c r="Y512" s="471"/>
      <c r="Z512" s="471"/>
      <c r="AA512" s="471"/>
      <c r="AB512" s="471"/>
      <c r="AC512" s="471"/>
      <c r="AD512" s="471"/>
      <c r="AE512" s="471"/>
      <c r="AF512" s="471"/>
      <c r="AG512" s="471"/>
      <c r="AH512" s="471"/>
      <c r="AI512" s="471"/>
    </row>
    <row r="513" ht="22.5" customHeight="1">
      <c r="A513" s="471"/>
      <c r="B513" s="531" t="s">
        <v>2124</v>
      </c>
      <c r="C513" s="535"/>
      <c r="D513" s="535" t="s">
        <v>2131</v>
      </c>
      <c r="E513" s="537">
        <v>45873.0</v>
      </c>
      <c r="F513" s="534">
        <v>30000.0</v>
      </c>
      <c r="G513" s="535" t="s">
        <v>2108</v>
      </c>
      <c r="H513" s="531"/>
      <c r="I513" s="471"/>
      <c r="J513" s="490"/>
      <c r="K513" s="491"/>
      <c r="L513" s="471"/>
      <c r="M513" s="471"/>
      <c r="N513" s="471"/>
      <c r="O513" s="471"/>
      <c r="P513" s="471"/>
      <c r="Q513" s="471"/>
      <c r="R513" s="471"/>
      <c r="S513" s="471"/>
      <c r="T513" s="471"/>
      <c r="U513" s="471"/>
      <c r="V513" s="484"/>
      <c r="W513" s="484"/>
      <c r="X513" s="471"/>
      <c r="Y513" s="471"/>
      <c r="Z513" s="471"/>
      <c r="AA513" s="471"/>
      <c r="AB513" s="471"/>
      <c r="AC513" s="471"/>
      <c r="AD513" s="471"/>
      <c r="AE513" s="471"/>
      <c r="AF513" s="471"/>
      <c r="AG513" s="471"/>
      <c r="AH513" s="471"/>
      <c r="AI513" s="471"/>
    </row>
    <row r="514" ht="22.5" customHeight="1">
      <c r="A514" s="471"/>
      <c r="B514" s="531" t="s">
        <v>2124</v>
      </c>
      <c r="C514" s="535"/>
      <c r="D514" s="535" t="s">
        <v>2141</v>
      </c>
      <c r="E514" s="537">
        <v>45873.0</v>
      </c>
      <c r="F514" s="534">
        <v>30000.0</v>
      </c>
      <c r="G514" s="535" t="s">
        <v>2108</v>
      </c>
      <c r="H514" s="531"/>
      <c r="I514" s="471"/>
      <c r="J514" s="490"/>
      <c r="K514" s="491"/>
      <c r="L514" s="471"/>
      <c r="M514" s="471"/>
      <c r="N514" s="471"/>
      <c r="O514" s="471"/>
      <c r="P514" s="471"/>
      <c r="Q514" s="471"/>
      <c r="R514" s="471"/>
      <c r="S514" s="471"/>
      <c r="T514" s="471"/>
      <c r="U514" s="471"/>
      <c r="V514" s="484"/>
      <c r="W514" s="484"/>
      <c r="X514" s="471"/>
      <c r="Y514" s="471"/>
      <c r="Z514" s="471"/>
      <c r="AA514" s="471"/>
      <c r="AB514" s="471"/>
      <c r="AC514" s="471"/>
      <c r="AD514" s="471"/>
      <c r="AE514" s="471"/>
      <c r="AF514" s="471"/>
      <c r="AG514" s="471"/>
      <c r="AH514" s="471"/>
      <c r="AI514" s="471"/>
    </row>
    <row r="515" ht="22.5" customHeight="1">
      <c r="A515" s="471"/>
      <c r="B515" s="531" t="s">
        <v>2124</v>
      </c>
      <c r="C515" s="535"/>
      <c r="D515" s="535" t="s">
        <v>2137</v>
      </c>
      <c r="E515" s="537">
        <v>45873.0</v>
      </c>
      <c r="F515" s="534">
        <v>85000.0</v>
      </c>
      <c r="G515" s="535" t="s">
        <v>2108</v>
      </c>
      <c r="H515" s="531"/>
      <c r="I515" s="471"/>
      <c r="J515" s="490"/>
      <c r="K515" s="491"/>
      <c r="L515" s="471"/>
      <c r="M515" s="471"/>
      <c r="N515" s="471"/>
      <c r="O515" s="471"/>
      <c r="P515" s="471"/>
      <c r="Q515" s="471"/>
      <c r="R515" s="471"/>
      <c r="S515" s="471"/>
      <c r="T515" s="471"/>
      <c r="U515" s="471"/>
      <c r="V515" s="484"/>
      <c r="W515" s="484"/>
      <c r="X515" s="471"/>
      <c r="Y515" s="471"/>
      <c r="Z515" s="471"/>
      <c r="AA515" s="471"/>
      <c r="AB515" s="471"/>
      <c r="AC515" s="471"/>
      <c r="AD515" s="471"/>
      <c r="AE515" s="471"/>
      <c r="AF515" s="471"/>
      <c r="AG515" s="471"/>
      <c r="AH515" s="471"/>
      <c r="AI515" s="471"/>
    </row>
    <row r="516" ht="22.5" customHeight="1">
      <c r="A516" s="471"/>
      <c r="B516" s="531" t="s">
        <v>2124</v>
      </c>
      <c r="C516" s="535"/>
      <c r="D516" s="535" t="s">
        <v>2153</v>
      </c>
      <c r="E516" s="537">
        <v>45873.0</v>
      </c>
      <c r="F516" s="534">
        <v>100000.0</v>
      </c>
      <c r="G516" s="535" t="s">
        <v>2108</v>
      </c>
      <c r="H516" s="531"/>
      <c r="I516" s="471"/>
      <c r="J516" s="490"/>
      <c r="K516" s="491"/>
      <c r="L516" s="471"/>
      <c r="M516" s="471"/>
      <c r="N516" s="471"/>
      <c r="O516" s="471"/>
      <c r="P516" s="471"/>
      <c r="Q516" s="471"/>
      <c r="R516" s="471"/>
      <c r="S516" s="471"/>
      <c r="T516" s="471"/>
      <c r="U516" s="471"/>
      <c r="V516" s="484"/>
      <c r="W516" s="484"/>
      <c r="X516" s="471"/>
      <c r="Y516" s="471"/>
      <c r="Z516" s="471"/>
      <c r="AA516" s="471"/>
      <c r="AB516" s="471"/>
      <c r="AC516" s="471"/>
      <c r="AD516" s="471"/>
      <c r="AE516" s="471"/>
      <c r="AF516" s="471"/>
      <c r="AG516" s="471"/>
      <c r="AH516" s="471"/>
      <c r="AI516" s="471"/>
    </row>
    <row r="517" ht="22.5" customHeight="1">
      <c r="A517" s="471"/>
      <c r="B517" s="531" t="s">
        <v>2124</v>
      </c>
      <c r="C517" s="535"/>
      <c r="D517" s="535" t="s">
        <v>2134</v>
      </c>
      <c r="E517" s="537">
        <v>45873.0</v>
      </c>
      <c r="F517" s="534">
        <v>20000.0</v>
      </c>
      <c r="G517" s="535" t="s">
        <v>2108</v>
      </c>
      <c r="H517" s="531"/>
      <c r="I517" s="471"/>
      <c r="J517" s="490"/>
      <c r="K517" s="491"/>
      <c r="L517" s="471"/>
      <c r="M517" s="471"/>
      <c r="N517" s="471"/>
      <c r="O517" s="471"/>
      <c r="P517" s="471"/>
      <c r="Q517" s="471"/>
      <c r="R517" s="471"/>
      <c r="S517" s="471"/>
      <c r="T517" s="471"/>
      <c r="U517" s="471"/>
      <c r="V517" s="484"/>
      <c r="W517" s="484"/>
      <c r="X517" s="471"/>
      <c r="Y517" s="471"/>
      <c r="Z517" s="471"/>
      <c r="AA517" s="471"/>
      <c r="AB517" s="471"/>
      <c r="AC517" s="471"/>
      <c r="AD517" s="471"/>
      <c r="AE517" s="471"/>
      <c r="AF517" s="471"/>
      <c r="AG517" s="471"/>
      <c r="AH517" s="471"/>
      <c r="AI517" s="471"/>
    </row>
    <row r="518" ht="22.5" customHeight="1">
      <c r="A518" s="471"/>
      <c r="B518" s="531" t="s">
        <v>2124</v>
      </c>
      <c r="C518" s="535"/>
      <c r="D518" s="535" t="s">
        <v>2151</v>
      </c>
      <c r="E518" s="537">
        <v>45880.0</v>
      </c>
      <c r="F518" s="534">
        <v>34350.0</v>
      </c>
      <c r="G518" s="535" t="s">
        <v>2108</v>
      </c>
      <c r="H518" s="531"/>
      <c r="I518" s="471"/>
      <c r="J518" s="490"/>
      <c r="K518" s="491"/>
      <c r="L518" s="471"/>
      <c r="M518" s="471"/>
      <c r="N518" s="471"/>
      <c r="O518" s="471"/>
      <c r="P518" s="471"/>
      <c r="Q518" s="471"/>
      <c r="R518" s="471"/>
      <c r="S518" s="471"/>
      <c r="T518" s="471"/>
      <c r="U518" s="471"/>
      <c r="V518" s="484"/>
      <c r="W518" s="484"/>
      <c r="X518" s="471"/>
      <c r="Y518" s="471"/>
      <c r="Z518" s="471"/>
      <c r="AA518" s="471"/>
      <c r="AB518" s="471"/>
      <c r="AC518" s="471"/>
      <c r="AD518" s="471"/>
      <c r="AE518" s="471"/>
      <c r="AF518" s="471"/>
      <c r="AG518" s="471"/>
      <c r="AH518" s="471"/>
      <c r="AI518" s="471"/>
    </row>
    <row r="519" ht="22.5" customHeight="1">
      <c r="A519" s="471"/>
      <c r="B519" s="531" t="s">
        <v>2124</v>
      </c>
      <c r="C519" s="535"/>
      <c r="D519" s="535" t="s">
        <v>2132</v>
      </c>
      <c r="E519" s="537">
        <v>45880.0</v>
      </c>
      <c r="F519" s="544">
        <v>140000.0</v>
      </c>
      <c r="G519" s="535" t="s">
        <v>2108</v>
      </c>
      <c r="H519" s="531"/>
      <c r="I519" s="471"/>
      <c r="J519" s="490"/>
      <c r="K519" s="491"/>
      <c r="L519" s="471"/>
      <c r="M519" s="471"/>
      <c r="N519" s="471"/>
      <c r="O519" s="471"/>
      <c r="P519" s="471"/>
      <c r="Q519" s="471"/>
      <c r="R519" s="471"/>
      <c r="S519" s="471"/>
      <c r="T519" s="471"/>
      <c r="U519" s="471"/>
      <c r="V519" s="484"/>
      <c r="W519" s="484"/>
      <c r="X519" s="471"/>
      <c r="Y519" s="471"/>
      <c r="Z519" s="471"/>
      <c r="AA519" s="471"/>
      <c r="AB519" s="471"/>
      <c r="AC519" s="471"/>
      <c r="AD519" s="471"/>
      <c r="AE519" s="471"/>
      <c r="AF519" s="471"/>
      <c r="AG519" s="471"/>
      <c r="AH519" s="471"/>
      <c r="AI519" s="471"/>
    </row>
    <row r="520" ht="22.5" customHeight="1">
      <c r="A520" s="471"/>
      <c r="B520" s="531" t="s">
        <v>2124</v>
      </c>
      <c r="C520" s="535"/>
      <c r="D520" s="535" t="s">
        <v>2133</v>
      </c>
      <c r="E520" s="537">
        <v>45880.0</v>
      </c>
      <c r="F520" s="545">
        <v>20000.0</v>
      </c>
      <c r="G520" s="535" t="s">
        <v>2108</v>
      </c>
      <c r="H520" s="531"/>
      <c r="I520" s="471"/>
      <c r="J520" s="490"/>
      <c r="K520" s="491"/>
      <c r="L520" s="471"/>
      <c r="M520" s="471"/>
      <c r="N520" s="471"/>
      <c r="O520" s="471"/>
      <c r="P520" s="471"/>
      <c r="Q520" s="471"/>
      <c r="R520" s="471"/>
      <c r="S520" s="471"/>
      <c r="T520" s="471"/>
      <c r="U520" s="471"/>
      <c r="V520" s="484" t="s">
        <v>2128</v>
      </c>
      <c r="W520" s="491">
        <v>135000.0</v>
      </c>
      <c r="X520" s="491">
        <v>45000.0</v>
      </c>
      <c r="Y520" s="474">
        <v>0.0</v>
      </c>
      <c r="Z520" s="491"/>
      <c r="AA520" s="491">
        <v>45000.0</v>
      </c>
      <c r="AB520" s="471"/>
      <c r="AC520" s="471"/>
      <c r="AD520" s="471"/>
      <c r="AE520" s="471"/>
      <c r="AF520" s="471"/>
      <c r="AG520" s="471"/>
      <c r="AH520" s="471"/>
      <c r="AI520" s="471"/>
    </row>
    <row r="521" ht="22.5" customHeight="1">
      <c r="A521" s="471"/>
      <c r="B521" s="531" t="s">
        <v>2124</v>
      </c>
      <c r="C521" s="535"/>
      <c r="D521" s="535" t="s">
        <v>2151</v>
      </c>
      <c r="E521" s="537">
        <v>45877.0</v>
      </c>
      <c r="F521" s="546">
        <v>78039.0</v>
      </c>
      <c r="G521" s="535" t="s">
        <v>2171</v>
      </c>
      <c r="H521" s="531"/>
      <c r="I521" s="471"/>
      <c r="J521" s="490"/>
      <c r="K521" s="491"/>
      <c r="L521" s="471"/>
      <c r="M521" s="471"/>
      <c r="N521" s="471"/>
      <c r="O521" s="471"/>
      <c r="P521" s="471"/>
      <c r="Q521" s="471"/>
      <c r="R521" s="471"/>
      <c r="S521" s="471"/>
      <c r="T521" s="471"/>
      <c r="U521" s="471"/>
      <c r="V521" s="484" t="s">
        <v>124</v>
      </c>
      <c r="W521" s="491">
        <v>0.0</v>
      </c>
      <c r="X521" s="491">
        <v>100000.0</v>
      </c>
      <c r="Y521" s="474">
        <v>0.0</v>
      </c>
      <c r="Z521" s="491"/>
      <c r="AA521" s="491">
        <v>100000.0</v>
      </c>
      <c r="AB521" s="471"/>
      <c r="AC521" s="471"/>
      <c r="AD521" s="471"/>
      <c r="AE521" s="471"/>
      <c r="AF521" s="471"/>
      <c r="AG521" s="471"/>
      <c r="AH521" s="471"/>
      <c r="AI521" s="471"/>
    </row>
    <row r="522" ht="22.5" customHeight="1">
      <c r="A522" s="471"/>
      <c r="B522" s="531" t="s">
        <v>2124</v>
      </c>
      <c r="C522" s="535"/>
      <c r="D522" s="535" t="s">
        <v>2141</v>
      </c>
      <c r="E522" s="537">
        <v>45877.0</v>
      </c>
      <c r="F522" s="534">
        <v>54027.0</v>
      </c>
      <c r="G522" s="535" t="s">
        <v>2171</v>
      </c>
      <c r="H522" s="531"/>
      <c r="I522" s="471"/>
      <c r="J522" s="490"/>
      <c r="K522" s="491"/>
      <c r="L522" s="471"/>
      <c r="M522" s="471"/>
      <c r="N522" s="471"/>
      <c r="O522" s="471"/>
      <c r="P522" s="471"/>
      <c r="Q522" s="471"/>
      <c r="R522" s="471"/>
      <c r="S522" s="471"/>
      <c r="T522" s="471"/>
      <c r="U522" s="471"/>
      <c r="V522" s="484" t="s">
        <v>2130</v>
      </c>
      <c r="W522" s="491">
        <v>0.0</v>
      </c>
      <c r="X522" s="491">
        <v>50000.0</v>
      </c>
      <c r="Y522" s="474">
        <v>0.0</v>
      </c>
      <c r="Z522" s="491"/>
      <c r="AA522" s="491">
        <v>50000.0</v>
      </c>
      <c r="AB522" s="471"/>
      <c r="AC522" s="471"/>
      <c r="AD522" s="471"/>
      <c r="AE522" s="471"/>
      <c r="AF522" s="471"/>
      <c r="AG522" s="471"/>
      <c r="AH522" s="471"/>
      <c r="AI522" s="471"/>
    </row>
    <row r="523" ht="22.5" customHeight="1">
      <c r="A523" s="471"/>
      <c r="B523" s="531" t="s">
        <v>2124</v>
      </c>
      <c r="C523" s="535"/>
      <c r="D523" s="535" t="s">
        <v>2135</v>
      </c>
      <c r="E523" s="537">
        <v>45877.0</v>
      </c>
      <c r="F523" s="534">
        <v>120008.0</v>
      </c>
      <c r="G523" s="535" t="s">
        <v>2171</v>
      </c>
      <c r="H523" s="531"/>
      <c r="I523" s="471"/>
      <c r="J523" s="490"/>
      <c r="K523" s="491"/>
      <c r="L523" s="471"/>
      <c r="M523" s="471"/>
      <c r="N523" s="471"/>
      <c r="O523" s="471"/>
      <c r="P523" s="471"/>
      <c r="Q523" s="471"/>
      <c r="R523" s="471"/>
      <c r="S523" s="471"/>
      <c r="T523" s="471"/>
      <c r="U523" s="471"/>
      <c r="V523" s="484" t="s">
        <v>2131</v>
      </c>
      <c r="W523" s="491">
        <v>30000.0</v>
      </c>
      <c r="X523" s="491">
        <v>0.0</v>
      </c>
      <c r="Y523" s="474">
        <v>0.0</v>
      </c>
      <c r="Z523" s="491"/>
      <c r="AA523" s="491">
        <v>0.0</v>
      </c>
      <c r="AB523" s="471"/>
      <c r="AC523" s="471"/>
      <c r="AD523" s="471"/>
      <c r="AE523" s="471"/>
      <c r="AF523" s="471"/>
      <c r="AG523" s="471"/>
      <c r="AH523" s="471"/>
      <c r="AI523" s="471"/>
    </row>
    <row r="524" ht="22.5" customHeight="1">
      <c r="A524" s="471"/>
      <c r="B524" s="531" t="s">
        <v>2124</v>
      </c>
      <c r="C524" s="535"/>
      <c r="D524" s="535" t="s">
        <v>2153</v>
      </c>
      <c r="E524" s="537">
        <v>45877.0</v>
      </c>
      <c r="F524" s="534">
        <v>30015.0</v>
      </c>
      <c r="G524" s="535" t="s">
        <v>2171</v>
      </c>
      <c r="H524" s="531"/>
      <c r="I524" s="471"/>
      <c r="J524" s="490"/>
      <c r="K524" s="491"/>
      <c r="L524" s="471"/>
      <c r="M524" s="471"/>
      <c r="N524" s="471"/>
      <c r="O524" s="471"/>
      <c r="P524" s="471"/>
      <c r="Q524" s="471"/>
      <c r="R524" s="471"/>
      <c r="S524" s="471"/>
      <c r="T524" s="471"/>
      <c r="U524" s="471"/>
      <c r="V524" s="484" t="s">
        <v>2132</v>
      </c>
      <c r="W524" s="491">
        <v>140000.0</v>
      </c>
      <c r="X524" s="491">
        <v>0.0</v>
      </c>
      <c r="Y524" s="474">
        <v>0.0</v>
      </c>
      <c r="Z524" s="491"/>
      <c r="AA524" s="491">
        <v>0.0</v>
      </c>
      <c r="AB524" s="471"/>
      <c r="AC524" s="471"/>
      <c r="AD524" s="471"/>
      <c r="AE524" s="471"/>
      <c r="AF524" s="471"/>
      <c r="AG524" s="471"/>
      <c r="AH524" s="471"/>
      <c r="AI524" s="471"/>
    </row>
    <row r="525" ht="22.5" customHeight="1">
      <c r="A525" s="471"/>
      <c r="B525" s="531" t="s">
        <v>2124</v>
      </c>
      <c r="C525" s="535"/>
      <c r="D525" s="535" t="s">
        <v>2128</v>
      </c>
      <c r="E525" s="537">
        <v>45877.0</v>
      </c>
      <c r="F525" s="534">
        <v>132040.0</v>
      </c>
      <c r="G525" s="535" t="s">
        <v>2171</v>
      </c>
      <c r="H525" s="531"/>
      <c r="I525" s="471"/>
      <c r="J525" s="490"/>
      <c r="K525" s="491"/>
      <c r="L525" s="471"/>
      <c r="M525" s="471"/>
      <c r="N525" s="471"/>
      <c r="O525" s="471"/>
      <c r="P525" s="471"/>
      <c r="Q525" s="471"/>
      <c r="R525" s="471"/>
      <c r="S525" s="471"/>
      <c r="T525" s="471"/>
      <c r="U525" s="471"/>
      <c r="V525" s="484" t="s">
        <v>2133</v>
      </c>
      <c r="W525" s="491">
        <v>20000.0</v>
      </c>
      <c r="X525" s="491">
        <v>0.0</v>
      </c>
      <c r="Y525" s="474">
        <v>0.0</v>
      </c>
      <c r="Z525" s="491"/>
      <c r="AA525" s="491">
        <v>0.0</v>
      </c>
      <c r="AB525" s="471"/>
      <c r="AC525" s="471"/>
      <c r="AD525" s="471"/>
      <c r="AE525" s="471"/>
      <c r="AF525" s="471"/>
      <c r="AG525" s="471"/>
      <c r="AH525" s="471"/>
      <c r="AI525" s="471"/>
    </row>
    <row r="526" ht="22.5" customHeight="1">
      <c r="A526" s="471"/>
      <c r="B526" s="531" t="s">
        <v>2124</v>
      </c>
      <c r="C526" s="535"/>
      <c r="D526" s="535" t="s">
        <v>2134</v>
      </c>
      <c r="E526" s="537">
        <v>45877.0</v>
      </c>
      <c r="F526" s="534">
        <v>36044.0</v>
      </c>
      <c r="G526" s="535" t="s">
        <v>2171</v>
      </c>
      <c r="H526" s="531"/>
      <c r="I526" s="471"/>
      <c r="J526" s="490"/>
      <c r="K526" s="491"/>
      <c r="L526" s="471"/>
      <c r="M526" s="471"/>
      <c r="N526" s="471"/>
      <c r="O526" s="471"/>
      <c r="P526" s="471"/>
      <c r="Q526" s="471"/>
      <c r="R526" s="471"/>
      <c r="S526" s="471"/>
      <c r="T526" s="471"/>
      <c r="U526" s="471"/>
      <c r="V526" s="484" t="s">
        <v>2134</v>
      </c>
      <c r="W526" s="491">
        <v>20000.0</v>
      </c>
      <c r="X526" s="491">
        <v>0.0</v>
      </c>
      <c r="Y526" s="474">
        <v>0.0</v>
      </c>
      <c r="Z526" s="491"/>
      <c r="AA526" s="491">
        <v>0.0</v>
      </c>
      <c r="AB526" s="471"/>
      <c r="AC526" s="471"/>
      <c r="AD526" s="471"/>
      <c r="AE526" s="471"/>
      <c r="AF526" s="471"/>
      <c r="AG526" s="471"/>
      <c r="AH526" s="471"/>
      <c r="AI526" s="471"/>
    </row>
    <row r="527" ht="22.5" customHeight="1">
      <c r="A527" s="471"/>
      <c r="B527" s="531" t="s">
        <v>2124</v>
      </c>
      <c r="C527" s="535"/>
      <c r="D527" s="535" t="s">
        <v>2132</v>
      </c>
      <c r="E527" s="537">
        <v>45877.0</v>
      </c>
      <c r="F527" s="534">
        <v>96022.0</v>
      </c>
      <c r="G527" s="535" t="s">
        <v>2171</v>
      </c>
      <c r="H527" s="531"/>
      <c r="I527" s="471"/>
      <c r="J527" s="490"/>
      <c r="K527" s="491"/>
      <c r="L527" s="471"/>
      <c r="M527" s="471"/>
      <c r="N527" s="471"/>
      <c r="O527" s="471"/>
      <c r="P527" s="471"/>
      <c r="Q527" s="471"/>
      <c r="R527" s="471"/>
      <c r="S527" s="471"/>
      <c r="T527" s="471"/>
      <c r="U527" s="471"/>
      <c r="V527" s="484" t="s">
        <v>2135</v>
      </c>
      <c r="W527" s="491">
        <v>0.0</v>
      </c>
      <c r="X527" s="491">
        <v>40000.0</v>
      </c>
      <c r="Y527" s="474">
        <v>0.0</v>
      </c>
      <c r="Z527" s="491"/>
      <c r="AA527" s="491">
        <v>40000.0</v>
      </c>
      <c r="AB527" s="471"/>
      <c r="AC527" s="471"/>
      <c r="AD527" s="471"/>
      <c r="AE527" s="471"/>
      <c r="AF527" s="471"/>
      <c r="AG527" s="471"/>
      <c r="AH527" s="471"/>
      <c r="AI527" s="471"/>
    </row>
    <row r="528" ht="22.5" customHeight="1">
      <c r="A528" s="471"/>
      <c r="B528" s="531" t="s">
        <v>2124</v>
      </c>
      <c r="C528" s="535"/>
      <c r="D528" s="535" t="s">
        <v>2137</v>
      </c>
      <c r="E528" s="537">
        <v>45877.0</v>
      </c>
      <c r="F528" s="534">
        <v>51052.0</v>
      </c>
      <c r="G528" s="535" t="s">
        <v>2171</v>
      </c>
      <c r="H528" s="531"/>
      <c r="I528" s="471"/>
      <c r="J528" s="490"/>
      <c r="K528" s="491"/>
      <c r="L528" s="471"/>
      <c r="M528" s="471"/>
      <c r="N528" s="471"/>
      <c r="O528" s="471"/>
      <c r="P528" s="471"/>
      <c r="Q528" s="471"/>
      <c r="R528" s="471"/>
      <c r="S528" s="471"/>
      <c r="T528" s="471"/>
      <c r="U528" s="471"/>
      <c r="V528" s="484" t="s">
        <v>2137</v>
      </c>
      <c r="W528" s="491">
        <v>85000.0</v>
      </c>
      <c r="X528" s="491">
        <v>0.0</v>
      </c>
      <c r="Y528" s="474">
        <v>16455.0</v>
      </c>
      <c r="Z528" s="491"/>
      <c r="AA528" s="491">
        <v>16455.0</v>
      </c>
      <c r="AB528" s="471"/>
      <c r="AC528" s="471"/>
      <c r="AD528" s="471"/>
      <c r="AE528" s="471"/>
      <c r="AF528" s="471"/>
      <c r="AG528" s="471"/>
      <c r="AH528" s="471"/>
      <c r="AI528" s="471"/>
    </row>
    <row r="529" ht="22.5" customHeight="1">
      <c r="A529" s="471"/>
      <c r="B529" s="531" t="s">
        <v>2124</v>
      </c>
      <c r="C529" s="535"/>
      <c r="D529" s="535" t="s">
        <v>2131</v>
      </c>
      <c r="E529" s="537">
        <v>45877.0</v>
      </c>
      <c r="F529" s="534">
        <v>72009.0</v>
      </c>
      <c r="G529" s="535" t="s">
        <v>2171</v>
      </c>
      <c r="H529" s="531"/>
      <c r="I529" s="471"/>
      <c r="J529" s="490"/>
      <c r="K529" s="491"/>
      <c r="L529" s="471"/>
      <c r="M529" s="471"/>
      <c r="N529" s="471"/>
      <c r="O529" s="471"/>
      <c r="P529" s="471"/>
      <c r="Q529" s="471"/>
      <c r="R529" s="471"/>
      <c r="S529" s="471"/>
      <c r="T529" s="471"/>
      <c r="U529" s="471"/>
      <c r="V529" s="484" t="s">
        <v>2166</v>
      </c>
      <c r="W529" s="491">
        <v>0.0</v>
      </c>
      <c r="X529" s="491">
        <v>0.0</v>
      </c>
      <c r="Y529" s="474">
        <v>1500.0</v>
      </c>
      <c r="Z529" s="491"/>
      <c r="AA529" s="491">
        <v>1500.0</v>
      </c>
      <c r="AB529" s="471"/>
      <c r="AC529" s="471"/>
      <c r="AD529" s="471"/>
      <c r="AE529" s="471"/>
      <c r="AF529" s="471"/>
      <c r="AG529" s="471"/>
      <c r="AH529" s="471"/>
      <c r="AI529" s="471"/>
    </row>
    <row r="530" ht="22.5" customHeight="1">
      <c r="A530" s="471"/>
      <c r="B530" s="531" t="s">
        <v>2124</v>
      </c>
      <c r="C530" s="535"/>
      <c r="D530" s="535" t="s">
        <v>2130</v>
      </c>
      <c r="E530" s="537">
        <v>45877.0</v>
      </c>
      <c r="F530" s="534">
        <v>54027.0</v>
      </c>
      <c r="G530" s="535" t="s">
        <v>2171</v>
      </c>
      <c r="H530" s="531"/>
      <c r="I530" s="471"/>
      <c r="J530" s="490"/>
      <c r="K530" s="491"/>
      <c r="L530" s="471"/>
      <c r="M530" s="471"/>
      <c r="N530" s="471"/>
      <c r="O530" s="471"/>
      <c r="P530" s="471"/>
      <c r="Q530" s="471"/>
      <c r="R530" s="471"/>
      <c r="S530" s="471"/>
      <c r="T530" s="471"/>
      <c r="U530" s="471"/>
      <c r="V530" s="484" t="s">
        <v>2139</v>
      </c>
      <c r="W530" s="491">
        <v>0.0</v>
      </c>
      <c r="X530" s="491">
        <v>150000.0</v>
      </c>
      <c r="Y530" s="474">
        <v>0.0</v>
      </c>
      <c r="Z530" s="491"/>
      <c r="AA530" s="491">
        <v>150000.0</v>
      </c>
      <c r="AB530" s="471"/>
      <c r="AC530" s="471"/>
      <c r="AD530" s="471"/>
      <c r="AE530" s="471"/>
      <c r="AF530" s="471"/>
      <c r="AG530" s="471"/>
      <c r="AH530" s="471"/>
      <c r="AI530" s="471"/>
    </row>
    <row r="531" ht="22.5" customHeight="1">
      <c r="A531" s="471"/>
      <c r="B531" s="531" t="s">
        <v>2124</v>
      </c>
      <c r="C531" s="535"/>
      <c r="D531" s="535" t="s">
        <v>124</v>
      </c>
      <c r="E531" s="537">
        <v>45877.0</v>
      </c>
      <c r="F531" s="534">
        <v>90045.0</v>
      </c>
      <c r="G531" s="535" t="s">
        <v>2171</v>
      </c>
      <c r="H531" s="531"/>
      <c r="I531" s="471"/>
      <c r="J531" s="490"/>
      <c r="K531" s="491"/>
      <c r="L531" s="471"/>
      <c r="M531" s="471"/>
      <c r="N531" s="471"/>
      <c r="O531" s="471"/>
      <c r="P531" s="471"/>
      <c r="Q531" s="471"/>
      <c r="R531" s="471"/>
      <c r="S531" s="471"/>
      <c r="T531" s="471"/>
      <c r="U531" s="471"/>
      <c r="V531" s="484" t="s">
        <v>2141</v>
      </c>
      <c r="W531" s="491">
        <v>30000.0</v>
      </c>
      <c r="X531" s="491">
        <v>0.0</v>
      </c>
      <c r="Y531" s="474">
        <v>0.0</v>
      </c>
      <c r="Z531" s="491"/>
      <c r="AA531" s="491">
        <v>0.0</v>
      </c>
      <c r="AB531" s="471"/>
      <c r="AC531" s="471"/>
      <c r="AD531" s="471"/>
      <c r="AE531" s="471"/>
      <c r="AF531" s="471"/>
      <c r="AG531" s="471"/>
      <c r="AH531" s="471"/>
      <c r="AI531" s="471"/>
    </row>
    <row r="532" ht="22.5" customHeight="1">
      <c r="A532" s="471"/>
      <c r="B532" s="531" t="s">
        <v>2124</v>
      </c>
      <c r="C532" s="535"/>
      <c r="D532" s="535" t="s">
        <v>2154</v>
      </c>
      <c r="E532" s="537">
        <v>45877.0</v>
      </c>
      <c r="F532" s="534">
        <v>60030.0</v>
      </c>
      <c r="G532" s="535" t="s">
        <v>2171</v>
      </c>
      <c r="H532" s="531"/>
      <c r="I532" s="471"/>
      <c r="J532" s="490"/>
      <c r="K532" s="491"/>
      <c r="L532" s="471"/>
      <c r="M532" s="471"/>
      <c r="N532" s="471"/>
      <c r="O532" s="471"/>
      <c r="P532" s="471"/>
      <c r="Q532" s="471"/>
      <c r="R532" s="471"/>
      <c r="S532" s="471"/>
      <c r="T532" s="471"/>
      <c r="U532" s="471"/>
      <c r="V532" s="484" t="s">
        <v>2143</v>
      </c>
      <c r="W532" s="491">
        <v>0.0</v>
      </c>
      <c r="X532" s="491">
        <v>30000.0</v>
      </c>
      <c r="Y532" s="474">
        <v>0.0</v>
      </c>
      <c r="Z532" s="491"/>
      <c r="AA532" s="491">
        <v>30000.0</v>
      </c>
      <c r="AB532" s="471"/>
      <c r="AC532" s="471"/>
      <c r="AD532" s="471"/>
      <c r="AE532" s="471"/>
      <c r="AF532" s="471"/>
      <c r="AG532" s="471"/>
      <c r="AH532" s="471"/>
      <c r="AI532" s="471"/>
    </row>
    <row r="533" ht="22.5" customHeight="1">
      <c r="A533" s="471"/>
      <c r="B533" s="531" t="s">
        <v>2124</v>
      </c>
      <c r="C533" s="535"/>
      <c r="D533" s="535" t="s">
        <v>2128</v>
      </c>
      <c r="E533" s="537">
        <v>45877.0</v>
      </c>
      <c r="F533" s="534">
        <v>45000.0</v>
      </c>
      <c r="G533" s="535" t="s">
        <v>2108</v>
      </c>
      <c r="H533" s="531"/>
      <c r="I533" s="471"/>
      <c r="J533" s="490"/>
      <c r="K533" s="491"/>
      <c r="L533" s="471"/>
      <c r="M533" s="471"/>
      <c r="N533" s="471"/>
      <c r="O533" s="471"/>
      <c r="P533" s="471"/>
      <c r="Q533" s="471"/>
      <c r="R533" s="471"/>
      <c r="S533" s="471"/>
      <c r="T533" s="471"/>
      <c r="U533" s="471"/>
      <c r="V533" s="484" t="s">
        <v>2145</v>
      </c>
      <c r="W533" s="491">
        <v>0.0</v>
      </c>
      <c r="X533" s="491">
        <v>0.0</v>
      </c>
      <c r="Y533" s="474">
        <v>0.0</v>
      </c>
      <c r="Z533" s="491"/>
      <c r="AA533" s="491">
        <v>0.0</v>
      </c>
      <c r="AB533" s="471"/>
      <c r="AC533" s="471"/>
      <c r="AD533" s="471"/>
      <c r="AE533" s="471"/>
      <c r="AF533" s="471"/>
      <c r="AG533" s="471"/>
      <c r="AH533" s="471"/>
      <c r="AI533" s="471"/>
    </row>
    <row r="534" ht="22.5" customHeight="1">
      <c r="A534" s="471"/>
      <c r="B534" s="531" t="s">
        <v>2124</v>
      </c>
      <c r="C534" s="535"/>
      <c r="D534" s="535" t="s">
        <v>124</v>
      </c>
      <c r="E534" s="537">
        <v>45877.0</v>
      </c>
      <c r="F534" s="534">
        <v>100000.0</v>
      </c>
      <c r="G534" s="535" t="s">
        <v>2108</v>
      </c>
      <c r="H534" s="531"/>
      <c r="I534" s="471"/>
      <c r="J534" s="490"/>
      <c r="K534" s="491"/>
      <c r="L534" s="471"/>
      <c r="M534" s="471"/>
      <c r="N534" s="471"/>
      <c r="O534" s="471"/>
      <c r="P534" s="471"/>
      <c r="Q534" s="471"/>
      <c r="R534" s="471"/>
      <c r="S534" s="471"/>
      <c r="T534" s="471"/>
      <c r="U534" s="471"/>
      <c r="V534" s="484" t="s">
        <v>2147</v>
      </c>
      <c r="W534" s="491">
        <v>0.0</v>
      </c>
      <c r="X534" s="491">
        <v>0.0</v>
      </c>
      <c r="Y534" s="474">
        <v>0.0</v>
      </c>
      <c r="Z534" s="491"/>
      <c r="AA534" s="491">
        <v>0.0</v>
      </c>
      <c r="AB534" s="471"/>
      <c r="AC534" s="471"/>
      <c r="AD534" s="471"/>
      <c r="AE534" s="471"/>
      <c r="AF534" s="471"/>
      <c r="AG534" s="471"/>
      <c r="AH534" s="471"/>
      <c r="AI534" s="471"/>
    </row>
    <row r="535" ht="22.5" customHeight="1">
      <c r="A535" s="471"/>
      <c r="B535" s="531" t="s">
        <v>2124</v>
      </c>
      <c r="C535" s="535"/>
      <c r="D535" s="535" t="s">
        <v>2130</v>
      </c>
      <c r="E535" s="537">
        <v>45877.0</v>
      </c>
      <c r="F535" s="534">
        <v>50000.0</v>
      </c>
      <c r="G535" s="535" t="s">
        <v>2108</v>
      </c>
      <c r="H535" s="531"/>
      <c r="I535" s="471"/>
      <c r="J535" s="490"/>
      <c r="K535" s="491"/>
      <c r="L535" s="471"/>
      <c r="M535" s="471"/>
      <c r="N535" s="471"/>
      <c r="O535" s="471"/>
      <c r="P535" s="471"/>
      <c r="Q535" s="471"/>
      <c r="R535" s="471"/>
      <c r="S535" s="471"/>
      <c r="T535" s="471"/>
      <c r="U535" s="471"/>
      <c r="V535" s="484" t="s">
        <v>2165</v>
      </c>
      <c r="W535" s="491">
        <v>180000.0</v>
      </c>
      <c r="X535" s="491">
        <v>0.0</v>
      </c>
      <c r="Y535" s="474">
        <v>0.0</v>
      </c>
      <c r="Z535" s="491"/>
      <c r="AA535" s="491">
        <v>0.0</v>
      </c>
      <c r="AB535" s="471"/>
      <c r="AC535" s="471"/>
      <c r="AD535" s="471"/>
      <c r="AE535" s="471"/>
      <c r="AF535" s="471"/>
      <c r="AG535" s="471"/>
      <c r="AH535" s="471"/>
      <c r="AI535" s="471"/>
    </row>
    <row r="536" ht="22.5" customHeight="1">
      <c r="A536" s="471"/>
      <c r="B536" s="531" t="s">
        <v>2124</v>
      </c>
      <c r="C536" s="535"/>
      <c r="D536" s="535" t="s">
        <v>2135</v>
      </c>
      <c r="E536" s="537">
        <v>45877.0</v>
      </c>
      <c r="F536" s="534">
        <v>40000.0</v>
      </c>
      <c r="G536" s="535" t="s">
        <v>2108</v>
      </c>
      <c r="H536" s="531"/>
      <c r="I536" s="471"/>
      <c r="J536" s="490"/>
      <c r="K536" s="491"/>
      <c r="L536" s="471"/>
      <c r="M536" s="471"/>
      <c r="N536" s="471"/>
      <c r="O536" s="471"/>
      <c r="P536" s="471"/>
      <c r="Q536" s="471"/>
      <c r="R536" s="471"/>
      <c r="S536" s="471"/>
      <c r="T536" s="471"/>
      <c r="U536" s="471"/>
      <c r="V536" s="484" t="s">
        <v>2151</v>
      </c>
      <c r="W536" s="491">
        <v>34350.0</v>
      </c>
      <c r="X536" s="491">
        <v>15650.0</v>
      </c>
      <c r="Y536" s="474">
        <v>0.0</v>
      </c>
      <c r="Z536" s="474"/>
      <c r="AA536" s="474">
        <v>12100.0</v>
      </c>
      <c r="AB536" s="471"/>
      <c r="AC536" s="471"/>
      <c r="AD536" s="471"/>
      <c r="AE536" s="471"/>
      <c r="AF536" s="471"/>
      <c r="AG536" s="471"/>
      <c r="AH536" s="471"/>
      <c r="AI536" s="471"/>
    </row>
    <row r="537" ht="22.5" customHeight="1">
      <c r="A537" s="471"/>
      <c r="B537" s="531" t="s">
        <v>2124</v>
      </c>
      <c r="C537" s="535"/>
      <c r="D537" s="535" t="s">
        <v>2143</v>
      </c>
      <c r="E537" s="537">
        <v>45877.0</v>
      </c>
      <c r="F537" s="534">
        <v>30000.0</v>
      </c>
      <c r="G537" s="535" t="s">
        <v>2108</v>
      </c>
      <c r="H537" s="531"/>
      <c r="I537" s="471"/>
      <c r="J537" s="490"/>
      <c r="K537" s="491"/>
      <c r="L537" s="471"/>
      <c r="M537" s="471"/>
      <c r="N537" s="471"/>
      <c r="O537" s="471"/>
      <c r="P537" s="471"/>
      <c r="Q537" s="471"/>
      <c r="R537" s="471"/>
      <c r="S537" s="471"/>
      <c r="T537" s="471"/>
      <c r="U537" s="471"/>
      <c r="V537" s="484" t="s">
        <v>2153</v>
      </c>
      <c r="W537" s="491">
        <v>100000.0</v>
      </c>
      <c r="X537" s="491">
        <v>0.0</v>
      </c>
      <c r="Y537" s="474">
        <v>0.0</v>
      </c>
      <c r="Z537" s="491"/>
      <c r="AA537" s="491">
        <v>0.0</v>
      </c>
      <c r="AB537" s="471"/>
      <c r="AC537" s="471"/>
      <c r="AD537" s="471"/>
      <c r="AE537" s="471"/>
      <c r="AF537" s="471"/>
      <c r="AG537" s="471"/>
      <c r="AH537" s="471"/>
      <c r="AI537" s="471"/>
    </row>
    <row r="538" ht="22.5" customHeight="1">
      <c r="A538" s="471"/>
      <c r="B538" s="531" t="s">
        <v>2124</v>
      </c>
      <c r="C538" s="535"/>
      <c r="D538" s="535" t="s">
        <v>2154</v>
      </c>
      <c r="E538" s="537">
        <v>45877.0</v>
      </c>
      <c r="F538" s="534">
        <v>30000.0</v>
      </c>
      <c r="G538" s="535" t="s">
        <v>2108</v>
      </c>
      <c r="H538" s="531"/>
      <c r="I538" s="471"/>
      <c r="J538" s="490"/>
      <c r="K538" s="491"/>
      <c r="L538" s="471"/>
      <c r="M538" s="471"/>
      <c r="N538" s="471"/>
      <c r="O538" s="471"/>
      <c r="P538" s="471"/>
      <c r="Q538" s="471"/>
      <c r="R538" s="471"/>
      <c r="S538" s="471"/>
      <c r="T538" s="471"/>
      <c r="U538" s="471"/>
      <c r="V538" s="484" t="s">
        <v>2154</v>
      </c>
      <c r="W538" s="491">
        <v>0.0</v>
      </c>
      <c r="X538" s="491">
        <v>30000.0</v>
      </c>
      <c r="Y538" s="474">
        <v>0.0</v>
      </c>
      <c r="Z538" s="491"/>
      <c r="AA538" s="491">
        <v>30000.0</v>
      </c>
      <c r="AB538" s="471"/>
      <c r="AC538" s="471"/>
      <c r="AD538" s="471"/>
      <c r="AE538" s="471"/>
      <c r="AF538" s="471"/>
      <c r="AG538" s="471"/>
      <c r="AH538" s="471"/>
      <c r="AI538" s="471"/>
    </row>
    <row r="539" ht="22.5" customHeight="1">
      <c r="A539" s="471"/>
      <c r="B539" s="531" t="s">
        <v>2124</v>
      </c>
      <c r="C539" s="535"/>
      <c r="D539" s="535"/>
      <c r="E539" s="537"/>
      <c r="F539" s="534"/>
      <c r="G539" s="535" t="s">
        <v>2108</v>
      </c>
      <c r="H539" s="531"/>
      <c r="I539" s="471"/>
      <c r="J539" s="490"/>
      <c r="K539" s="491"/>
      <c r="L539" s="471"/>
      <c r="M539" s="471"/>
      <c r="N539" s="471"/>
      <c r="O539" s="471"/>
      <c r="P539" s="471"/>
      <c r="Q539" s="471"/>
      <c r="R539" s="471"/>
      <c r="S539" s="471"/>
      <c r="T539" s="471"/>
      <c r="U539" s="471"/>
      <c r="V539" s="471"/>
      <c r="W539" s="471"/>
      <c r="X539" s="471"/>
      <c r="Y539" s="471"/>
      <c r="Z539" s="471"/>
      <c r="AA539" s="471"/>
      <c r="AB539" s="471"/>
      <c r="AC539" s="471"/>
      <c r="AD539" s="471"/>
      <c r="AE539" s="471"/>
      <c r="AF539" s="471"/>
      <c r="AG539" s="471"/>
      <c r="AH539" s="471"/>
      <c r="AI539" s="471"/>
    </row>
    <row r="540" ht="22.5" customHeight="1">
      <c r="A540" s="471"/>
      <c r="B540" s="531" t="s">
        <v>2124</v>
      </c>
      <c r="C540" s="535"/>
      <c r="D540" s="535"/>
      <c r="E540" s="537"/>
      <c r="F540" s="534"/>
      <c r="G540" s="535" t="s">
        <v>2108</v>
      </c>
      <c r="H540" s="531"/>
      <c r="I540" s="471"/>
      <c r="J540" s="490"/>
      <c r="K540" s="491"/>
      <c r="L540" s="471"/>
      <c r="M540" s="471"/>
      <c r="N540" s="471"/>
      <c r="O540" s="471"/>
      <c r="P540" s="471"/>
      <c r="Q540" s="471"/>
      <c r="R540" s="471"/>
      <c r="S540" s="471"/>
      <c r="T540" s="471"/>
      <c r="U540" s="471"/>
      <c r="V540" s="471"/>
      <c r="W540" s="471"/>
      <c r="X540" s="471"/>
      <c r="Y540" s="471"/>
      <c r="Z540" s="471"/>
      <c r="AA540" s="471"/>
      <c r="AB540" s="471"/>
      <c r="AC540" s="471"/>
      <c r="AD540" s="471"/>
      <c r="AE540" s="471"/>
      <c r="AF540" s="471"/>
      <c r="AG540" s="471"/>
      <c r="AH540" s="471"/>
      <c r="AI540" s="471"/>
    </row>
    <row r="541" ht="22.5" customHeight="1">
      <c r="A541" s="471"/>
      <c r="B541" s="531" t="s">
        <v>2124</v>
      </c>
      <c r="C541" s="535"/>
      <c r="D541" s="535"/>
      <c r="E541" s="537"/>
      <c r="F541" s="534"/>
      <c r="G541" s="535" t="s">
        <v>2108</v>
      </c>
      <c r="H541" s="531"/>
      <c r="I541" s="471"/>
      <c r="J541" s="490"/>
      <c r="K541" s="491"/>
      <c r="L541" s="471"/>
      <c r="M541" s="471"/>
      <c r="N541" s="471"/>
      <c r="O541" s="471"/>
      <c r="P541" s="471"/>
      <c r="Q541" s="471"/>
      <c r="R541" s="471"/>
      <c r="S541" s="471"/>
      <c r="T541" s="471"/>
      <c r="U541" s="471"/>
      <c r="V541" s="471"/>
      <c r="W541" s="471"/>
      <c r="X541" s="471"/>
      <c r="Y541" s="471"/>
      <c r="Z541" s="471"/>
      <c r="AA541" s="471"/>
      <c r="AB541" s="471"/>
      <c r="AC541" s="471"/>
      <c r="AD541" s="471"/>
      <c r="AE541" s="471"/>
      <c r="AF541" s="471"/>
      <c r="AG541" s="471"/>
      <c r="AH541" s="471"/>
      <c r="AI541" s="471"/>
    </row>
    <row r="542" ht="22.5" customHeight="1">
      <c r="A542" s="471"/>
      <c r="B542" s="531" t="s">
        <v>2124</v>
      </c>
      <c r="C542" s="535"/>
      <c r="D542" s="535"/>
      <c r="E542" s="537"/>
      <c r="F542" s="534"/>
      <c r="G542" s="535" t="s">
        <v>2108</v>
      </c>
      <c r="H542" s="531"/>
      <c r="I542" s="471"/>
      <c r="J542" s="490"/>
      <c r="K542" s="491"/>
      <c r="L542" s="471"/>
      <c r="M542" s="471"/>
      <c r="N542" s="471"/>
      <c r="O542" s="471"/>
      <c r="P542" s="471"/>
      <c r="Q542" s="471"/>
      <c r="R542" s="471"/>
      <c r="S542" s="471"/>
      <c r="T542" s="471"/>
      <c r="U542" s="471"/>
      <c r="V542" s="471"/>
      <c r="W542" s="471"/>
      <c r="X542" s="471"/>
      <c r="Y542" s="471"/>
      <c r="Z542" s="471"/>
      <c r="AA542" s="471"/>
      <c r="AB542" s="471"/>
      <c r="AC542" s="471"/>
      <c r="AD542" s="471"/>
      <c r="AE542" s="471"/>
      <c r="AF542" s="471"/>
      <c r="AG542" s="471"/>
      <c r="AH542" s="471"/>
      <c r="AI542" s="471"/>
    </row>
    <row r="543" ht="22.5" customHeight="1">
      <c r="A543" s="471"/>
      <c r="B543" s="531" t="s">
        <v>2124</v>
      </c>
      <c r="C543" s="535"/>
      <c r="D543" s="535"/>
      <c r="E543" s="537"/>
      <c r="F543" s="534"/>
      <c r="G543" s="535" t="s">
        <v>2108</v>
      </c>
      <c r="H543" s="531"/>
      <c r="I543" s="471"/>
      <c r="J543" s="490"/>
      <c r="K543" s="491"/>
      <c r="L543" s="471"/>
      <c r="M543" s="471"/>
      <c r="N543" s="471"/>
      <c r="O543" s="471"/>
      <c r="P543" s="471"/>
      <c r="Q543" s="471"/>
      <c r="R543" s="471"/>
      <c r="S543" s="471"/>
      <c r="T543" s="471"/>
      <c r="U543" s="471"/>
      <c r="V543" s="471"/>
      <c r="W543" s="471"/>
      <c r="X543" s="471"/>
      <c r="Y543" s="471"/>
      <c r="Z543" s="471"/>
      <c r="AA543" s="471"/>
      <c r="AB543" s="471"/>
      <c r="AC543" s="471"/>
      <c r="AD543" s="471"/>
      <c r="AE543" s="471"/>
      <c r="AF543" s="471"/>
      <c r="AG543" s="471"/>
      <c r="AH543" s="471"/>
      <c r="AI543" s="471"/>
    </row>
    <row r="544">
      <c r="A544" s="471"/>
      <c r="B544" s="471"/>
      <c r="C544" s="471"/>
      <c r="D544" s="471"/>
      <c r="E544" s="471"/>
      <c r="F544" s="501"/>
      <c r="G544" s="471"/>
      <c r="H544" s="471"/>
      <c r="I544" s="471"/>
      <c r="J544" s="490"/>
      <c r="K544" s="491"/>
      <c r="L544" s="471"/>
      <c r="M544" s="471"/>
      <c r="N544" s="471"/>
      <c r="O544" s="471"/>
      <c r="P544" s="471"/>
      <c r="Q544" s="471"/>
      <c r="R544" s="471"/>
      <c r="S544" s="471"/>
      <c r="T544" s="471"/>
      <c r="U544" s="471"/>
      <c r="V544" s="471"/>
      <c r="W544" s="471"/>
      <c r="X544" s="471"/>
      <c r="Y544" s="471"/>
      <c r="Z544" s="471"/>
      <c r="AA544" s="471"/>
      <c r="AB544" s="471"/>
      <c r="AC544" s="471"/>
      <c r="AD544" s="471"/>
      <c r="AE544" s="471"/>
      <c r="AF544" s="471"/>
      <c r="AG544" s="471"/>
      <c r="AH544" s="471"/>
      <c r="AI544" s="471"/>
    </row>
    <row r="545">
      <c r="A545" s="471"/>
      <c r="B545" s="471"/>
      <c r="C545" s="471"/>
      <c r="D545" s="471"/>
      <c r="E545" s="471"/>
      <c r="F545" s="501"/>
      <c r="G545" s="471"/>
      <c r="H545" s="471"/>
      <c r="I545" s="471"/>
      <c r="J545" s="490"/>
      <c r="K545" s="491"/>
      <c r="L545" s="471"/>
      <c r="M545" s="471"/>
      <c r="N545" s="471"/>
      <c r="O545" s="471"/>
      <c r="P545" s="471"/>
      <c r="Q545" s="471"/>
      <c r="R545" s="471"/>
      <c r="S545" s="471"/>
      <c r="T545" s="471"/>
      <c r="U545" s="471"/>
      <c r="V545" s="471"/>
      <c r="W545" s="471"/>
      <c r="X545" s="471"/>
      <c r="Y545" s="471"/>
      <c r="Z545" s="471"/>
      <c r="AA545" s="471"/>
      <c r="AB545" s="471"/>
      <c r="AC545" s="471"/>
      <c r="AD545" s="471"/>
      <c r="AE545" s="471"/>
      <c r="AF545" s="471"/>
      <c r="AG545" s="471"/>
      <c r="AH545" s="471"/>
      <c r="AI545" s="471"/>
    </row>
    <row r="546">
      <c r="A546" s="471"/>
      <c r="B546" s="471"/>
      <c r="C546" s="471"/>
      <c r="D546" s="471"/>
      <c r="E546" s="471"/>
      <c r="F546" s="501"/>
      <c r="G546" s="471"/>
      <c r="H546" s="471"/>
      <c r="I546" s="471"/>
      <c r="J546" s="490"/>
      <c r="K546" s="491"/>
      <c r="L546" s="471"/>
      <c r="M546" s="471"/>
      <c r="N546" s="471"/>
      <c r="O546" s="471"/>
      <c r="P546" s="471"/>
      <c r="Q546" s="471"/>
      <c r="R546" s="471"/>
      <c r="S546" s="471"/>
      <c r="T546" s="471"/>
      <c r="U546" s="471"/>
      <c r="V546" s="471"/>
      <c r="W546" s="471"/>
      <c r="X546" s="471"/>
      <c r="Y546" s="471"/>
      <c r="Z546" s="471"/>
      <c r="AA546" s="471"/>
      <c r="AB546" s="471"/>
      <c r="AC546" s="471"/>
      <c r="AD546" s="471"/>
      <c r="AE546" s="471"/>
      <c r="AF546" s="471"/>
      <c r="AG546" s="471"/>
      <c r="AH546" s="471"/>
      <c r="AI546" s="471"/>
    </row>
    <row r="547">
      <c r="A547" s="471"/>
      <c r="B547" s="471"/>
      <c r="C547" s="471"/>
      <c r="D547" s="471"/>
      <c r="E547" s="471"/>
      <c r="F547" s="501"/>
      <c r="G547" s="471"/>
      <c r="H547" s="471"/>
      <c r="I547" s="471"/>
      <c r="J547" s="490"/>
      <c r="K547" s="491"/>
      <c r="L547" s="471"/>
      <c r="M547" s="471"/>
      <c r="N547" s="471"/>
      <c r="O547" s="471"/>
      <c r="P547" s="471"/>
      <c r="Q547" s="471"/>
      <c r="R547" s="471"/>
      <c r="S547" s="471"/>
      <c r="T547" s="471"/>
      <c r="U547" s="471"/>
      <c r="V547" s="471"/>
      <c r="W547" s="471"/>
      <c r="X547" s="471"/>
      <c r="Y547" s="471"/>
      <c r="Z547" s="471"/>
      <c r="AA547" s="471"/>
      <c r="AB547" s="471"/>
      <c r="AC547" s="471"/>
      <c r="AD547" s="471"/>
      <c r="AE547" s="471"/>
      <c r="AF547" s="471"/>
      <c r="AG547" s="471"/>
      <c r="AH547" s="471"/>
      <c r="AI547" s="471"/>
    </row>
    <row r="548">
      <c r="A548" s="471"/>
      <c r="B548" s="471"/>
      <c r="C548" s="471"/>
      <c r="D548" s="471"/>
      <c r="E548" s="471"/>
      <c r="F548" s="501"/>
      <c r="G548" s="471"/>
      <c r="H548" s="471"/>
      <c r="I548" s="471"/>
      <c r="J548" s="490"/>
      <c r="K548" s="491"/>
      <c r="L548" s="471"/>
      <c r="M548" s="471"/>
      <c r="N548" s="471"/>
      <c r="O548" s="471"/>
      <c r="P548" s="471"/>
      <c r="Q548" s="471"/>
      <c r="R548" s="471"/>
      <c r="S548" s="471"/>
      <c r="T548" s="471"/>
      <c r="U548" s="471"/>
      <c r="V548" s="471"/>
      <c r="W548" s="471"/>
      <c r="X548" s="471"/>
      <c r="Y548" s="471"/>
      <c r="Z548" s="471"/>
      <c r="AA548" s="471"/>
      <c r="AB548" s="471"/>
      <c r="AC548" s="471"/>
      <c r="AD548" s="471"/>
      <c r="AE548" s="471"/>
      <c r="AF548" s="471"/>
      <c r="AG548" s="471"/>
      <c r="AH548" s="471"/>
      <c r="AI548" s="471"/>
    </row>
    <row r="549">
      <c r="A549" s="471"/>
      <c r="B549" s="471"/>
      <c r="C549" s="471"/>
      <c r="D549" s="471"/>
      <c r="E549" s="471"/>
      <c r="F549" s="501"/>
      <c r="G549" s="471"/>
      <c r="H549" s="471"/>
      <c r="I549" s="471"/>
      <c r="J549" s="490"/>
      <c r="K549" s="491"/>
      <c r="L549" s="471"/>
      <c r="M549" s="471"/>
      <c r="N549" s="471"/>
      <c r="O549" s="471"/>
      <c r="P549" s="471"/>
      <c r="Q549" s="471"/>
      <c r="R549" s="471"/>
      <c r="S549" s="471"/>
      <c r="T549" s="471"/>
      <c r="U549" s="471"/>
      <c r="V549" s="471"/>
      <c r="W549" s="471"/>
      <c r="X549" s="471"/>
      <c r="Y549" s="471"/>
      <c r="Z549" s="471"/>
      <c r="AA549" s="471"/>
      <c r="AB549" s="471"/>
      <c r="AC549" s="471"/>
      <c r="AD549" s="471"/>
      <c r="AE549" s="471"/>
      <c r="AF549" s="471"/>
      <c r="AG549" s="471"/>
      <c r="AH549" s="471"/>
      <c r="AI549" s="471"/>
    </row>
    <row r="550">
      <c r="A550" s="471"/>
      <c r="B550" s="471"/>
      <c r="C550" s="471"/>
      <c r="D550" s="471"/>
      <c r="E550" s="471"/>
      <c r="F550" s="501"/>
      <c r="G550" s="471"/>
      <c r="H550" s="471"/>
      <c r="I550" s="471"/>
      <c r="J550" s="490"/>
      <c r="K550" s="491"/>
      <c r="L550" s="471"/>
      <c r="M550" s="471"/>
      <c r="N550" s="471"/>
      <c r="O550" s="471"/>
      <c r="P550" s="471"/>
      <c r="Q550" s="471"/>
      <c r="R550" s="471"/>
      <c r="S550" s="471"/>
      <c r="T550" s="471"/>
      <c r="U550" s="471"/>
      <c r="V550" s="471"/>
      <c r="W550" s="471"/>
      <c r="X550" s="471"/>
      <c r="Y550" s="471"/>
      <c r="Z550" s="471"/>
      <c r="AA550" s="471"/>
      <c r="AB550" s="471"/>
      <c r="AC550" s="471"/>
      <c r="AD550" s="471"/>
      <c r="AE550" s="471"/>
      <c r="AF550" s="471"/>
      <c r="AG550" s="471"/>
      <c r="AH550" s="471"/>
      <c r="AI550" s="471"/>
    </row>
    <row r="551">
      <c r="A551" s="471"/>
      <c r="B551" s="471"/>
      <c r="C551" s="471"/>
      <c r="D551" s="471"/>
      <c r="E551" s="471"/>
      <c r="F551" s="501"/>
      <c r="G551" s="471"/>
      <c r="H551" s="471"/>
      <c r="I551" s="471"/>
      <c r="J551" s="490"/>
      <c r="K551" s="491"/>
      <c r="L551" s="471"/>
      <c r="M551" s="471"/>
      <c r="N551" s="471"/>
      <c r="O551" s="471"/>
      <c r="P551" s="471"/>
      <c r="Q551" s="471"/>
      <c r="R551" s="471"/>
      <c r="S551" s="471"/>
      <c r="T551" s="471"/>
      <c r="U551" s="471"/>
      <c r="V551" s="471"/>
      <c r="W551" s="471"/>
      <c r="X551" s="471"/>
      <c r="Y551" s="471"/>
      <c r="Z551" s="471"/>
      <c r="AA551" s="471"/>
      <c r="AB551" s="471"/>
      <c r="AC551" s="471"/>
      <c r="AD551" s="471"/>
      <c r="AE551" s="471"/>
      <c r="AF551" s="471"/>
      <c r="AG551" s="471"/>
      <c r="AH551" s="471"/>
      <c r="AI551" s="471"/>
    </row>
    <row r="552">
      <c r="A552" s="471"/>
      <c r="B552" s="471"/>
      <c r="C552" s="471"/>
      <c r="D552" s="471"/>
      <c r="E552" s="471"/>
      <c r="F552" s="501"/>
      <c r="G552" s="471"/>
      <c r="H552" s="471"/>
      <c r="I552" s="471"/>
      <c r="J552" s="490"/>
      <c r="K552" s="491"/>
      <c r="L552" s="471"/>
      <c r="M552" s="471"/>
      <c r="N552" s="471"/>
      <c r="O552" s="471"/>
      <c r="P552" s="471"/>
      <c r="Q552" s="471"/>
      <c r="R552" s="471"/>
      <c r="S552" s="471"/>
      <c r="T552" s="471"/>
      <c r="U552" s="471"/>
      <c r="V552" s="471"/>
      <c r="W552" s="471"/>
      <c r="X552" s="471"/>
      <c r="Y552" s="471"/>
      <c r="Z552" s="471"/>
      <c r="AA552" s="471"/>
      <c r="AB552" s="471"/>
      <c r="AC552" s="471"/>
      <c r="AD552" s="471"/>
      <c r="AE552" s="471"/>
      <c r="AF552" s="471"/>
      <c r="AG552" s="471"/>
      <c r="AH552" s="471"/>
      <c r="AI552" s="471"/>
    </row>
    <row r="553">
      <c r="A553" s="471"/>
      <c r="B553" s="471"/>
      <c r="C553" s="471"/>
      <c r="D553" s="471"/>
      <c r="E553" s="471"/>
      <c r="F553" s="501"/>
      <c r="G553" s="471"/>
      <c r="H553" s="471"/>
      <c r="I553" s="471"/>
      <c r="J553" s="490"/>
      <c r="K553" s="491"/>
      <c r="L553" s="471"/>
      <c r="M553" s="471"/>
      <c r="N553" s="471"/>
      <c r="O553" s="471"/>
      <c r="P553" s="471"/>
      <c r="Q553" s="471"/>
      <c r="R553" s="471"/>
      <c r="S553" s="471"/>
      <c r="T553" s="471"/>
      <c r="U553" s="471"/>
      <c r="V553" s="471"/>
      <c r="W553" s="471"/>
      <c r="X553" s="471"/>
      <c r="Y553" s="471"/>
      <c r="Z553" s="471"/>
      <c r="AA553" s="471"/>
      <c r="AB553" s="471"/>
      <c r="AC553" s="471"/>
      <c r="AD553" s="471"/>
      <c r="AE553" s="471"/>
      <c r="AF553" s="471"/>
      <c r="AG553" s="471"/>
      <c r="AH553" s="471"/>
      <c r="AI553" s="471"/>
    </row>
    <row r="554">
      <c r="A554" s="471"/>
      <c r="B554" s="471"/>
      <c r="C554" s="471"/>
      <c r="D554" s="471"/>
      <c r="E554" s="471"/>
      <c r="F554" s="501"/>
      <c r="G554" s="471"/>
      <c r="H554" s="471"/>
      <c r="I554" s="471"/>
      <c r="J554" s="490"/>
      <c r="K554" s="491"/>
      <c r="L554" s="471"/>
      <c r="M554" s="471"/>
      <c r="N554" s="471"/>
      <c r="O554" s="471"/>
      <c r="P554" s="471"/>
      <c r="Q554" s="471"/>
      <c r="R554" s="471"/>
      <c r="S554" s="471"/>
      <c r="T554" s="471"/>
      <c r="U554" s="471"/>
      <c r="V554" s="471"/>
      <c r="W554" s="471"/>
      <c r="X554" s="471"/>
      <c r="Y554" s="471"/>
      <c r="Z554" s="471"/>
      <c r="AA554" s="471"/>
      <c r="AB554" s="471"/>
      <c r="AC554" s="471"/>
      <c r="AD554" s="471"/>
      <c r="AE554" s="471"/>
      <c r="AF554" s="471"/>
      <c r="AG554" s="471"/>
      <c r="AH554" s="471"/>
      <c r="AI554" s="471"/>
    </row>
    <row r="555">
      <c r="A555" s="471"/>
      <c r="B555" s="471"/>
      <c r="C555" s="471"/>
      <c r="D555" s="471"/>
      <c r="E555" s="471"/>
      <c r="F555" s="501"/>
      <c r="G555" s="471"/>
      <c r="H555" s="471"/>
      <c r="I555" s="471"/>
      <c r="J555" s="490"/>
      <c r="K555" s="491"/>
      <c r="L555" s="471"/>
      <c r="M555" s="471"/>
      <c r="N555" s="471"/>
      <c r="O555" s="471"/>
      <c r="P555" s="471"/>
      <c r="Q555" s="471"/>
      <c r="R555" s="471"/>
      <c r="S555" s="471"/>
      <c r="T555" s="471"/>
      <c r="U555" s="471"/>
      <c r="V555" s="471"/>
      <c r="W555" s="471"/>
      <c r="X555" s="471"/>
      <c r="Y555" s="471"/>
      <c r="Z555" s="471"/>
      <c r="AA555" s="471"/>
      <c r="AB555" s="471"/>
      <c r="AC555" s="471"/>
      <c r="AD555" s="471"/>
      <c r="AE555" s="471"/>
      <c r="AF555" s="471"/>
      <c r="AG555" s="471"/>
      <c r="AH555" s="471"/>
      <c r="AI555" s="471"/>
    </row>
    <row r="556">
      <c r="A556" s="471"/>
      <c r="B556" s="471"/>
      <c r="C556" s="471"/>
      <c r="D556" s="471"/>
      <c r="E556" s="471"/>
      <c r="F556" s="501"/>
      <c r="G556" s="471"/>
      <c r="H556" s="471"/>
      <c r="I556" s="471"/>
      <c r="J556" s="490"/>
      <c r="K556" s="491"/>
      <c r="L556" s="471"/>
      <c r="M556" s="471"/>
      <c r="N556" s="471"/>
      <c r="O556" s="471"/>
      <c r="P556" s="471"/>
      <c r="Q556" s="471"/>
      <c r="R556" s="471"/>
      <c r="S556" s="471"/>
      <c r="T556" s="471"/>
      <c r="U556" s="471"/>
      <c r="V556" s="471"/>
      <c r="W556" s="471"/>
      <c r="X556" s="471"/>
      <c r="Y556" s="471"/>
      <c r="Z556" s="471"/>
      <c r="AA556" s="471"/>
      <c r="AB556" s="471"/>
      <c r="AC556" s="471"/>
      <c r="AD556" s="471"/>
      <c r="AE556" s="471"/>
      <c r="AF556" s="471"/>
      <c r="AG556" s="471"/>
      <c r="AH556" s="471"/>
      <c r="AI556" s="471"/>
    </row>
    <row r="557">
      <c r="A557" s="471"/>
      <c r="B557" s="471"/>
      <c r="C557" s="471"/>
      <c r="D557" s="471"/>
      <c r="E557" s="471"/>
      <c r="F557" s="501"/>
      <c r="G557" s="471"/>
      <c r="H557" s="471"/>
      <c r="I557" s="471"/>
      <c r="J557" s="490"/>
      <c r="K557" s="491"/>
      <c r="L557" s="471"/>
      <c r="M557" s="471"/>
      <c r="N557" s="471"/>
      <c r="O557" s="471"/>
      <c r="P557" s="471"/>
      <c r="Q557" s="471"/>
      <c r="R557" s="471"/>
      <c r="S557" s="471"/>
      <c r="T557" s="471"/>
      <c r="U557" s="471"/>
      <c r="V557" s="471"/>
      <c r="W557" s="471"/>
      <c r="X557" s="471"/>
      <c r="Y557" s="471"/>
      <c r="Z557" s="471"/>
      <c r="AA557" s="471"/>
      <c r="AB557" s="471"/>
      <c r="AC557" s="471"/>
      <c r="AD557" s="471"/>
      <c r="AE557" s="471"/>
      <c r="AF557" s="471"/>
      <c r="AG557" s="471"/>
      <c r="AH557" s="471"/>
      <c r="AI557" s="471"/>
    </row>
    <row r="558">
      <c r="A558" s="471"/>
      <c r="B558" s="471"/>
      <c r="C558" s="471"/>
      <c r="D558" s="471"/>
      <c r="E558" s="471"/>
      <c r="F558" s="501"/>
      <c r="G558" s="471"/>
      <c r="H558" s="471"/>
      <c r="I558" s="471"/>
      <c r="J558" s="490"/>
      <c r="K558" s="491"/>
      <c r="L558" s="471"/>
      <c r="M558" s="471"/>
      <c r="N558" s="471"/>
      <c r="O558" s="471"/>
      <c r="P558" s="471"/>
      <c r="Q558" s="471"/>
      <c r="R558" s="471"/>
      <c r="S558" s="471"/>
      <c r="T558" s="471"/>
      <c r="U558" s="471"/>
      <c r="V558" s="471"/>
      <c r="W558" s="471"/>
      <c r="X558" s="471"/>
      <c r="Y558" s="471"/>
      <c r="Z558" s="471"/>
      <c r="AA558" s="471"/>
      <c r="AB558" s="471"/>
      <c r="AC558" s="471"/>
      <c r="AD558" s="471"/>
      <c r="AE558" s="471"/>
      <c r="AF558" s="471"/>
      <c r="AG558" s="471"/>
      <c r="AH558" s="471"/>
      <c r="AI558" s="471"/>
    </row>
    <row r="559">
      <c r="A559" s="471"/>
      <c r="B559" s="471"/>
      <c r="C559" s="471"/>
      <c r="D559" s="471"/>
      <c r="E559" s="471"/>
      <c r="F559" s="501"/>
      <c r="G559" s="471"/>
      <c r="H559" s="471"/>
      <c r="I559" s="471"/>
      <c r="J559" s="490"/>
      <c r="K559" s="491"/>
      <c r="L559" s="471"/>
      <c r="M559" s="471"/>
      <c r="N559" s="471"/>
      <c r="O559" s="471"/>
      <c r="P559" s="471"/>
      <c r="Q559" s="471"/>
      <c r="R559" s="471"/>
      <c r="S559" s="471"/>
      <c r="T559" s="471"/>
      <c r="U559" s="471"/>
      <c r="V559" s="471"/>
      <c r="W559" s="471"/>
      <c r="X559" s="471"/>
      <c r="Y559" s="471"/>
      <c r="Z559" s="471"/>
      <c r="AA559" s="471"/>
      <c r="AB559" s="471"/>
      <c r="AC559" s="471"/>
      <c r="AD559" s="471"/>
      <c r="AE559" s="471"/>
      <c r="AF559" s="471"/>
      <c r="AG559" s="471"/>
      <c r="AH559" s="471"/>
      <c r="AI559" s="471"/>
    </row>
    <row r="560">
      <c r="A560" s="471"/>
      <c r="B560" s="471"/>
      <c r="C560" s="471"/>
      <c r="D560" s="471"/>
      <c r="E560" s="471"/>
      <c r="F560" s="501"/>
      <c r="G560" s="471"/>
      <c r="H560" s="471"/>
      <c r="I560" s="471"/>
      <c r="J560" s="490"/>
      <c r="K560" s="491"/>
      <c r="L560" s="471"/>
      <c r="M560" s="471"/>
      <c r="N560" s="471"/>
      <c r="O560" s="471"/>
      <c r="P560" s="471"/>
      <c r="Q560" s="471"/>
      <c r="R560" s="471"/>
      <c r="S560" s="471"/>
      <c r="T560" s="471"/>
      <c r="U560" s="471"/>
      <c r="V560" s="471"/>
      <c r="W560" s="471"/>
      <c r="X560" s="471"/>
      <c r="Y560" s="471"/>
      <c r="Z560" s="471"/>
      <c r="AA560" s="471"/>
      <c r="AB560" s="471"/>
      <c r="AC560" s="471"/>
      <c r="AD560" s="471"/>
      <c r="AE560" s="471"/>
      <c r="AF560" s="471"/>
      <c r="AG560" s="471"/>
      <c r="AH560" s="471"/>
      <c r="AI560" s="471"/>
    </row>
    <row r="561">
      <c r="A561" s="471"/>
      <c r="B561" s="471"/>
      <c r="C561" s="471"/>
      <c r="D561" s="471"/>
      <c r="E561" s="471"/>
      <c r="F561" s="501"/>
      <c r="G561" s="471"/>
      <c r="H561" s="471"/>
      <c r="I561" s="471"/>
      <c r="J561" s="490"/>
      <c r="K561" s="491"/>
      <c r="L561" s="471"/>
      <c r="M561" s="471"/>
      <c r="N561" s="471"/>
      <c r="O561" s="471"/>
      <c r="P561" s="471"/>
      <c r="Q561" s="471"/>
      <c r="R561" s="471"/>
      <c r="S561" s="471"/>
      <c r="T561" s="471"/>
      <c r="U561" s="471"/>
      <c r="V561" s="471"/>
      <c r="W561" s="471"/>
      <c r="X561" s="471"/>
      <c r="Y561" s="471"/>
      <c r="Z561" s="471"/>
      <c r="AA561" s="471"/>
      <c r="AB561" s="471"/>
      <c r="AC561" s="471"/>
      <c r="AD561" s="471"/>
      <c r="AE561" s="471"/>
      <c r="AF561" s="471"/>
      <c r="AG561" s="471"/>
      <c r="AH561" s="471"/>
      <c r="AI561" s="471"/>
    </row>
    <row r="562">
      <c r="A562" s="471"/>
      <c r="B562" s="471"/>
      <c r="C562" s="471"/>
      <c r="D562" s="471"/>
      <c r="E562" s="471"/>
      <c r="F562" s="501"/>
      <c r="G562" s="471"/>
      <c r="H562" s="471"/>
      <c r="I562" s="471"/>
      <c r="J562" s="490"/>
      <c r="K562" s="491"/>
      <c r="L562" s="471"/>
      <c r="M562" s="471"/>
      <c r="N562" s="471"/>
      <c r="O562" s="471"/>
      <c r="P562" s="471"/>
      <c r="Q562" s="471"/>
      <c r="R562" s="471"/>
      <c r="S562" s="471"/>
      <c r="T562" s="471"/>
      <c r="U562" s="471"/>
      <c r="V562" s="471"/>
      <c r="W562" s="471"/>
      <c r="X562" s="471"/>
      <c r="Y562" s="471"/>
      <c r="Z562" s="471"/>
      <c r="AA562" s="471"/>
      <c r="AB562" s="471"/>
      <c r="AC562" s="471"/>
      <c r="AD562" s="471"/>
      <c r="AE562" s="471"/>
      <c r="AF562" s="471"/>
      <c r="AG562" s="471"/>
      <c r="AH562" s="471"/>
      <c r="AI562" s="471"/>
    </row>
    <row r="563">
      <c r="A563" s="471"/>
      <c r="B563" s="471"/>
      <c r="C563" s="471"/>
      <c r="D563" s="471"/>
      <c r="E563" s="471"/>
      <c r="F563" s="501"/>
      <c r="G563" s="471"/>
      <c r="H563" s="471"/>
      <c r="I563" s="471"/>
      <c r="J563" s="490"/>
      <c r="K563" s="491"/>
      <c r="L563" s="471"/>
      <c r="M563" s="471"/>
      <c r="N563" s="471"/>
      <c r="O563" s="471"/>
      <c r="P563" s="471"/>
      <c r="Q563" s="471"/>
      <c r="R563" s="471"/>
      <c r="S563" s="471"/>
      <c r="T563" s="471"/>
      <c r="U563" s="471"/>
      <c r="V563" s="471"/>
      <c r="W563" s="471"/>
      <c r="X563" s="471"/>
      <c r="Y563" s="471"/>
      <c r="Z563" s="471"/>
      <c r="AA563" s="471"/>
      <c r="AB563" s="471"/>
      <c r="AC563" s="471"/>
      <c r="AD563" s="471"/>
      <c r="AE563" s="471"/>
      <c r="AF563" s="471"/>
      <c r="AG563" s="471"/>
      <c r="AH563" s="471"/>
      <c r="AI563" s="471"/>
    </row>
    <row r="564">
      <c r="A564" s="471"/>
      <c r="B564" s="471"/>
      <c r="C564" s="471"/>
      <c r="D564" s="471"/>
      <c r="E564" s="471"/>
      <c r="F564" s="501"/>
      <c r="G564" s="471"/>
      <c r="H564" s="471"/>
      <c r="I564" s="471"/>
      <c r="J564" s="490"/>
      <c r="K564" s="491"/>
      <c r="L564" s="471"/>
      <c r="M564" s="471"/>
      <c r="N564" s="471"/>
      <c r="O564" s="471"/>
      <c r="P564" s="471"/>
      <c r="Q564" s="471"/>
      <c r="R564" s="471"/>
      <c r="S564" s="471"/>
      <c r="T564" s="471"/>
      <c r="U564" s="471"/>
      <c r="V564" s="471"/>
      <c r="W564" s="471"/>
      <c r="X564" s="471"/>
      <c r="Y564" s="471"/>
      <c r="Z564" s="471"/>
      <c r="AA564" s="471"/>
      <c r="AB564" s="471"/>
      <c r="AC564" s="471"/>
      <c r="AD564" s="471"/>
      <c r="AE564" s="471"/>
      <c r="AF564" s="471"/>
      <c r="AG564" s="471"/>
      <c r="AH564" s="471"/>
      <c r="AI564" s="471"/>
    </row>
    <row r="565">
      <c r="A565" s="471"/>
      <c r="B565" s="471"/>
      <c r="C565" s="471"/>
      <c r="D565" s="471"/>
      <c r="E565" s="471"/>
      <c r="F565" s="501"/>
      <c r="G565" s="471"/>
      <c r="H565" s="471"/>
      <c r="I565" s="471"/>
      <c r="J565" s="490"/>
      <c r="K565" s="491"/>
      <c r="L565" s="471"/>
      <c r="M565" s="471"/>
      <c r="N565" s="471"/>
      <c r="O565" s="471"/>
      <c r="P565" s="471"/>
      <c r="Q565" s="471"/>
      <c r="R565" s="471"/>
      <c r="S565" s="471"/>
      <c r="T565" s="471"/>
      <c r="U565" s="471"/>
      <c r="V565" s="471"/>
      <c r="W565" s="471"/>
      <c r="X565" s="471"/>
      <c r="Y565" s="471"/>
      <c r="Z565" s="471"/>
      <c r="AA565" s="471"/>
      <c r="AB565" s="471"/>
      <c r="AC565" s="471"/>
      <c r="AD565" s="471"/>
      <c r="AE565" s="471"/>
      <c r="AF565" s="471"/>
      <c r="AG565" s="471"/>
      <c r="AH565" s="471"/>
      <c r="AI565" s="471"/>
    </row>
    <row r="566">
      <c r="A566" s="471"/>
      <c r="B566" s="471"/>
      <c r="C566" s="471"/>
      <c r="D566" s="471"/>
      <c r="E566" s="471"/>
      <c r="F566" s="501"/>
      <c r="G566" s="471"/>
      <c r="H566" s="471"/>
      <c r="I566" s="471"/>
      <c r="J566" s="490"/>
      <c r="K566" s="491"/>
      <c r="L566" s="471"/>
      <c r="M566" s="471"/>
      <c r="N566" s="471"/>
      <c r="O566" s="471"/>
      <c r="P566" s="471"/>
      <c r="Q566" s="471"/>
      <c r="R566" s="471"/>
      <c r="S566" s="471"/>
      <c r="T566" s="471"/>
      <c r="U566" s="471"/>
      <c r="V566" s="471"/>
      <c r="W566" s="471"/>
      <c r="X566" s="471"/>
      <c r="Y566" s="471"/>
      <c r="Z566" s="471"/>
      <c r="AA566" s="471"/>
      <c r="AB566" s="471"/>
      <c r="AC566" s="471"/>
      <c r="AD566" s="471"/>
      <c r="AE566" s="471"/>
      <c r="AF566" s="471"/>
      <c r="AG566" s="471"/>
      <c r="AH566" s="471"/>
      <c r="AI566" s="471"/>
    </row>
    <row r="567">
      <c r="A567" s="471"/>
      <c r="B567" s="471"/>
      <c r="C567" s="471"/>
      <c r="D567" s="471"/>
      <c r="E567" s="471"/>
      <c r="F567" s="501"/>
      <c r="G567" s="471"/>
      <c r="H567" s="471"/>
      <c r="I567" s="471"/>
      <c r="J567" s="490"/>
      <c r="K567" s="491"/>
      <c r="L567" s="471"/>
      <c r="M567" s="471"/>
      <c r="N567" s="471"/>
      <c r="O567" s="471"/>
      <c r="P567" s="471"/>
      <c r="Q567" s="471"/>
      <c r="R567" s="471"/>
      <c r="S567" s="471"/>
      <c r="T567" s="471"/>
      <c r="U567" s="471"/>
      <c r="V567" s="471"/>
      <c r="W567" s="471"/>
      <c r="X567" s="471"/>
      <c r="Y567" s="471"/>
      <c r="Z567" s="471"/>
      <c r="AA567" s="471"/>
      <c r="AB567" s="471"/>
      <c r="AC567" s="471"/>
      <c r="AD567" s="471"/>
      <c r="AE567" s="471"/>
      <c r="AF567" s="471"/>
      <c r="AG567" s="471"/>
      <c r="AH567" s="471"/>
      <c r="AI567" s="471"/>
    </row>
    <row r="568">
      <c r="A568" s="471"/>
      <c r="B568" s="471"/>
      <c r="C568" s="471"/>
      <c r="D568" s="471"/>
      <c r="E568" s="471"/>
      <c r="F568" s="501"/>
      <c r="G568" s="471"/>
      <c r="H568" s="471"/>
      <c r="I568" s="471"/>
      <c r="J568" s="490"/>
      <c r="K568" s="491"/>
      <c r="L568" s="471"/>
      <c r="M568" s="471"/>
      <c r="N568" s="471"/>
      <c r="O568" s="471"/>
      <c r="P568" s="471"/>
      <c r="Q568" s="471"/>
      <c r="R568" s="471"/>
      <c r="S568" s="471"/>
      <c r="T568" s="471"/>
      <c r="U568" s="471"/>
      <c r="V568" s="471"/>
      <c r="W568" s="471"/>
      <c r="X568" s="471"/>
      <c r="Y568" s="471"/>
      <c r="Z568" s="471"/>
      <c r="AA568" s="471"/>
      <c r="AB568" s="471"/>
      <c r="AC568" s="471"/>
      <c r="AD568" s="471"/>
      <c r="AE568" s="471"/>
      <c r="AF568" s="471"/>
      <c r="AG568" s="471"/>
      <c r="AH568" s="471"/>
      <c r="AI568" s="471"/>
    </row>
    <row r="569">
      <c r="A569" s="471"/>
      <c r="B569" s="471"/>
      <c r="C569" s="471"/>
      <c r="D569" s="471"/>
      <c r="E569" s="471"/>
      <c r="F569" s="501"/>
      <c r="G569" s="471"/>
      <c r="H569" s="471"/>
      <c r="I569" s="471"/>
      <c r="J569" s="490"/>
      <c r="K569" s="491"/>
      <c r="L569" s="471"/>
      <c r="M569" s="471"/>
      <c r="N569" s="471"/>
      <c r="O569" s="471"/>
      <c r="P569" s="471"/>
      <c r="Q569" s="471"/>
      <c r="R569" s="471"/>
      <c r="S569" s="471"/>
      <c r="T569" s="471"/>
      <c r="U569" s="471"/>
      <c r="V569" s="471"/>
      <c r="W569" s="471"/>
      <c r="X569" s="471"/>
      <c r="Y569" s="471"/>
      <c r="Z569" s="471"/>
      <c r="AA569" s="471"/>
      <c r="AB569" s="471"/>
      <c r="AC569" s="471"/>
      <c r="AD569" s="471"/>
      <c r="AE569" s="471"/>
      <c r="AF569" s="471"/>
      <c r="AG569" s="471"/>
      <c r="AH569" s="471"/>
      <c r="AI569" s="471"/>
    </row>
    <row r="570">
      <c r="A570" s="471"/>
      <c r="B570" s="471"/>
      <c r="C570" s="471"/>
      <c r="D570" s="471"/>
      <c r="E570" s="471"/>
      <c r="F570" s="501"/>
      <c r="G570" s="471"/>
      <c r="H570" s="471"/>
      <c r="I570" s="471"/>
      <c r="J570" s="490"/>
      <c r="K570" s="491"/>
      <c r="L570" s="471"/>
      <c r="M570" s="471"/>
      <c r="N570" s="471"/>
      <c r="O570" s="471"/>
      <c r="P570" s="471"/>
      <c r="Q570" s="471"/>
      <c r="R570" s="471"/>
      <c r="S570" s="471"/>
      <c r="T570" s="471"/>
      <c r="U570" s="471"/>
      <c r="V570" s="471"/>
      <c r="W570" s="471"/>
      <c r="X570" s="471"/>
      <c r="Y570" s="471"/>
      <c r="Z570" s="471"/>
      <c r="AA570" s="471"/>
      <c r="AB570" s="471"/>
      <c r="AC570" s="471"/>
      <c r="AD570" s="471"/>
      <c r="AE570" s="471"/>
      <c r="AF570" s="471"/>
      <c r="AG570" s="471"/>
      <c r="AH570" s="471"/>
      <c r="AI570" s="471"/>
    </row>
    <row r="571">
      <c r="A571" s="471"/>
      <c r="B571" s="471"/>
      <c r="C571" s="471"/>
      <c r="D571" s="471"/>
      <c r="E571" s="471"/>
      <c r="F571" s="501"/>
      <c r="G571" s="471"/>
      <c r="H571" s="471"/>
      <c r="I571" s="471"/>
      <c r="J571" s="490"/>
      <c r="K571" s="491"/>
      <c r="L571" s="471"/>
      <c r="M571" s="471"/>
      <c r="N571" s="471"/>
      <c r="O571" s="471"/>
      <c r="P571" s="471"/>
      <c r="Q571" s="471"/>
      <c r="R571" s="471"/>
      <c r="S571" s="471"/>
      <c r="T571" s="471"/>
      <c r="U571" s="471"/>
      <c r="V571" s="471"/>
      <c r="W571" s="471"/>
      <c r="X571" s="471"/>
      <c r="Y571" s="471"/>
      <c r="Z571" s="471"/>
      <c r="AA571" s="471"/>
      <c r="AB571" s="471"/>
      <c r="AC571" s="471"/>
      <c r="AD571" s="471"/>
      <c r="AE571" s="471"/>
      <c r="AF571" s="471"/>
      <c r="AG571" s="471"/>
      <c r="AH571" s="471"/>
      <c r="AI571" s="471"/>
    </row>
    <row r="572">
      <c r="A572" s="471"/>
      <c r="B572" s="471"/>
      <c r="C572" s="471"/>
      <c r="D572" s="471"/>
      <c r="E572" s="471"/>
      <c r="F572" s="501"/>
      <c r="G572" s="471"/>
      <c r="H572" s="471"/>
      <c r="I572" s="471"/>
      <c r="J572" s="490"/>
      <c r="K572" s="491"/>
      <c r="L572" s="471"/>
      <c r="M572" s="471"/>
      <c r="N572" s="471"/>
      <c r="O572" s="471"/>
      <c r="P572" s="471"/>
      <c r="Q572" s="471"/>
      <c r="R572" s="471"/>
      <c r="S572" s="471"/>
      <c r="T572" s="471"/>
      <c r="U572" s="471"/>
      <c r="V572" s="471"/>
      <c r="W572" s="471"/>
      <c r="X572" s="471"/>
      <c r="Y572" s="471"/>
      <c r="Z572" s="471"/>
      <c r="AA572" s="471"/>
      <c r="AB572" s="471"/>
      <c r="AC572" s="471"/>
      <c r="AD572" s="471"/>
      <c r="AE572" s="471"/>
      <c r="AF572" s="471"/>
      <c r="AG572" s="471"/>
      <c r="AH572" s="471"/>
      <c r="AI572" s="471"/>
    </row>
    <row r="573">
      <c r="A573" s="471"/>
      <c r="B573" s="471"/>
      <c r="C573" s="471"/>
      <c r="D573" s="471"/>
      <c r="E573" s="471"/>
      <c r="F573" s="501"/>
      <c r="G573" s="471"/>
      <c r="H573" s="471"/>
      <c r="I573" s="471"/>
      <c r="J573" s="490"/>
      <c r="K573" s="491"/>
      <c r="L573" s="471"/>
      <c r="M573" s="471"/>
      <c r="N573" s="471"/>
      <c r="O573" s="471"/>
      <c r="P573" s="471"/>
      <c r="Q573" s="471"/>
      <c r="R573" s="471"/>
      <c r="S573" s="471"/>
      <c r="T573" s="471"/>
      <c r="U573" s="471"/>
      <c r="V573" s="471"/>
      <c r="W573" s="471"/>
      <c r="X573" s="471"/>
      <c r="Y573" s="471"/>
      <c r="Z573" s="471"/>
      <c r="AA573" s="471"/>
      <c r="AB573" s="471"/>
      <c r="AC573" s="471"/>
      <c r="AD573" s="471"/>
      <c r="AE573" s="471"/>
      <c r="AF573" s="471"/>
      <c r="AG573" s="471"/>
      <c r="AH573" s="471"/>
      <c r="AI573" s="471"/>
    </row>
    <row r="574">
      <c r="A574" s="471"/>
      <c r="B574" s="471"/>
      <c r="C574" s="471"/>
      <c r="D574" s="471"/>
      <c r="E574" s="471"/>
      <c r="F574" s="501"/>
      <c r="G574" s="471"/>
      <c r="H574" s="471"/>
      <c r="I574" s="471"/>
      <c r="J574" s="490"/>
      <c r="K574" s="491"/>
      <c r="L574" s="471"/>
      <c r="M574" s="471"/>
      <c r="N574" s="471"/>
      <c r="O574" s="471"/>
      <c r="P574" s="471"/>
      <c r="Q574" s="471"/>
      <c r="R574" s="471"/>
      <c r="S574" s="471"/>
      <c r="T574" s="471"/>
      <c r="U574" s="471"/>
      <c r="V574" s="471"/>
      <c r="W574" s="471"/>
      <c r="X574" s="471"/>
      <c r="Y574" s="471"/>
      <c r="Z574" s="471"/>
      <c r="AA574" s="471"/>
      <c r="AB574" s="471"/>
      <c r="AC574" s="471"/>
      <c r="AD574" s="471"/>
      <c r="AE574" s="471"/>
      <c r="AF574" s="471"/>
      <c r="AG574" s="471"/>
      <c r="AH574" s="471"/>
      <c r="AI574" s="471"/>
    </row>
    <row r="575">
      <c r="A575" s="471"/>
      <c r="B575" s="471"/>
      <c r="C575" s="471"/>
      <c r="D575" s="471"/>
      <c r="E575" s="471"/>
      <c r="F575" s="501"/>
      <c r="G575" s="471"/>
      <c r="H575" s="471"/>
      <c r="I575" s="471"/>
      <c r="J575" s="490"/>
      <c r="K575" s="491"/>
      <c r="L575" s="471"/>
      <c r="M575" s="471"/>
      <c r="N575" s="471"/>
      <c r="O575" s="471"/>
      <c r="P575" s="471"/>
      <c r="Q575" s="471"/>
      <c r="R575" s="471"/>
      <c r="S575" s="471"/>
      <c r="T575" s="471"/>
      <c r="U575" s="471"/>
      <c r="V575" s="471"/>
      <c r="W575" s="471"/>
      <c r="X575" s="471"/>
      <c r="Y575" s="471"/>
      <c r="Z575" s="471"/>
      <c r="AA575" s="471"/>
      <c r="AB575" s="471"/>
      <c r="AC575" s="471"/>
      <c r="AD575" s="471"/>
      <c r="AE575" s="471"/>
      <c r="AF575" s="471"/>
      <c r="AG575" s="471"/>
      <c r="AH575" s="471"/>
      <c r="AI575" s="471"/>
    </row>
    <row r="576">
      <c r="A576" s="471"/>
      <c r="B576" s="471"/>
      <c r="C576" s="471"/>
      <c r="D576" s="471"/>
      <c r="E576" s="471"/>
      <c r="F576" s="501"/>
      <c r="G576" s="471"/>
      <c r="H576" s="471"/>
      <c r="I576" s="471"/>
      <c r="J576" s="490"/>
      <c r="K576" s="491"/>
      <c r="L576" s="471"/>
      <c r="M576" s="471"/>
      <c r="N576" s="471"/>
      <c r="O576" s="471"/>
      <c r="P576" s="471"/>
      <c r="Q576" s="471"/>
      <c r="R576" s="471"/>
      <c r="S576" s="471"/>
      <c r="T576" s="471"/>
      <c r="U576" s="471"/>
      <c r="V576" s="471"/>
      <c r="W576" s="471"/>
      <c r="X576" s="471"/>
      <c r="Y576" s="471"/>
      <c r="Z576" s="471"/>
      <c r="AA576" s="471"/>
      <c r="AB576" s="471"/>
      <c r="AC576" s="471"/>
      <c r="AD576" s="471"/>
      <c r="AE576" s="471"/>
      <c r="AF576" s="471"/>
      <c r="AG576" s="471"/>
      <c r="AH576" s="471"/>
      <c r="AI576" s="471"/>
    </row>
    <row r="577">
      <c r="A577" s="471"/>
      <c r="B577" s="471"/>
      <c r="C577" s="471"/>
      <c r="D577" s="471"/>
      <c r="E577" s="471"/>
      <c r="F577" s="501"/>
      <c r="G577" s="471"/>
      <c r="H577" s="471"/>
      <c r="I577" s="471"/>
      <c r="J577" s="490"/>
      <c r="K577" s="491"/>
      <c r="L577" s="471"/>
      <c r="M577" s="471"/>
      <c r="N577" s="471"/>
      <c r="O577" s="471"/>
      <c r="P577" s="471"/>
      <c r="Q577" s="471"/>
      <c r="R577" s="471"/>
      <c r="S577" s="471"/>
      <c r="T577" s="471"/>
      <c r="U577" s="471"/>
      <c r="V577" s="471"/>
      <c r="W577" s="471"/>
      <c r="X577" s="471"/>
      <c r="Y577" s="471"/>
      <c r="Z577" s="471"/>
      <c r="AA577" s="471"/>
      <c r="AB577" s="471"/>
      <c r="AC577" s="471"/>
      <c r="AD577" s="471"/>
      <c r="AE577" s="471"/>
      <c r="AF577" s="471"/>
      <c r="AG577" s="471"/>
      <c r="AH577" s="471"/>
      <c r="AI577" s="471"/>
    </row>
    <row r="578">
      <c r="A578" s="471"/>
      <c r="B578" s="471"/>
      <c r="C578" s="471"/>
      <c r="D578" s="471"/>
      <c r="E578" s="471"/>
      <c r="F578" s="501"/>
      <c r="G578" s="471"/>
      <c r="H578" s="471"/>
      <c r="I578" s="471"/>
      <c r="J578" s="490"/>
      <c r="K578" s="491"/>
      <c r="L578" s="471"/>
      <c r="M578" s="471"/>
      <c r="N578" s="471"/>
      <c r="O578" s="471"/>
      <c r="P578" s="471"/>
      <c r="Q578" s="471"/>
      <c r="R578" s="471"/>
      <c r="S578" s="471"/>
      <c r="T578" s="471"/>
      <c r="U578" s="471"/>
      <c r="V578" s="471"/>
      <c r="W578" s="471"/>
      <c r="X578" s="471"/>
      <c r="Y578" s="471"/>
      <c r="Z578" s="471"/>
      <c r="AA578" s="471"/>
      <c r="AB578" s="471"/>
      <c r="AC578" s="471"/>
      <c r="AD578" s="471"/>
      <c r="AE578" s="471"/>
      <c r="AF578" s="471"/>
      <c r="AG578" s="471"/>
      <c r="AH578" s="471"/>
      <c r="AI578" s="471"/>
    </row>
    <row r="579">
      <c r="A579" s="471"/>
      <c r="B579" s="471"/>
      <c r="C579" s="471"/>
      <c r="D579" s="471"/>
      <c r="E579" s="471"/>
      <c r="F579" s="501"/>
      <c r="G579" s="471"/>
      <c r="H579" s="471"/>
      <c r="I579" s="471"/>
      <c r="J579" s="490"/>
      <c r="K579" s="491"/>
      <c r="L579" s="471"/>
      <c r="M579" s="471"/>
      <c r="N579" s="471"/>
      <c r="O579" s="471"/>
      <c r="P579" s="471"/>
      <c r="Q579" s="471"/>
      <c r="R579" s="471"/>
      <c r="S579" s="471"/>
      <c r="T579" s="471"/>
      <c r="U579" s="471"/>
      <c r="V579" s="471"/>
      <c r="W579" s="471"/>
      <c r="X579" s="471"/>
      <c r="Y579" s="471"/>
      <c r="Z579" s="471"/>
      <c r="AA579" s="471"/>
      <c r="AB579" s="471"/>
      <c r="AC579" s="471"/>
      <c r="AD579" s="471"/>
      <c r="AE579" s="471"/>
      <c r="AF579" s="471"/>
      <c r="AG579" s="471"/>
      <c r="AH579" s="471"/>
      <c r="AI579" s="471"/>
    </row>
    <row r="580">
      <c r="A580" s="471"/>
      <c r="B580" s="471"/>
      <c r="C580" s="471"/>
      <c r="D580" s="471"/>
      <c r="E580" s="471"/>
      <c r="F580" s="501"/>
      <c r="G580" s="471"/>
      <c r="H580" s="471"/>
      <c r="I580" s="471"/>
      <c r="J580" s="490"/>
      <c r="K580" s="491"/>
      <c r="L580" s="471"/>
      <c r="M580" s="471"/>
      <c r="N580" s="471"/>
      <c r="O580" s="471"/>
      <c r="P580" s="471"/>
      <c r="Q580" s="471"/>
      <c r="R580" s="471"/>
      <c r="S580" s="471"/>
      <c r="T580" s="471"/>
      <c r="U580" s="471"/>
      <c r="V580" s="471"/>
      <c r="W580" s="471"/>
      <c r="X580" s="471"/>
      <c r="Y580" s="471"/>
      <c r="Z580" s="471"/>
      <c r="AA580" s="471"/>
      <c r="AB580" s="471"/>
      <c r="AC580" s="471"/>
      <c r="AD580" s="471"/>
      <c r="AE580" s="471"/>
      <c r="AF580" s="471"/>
      <c r="AG580" s="471"/>
      <c r="AH580" s="471"/>
      <c r="AI580" s="471"/>
    </row>
    <row r="581">
      <c r="A581" s="471"/>
      <c r="B581" s="471"/>
      <c r="C581" s="471"/>
      <c r="D581" s="471"/>
      <c r="E581" s="471"/>
      <c r="F581" s="501"/>
      <c r="G581" s="471"/>
      <c r="H581" s="471"/>
      <c r="I581" s="471"/>
      <c r="J581" s="490"/>
      <c r="K581" s="491"/>
      <c r="L581" s="471"/>
      <c r="M581" s="471"/>
      <c r="N581" s="471"/>
      <c r="O581" s="471"/>
      <c r="P581" s="471"/>
      <c r="Q581" s="471"/>
      <c r="R581" s="471"/>
      <c r="S581" s="471"/>
      <c r="T581" s="471"/>
      <c r="U581" s="471"/>
      <c r="V581" s="471"/>
      <c r="W581" s="471"/>
      <c r="X581" s="471"/>
      <c r="Y581" s="471"/>
      <c r="Z581" s="471"/>
      <c r="AA581" s="471"/>
      <c r="AB581" s="471"/>
      <c r="AC581" s="471"/>
      <c r="AD581" s="471"/>
      <c r="AE581" s="471"/>
      <c r="AF581" s="471"/>
      <c r="AG581" s="471"/>
      <c r="AH581" s="471"/>
      <c r="AI581" s="471"/>
    </row>
    <row r="582">
      <c r="A582" s="471"/>
      <c r="B582" s="471"/>
      <c r="C582" s="471"/>
      <c r="D582" s="471"/>
      <c r="E582" s="471"/>
      <c r="F582" s="501"/>
      <c r="G582" s="471"/>
      <c r="H582" s="471"/>
      <c r="I582" s="471"/>
      <c r="J582" s="490"/>
      <c r="K582" s="491"/>
      <c r="L582" s="471"/>
      <c r="M582" s="471"/>
      <c r="N582" s="471"/>
      <c r="O582" s="471"/>
      <c r="P582" s="471"/>
      <c r="Q582" s="471"/>
      <c r="R582" s="471"/>
      <c r="S582" s="471"/>
      <c r="T582" s="471"/>
      <c r="U582" s="471"/>
      <c r="V582" s="471"/>
      <c r="W582" s="471"/>
      <c r="X582" s="471"/>
      <c r="Y582" s="471"/>
      <c r="Z582" s="471"/>
      <c r="AA582" s="471"/>
      <c r="AB582" s="471"/>
      <c r="AC582" s="471"/>
      <c r="AD582" s="471"/>
      <c r="AE582" s="471"/>
      <c r="AF582" s="471"/>
      <c r="AG582" s="471"/>
      <c r="AH582" s="471"/>
      <c r="AI582" s="471"/>
    </row>
    <row r="583">
      <c r="A583" s="471"/>
      <c r="B583" s="471"/>
      <c r="C583" s="471"/>
      <c r="D583" s="471"/>
      <c r="E583" s="471"/>
      <c r="F583" s="501"/>
      <c r="G583" s="471"/>
      <c r="H583" s="471"/>
      <c r="I583" s="471"/>
      <c r="J583" s="490"/>
      <c r="K583" s="491"/>
      <c r="L583" s="471"/>
      <c r="M583" s="471"/>
      <c r="N583" s="471"/>
      <c r="O583" s="471"/>
      <c r="P583" s="471"/>
      <c r="Q583" s="471"/>
      <c r="R583" s="471"/>
      <c r="S583" s="471"/>
      <c r="T583" s="471"/>
      <c r="U583" s="471"/>
      <c r="V583" s="471"/>
      <c r="W583" s="471"/>
      <c r="X583" s="471"/>
      <c r="Y583" s="471"/>
      <c r="Z583" s="471"/>
      <c r="AA583" s="471"/>
      <c r="AB583" s="471"/>
      <c r="AC583" s="471"/>
      <c r="AD583" s="471"/>
      <c r="AE583" s="471"/>
      <c r="AF583" s="471"/>
      <c r="AG583" s="471"/>
      <c r="AH583" s="471"/>
      <c r="AI583" s="471"/>
    </row>
    <row r="584">
      <c r="A584" s="471"/>
      <c r="B584" s="471"/>
      <c r="C584" s="471"/>
      <c r="D584" s="471"/>
      <c r="E584" s="471"/>
      <c r="F584" s="501"/>
      <c r="G584" s="471"/>
      <c r="H584" s="471"/>
      <c r="I584" s="471"/>
      <c r="J584" s="490"/>
      <c r="K584" s="491"/>
      <c r="L584" s="471"/>
      <c r="M584" s="471"/>
      <c r="N584" s="471"/>
      <c r="O584" s="471"/>
      <c r="P584" s="471"/>
      <c r="Q584" s="471"/>
      <c r="R584" s="471"/>
      <c r="S584" s="471"/>
      <c r="T584" s="471"/>
      <c r="U584" s="471"/>
      <c r="V584" s="471"/>
      <c r="W584" s="471"/>
      <c r="X584" s="471"/>
      <c r="Y584" s="471"/>
      <c r="Z584" s="471"/>
      <c r="AA584" s="471"/>
      <c r="AB584" s="471"/>
      <c r="AC584" s="471"/>
      <c r="AD584" s="471"/>
      <c r="AE584" s="471"/>
      <c r="AF584" s="471"/>
      <c r="AG584" s="471"/>
      <c r="AH584" s="471"/>
      <c r="AI584" s="471"/>
    </row>
    <row r="585">
      <c r="A585" s="471"/>
      <c r="B585" s="471"/>
      <c r="C585" s="471"/>
      <c r="D585" s="471"/>
      <c r="E585" s="471"/>
      <c r="F585" s="501"/>
      <c r="G585" s="471"/>
      <c r="H585" s="471"/>
      <c r="I585" s="471"/>
      <c r="J585" s="490"/>
      <c r="K585" s="491"/>
      <c r="L585" s="471"/>
      <c r="M585" s="471"/>
      <c r="N585" s="471"/>
      <c r="O585" s="471"/>
      <c r="P585" s="471"/>
      <c r="Q585" s="471"/>
      <c r="R585" s="471"/>
      <c r="S585" s="471"/>
      <c r="T585" s="471"/>
      <c r="U585" s="471"/>
      <c r="V585" s="471"/>
      <c r="W585" s="471"/>
      <c r="X585" s="471"/>
      <c r="Y585" s="471"/>
      <c r="Z585" s="471"/>
      <c r="AA585" s="471"/>
      <c r="AB585" s="471"/>
      <c r="AC585" s="471"/>
      <c r="AD585" s="471"/>
      <c r="AE585" s="471"/>
      <c r="AF585" s="471"/>
      <c r="AG585" s="471"/>
      <c r="AH585" s="471"/>
      <c r="AI585" s="471"/>
    </row>
    <row r="586">
      <c r="A586" s="471"/>
      <c r="B586" s="471"/>
      <c r="C586" s="471"/>
      <c r="D586" s="471"/>
      <c r="E586" s="471"/>
      <c r="F586" s="501"/>
      <c r="G586" s="471"/>
      <c r="H586" s="471"/>
      <c r="I586" s="471"/>
      <c r="J586" s="490"/>
      <c r="K586" s="491"/>
      <c r="L586" s="471"/>
      <c r="M586" s="471"/>
      <c r="N586" s="471"/>
      <c r="O586" s="471"/>
      <c r="P586" s="471"/>
      <c r="Q586" s="471"/>
      <c r="R586" s="471"/>
      <c r="S586" s="471"/>
      <c r="T586" s="471"/>
      <c r="U586" s="471"/>
      <c r="V586" s="471"/>
      <c r="W586" s="471"/>
      <c r="X586" s="471"/>
      <c r="Y586" s="471"/>
      <c r="Z586" s="471"/>
      <c r="AA586" s="471"/>
      <c r="AB586" s="471"/>
      <c r="AC586" s="471"/>
      <c r="AD586" s="471"/>
      <c r="AE586" s="471"/>
      <c r="AF586" s="471"/>
      <c r="AG586" s="471"/>
      <c r="AH586" s="471"/>
      <c r="AI586" s="471"/>
    </row>
    <row r="587">
      <c r="A587" s="471"/>
      <c r="B587" s="471"/>
      <c r="C587" s="471"/>
      <c r="D587" s="471"/>
      <c r="E587" s="471"/>
      <c r="F587" s="501"/>
      <c r="G587" s="471"/>
      <c r="H587" s="471"/>
      <c r="I587" s="471"/>
      <c r="J587" s="490"/>
      <c r="K587" s="491"/>
      <c r="L587" s="471"/>
      <c r="M587" s="471"/>
      <c r="N587" s="471"/>
      <c r="O587" s="471"/>
      <c r="P587" s="471"/>
      <c r="Q587" s="471"/>
      <c r="R587" s="471"/>
      <c r="S587" s="471"/>
      <c r="T587" s="471"/>
      <c r="U587" s="471"/>
      <c r="V587" s="471"/>
      <c r="W587" s="471"/>
      <c r="X587" s="471"/>
      <c r="Y587" s="471"/>
      <c r="Z587" s="471"/>
      <c r="AA587" s="471"/>
      <c r="AB587" s="471"/>
      <c r="AC587" s="471"/>
      <c r="AD587" s="471"/>
      <c r="AE587" s="471"/>
      <c r="AF587" s="471"/>
      <c r="AG587" s="471"/>
      <c r="AH587" s="471"/>
      <c r="AI587" s="471"/>
    </row>
    <row r="588">
      <c r="A588" s="471"/>
      <c r="B588" s="471"/>
      <c r="C588" s="471"/>
      <c r="D588" s="471"/>
      <c r="E588" s="471"/>
      <c r="F588" s="501"/>
      <c r="G588" s="471"/>
      <c r="H588" s="471"/>
      <c r="I588" s="471"/>
      <c r="J588" s="490"/>
      <c r="K588" s="491"/>
      <c r="L588" s="471"/>
      <c r="M588" s="471"/>
      <c r="N588" s="471"/>
      <c r="O588" s="471"/>
      <c r="P588" s="471"/>
      <c r="Q588" s="471"/>
      <c r="R588" s="471"/>
      <c r="S588" s="471"/>
      <c r="T588" s="471"/>
      <c r="U588" s="471"/>
      <c r="V588" s="471"/>
      <c r="W588" s="471"/>
      <c r="X588" s="471"/>
      <c r="Y588" s="471"/>
      <c r="Z588" s="471"/>
      <c r="AA588" s="471"/>
      <c r="AB588" s="471"/>
      <c r="AC588" s="471"/>
      <c r="AD588" s="471"/>
      <c r="AE588" s="471"/>
      <c r="AF588" s="471"/>
      <c r="AG588" s="471"/>
      <c r="AH588" s="471"/>
      <c r="AI588" s="471"/>
    </row>
    <row r="589">
      <c r="A589" s="471"/>
      <c r="B589" s="471"/>
      <c r="C589" s="471"/>
      <c r="D589" s="471"/>
      <c r="E589" s="471"/>
      <c r="F589" s="501"/>
      <c r="G589" s="471"/>
      <c r="H589" s="471"/>
      <c r="I589" s="471"/>
      <c r="J589" s="490"/>
      <c r="K589" s="491"/>
      <c r="L589" s="471"/>
      <c r="M589" s="471"/>
      <c r="N589" s="471"/>
      <c r="O589" s="471"/>
      <c r="P589" s="471"/>
      <c r="Q589" s="471"/>
      <c r="R589" s="471"/>
      <c r="S589" s="471"/>
      <c r="T589" s="471"/>
      <c r="U589" s="471"/>
      <c r="V589" s="471"/>
      <c r="W589" s="471"/>
      <c r="X589" s="471"/>
      <c r="Y589" s="471"/>
      <c r="Z589" s="471"/>
      <c r="AA589" s="471"/>
      <c r="AB589" s="471"/>
      <c r="AC589" s="471"/>
      <c r="AD589" s="471"/>
      <c r="AE589" s="471"/>
      <c r="AF589" s="471"/>
      <c r="AG589" s="471"/>
      <c r="AH589" s="471"/>
      <c r="AI589" s="471"/>
    </row>
    <row r="590">
      <c r="A590" s="471"/>
      <c r="B590" s="471"/>
      <c r="C590" s="471"/>
      <c r="D590" s="471"/>
      <c r="E590" s="471"/>
      <c r="F590" s="501"/>
      <c r="G590" s="471"/>
      <c r="H590" s="471"/>
      <c r="I590" s="471"/>
      <c r="J590" s="490"/>
      <c r="K590" s="491"/>
      <c r="L590" s="471"/>
      <c r="M590" s="471"/>
      <c r="N590" s="471"/>
      <c r="O590" s="471"/>
      <c r="P590" s="471"/>
      <c r="Q590" s="471"/>
      <c r="R590" s="471"/>
      <c r="S590" s="471"/>
      <c r="T590" s="471"/>
      <c r="U590" s="471"/>
      <c r="V590" s="471"/>
      <c r="W590" s="471"/>
      <c r="X590" s="471"/>
      <c r="Y590" s="471"/>
      <c r="Z590" s="471"/>
      <c r="AA590" s="471"/>
      <c r="AB590" s="471"/>
      <c r="AC590" s="471"/>
      <c r="AD590" s="471"/>
      <c r="AE590" s="471"/>
      <c r="AF590" s="471"/>
      <c r="AG590" s="471"/>
      <c r="AH590" s="471"/>
      <c r="AI590" s="471"/>
    </row>
    <row r="591">
      <c r="A591" s="471"/>
      <c r="B591" s="471"/>
      <c r="C591" s="471"/>
      <c r="D591" s="471"/>
      <c r="E591" s="471"/>
      <c r="F591" s="501"/>
      <c r="G591" s="471"/>
      <c r="H591" s="471"/>
      <c r="I591" s="471"/>
      <c r="J591" s="490"/>
      <c r="K591" s="491"/>
      <c r="L591" s="471"/>
      <c r="M591" s="471"/>
      <c r="N591" s="471"/>
      <c r="O591" s="471"/>
      <c r="P591" s="471"/>
      <c r="Q591" s="471"/>
      <c r="R591" s="471"/>
      <c r="S591" s="471"/>
      <c r="T591" s="471"/>
      <c r="U591" s="471"/>
      <c r="V591" s="471"/>
      <c r="W591" s="471"/>
      <c r="X591" s="471"/>
      <c r="Y591" s="471"/>
      <c r="Z591" s="471"/>
      <c r="AA591" s="471"/>
      <c r="AB591" s="471"/>
      <c r="AC591" s="471"/>
      <c r="AD591" s="471"/>
      <c r="AE591" s="471"/>
      <c r="AF591" s="471"/>
      <c r="AG591" s="471"/>
      <c r="AH591" s="471"/>
      <c r="AI591" s="471"/>
    </row>
    <row r="592">
      <c r="A592" s="471"/>
      <c r="B592" s="471"/>
      <c r="C592" s="471"/>
      <c r="D592" s="471"/>
      <c r="E592" s="471"/>
      <c r="F592" s="501"/>
      <c r="G592" s="471"/>
      <c r="H592" s="471"/>
      <c r="I592" s="471"/>
      <c r="J592" s="490"/>
      <c r="K592" s="491"/>
      <c r="L592" s="471"/>
      <c r="M592" s="471"/>
      <c r="N592" s="471"/>
      <c r="O592" s="471"/>
      <c r="P592" s="471"/>
      <c r="Q592" s="471"/>
      <c r="R592" s="471"/>
      <c r="S592" s="471"/>
      <c r="T592" s="471"/>
      <c r="U592" s="471"/>
      <c r="V592" s="471"/>
      <c r="W592" s="471"/>
      <c r="X592" s="471"/>
      <c r="Y592" s="471"/>
      <c r="Z592" s="471"/>
      <c r="AA592" s="471"/>
      <c r="AB592" s="471"/>
      <c r="AC592" s="471"/>
      <c r="AD592" s="471"/>
      <c r="AE592" s="471"/>
      <c r="AF592" s="471"/>
      <c r="AG592" s="471"/>
      <c r="AH592" s="471"/>
      <c r="AI592" s="471"/>
    </row>
    <row r="593">
      <c r="A593" s="471"/>
      <c r="B593" s="471"/>
      <c r="C593" s="471"/>
      <c r="D593" s="471"/>
      <c r="E593" s="471"/>
      <c r="F593" s="501"/>
      <c r="G593" s="471"/>
      <c r="H593" s="471"/>
      <c r="I593" s="471"/>
      <c r="J593" s="490"/>
      <c r="K593" s="491"/>
      <c r="L593" s="471"/>
      <c r="M593" s="471"/>
      <c r="N593" s="471"/>
      <c r="O593" s="471"/>
      <c r="P593" s="471"/>
      <c r="Q593" s="471"/>
      <c r="R593" s="471"/>
      <c r="S593" s="471"/>
      <c r="T593" s="471"/>
      <c r="U593" s="471"/>
      <c r="V593" s="471"/>
      <c r="W593" s="471"/>
      <c r="X593" s="471"/>
      <c r="Y593" s="471"/>
      <c r="Z593" s="471"/>
      <c r="AA593" s="471"/>
      <c r="AB593" s="471"/>
      <c r="AC593" s="471"/>
      <c r="AD593" s="471"/>
      <c r="AE593" s="471"/>
      <c r="AF593" s="471"/>
      <c r="AG593" s="471"/>
      <c r="AH593" s="471"/>
      <c r="AI593" s="471"/>
    </row>
    <row r="594">
      <c r="A594" s="471"/>
      <c r="B594" s="471"/>
      <c r="C594" s="471"/>
      <c r="D594" s="471"/>
      <c r="E594" s="471"/>
      <c r="F594" s="501"/>
      <c r="G594" s="471"/>
      <c r="H594" s="471"/>
      <c r="I594" s="471"/>
      <c r="J594" s="490"/>
      <c r="K594" s="491"/>
      <c r="L594" s="471"/>
      <c r="M594" s="471"/>
      <c r="N594" s="471"/>
      <c r="O594" s="471"/>
      <c r="P594" s="471"/>
      <c r="Q594" s="471"/>
      <c r="R594" s="471"/>
      <c r="S594" s="471"/>
      <c r="T594" s="471"/>
      <c r="U594" s="471"/>
      <c r="V594" s="471"/>
      <c r="W594" s="471"/>
      <c r="X594" s="471"/>
      <c r="Y594" s="471"/>
      <c r="Z594" s="471"/>
      <c r="AA594" s="471"/>
      <c r="AB594" s="471"/>
      <c r="AC594" s="471"/>
      <c r="AD594" s="471"/>
      <c r="AE594" s="471"/>
      <c r="AF594" s="471"/>
      <c r="AG594" s="471"/>
      <c r="AH594" s="471"/>
      <c r="AI594" s="471"/>
    </row>
    <row r="595">
      <c r="A595" s="471"/>
      <c r="B595" s="471"/>
      <c r="C595" s="471"/>
      <c r="D595" s="471"/>
      <c r="E595" s="471"/>
      <c r="F595" s="501"/>
      <c r="G595" s="471"/>
      <c r="H595" s="471"/>
      <c r="I595" s="471"/>
      <c r="J595" s="490"/>
      <c r="K595" s="491"/>
      <c r="L595" s="471"/>
      <c r="M595" s="471"/>
      <c r="N595" s="471"/>
      <c r="O595" s="471"/>
      <c r="P595" s="471"/>
      <c r="Q595" s="471"/>
      <c r="R595" s="471"/>
      <c r="S595" s="471"/>
      <c r="T595" s="471"/>
      <c r="U595" s="471"/>
      <c r="V595" s="471"/>
      <c r="W595" s="471"/>
      <c r="X595" s="471"/>
      <c r="Y595" s="471"/>
      <c r="Z595" s="471"/>
      <c r="AA595" s="471"/>
      <c r="AB595" s="471"/>
      <c r="AC595" s="471"/>
      <c r="AD595" s="471"/>
      <c r="AE595" s="471"/>
      <c r="AF595" s="471"/>
      <c r="AG595" s="471"/>
      <c r="AH595" s="471"/>
      <c r="AI595" s="471"/>
    </row>
    <row r="596">
      <c r="A596" s="471"/>
      <c r="B596" s="471"/>
      <c r="C596" s="471"/>
      <c r="D596" s="471"/>
      <c r="E596" s="471"/>
      <c r="F596" s="501"/>
      <c r="G596" s="471"/>
      <c r="H596" s="471"/>
      <c r="I596" s="471"/>
      <c r="J596" s="490"/>
      <c r="K596" s="491"/>
      <c r="L596" s="471"/>
      <c r="M596" s="471"/>
      <c r="N596" s="471"/>
      <c r="O596" s="471"/>
      <c r="P596" s="471"/>
      <c r="Q596" s="471"/>
      <c r="R596" s="471"/>
      <c r="S596" s="471"/>
      <c r="T596" s="471"/>
      <c r="U596" s="471"/>
      <c r="V596" s="471"/>
      <c r="W596" s="471"/>
      <c r="X596" s="471"/>
      <c r="Y596" s="471"/>
      <c r="Z596" s="471"/>
      <c r="AA596" s="471"/>
      <c r="AB596" s="471"/>
      <c r="AC596" s="471"/>
      <c r="AD596" s="471"/>
      <c r="AE596" s="471"/>
      <c r="AF596" s="471"/>
      <c r="AG596" s="471"/>
      <c r="AH596" s="471"/>
      <c r="AI596" s="471"/>
    </row>
    <row r="597">
      <c r="A597" s="471"/>
      <c r="B597" s="471"/>
      <c r="C597" s="471"/>
      <c r="D597" s="471"/>
      <c r="E597" s="471"/>
      <c r="F597" s="501"/>
      <c r="G597" s="471"/>
      <c r="H597" s="471"/>
      <c r="I597" s="471"/>
      <c r="J597" s="490"/>
      <c r="K597" s="491"/>
      <c r="L597" s="471"/>
      <c r="M597" s="471"/>
      <c r="N597" s="471"/>
      <c r="O597" s="471"/>
      <c r="P597" s="471"/>
      <c r="Q597" s="471"/>
      <c r="R597" s="471"/>
      <c r="S597" s="471"/>
      <c r="T597" s="471"/>
      <c r="U597" s="471"/>
      <c r="V597" s="471"/>
      <c r="W597" s="471"/>
      <c r="X597" s="471"/>
      <c r="Y597" s="471"/>
      <c r="Z597" s="471"/>
      <c r="AA597" s="471"/>
      <c r="AB597" s="471"/>
      <c r="AC597" s="471"/>
      <c r="AD597" s="471"/>
      <c r="AE597" s="471"/>
      <c r="AF597" s="471"/>
      <c r="AG597" s="471"/>
      <c r="AH597" s="471"/>
      <c r="AI597" s="471"/>
    </row>
    <row r="598">
      <c r="A598" s="471"/>
      <c r="B598" s="471"/>
      <c r="C598" s="471"/>
      <c r="D598" s="471"/>
      <c r="E598" s="471"/>
      <c r="F598" s="501"/>
      <c r="G598" s="471"/>
      <c r="H598" s="471"/>
      <c r="I598" s="471"/>
      <c r="J598" s="490"/>
      <c r="K598" s="491"/>
      <c r="L598" s="471"/>
      <c r="M598" s="471"/>
      <c r="N598" s="471"/>
      <c r="O598" s="471"/>
      <c r="P598" s="471"/>
      <c r="Q598" s="471"/>
      <c r="R598" s="471"/>
      <c r="S598" s="471"/>
      <c r="T598" s="471"/>
      <c r="U598" s="471"/>
      <c r="V598" s="471"/>
      <c r="W598" s="471"/>
      <c r="X598" s="471"/>
      <c r="Y598" s="471"/>
      <c r="Z598" s="471"/>
      <c r="AA598" s="471"/>
      <c r="AB598" s="471"/>
      <c r="AC598" s="471"/>
      <c r="AD598" s="471"/>
      <c r="AE598" s="471"/>
      <c r="AF598" s="471"/>
      <c r="AG598" s="471"/>
      <c r="AH598" s="471"/>
      <c r="AI598" s="471"/>
    </row>
    <row r="599">
      <c r="A599" s="471"/>
      <c r="B599" s="471"/>
      <c r="C599" s="471"/>
      <c r="D599" s="471"/>
      <c r="E599" s="471"/>
      <c r="F599" s="501"/>
      <c r="G599" s="471"/>
      <c r="H599" s="471"/>
      <c r="I599" s="471"/>
      <c r="J599" s="490"/>
      <c r="K599" s="491"/>
      <c r="L599" s="471"/>
      <c r="M599" s="471"/>
      <c r="N599" s="471"/>
      <c r="O599" s="471"/>
      <c r="P599" s="471"/>
      <c r="Q599" s="471"/>
      <c r="R599" s="471"/>
      <c r="S599" s="471"/>
      <c r="T599" s="471"/>
      <c r="U599" s="471"/>
      <c r="V599" s="471"/>
      <c r="W599" s="471"/>
      <c r="X599" s="471"/>
      <c r="Y599" s="471"/>
      <c r="Z599" s="471"/>
      <c r="AA599" s="471"/>
      <c r="AB599" s="471"/>
      <c r="AC599" s="471"/>
      <c r="AD599" s="471"/>
      <c r="AE599" s="471"/>
      <c r="AF599" s="471"/>
      <c r="AG599" s="471"/>
      <c r="AH599" s="471"/>
      <c r="AI599" s="471"/>
    </row>
    <row r="600">
      <c r="A600" s="471"/>
      <c r="B600" s="471"/>
      <c r="C600" s="471"/>
      <c r="D600" s="471"/>
      <c r="E600" s="471"/>
      <c r="F600" s="501"/>
      <c r="G600" s="471"/>
      <c r="H600" s="471"/>
      <c r="I600" s="471"/>
      <c r="J600" s="490"/>
      <c r="K600" s="491"/>
      <c r="L600" s="471"/>
      <c r="M600" s="471"/>
      <c r="N600" s="471"/>
      <c r="O600" s="471"/>
      <c r="P600" s="471"/>
      <c r="Q600" s="471"/>
      <c r="R600" s="471"/>
      <c r="S600" s="471"/>
      <c r="T600" s="471"/>
      <c r="U600" s="471"/>
      <c r="V600" s="471"/>
      <c r="W600" s="471"/>
      <c r="X600" s="471"/>
      <c r="Y600" s="471"/>
      <c r="Z600" s="471"/>
      <c r="AA600" s="471"/>
      <c r="AB600" s="471"/>
      <c r="AC600" s="471"/>
      <c r="AD600" s="471"/>
      <c r="AE600" s="471"/>
      <c r="AF600" s="471"/>
      <c r="AG600" s="471"/>
      <c r="AH600" s="471"/>
      <c r="AI600" s="471"/>
    </row>
    <row r="601">
      <c r="A601" s="471"/>
      <c r="B601" s="471"/>
      <c r="C601" s="471"/>
      <c r="D601" s="471"/>
      <c r="E601" s="471"/>
      <c r="F601" s="501"/>
      <c r="G601" s="471"/>
      <c r="H601" s="471"/>
      <c r="I601" s="471"/>
      <c r="J601" s="490"/>
      <c r="K601" s="491"/>
      <c r="L601" s="471"/>
      <c r="M601" s="471"/>
      <c r="N601" s="471"/>
      <c r="O601" s="471"/>
      <c r="P601" s="471"/>
      <c r="Q601" s="471"/>
      <c r="R601" s="471"/>
      <c r="S601" s="471"/>
      <c r="T601" s="471"/>
      <c r="U601" s="471"/>
      <c r="V601" s="471"/>
      <c r="W601" s="471"/>
      <c r="X601" s="471"/>
      <c r="Y601" s="471"/>
      <c r="Z601" s="471"/>
      <c r="AA601" s="471"/>
      <c r="AB601" s="471"/>
      <c r="AC601" s="471"/>
      <c r="AD601" s="471"/>
      <c r="AE601" s="471"/>
      <c r="AF601" s="471"/>
      <c r="AG601" s="471"/>
      <c r="AH601" s="471"/>
      <c r="AI601" s="471"/>
    </row>
    <row r="602">
      <c r="A602" s="471"/>
      <c r="B602" s="471"/>
      <c r="C602" s="471"/>
      <c r="D602" s="471"/>
      <c r="E602" s="471"/>
      <c r="F602" s="501"/>
      <c r="G602" s="471"/>
      <c r="H602" s="471"/>
      <c r="I602" s="471"/>
      <c r="J602" s="490"/>
      <c r="K602" s="491"/>
      <c r="L602" s="471"/>
      <c r="M602" s="471"/>
      <c r="N602" s="471"/>
      <c r="O602" s="471"/>
      <c r="P602" s="471"/>
      <c r="Q602" s="471"/>
      <c r="R602" s="471"/>
      <c r="S602" s="471"/>
      <c r="T602" s="471"/>
      <c r="U602" s="471"/>
      <c r="V602" s="471"/>
      <c r="W602" s="471"/>
      <c r="X602" s="471"/>
      <c r="Y602" s="471"/>
      <c r="Z602" s="471"/>
      <c r="AA602" s="471"/>
      <c r="AB602" s="471"/>
      <c r="AC602" s="471"/>
      <c r="AD602" s="471"/>
      <c r="AE602" s="471"/>
      <c r="AF602" s="471"/>
      <c r="AG602" s="471"/>
      <c r="AH602" s="471"/>
      <c r="AI602" s="471"/>
    </row>
    <row r="603">
      <c r="A603" s="471"/>
      <c r="B603" s="471"/>
      <c r="C603" s="471"/>
      <c r="D603" s="471"/>
      <c r="E603" s="471"/>
      <c r="F603" s="501"/>
      <c r="G603" s="471"/>
      <c r="H603" s="471"/>
      <c r="I603" s="471"/>
      <c r="J603" s="490"/>
      <c r="K603" s="491"/>
      <c r="L603" s="471"/>
      <c r="M603" s="471"/>
      <c r="N603" s="471"/>
      <c r="O603" s="471"/>
      <c r="P603" s="471"/>
      <c r="Q603" s="471"/>
      <c r="R603" s="471"/>
      <c r="S603" s="471"/>
      <c r="T603" s="471"/>
      <c r="U603" s="471"/>
      <c r="V603" s="471"/>
      <c r="W603" s="471"/>
      <c r="X603" s="471"/>
      <c r="Y603" s="471"/>
      <c r="Z603" s="471"/>
      <c r="AA603" s="471"/>
      <c r="AB603" s="471"/>
      <c r="AC603" s="471"/>
      <c r="AD603" s="471"/>
      <c r="AE603" s="471"/>
      <c r="AF603" s="471"/>
      <c r="AG603" s="471"/>
      <c r="AH603" s="471"/>
      <c r="AI603" s="471"/>
    </row>
    <row r="604">
      <c r="A604" s="471"/>
      <c r="B604" s="471"/>
      <c r="C604" s="471"/>
      <c r="D604" s="471"/>
      <c r="E604" s="471"/>
      <c r="F604" s="501"/>
      <c r="G604" s="471"/>
      <c r="H604" s="471"/>
      <c r="I604" s="471"/>
      <c r="J604" s="490"/>
      <c r="K604" s="491"/>
      <c r="L604" s="471"/>
      <c r="M604" s="471"/>
      <c r="N604" s="471"/>
      <c r="O604" s="471"/>
      <c r="P604" s="471"/>
      <c r="Q604" s="471"/>
      <c r="R604" s="471"/>
      <c r="S604" s="471"/>
      <c r="T604" s="471"/>
      <c r="U604" s="471"/>
      <c r="V604" s="471"/>
      <c r="W604" s="471"/>
      <c r="X604" s="471"/>
      <c r="Y604" s="471"/>
      <c r="Z604" s="471"/>
      <c r="AA604" s="471"/>
      <c r="AB604" s="471"/>
      <c r="AC604" s="471"/>
      <c r="AD604" s="471"/>
      <c r="AE604" s="471"/>
      <c r="AF604" s="471"/>
      <c r="AG604" s="471"/>
      <c r="AH604" s="471"/>
      <c r="AI604" s="471"/>
    </row>
    <row r="605">
      <c r="A605" s="471"/>
      <c r="B605" s="471"/>
      <c r="C605" s="471"/>
      <c r="D605" s="471"/>
      <c r="E605" s="471"/>
      <c r="F605" s="501"/>
      <c r="G605" s="471"/>
      <c r="H605" s="471"/>
      <c r="I605" s="471"/>
      <c r="J605" s="490"/>
      <c r="K605" s="491"/>
      <c r="L605" s="471"/>
      <c r="M605" s="471"/>
      <c r="N605" s="471"/>
      <c r="O605" s="471"/>
      <c r="P605" s="471"/>
      <c r="Q605" s="471"/>
      <c r="R605" s="471"/>
      <c r="S605" s="471"/>
      <c r="T605" s="471"/>
      <c r="U605" s="471"/>
      <c r="V605" s="471"/>
      <c r="W605" s="471"/>
      <c r="X605" s="471"/>
      <c r="Y605" s="471"/>
      <c r="Z605" s="471"/>
      <c r="AA605" s="471"/>
      <c r="AB605" s="471"/>
      <c r="AC605" s="471"/>
      <c r="AD605" s="471"/>
      <c r="AE605" s="471"/>
      <c r="AF605" s="471"/>
      <c r="AG605" s="471"/>
      <c r="AH605" s="471"/>
      <c r="AI605" s="471"/>
    </row>
    <row r="606">
      <c r="A606" s="471"/>
      <c r="B606" s="471"/>
      <c r="C606" s="471"/>
      <c r="D606" s="471"/>
      <c r="E606" s="471"/>
      <c r="F606" s="501"/>
      <c r="G606" s="471"/>
      <c r="H606" s="471"/>
      <c r="I606" s="471"/>
      <c r="J606" s="490"/>
      <c r="K606" s="491"/>
      <c r="L606" s="471"/>
      <c r="M606" s="471"/>
      <c r="N606" s="471"/>
      <c r="O606" s="471"/>
      <c r="P606" s="471"/>
      <c r="Q606" s="471"/>
      <c r="R606" s="471"/>
      <c r="S606" s="471"/>
      <c r="T606" s="471"/>
      <c r="U606" s="471"/>
      <c r="V606" s="471"/>
      <c r="W606" s="471"/>
      <c r="X606" s="471"/>
      <c r="Y606" s="471"/>
      <c r="Z606" s="471"/>
      <c r="AA606" s="471"/>
      <c r="AB606" s="471"/>
      <c r="AC606" s="471"/>
      <c r="AD606" s="471"/>
      <c r="AE606" s="471"/>
      <c r="AF606" s="471"/>
      <c r="AG606" s="471"/>
      <c r="AH606" s="471"/>
      <c r="AI606" s="471"/>
    </row>
    <row r="607">
      <c r="A607" s="471"/>
      <c r="B607" s="471"/>
      <c r="C607" s="471"/>
      <c r="D607" s="471"/>
      <c r="E607" s="471"/>
      <c r="F607" s="501"/>
      <c r="G607" s="471"/>
      <c r="H607" s="471"/>
      <c r="I607" s="471"/>
      <c r="J607" s="490"/>
      <c r="K607" s="491"/>
      <c r="L607" s="471"/>
      <c r="M607" s="471"/>
      <c r="N607" s="471"/>
      <c r="O607" s="471"/>
      <c r="P607" s="471"/>
      <c r="Q607" s="471"/>
      <c r="R607" s="471"/>
      <c r="S607" s="471"/>
      <c r="T607" s="471"/>
      <c r="U607" s="471"/>
      <c r="V607" s="471"/>
      <c r="W607" s="471"/>
      <c r="X607" s="471"/>
      <c r="Y607" s="471"/>
      <c r="Z607" s="471"/>
      <c r="AA607" s="471"/>
      <c r="AB607" s="471"/>
      <c r="AC607" s="471"/>
      <c r="AD607" s="471"/>
      <c r="AE607" s="471"/>
      <c r="AF607" s="471"/>
      <c r="AG607" s="471"/>
      <c r="AH607" s="471"/>
      <c r="AI607" s="471"/>
    </row>
    <row r="608">
      <c r="A608" s="471"/>
      <c r="B608" s="471"/>
      <c r="C608" s="471"/>
      <c r="D608" s="471"/>
      <c r="E608" s="471"/>
      <c r="F608" s="501"/>
      <c r="G608" s="471"/>
      <c r="H608" s="471"/>
      <c r="I608" s="471"/>
      <c r="J608" s="490"/>
      <c r="K608" s="491"/>
      <c r="L608" s="471"/>
      <c r="M608" s="471"/>
      <c r="N608" s="471"/>
      <c r="O608" s="471"/>
      <c r="P608" s="471"/>
      <c r="Q608" s="471"/>
      <c r="R608" s="471"/>
      <c r="S608" s="471"/>
      <c r="T608" s="471"/>
      <c r="U608" s="471"/>
      <c r="V608" s="471"/>
      <c r="W608" s="471"/>
      <c r="X608" s="471"/>
      <c r="Y608" s="471"/>
      <c r="Z608" s="471"/>
      <c r="AA608" s="471"/>
      <c r="AB608" s="471"/>
      <c r="AC608" s="471"/>
      <c r="AD608" s="471"/>
      <c r="AE608" s="471"/>
      <c r="AF608" s="471"/>
      <c r="AG608" s="471"/>
      <c r="AH608" s="471"/>
      <c r="AI608" s="471"/>
    </row>
    <row r="609">
      <c r="A609" s="471"/>
      <c r="B609" s="471"/>
      <c r="C609" s="471"/>
      <c r="D609" s="471"/>
      <c r="E609" s="471"/>
      <c r="F609" s="501"/>
      <c r="G609" s="471"/>
      <c r="H609" s="471"/>
      <c r="I609" s="471"/>
      <c r="J609" s="490"/>
      <c r="K609" s="491"/>
      <c r="L609" s="471"/>
      <c r="M609" s="471"/>
      <c r="N609" s="471"/>
      <c r="O609" s="471"/>
      <c r="P609" s="471"/>
      <c r="Q609" s="471"/>
      <c r="R609" s="471"/>
      <c r="S609" s="471"/>
      <c r="T609" s="471"/>
      <c r="U609" s="471"/>
      <c r="V609" s="471"/>
      <c r="W609" s="471"/>
      <c r="X609" s="471"/>
      <c r="Y609" s="471"/>
      <c r="Z609" s="471"/>
      <c r="AA609" s="471"/>
      <c r="AB609" s="471"/>
      <c r="AC609" s="471"/>
      <c r="AD609" s="471"/>
      <c r="AE609" s="471"/>
      <c r="AF609" s="471"/>
      <c r="AG609" s="471"/>
      <c r="AH609" s="471"/>
      <c r="AI609" s="471"/>
    </row>
    <row r="610">
      <c r="A610" s="471"/>
      <c r="B610" s="471"/>
      <c r="C610" s="471"/>
      <c r="D610" s="471"/>
      <c r="E610" s="471"/>
      <c r="F610" s="501"/>
      <c r="G610" s="471"/>
      <c r="H610" s="471"/>
      <c r="I610" s="471"/>
      <c r="J610" s="490"/>
      <c r="K610" s="491"/>
      <c r="L610" s="471"/>
      <c r="M610" s="471"/>
      <c r="N610" s="471"/>
      <c r="O610" s="471"/>
      <c r="P610" s="471"/>
      <c r="Q610" s="471"/>
      <c r="R610" s="471"/>
      <c r="S610" s="471"/>
      <c r="T610" s="471"/>
      <c r="U610" s="471"/>
      <c r="V610" s="471"/>
      <c r="W610" s="471"/>
      <c r="X610" s="471"/>
      <c r="Y610" s="471"/>
      <c r="Z610" s="471"/>
      <c r="AA610" s="471"/>
      <c r="AB610" s="471"/>
      <c r="AC610" s="471"/>
      <c r="AD610" s="471"/>
      <c r="AE610" s="471"/>
      <c r="AF610" s="471"/>
      <c r="AG610" s="471"/>
      <c r="AH610" s="471"/>
      <c r="AI610" s="471"/>
    </row>
    <row r="611">
      <c r="A611" s="471"/>
      <c r="B611" s="471"/>
      <c r="C611" s="471"/>
      <c r="D611" s="471"/>
      <c r="E611" s="471"/>
      <c r="F611" s="501"/>
      <c r="G611" s="471"/>
      <c r="H611" s="471"/>
      <c r="I611" s="471"/>
      <c r="J611" s="490"/>
      <c r="K611" s="491"/>
      <c r="L611" s="471"/>
      <c r="M611" s="471"/>
      <c r="N611" s="471"/>
      <c r="O611" s="471"/>
      <c r="P611" s="471"/>
      <c r="Q611" s="471"/>
      <c r="R611" s="471"/>
      <c r="S611" s="471"/>
      <c r="T611" s="471"/>
      <c r="U611" s="471"/>
      <c r="V611" s="471"/>
      <c r="W611" s="471"/>
      <c r="X611" s="471"/>
      <c r="Y611" s="471"/>
      <c r="Z611" s="471"/>
      <c r="AA611" s="471"/>
      <c r="AB611" s="471"/>
      <c r="AC611" s="471"/>
      <c r="AD611" s="471"/>
      <c r="AE611" s="471"/>
      <c r="AF611" s="471"/>
      <c r="AG611" s="471"/>
      <c r="AH611" s="471"/>
      <c r="AI611" s="471"/>
    </row>
    <row r="612">
      <c r="A612" s="471"/>
      <c r="B612" s="471"/>
      <c r="C612" s="471"/>
      <c r="D612" s="471"/>
      <c r="E612" s="471"/>
      <c r="F612" s="501"/>
      <c r="G612" s="471"/>
      <c r="H612" s="471"/>
      <c r="I612" s="471"/>
      <c r="J612" s="490"/>
      <c r="K612" s="491"/>
      <c r="L612" s="471"/>
      <c r="M612" s="471"/>
      <c r="N612" s="471"/>
      <c r="O612" s="471"/>
      <c r="P612" s="471"/>
      <c r="Q612" s="471"/>
      <c r="R612" s="471"/>
      <c r="S612" s="471"/>
      <c r="T612" s="471"/>
      <c r="U612" s="471"/>
      <c r="V612" s="471"/>
      <c r="W612" s="471"/>
      <c r="X612" s="471"/>
      <c r="Y612" s="471"/>
      <c r="Z612" s="471"/>
      <c r="AA612" s="471"/>
      <c r="AB612" s="471"/>
      <c r="AC612" s="471"/>
      <c r="AD612" s="471"/>
      <c r="AE612" s="471"/>
      <c r="AF612" s="471"/>
      <c r="AG612" s="471"/>
      <c r="AH612" s="471"/>
      <c r="AI612" s="471"/>
    </row>
    <row r="613">
      <c r="A613" s="471"/>
      <c r="B613" s="471"/>
      <c r="C613" s="471"/>
      <c r="D613" s="471"/>
      <c r="E613" s="471"/>
      <c r="F613" s="501"/>
      <c r="G613" s="471"/>
      <c r="H613" s="471"/>
      <c r="I613" s="471"/>
      <c r="J613" s="490"/>
      <c r="K613" s="491"/>
      <c r="L613" s="471"/>
      <c r="M613" s="471"/>
      <c r="N613" s="471"/>
      <c r="O613" s="471"/>
      <c r="P613" s="471"/>
      <c r="Q613" s="471"/>
      <c r="R613" s="471"/>
      <c r="S613" s="471"/>
      <c r="T613" s="471"/>
      <c r="U613" s="471"/>
      <c r="V613" s="471"/>
      <c r="W613" s="471"/>
      <c r="X613" s="471"/>
      <c r="Y613" s="471"/>
      <c r="Z613" s="471"/>
      <c r="AA613" s="471"/>
      <c r="AB613" s="471"/>
      <c r="AC613" s="471"/>
      <c r="AD613" s="471"/>
      <c r="AE613" s="471"/>
      <c r="AF613" s="471"/>
      <c r="AG613" s="471"/>
      <c r="AH613" s="471"/>
      <c r="AI613" s="471"/>
    </row>
    <row r="614">
      <c r="A614" s="471"/>
      <c r="B614" s="471"/>
      <c r="C614" s="471"/>
      <c r="D614" s="471"/>
      <c r="E614" s="471"/>
      <c r="F614" s="501"/>
      <c r="G614" s="471"/>
      <c r="H614" s="471"/>
      <c r="I614" s="471"/>
      <c r="J614" s="490"/>
      <c r="K614" s="491"/>
      <c r="L614" s="471"/>
      <c r="M614" s="471"/>
      <c r="N614" s="471"/>
      <c r="O614" s="471"/>
      <c r="P614" s="471"/>
      <c r="Q614" s="471"/>
      <c r="R614" s="471"/>
      <c r="S614" s="471"/>
      <c r="T614" s="471"/>
      <c r="U614" s="471"/>
      <c r="V614" s="471"/>
      <c r="W614" s="471"/>
      <c r="X614" s="471"/>
      <c r="Y614" s="471"/>
      <c r="Z614" s="471"/>
      <c r="AA614" s="471"/>
      <c r="AB614" s="471"/>
      <c r="AC614" s="471"/>
      <c r="AD614" s="471"/>
      <c r="AE614" s="471"/>
      <c r="AF614" s="471"/>
      <c r="AG614" s="471"/>
      <c r="AH614" s="471"/>
      <c r="AI614" s="471"/>
    </row>
    <row r="615">
      <c r="A615" s="471"/>
      <c r="B615" s="471"/>
      <c r="C615" s="471"/>
      <c r="D615" s="471"/>
      <c r="E615" s="471"/>
      <c r="F615" s="501"/>
      <c r="G615" s="471"/>
      <c r="H615" s="471"/>
      <c r="I615" s="471"/>
      <c r="J615" s="490"/>
      <c r="K615" s="491"/>
      <c r="L615" s="471"/>
      <c r="M615" s="471"/>
      <c r="N615" s="471"/>
      <c r="O615" s="471"/>
      <c r="P615" s="471"/>
      <c r="Q615" s="471"/>
      <c r="R615" s="471"/>
      <c r="S615" s="471"/>
      <c r="T615" s="471"/>
      <c r="U615" s="471"/>
      <c r="V615" s="471"/>
      <c r="W615" s="471"/>
      <c r="X615" s="471"/>
      <c r="Y615" s="471"/>
      <c r="Z615" s="471"/>
      <c r="AA615" s="471"/>
      <c r="AB615" s="471"/>
      <c r="AC615" s="471"/>
      <c r="AD615" s="471"/>
      <c r="AE615" s="471"/>
      <c r="AF615" s="471"/>
      <c r="AG615" s="471"/>
      <c r="AH615" s="471"/>
      <c r="AI615" s="471"/>
    </row>
    <row r="616">
      <c r="A616" s="471"/>
      <c r="B616" s="471"/>
      <c r="C616" s="471"/>
      <c r="D616" s="471"/>
      <c r="E616" s="471"/>
      <c r="F616" s="501"/>
      <c r="G616" s="471"/>
      <c r="H616" s="471"/>
      <c r="I616" s="471"/>
      <c r="J616" s="490"/>
      <c r="K616" s="491"/>
      <c r="L616" s="471"/>
      <c r="M616" s="471"/>
      <c r="N616" s="471"/>
      <c r="O616" s="471"/>
      <c r="P616" s="471"/>
      <c r="Q616" s="471"/>
      <c r="R616" s="471"/>
      <c r="S616" s="471"/>
      <c r="T616" s="471"/>
      <c r="U616" s="471"/>
      <c r="V616" s="471"/>
      <c r="W616" s="471"/>
      <c r="X616" s="471"/>
      <c r="Y616" s="471"/>
      <c r="Z616" s="471"/>
      <c r="AA616" s="471"/>
      <c r="AB616" s="471"/>
      <c r="AC616" s="471"/>
      <c r="AD616" s="471"/>
      <c r="AE616" s="471"/>
      <c r="AF616" s="471"/>
      <c r="AG616" s="471"/>
      <c r="AH616" s="471"/>
      <c r="AI616" s="471"/>
    </row>
    <row r="617">
      <c r="A617" s="471"/>
      <c r="B617" s="471"/>
      <c r="C617" s="471"/>
      <c r="D617" s="471"/>
      <c r="E617" s="471"/>
      <c r="F617" s="501"/>
      <c r="G617" s="471"/>
      <c r="H617" s="471"/>
      <c r="I617" s="471"/>
      <c r="J617" s="490"/>
      <c r="K617" s="491"/>
      <c r="L617" s="471"/>
      <c r="M617" s="471"/>
      <c r="N617" s="471"/>
      <c r="O617" s="471"/>
      <c r="P617" s="471"/>
      <c r="Q617" s="471"/>
      <c r="R617" s="471"/>
      <c r="S617" s="471"/>
      <c r="T617" s="471"/>
      <c r="U617" s="471"/>
      <c r="V617" s="471"/>
      <c r="W617" s="471"/>
      <c r="X617" s="471"/>
      <c r="Y617" s="471"/>
      <c r="Z617" s="471"/>
      <c r="AA617" s="471"/>
      <c r="AB617" s="471"/>
      <c r="AC617" s="471"/>
      <c r="AD617" s="471"/>
      <c r="AE617" s="471"/>
      <c r="AF617" s="471"/>
      <c r="AG617" s="471"/>
      <c r="AH617" s="471"/>
      <c r="AI617" s="471"/>
    </row>
    <row r="618">
      <c r="A618" s="471"/>
      <c r="B618" s="471"/>
      <c r="C618" s="471"/>
      <c r="D618" s="471"/>
      <c r="E618" s="471"/>
      <c r="F618" s="501"/>
      <c r="G618" s="471"/>
      <c r="H618" s="471"/>
      <c r="I618" s="471"/>
      <c r="J618" s="490"/>
      <c r="K618" s="491"/>
      <c r="L618" s="471"/>
      <c r="M618" s="471"/>
      <c r="N618" s="471"/>
      <c r="O618" s="471"/>
      <c r="P618" s="471"/>
      <c r="Q618" s="471"/>
      <c r="R618" s="471"/>
      <c r="S618" s="471"/>
      <c r="T618" s="471"/>
      <c r="U618" s="471"/>
      <c r="V618" s="471"/>
      <c r="W618" s="471"/>
      <c r="X618" s="471"/>
      <c r="Y618" s="471"/>
      <c r="Z618" s="471"/>
      <c r="AA618" s="471"/>
      <c r="AB618" s="471"/>
      <c r="AC618" s="471"/>
      <c r="AD618" s="471"/>
      <c r="AE618" s="471"/>
      <c r="AF618" s="471"/>
      <c r="AG618" s="471"/>
      <c r="AH618" s="471"/>
      <c r="AI618" s="471"/>
    </row>
    <row r="619">
      <c r="A619" s="471"/>
      <c r="B619" s="471"/>
      <c r="C619" s="471"/>
      <c r="D619" s="471"/>
      <c r="E619" s="471"/>
      <c r="F619" s="501"/>
      <c r="G619" s="471"/>
      <c r="H619" s="471"/>
      <c r="I619" s="471"/>
      <c r="J619" s="490"/>
      <c r="K619" s="491"/>
      <c r="L619" s="471"/>
      <c r="M619" s="471"/>
      <c r="N619" s="471"/>
      <c r="O619" s="471"/>
      <c r="P619" s="471"/>
      <c r="Q619" s="471"/>
      <c r="R619" s="471"/>
      <c r="S619" s="471"/>
      <c r="T619" s="471"/>
      <c r="U619" s="471"/>
      <c r="V619" s="471"/>
      <c r="W619" s="471"/>
      <c r="X619" s="471"/>
      <c r="Y619" s="471"/>
      <c r="Z619" s="471"/>
      <c r="AA619" s="471"/>
      <c r="AB619" s="471"/>
      <c r="AC619" s="471"/>
      <c r="AD619" s="471"/>
      <c r="AE619" s="471"/>
      <c r="AF619" s="471"/>
      <c r="AG619" s="471"/>
      <c r="AH619" s="471"/>
      <c r="AI619" s="471"/>
    </row>
    <row r="620">
      <c r="A620" s="471"/>
      <c r="B620" s="471"/>
      <c r="C620" s="471"/>
      <c r="D620" s="471"/>
      <c r="E620" s="471"/>
      <c r="F620" s="501"/>
      <c r="G620" s="471"/>
      <c r="H620" s="471"/>
      <c r="I620" s="471"/>
      <c r="J620" s="490"/>
      <c r="K620" s="491"/>
      <c r="L620" s="471"/>
      <c r="M620" s="471"/>
      <c r="N620" s="471"/>
      <c r="O620" s="471"/>
      <c r="P620" s="471"/>
      <c r="Q620" s="471"/>
      <c r="R620" s="471"/>
      <c r="S620" s="471"/>
      <c r="T620" s="471"/>
      <c r="U620" s="471"/>
      <c r="V620" s="471"/>
      <c r="W620" s="471"/>
      <c r="X620" s="471"/>
      <c r="Y620" s="471"/>
      <c r="Z620" s="471"/>
      <c r="AA620" s="471"/>
      <c r="AB620" s="471"/>
      <c r="AC620" s="471"/>
      <c r="AD620" s="471"/>
      <c r="AE620" s="471"/>
      <c r="AF620" s="471"/>
      <c r="AG620" s="471"/>
      <c r="AH620" s="471"/>
      <c r="AI620" s="471"/>
    </row>
    <row r="621">
      <c r="A621" s="471"/>
      <c r="B621" s="471"/>
      <c r="C621" s="471"/>
      <c r="D621" s="471"/>
      <c r="E621" s="471"/>
      <c r="F621" s="501"/>
      <c r="G621" s="471"/>
      <c r="H621" s="471"/>
      <c r="I621" s="471"/>
      <c r="J621" s="490"/>
      <c r="K621" s="491"/>
      <c r="L621" s="471"/>
      <c r="M621" s="471"/>
      <c r="N621" s="471"/>
      <c r="O621" s="471"/>
      <c r="P621" s="471"/>
      <c r="Q621" s="471"/>
      <c r="R621" s="471"/>
      <c r="S621" s="471"/>
      <c r="T621" s="471"/>
      <c r="U621" s="471"/>
      <c r="V621" s="471"/>
      <c r="W621" s="471"/>
      <c r="X621" s="471"/>
      <c r="Y621" s="471"/>
      <c r="Z621" s="471"/>
      <c r="AA621" s="471"/>
      <c r="AB621" s="471"/>
      <c r="AC621" s="471"/>
      <c r="AD621" s="471"/>
      <c r="AE621" s="471"/>
      <c r="AF621" s="471"/>
      <c r="AG621" s="471"/>
      <c r="AH621" s="471"/>
      <c r="AI621" s="471"/>
    </row>
    <row r="622">
      <c r="A622" s="471"/>
      <c r="B622" s="471"/>
      <c r="C622" s="471"/>
      <c r="D622" s="471"/>
      <c r="E622" s="471"/>
      <c r="F622" s="501"/>
      <c r="G622" s="471"/>
      <c r="H622" s="471"/>
      <c r="I622" s="471"/>
      <c r="J622" s="490"/>
      <c r="K622" s="491"/>
      <c r="L622" s="471"/>
      <c r="M622" s="471"/>
      <c r="N622" s="471"/>
      <c r="O622" s="471"/>
      <c r="P622" s="471"/>
      <c r="Q622" s="471"/>
      <c r="R622" s="471"/>
      <c r="S622" s="471"/>
      <c r="T622" s="471"/>
      <c r="U622" s="471"/>
      <c r="V622" s="471"/>
      <c r="W622" s="471"/>
      <c r="X622" s="471"/>
      <c r="Y622" s="471"/>
      <c r="Z622" s="471"/>
      <c r="AA622" s="471"/>
      <c r="AB622" s="471"/>
      <c r="AC622" s="471"/>
      <c r="AD622" s="471"/>
      <c r="AE622" s="471"/>
      <c r="AF622" s="471"/>
      <c r="AG622" s="471"/>
      <c r="AH622" s="471"/>
      <c r="AI622" s="471"/>
    </row>
    <row r="623">
      <c r="A623" s="471"/>
      <c r="B623" s="471"/>
      <c r="C623" s="471"/>
      <c r="D623" s="471"/>
      <c r="E623" s="471"/>
      <c r="F623" s="501"/>
      <c r="G623" s="471"/>
      <c r="H623" s="471"/>
      <c r="I623" s="471"/>
      <c r="J623" s="490"/>
      <c r="K623" s="491"/>
      <c r="L623" s="471"/>
      <c r="M623" s="471"/>
      <c r="N623" s="471"/>
      <c r="O623" s="471"/>
      <c r="P623" s="471"/>
      <c r="Q623" s="471"/>
      <c r="R623" s="471"/>
      <c r="S623" s="471"/>
      <c r="T623" s="471"/>
      <c r="U623" s="471"/>
      <c r="V623" s="471"/>
      <c r="W623" s="471"/>
      <c r="X623" s="471"/>
      <c r="Y623" s="471"/>
      <c r="Z623" s="471"/>
      <c r="AA623" s="471"/>
      <c r="AB623" s="471"/>
      <c r="AC623" s="471"/>
      <c r="AD623" s="471"/>
      <c r="AE623" s="471"/>
      <c r="AF623" s="471"/>
      <c r="AG623" s="471"/>
      <c r="AH623" s="471"/>
      <c r="AI623" s="471"/>
    </row>
    <row r="624">
      <c r="A624" s="471"/>
      <c r="B624" s="471"/>
      <c r="C624" s="471"/>
      <c r="D624" s="471"/>
      <c r="E624" s="471"/>
      <c r="F624" s="501"/>
      <c r="G624" s="471"/>
      <c r="H624" s="471"/>
      <c r="I624" s="471"/>
      <c r="J624" s="490"/>
      <c r="K624" s="491"/>
      <c r="L624" s="471"/>
      <c r="M624" s="471"/>
      <c r="N624" s="471"/>
      <c r="O624" s="471"/>
      <c r="P624" s="471"/>
      <c r="Q624" s="471"/>
      <c r="R624" s="471"/>
      <c r="S624" s="471"/>
      <c r="T624" s="471"/>
      <c r="U624" s="471"/>
      <c r="V624" s="471"/>
      <c r="W624" s="471"/>
      <c r="X624" s="471"/>
      <c r="Y624" s="471"/>
      <c r="Z624" s="471"/>
      <c r="AA624" s="471"/>
      <c r="AB624" s="471"/>
      <c r="AC624" s="471"/>
      <c r="AD624" s="471"/>
      <c r="AE624" s="471"/>
      <c r="AF624" s="471"/>
      <c r="AG624" s="471"/>
      <c r="AH624" s="471"/>
      <c r="AI624" s="471"/>
    </row>
    <row r="625">
      <c r="A625" s="471"/>
      <c r="B625" s="471"/>
      <c r="C625" s="471"/>
      <c r="D625" s="471"/>
      <c r="E625" s="471"/>
      <c r="F625" s="501"/>
      <c r="G625" s="471"/>
      <c r="H625" s="471"/>
      <c r="I625" s="471"/>
      <c r="J625" s="490"/>
      <c r="K625" s="491"/>
      <c r="L625" s="471"/>
      <c r="M625" s="471"/>
      <c r="N625" s="471"/>
      <c r="O625" s="471"/>
      <c r="P625" s="471"/>
      <c r="Q625" s="471"/>
      <c r="R625" s="471"/>
      <c r="S625" s="471"/>
      <c r="T625" s="471"/>
      <c r="U625" s="471"/>
      <c r="V625" s="471"/>
      <c r="W625" s="471"/>
      <c r="X625" s="471"/>
      <c r="Y625" s="471"/>
      <c r="Z625" s="471"/>
      <c r="AA625" s="471"/>
      <c r="AB625" s="471"/>
      <c r="AC625" s="471"/>
      <c r="AD625" s="471"/>
      <c r="AE625" s="471"/>
      <c r="AF625" s="471"/>
      <c r="AG625" s="471"/>
      <c r="AH625" s="471"/>
      <c r="AI625" s="471"/>
    </row>
    <row r="626">
      <c r="A626" s="471"/>
      <c r="B626" s="471"/>
      <c r="C626" s="471"/>
      <c r="D626" s="471"/>
      <c r="E626" s="471"/>
      <c r="F626" s="501"/>
      <c r="G626" s="471"/>
      <c r="H626" s="471"/>
      <c r="I626" s="471"/>
      <c r="J626" s="490"/>
      <c r="K626" s="491"/>
      <c r="L626" s="471"/>
      <c r="M626" s="471"/>
      <c r="N626" s="471"/>
      <c r="O626" s="471"/>
      <c r="P626" s="471"/>
      <c r="Q626" s="471"/>
      <c r="R626" s="471"/>
      <c r="S626" s="471"/>
      <c r="T626" s="471"/>
      <c r="U626" s="471"/>
      <c r="V626" s="471"/>
      <c r="W626" s="471"/>
      <c r="X626" s="471"/>
      <c r="Y626" s="471"/>
      <c r="Z626" s="471"/>
      <c r="AA626" s="471"/>
      <c r="AB626" s="471"/>
      <c r="AC626" s="471"/>
      <c r="AD626" s="471"/>
      <c r="AE626" s="471"/>
      <c r="AF626" s="471"/>
      <c r="AG626" s="471"/>
      <c r="AH626" s="471"/>
      <c r="AI626" s="471"/>
    </row>
    <row r="627">
      <c r="A627" s="471"/>
      <c r="B627" s="471"/>
      <c r="C627" s="471"/>
      <c r="D627" s="471"/>
      <c r="E627" s="471"/>
      <c r="F627" s="501"/>
      <c r="G627" s="471"/>
      <c r="H627" s="471"/>
      <c r="I627" s="471"/>
      <c r="J627" s="490"/>
      <c r="K627" s="491"/>
      <c r="L627" s="471"/>
      <c r="M627" s="471"/>
      <c r="N627" s="471"/>
      <c r="O627" s="471"/>
      <c r="P627" s="471"/>
      <c r="Q627" s="471"/>
      <c r="R627" s="471"/>
      <c r="S627" s="471"/>
      <c r="T627" s="471"/>
      <c r="U627" s="471"/>
      <c r="V627" s="471"/>
      <c r="W627" s="471"/>
      <c r="X627" s="471"/>
      <c r="Y627" s="471"/>
      <c r="Z627" s="471"/>
      <c r="AA627" s="471"/>
      <c r="AB627" s="471"/>
      <c r="AC627" s="471"/>
      <c r="AD627" s="471"/>
      <c r="AE627" s="471"/>
      <c r="AF627" s="471"/>
      <c r="AG627" s="471"/>
      <c r="AH627" s="471"/>
      <c r="AI627" s="471"/>
    </row>
    <row r="628">
      <c r="A628" s="471"/>
      <c r="B628" s="471"/>
      <c r="C628" s="471"/>
      <c r="D628" s="471"/>
      <c r="E628" s="471"/>
      <c r="F628" s="501"/>
      <c r="G628" s="471"/>
      <c r="H628" s="471"/>
      <c r="I628" s="471"/>
      <c r="J628" s="490"/>
      <c r="K628" s="491"/>
      <c r="L628" s="471"/>
      <c r="M628" s="471"/>
      <c r="N628" s="471"/>
      <c r="O628" s="471"/>
      <c r="P628" s="471"/>
      <c r="Q628" s="471"/>
      <c r="R628" s="471"/>
      <c r="S628" s="471"/>
      <c r="T628" s="471"/>
      <c r="U628" s="471"/>
      <c r="V628" s="471"/>
      <c r="W628" s="471"/>
      <c r="X628" s="471"/>
      <c r="Y628" s="471"/>
      <c r="Z628" s="471"/>
      <c r="AA628" s="471"/>
      <c r="AB628" s="471"/>
      <c r="AC628" s="471"/>
      <c r="AD628" s="471"/>
      <c r="AE628" s="471"/>
      <c r="AF628" s="471"/>
      <c r="AG628" s="471"/>
      <c r="AH628" s="471"/>
      <c r="AI628" s="471"/>
    </row>
    <row r="629">
      <c r="A629" s="471"/>
      <c r="B629" s="471"/>
      <c r="C629" s="471"/>
      <c r="D629" s="471"/>
      <c r="E629" s="471"/>
      <c r="F629" s="501"/>
      <c r="G629" s="471"/>
      <c r="H629" s="471"/>
      <c r="I629" s="471"/>
      <c r="J629" s="490"/>
      <c r="K629" s="491"/>
      <c r="L629" s="471"/>
      <c r="M629" s="471"/>
      <c r="N629" s="471"/>
      <c r="O629" s="471"/>
      <c r="P629" s="471"/>
      <c r="Q629" s="471"/>
      <c r="R629" s="471"/>
      <c r="S629" s="471"/>
      <c r="T629" s="471"/>
      <c r="U629" s="471"/>
      <c r="V629" s="471"/>
      <c r="W629" s="471"/>
      <c r="X629" s="471"/>
      <c r="Y629" s="471"/>
      <c r="Z629" s="471"/>
      <c r="AA629" s="471"/>
      <c r="AB629" s="471"/>
      <c r="AC629" s="471"/>
      <c r="AD629" s="471"/>
      <c r="AE629" s="471"/>
      <c r="AF629" s="471"/>
      <c r="AG629" s="471"/>
      <c r="AH629" s="471"/>
      <c r="AI629" s="471"/>
    </row>
    <row r="630">
      <c r="A630" s="471"/>
      <c r="B630" s="471"/>
      <c r="C630" s="471"/>
      <c r="D630" s="471"/>
      <c r="E630" s="471"/>
      <c r="F630" s="501"/>
      <c r="G630" s="471"/>
      <c r="H630" s="471"/>
      <c r="I630" s="471"/>
      <c r="J630" s="490"/>
      <c r="K630" s="491"/>
      <c r="L630" s="471"/>
      <c r="M630" s="471"/>
      <c r="N630" s="471"/>
      <c r="O630" s="471"/>
      <c r="P630" s="471"/>
      <c r="Q630" s="471"/>
      <c r="R630" s="471"/>
      <c r="S630" s="471"/>
      <c r="T630" s="471"/>
      <c r="U630" s="471"/>
      <c r="V630" s="471"/>
      <c r="W630" s="471"/>
      <c r="X630" s="471"/>
      <c r="Y630" s="471"/>
      <c r="Z630" s="471"/>
      <c r="AA630" s="471"/>
      <c r="AB630" s="471"/>
      <c r="AC630" s="471"/>
      <c r="AD630" s="471"/>
      <c r="AE630" s="471"/>
      <c r="AF630" s="471"/>
      <c r="AG630" s="471"/>
      <c r="AH630" s="471"/>
      <c r="AI630" s="471"/>
    </row>
    <row r="631">
      <c r="A631" s="471"/>
      <c r="B631" s="471"/>
      <c r="C631" s="471"/>
      <c r="D631" s="471"/>
      <c r="E631" s="471"/>
      <c r="F631" s="501"/>
      <c r="G631" s="471"/>
      <c r="H631" s="471"/>
      <c r="I631" s="471"/>
      <c r="J631" s="490"/>
      <c r="K631" s="491"/>
      <c r="L631" s="471"/>
      <c r="M631" s="471"/>
      <c r="N631" s="471"/>
      <c r="O631" s="471"/>
      <c r="P631" s="471"/>
      <c r="Q631" s="471"/>
      <c r="R631" s="471"/>
      <c r="S631" s="471"/>
      <c r="T631" s="471"/>
      <c r="U631" s="471"/>
      <c r="V631" s="471"/>
      <c r="W631" s="471"/>
      <c r="X631" s="471"/>
      <c r="Y631" s="471"/>
      <c r="Z631" s="471"/>
      <c r="AA631" s="471"/>
      <c r="AB631" s="471"/>
      <c r="AC631" s="471"/>
      <c r="AD631" s="471"/>
      <c r="AE631" s="471"/>
      <c r="AF631" s="471"/>
      <c r="AG631" s="471"/>
      <c r="AH631" s="471"/>
      <c r="AI631" s="471"/>
    </row>
    <row r="632">
      <c r="A632" s="471"/>
      <c r="B632" s="471"/>
      <c r="C632" s="471"/>
      <c r="D632" s="471"/>
      <c r="E632" s="471"/>
      <c r="F632" s="501"/>
      <c r="G632" s="471"/>
      <c r="H632" s="471"/>
      <c r="I632" s="471"/>
      <c r="J632" s="490"/>
      <c r="K632" s="491"/>
      <c r="L632" s="471"/>
      <c r="M632" s="471"/>
      <c r="N632" s="471"/>
      <c r="O632" s="471"/>
      <c r="P632" s="471"/>
      <c r="Q632" s="471"/>
      <c r="R632" s="471"/>
      <c r="S632" s="471"/>
      <c r="T632" s="471"/>
      <c r="U632" s="471"/>
      <c r="V632" s="471"/>
      <c r="W632" s="471"/>
      <c r="X632" s="471"/>
      <c r="Y632" s="471"/>
      <c r="Z632" s="471"/>
      <c r="AA632" s="471"/>
      <c r="AB632" s="471"/>
      <c r="AC632" s="471"/>
      <c r="AD632" s="471"/>
      <c r="AE632" s="471"/>
      <c r="AF632" s="471"/>
      <c r="AG632" s="471"/>
      <c r="AH632" s="471"/>
      <c r="AI632" s="471"/>
    </row>
    <row r="633">
      <c r="A633" s="471"/>
      <c r="B633" s="471"/>
      <c r="C633" s="471"/>
      <c r="D633" s="471"/>
      <c r="E633" s="471"/>
      <c r="F633" s="501"/>
      <c r="G633" s="471"/>
      <c r="H633" s="471"/>
      <c r="I633" s="471"/>
      <c r="J633" s="490"/>
      <c r="K633" s="491"/>
      <c r="L633" s="471"/>
      <c r="M633" s="471"/>
      <c r="N633" s="471"/>
      <c r="O633" s="471"/>
      <c r="P633" s="471"/>
      <c r="Q633" s="471"/>
      <c r="R633" s="471"/>
      <c r="S633" s="471"/>
      <c r="T633" s="471"/>
      <c r="U633" s="471"/>
      <c r="V633" s="471"/>
      <c r="W633" s="471"/>
      <c r="X633" s="471"/>
      <c r="Y633" s="471"/>
      <c r="Z633" s="471"/>
      <c r="AA633" s="471"/>
      <c r="AB633" s="471"/>
      <c r="AC633" s="471"/>
      <c r="AD633" s="471"/>
      <c r="AE633" s="471"/>
      <c r="AF633" s="471"/>
      <c r="AG633" s="471"/>
      <c r="AH633" s="471"/>
      <c r="AI633" s="471"/>
    </row>
    <row r="634">
      <c r="A634" s="471"/>
      <c r="B634" s="471"/>
      <c r="C634" s="471"/>
      <c r="D634" s="471"/>
      <c r="E634" s="471"/>
      <c r="F634" s="501"/>
      <c r="G634" s="471"/>
      <c r="H634" s="471"/>
      <c r="I634" s="471"/>
      <c r="J634" s="490"/>
      <c r="K634" s="491"/>
      <c r="L634" s="471"/>
      <c r="M634" s="471"/>
      <c r="N634" s="471"/>
      <c r="O634" s="471"/>
      <c r="P634" s="471"/>
      <c r="Q634" s="471"/>
      <c r="R634" s="471"/>
      <c r="S634" s="471"/>
      <c r="T634" s="471"/>
      <c r="U634" s="471"/>
      <c r="V634" s="471"/>
      <c r="W634" s="471"/>
      <c r="X634" s="471"/>
      <c r="Y634" s="471"/>
      <c r="Z634" s="471"/>
      <c r="AA634" s="471"/>
      <c r="AB634" s="471"/>
      <c r="AC634" s="471"/>
      <c r="AD634" s="471"/>
      <c r="AE634" s="471"/>
      <c r="AF634" s="471"/>
      <c r="AG634" s="471"/>
      <c r="AH634" s="471"/>
      <c r="AI634" s="471"/>
    </row>
    <row r="635">
      <c r="A635" s="471"/>
      <c r="B635" s="471"/>
      <c r="C635" s="471"/>
      <c r="D635" s="471"/>
      <c r="E635" s="471"/>
      <c r="F635" s="501"/>
      <c r="G635" s="471"/>
      <c r="H635" s="471"/>
      <c r="I635" s="471"/>
      <c r="J635" s="490"/>
      <c r="K635" s="491"/>
      <c r="L635" s="471"/>
      <c r="M635" s="471"/>
      <c r="N635" s="471"/>
      <c r="O635" s="471"/>
      <c r="P635" s="471"/>
      <c r="Q635" s="471"/>
      <c r="R635" s="471"/>
      <c r="S635" s="471"/>
      <c r="T635" s="471"/>
      <c r="U635" s="471"/>
      <c r="V635" s="471"/>
      <c r="W635" s="471"/>
      <c r="X635" s="471"/>
      <c r="Y635" s="471"/>
      <c r="Z635" s="471"/>
      <c r="AA635" s="471"/>
      <c r="AB635" s="471"/>
      <c r="AC635" s="471"/>
      <c r="AD635" s="471"/>
      <c r="AE635" s="471"/>
      <c r="AF635" s="471"/>
      <c r="AG635" s="471"/>
      <c r="AH635" s="471"/>
      <c r="AI635" s="471"/>
    </row>
    <row r="636">
      <c r="A636" s="471"/>
      <c r="B636" s="471"/>
      <c r="C636" s="471"/>
      <c r="D636" s="471"/>
      <c r="E636" s="471"/>
      <c r="F636" s="501"/>
      <c r="G636" s="471"/>
      <c r="H636" s="471"/>
      <c r="I636" s="471"/>
      <c r="J636" s="490"/>
      <c r="K636" s="491"/>
      <c r="L636" s="471"/>
      <c r="M636" s="471"/>
      <c r="N636" s="471"/>
      <c r="O636" s="471"/>
      <c r="P636" s="471"/>
      <c r="Q636" s="471"/>
      <c r="R636" s="471"/>
      <c r="S636" s="471"/>
      <c r="T636" s="471"/>
      <c r="U636" s="471"/>
      <c r="V636" s="471"/>
      <c r="W636" s="471"/>
      <c r="X636" s="471"/>
      <c r="Y636" s="471"/>
      <c r="Z636" s="471"/>
      <c r="AA636" s="471"/>
      <c r="AB636" s="471"/>
      <c r="AC636" s="471"/>
      <c r="AD636" s="471"/>
      <c r="AE636" s="471"/>
      <c r="AF636" s="471"/>
      <c r="AG636" s="471"/>
      <c r="AH636" s="471"/>
      <c r="AI636" s="471"/>
    </row>
    <row r="637">
      <c r="A637" s="471"/>
      <c r="B637" s="471"/>
      <c r="C637" s="471"/>
      <c r="D637" s="471"/>
      <c r="E637" s="471"/>
      <c r="F637" s="501"/>
      <c r="G637" s="471"/>
      <c r="H637" s="471"/>
      <c r="I637" s="471"/>
      <c r="J637" s="490"/>
      <c r="K637" s="491"/>
      <c r="L637" s="471"/>
      <c r="M637" s="471"/>
      <c r="N637" s="471"/>
      <c r="O637" s="471"/>
      <c r="P637" s="471"/>
      <c r="Q637" s="471"/>
      <c r="R637" s="471"/>
      <c r="S637" s="471"/>
      <c r="T637" s="471"/>
      <c r="U637" s="471"/>
      <c r="V637" s="471"/>
      <c r="W637" s="471"/>
      <c r="X637" s="471"/>
      <c r="Y637" s="471"/>
      <c r="Z637" s="471"/>
      <c r="AA637" s="471"/>
      <c r="AB637" s="471"/>
      <c r="AC637" s="471"/>
      <c r="AD637" s="471"/>
      <c r="AE637" s="471"/>
      <c r="AF637" s="471"/>
      <c r="AG637" s="471"/>
      <c r="AH637" s="471"/>
      <c r="AI637" s="471"/>
    </row>
    <row r="638">
      <c r="A638" s="471"/>
      <c r="B638" s="471"/>
      <c r="C638" s="471"/>
      <c r="D638" s="471"/>
      <c r="E638" s="471"/>
      <c r="F638" s="501"/>
      <c r="G638" s="471"/>
      <c r="H638" s="471"/>
      <c r="I638" s="471"/>
      <c r="J638" s="490"/>
      <c r="K638" s="491"/>
      <c r="L638" s="471"/>
      <c r="M638" s="471"/>
      <c r="N638" s="471"/>
      <c r="O638" s="471"/>
      <c r="P638" s="471"/>
      <c r="Q638" s="471"/>
      <c r="R638" s="471"/>
      <c r="S638" s="471"/>
      <c r="T638" s="471"/>
      <c r="U638" s="471"/>
      <c r="V638" s="471"/>
      <c r="W638" s="471"/>
      <c r="X638" s="471"/>
      <c r="Y638" s="471"/>
      <c r="Z638" s="471"/>
      <c r="AA638" s="471"/>
      <c r="AB638" s="471"/>
      <c r="AC638" s="471"/>
      <c r="AD638" s="471"/>
      <c r="AE638" s="471"/>
      <c r="AF638" s="471"/>
      <c r="AG638" s="471"/>
      <c r="AH638" s="471"/>
      <c r="AI638" s="471"/>
    </row>
    <row r="639">
      <c r="A639" s="471"/>
      <c r="B639" s="471"/>
      <c r="C639" s="471"/>
      <c r="D639" s="471"/>
      <c r="E639" s="471"/>
      <c r="F639" s="501"/>
      <c r="G639" s="471"/>
      <c r="H639" s="471"/>
      <c r="I639" s="471"/>
      <c r="J639" s="490"/>
      <c r="K639" s="491"/>
      <c r="L639" s="471"/>
      <c r="M639" s="471"/>
      <c r="N639" s="471"/>
      <c r="O639" s="471"/>
      <c r="P639" s="471"/>
      <c r="Q639" s="471"/>
      <c r="R639" s="471"/>
      <c r="S639" s="471"/>
      <c r="T639" s="471"/>
      <c r="U639" s="471"/>
      <c r="V639" s="471"/>
      <c r="W639" s="471"/>
      <c r="X639" s="471"/>
      <c r="Y639" s="471"/>
      <c r="Z639" s="471"/>
      <c r="AA639" s="471"/>
      <c r="AB639" s="471"/>
      <c r="AC639" s="471"/>
      <c r="AD639" s="471"/>
      <c r="AE639" s="471"/>
      <c r="AF639" s="471"/>
      <c r="AG639" s="471"/>
      <c r="AH639" s="471"/>
      <c r="AI639" s="471"/>
    </row>
    <row r="640">
      <c r="A640" s="471"/>
      <c r="B640" s="471"/>
      <c r="C640" s="471"/>
      <c r="D640" s="471"/>
      <c r="E640" s="471"/>
      <c r="F640" s="501"/>
      <c r="G640" s="471"/>
      <c r="H640" s="471"/>
      <c r="I640" s="471"/>
      <c r="J640" s="490"/>
      <c r="K640" s="491"/>
      <c r="L640" s="471"/>
      <c r="M640" s="471"/>
      <c r="N640" s="471"/>
      <c r="O640" s="471"/>
      <c r="P640" s="471"/>
      <c r="Q640" s="471"/>
      <c r="R640" s="471"/>
      <c r="S640" s="471"/>
      <c r="T640" s="471"/>
      <c r="U640" s="471"/>
      <c r="V640" s="471"/>
      <c r="W640" s="471"/>
      <c r="X640" s="471"/>
      <c r="Y640" s="471"/>
      <c r="Z640" s="471"/>
      <c r="AA640" s="471"/>
      <c r="AB640" s="471"/>
      <c r="AC640" s="471"/>
      <c r="AD640" s="471"/>
      <c r="AE640" s="471"/>
      <c r="AF640" s="471"/>
      <c r="AG640" s="471"/>
      <c r="AH640" s="471"/>
      <c r="AI640" s="471"/>
    </row>
    <row r="641">
      <c r="A641" s="471"/>
      <c r="B641" s="471"/>
      <c r="C641" s="471"/>
      <c r="D641" s="471"/>
      <c r="E641" s="471"/>
      <c r="F641" s="501"/>
      <c r="G641" s="471"/>
      <c r="H641" s="471"/>
      <c r="I641" s="471"/>
      <c r="J641" s="490"/>
      <c r="K641" s="491"/>
      <c r="L641" s="471"/>
      <c r="M641" s="471"/>
      <c r="N641" s="471"/>
      <c r="O641" s="471"/>
      <c r="P641" s="471"/>
      <c r="Q641" s="471"/>
      <c r="R641" s="471"/>
      <c r="S641" s="471"/>
      <c r="T641" s="471"/>
      <c r="U641" s="471"/>
      <c r="V641" s="471"/>
      <c r="W641" s="471"/>
      <c r="X641" s="471"/>
      <c r="Y641" s="471"/>
      <c r="Z641" s="471"/>
      <c r="AA641" s="471"/>
      <c r="AB641" s="471"/>
      <c r="AC641" s="471"/>
      <c r="AD641" s="471"/>
      <c r="AE641" s="471"/>
      <c r="AF641" s="471"/>
      <c r="AG641" s="471"/>
      <c r="AH641" s="471"/>
      <c r="AI641" s="471"/>
    </row>
    <row r="642">
      <c r="A642" s="471"/>
      <c r="B642" s="471"/>
      <c r="C642" s="471"/>
      <c r="D642" s="471"/>
      <c r="E642" s="471"/>
      <c r="F642" s="501"/>
      <c r="G642" s="471"/>
      <c r="H642" s="471"/>
      <c r="I642" s="471"/>
      <c r="J642" s="490"/>
      <c r="K642" s="491"/>
      <c r="L642" s="471"/>
      <c r="M642" s="471"/>
      <c r="N642" s="471"/>
      <c r="O642" s="471"/>
      <c r="P642" s="471"/>
      <c r="Q642" s="471"/>
      <c r="R642" s="471"/>
      <c r="S642" s="471"/>
      <c r="T642" s="471"/>
      <c r="U642" s="471"/>
      <c r="V642" s="471"/>
      <c r="W642" s="471"/>
      <c r="X642" s="471"/>
      <c r="Y642" s="471"/>
      <c r="Z642" s="471"/>
      <c r="AA642" s="471"/>
      <c r="AB642" s="471"/>
      <c r="AC642" s="471"/>
      <c r="AD642" s="471"/>
      <c r="AE642" s="471"/>
      <c r="AF642" s="471"/>
      <c r="AG642" s="471"/>
      <c r="AH642" s="471"/>
      <c r="AI642" s="471"/>
    </row>
    <row r="643">
      <c r="A643" s="471"/>
      <c r="B643" s="471"/>
      <c r="C643" s="471"/>
      <c r="D643" s="471"/>
      <c r="E643" s="471"/>
      <c r="F643" s="501"/>
      <c r="G643" s="471"/>
      <c r="H643" s="471"/>
      <c r="I643" s="471"/>
      <c r="J643" s="490"/>
      <c r="K643" s="491"/>
      <c r="L643" s="471"/>
      <c r="M643" s="471"/>
      <c r="N643" s="471"/>
      <c r="O643" s="471"/>
      <c r="P643" s="471"/>
      <c r="Q643" s="471"/>
      <c r="R643" s="471"/>
      <c r="S643" s="471"/>
      <c r="T643" s="471"/>
      <c r="U643" s="471"/>
      <c r="V643" s="471"/>
      <c r="W643" s="471"/>
      <c r="X643" s="471"/>
      <c r="Y643" s="471"/>
      <c r="Z643" s="471"/>
      <c r="AA643" s="471"/>
      <c r="AB643" s="471"/>
      <c r="AC643" s="471"/>
      <c r="AD643" s="471"/>
      <c r="AE643" s="471"/>
      <c r="AF643" s="471"/>
      <c r="AG643" s="471"/>
      <c r="AH643" s="471"/>
      <c r="AI643" s="471"/>
    </row>
    <row r="644">
      <c r="A644" s="471"/>
      <c r="B644" s="471"/>
      <c r="C644" s="471"/>
      <c r="D644" s="471"/>
      <c r="E644" s="471"/>
      <c r="F644" s="501"/>
      <c r="G644" s="471"/>
      <c r="H644" s="471"/>
      <c r="I644" s="471"/>
      <c r="J644" s="490"/>
      <c r="K644" s="491"/>
      <c r="L644" s="471"/>
      <c r="M644" s="471"/>
      <c r="N644" s="471"/>
      <c r="O644" s="471"/>
      <c r="P644" s="471"/>
      <c r="Q644" s="471"/>
      <c r="R644" s="471"/>
      <c r="S644" s="471"/>
      <c r="T644" s="471"/>
      <c r="U644" s="471"/>
      <c r="V644" s="471"/>
      <c r="W644" s="471"/>
      <c r="X644" s="471"/>
      <c r="Y644" s="471"/>
      <c r="Z644" s="471"/>
      <c r="AA644" s="471"/>
      <c r="AB644" s="471"/>
      <c r="AC644" s="471"/>
      <c r="AD644" s="471"/>
      <c r="AE644" s="471"/>
      <c r="AF644" s="471"/>
      <c r="AG644" s="471"/>
      <c r="AH644" s="471"/>
      <c r="AI644" s="471"/>
    </row>
    <row r="645">
      <c r="A645" s="471"/>
      <c r="B645" s="471"/>
      <c r="C645" s="471"/>
      <c r="D645" s="471"/>
      <c r="E645" s="471"/>
      <c r="F645" s="501"/>
      <c r="G645" s="471"/>
      <c r="H645" s="471"/>
      <c r="I645" s="471"/>
      <c r="J645" s="490"/>
      <c r="K645" s="491"/>
      <c r="L645" s="471"/>
      <c r="M645" s="471"/>
      <c r="N645" s="471"/>
      <c r="O645" s="471"/>
      <c r="P645" s="471"/>
      <c r="Q645" s="471"/>
      <c r="R645" s="471"/>
      <c r="S645" s="471"/>
      <c r="T645" s="471"/>
      <c r="U645" s="471"/>
      <c r="V645" s="471"/>
      <c r="W645" s="471"/>
      <c r="X645" s="471"/>
      <c r="Y645" s="471"/>
      <c r="Z645" s="471"/>
      <c r="AA645" s="471"/>
      <c r="AB645" s="471"/>
      <c r="AC645" s="471"/>
      <c r="AD645" s="471"/>
      <c r="AE645" s="471"/>
      <c r="AF645" s="471"/>
      <c r="AG645" s="471"/>
      <c r="AH645" s="471"/>
      <c r="AI645" s="471"/>
    </row>
    <row r="646">
      <c r="A646" s="471"/>
      <c r="B646" s="471"/>
      <c r="C646" s="471"/>
      <c r="D646" s="471"/>
      <c r="E646" s="471"/>
      <c r="F646" s="501"/>
      <c r="G646" s="471"/>
      <c r="H646" s="471"/>
      <c r="I646" s="471"/>
      <c r="J646" s="490"/>
      <c r="K646" s="491"/>
      <c r="L646" s="471"/>
      <c r="M646" s="471"/>
      <c r="N646" s="471"/>
      <c r="O646" s="471"/>
      <c r="P646" s="471"/>
      <c r="Q646" s="471"/>
      <c r="R646" s="471"/>
      <c r="S646" s="471"/>
      <c r="T646" s="471"/>
      <c r="U646" s="471"/>
      <c r="V646" s="471"/>
      <c r="W646" s="471"/>
      <c r="X646" s="471"/>
      <c r="Y646" s="471"/>
      <c r="Z646" s="471"/>
      <c r="AA646" s="471"/>
      <c r="AB646" s="471"/>
      <c r="AC646" s="471"/>
      <c r="AD646" s="471"/>
      <c r="AE646" s="471"/>
      <c r="AF646" s="471"/>
      <c r="AG646" s="471"/>
      <c r="AH646" s="471"/>
      <c r="AI646" s="471"/>
    </row>
    <row r="647">
      <c r="A647" s="471"/>
      <c r="B647" s="471"/>
      <c r="C647" s="471"/>
      <c r="D647" s="471"/>
      <c r="E647" s="471"/>
      <c r="F647" s="501"/>
      <c r="G647" s="471"/>
      <c r="H647" s="471"/>
      <c r="I647" s="471"/>
      <c r="J647" s="490"/>
      <c r="K647" s="491"/>
      <c r="L647" s="471"/>
      <c r="M647" s="471"/>
      <c r="N647" s="471"/>
      <c r="O647" s="471"/>
      <c r="P647" s="471"/>
      <c r="Q647" s="471"/>
      <c r="R647" s="471"/>
      <c r="S647" s="471"/>
      <c r="T647" s="471"/>
      <c r="U647" s="471"/>
      <c r="V647" s="471"/>
      <c r="W647" s="471"/>
      <c r="X647" s="471"/>
      <c r="Y647" s="471"/>
      <c r="Z647" s="471"/>
      <c r="AA647" s="471"/>
      <c r="AB647" s="471"/>
      <c r="AC647" s="471"/>
      <c r="AD647" s="471"/>
      <c r="AE647" s="471"/>
      <c r="AF647" s="471"/>
      <c r="AG647" s="471"/>
      <c r="AH647" s="471"/>
      <c r="AI647" s="471"/>
    </row>
    <row r="648">
      <c r="A648" s="471"/>
      <c r="B648" s="471"/>
      <c r="C648" s="471"/>
      <c r="D648" s="471"/>
      <c r="E648" s="471"/>
      <c r="F648" s="501"/>
      <c r="G648" s="471"/>
      <c r="H648" s="471"/>
      <c r="I648" s="471"/>
      <c r="J648" s="490"/>
      <c r="K648" s="491"/>
      <c r="L648" s="471"/>
      <c r="M648" s="471"/>
      <c r="N648" s="471"/>
      <c r="O648" s="471"/>
      <c r="P648" s="471"/>
      <c r="Q648" s="471"/>
      <c r="R648" s="471"/>
      <c r="S648" s="471"/>
      <c r="T648" s="471"/>
      <c r="U648" s="471"/>
      <c r="V648" s="471"/>
      <c r="W648" s="471"/>
      <c r="X648" s="471"/>
      <c r="Y648" s="471"/>
      <c r="Z648" s="471"/>
      <c r="AA648" s="471"/>
      <c r="AB648" s="471"/>
      <c r="AC648" s="471"/>
      <c r="AD648" s="471"/>
      <c r="AE648" s="471"/>
      <c r="AF648" s="471"/>
      <c r="AG648" s="471"/>
      <c r="AH648" s="471"/>
      <c r="AI648" s="471"/>
    </row>
    <row r="649">
      <c r="A649" s="471"/>
      <c r="B649" s="471"/>
      <c r="C649" s="471"/>
      <c r="D649" s="471"/>
      <c r="E649" s="471"/>
      <c r="F649" s="501"/>
      <c r="G649" s="471"/>
      <c r="H649" s="471"/>
      <c r="I649" s="471"/>
      <c r="J649" s="490"/>
      <c r="K649" s="491"/>
      <c r="L649" s="471"/>
      <c r="M649" s="471"/>
      <c r="N649" s="471"/>
      <c r="O649" s="471"/>
      <c r="P649" s="471"/>
      <c r="Q649" s="471"/>
      <c r="R649" s="471"/>
      <c r="S649" s="471"/>
      <c r="T649" s="471"/>
      <c r="U649" s="471"/>
      <c r="V649" s="471"/>
      <c r="W649" s="471"/>
      <c r="X649" s="471"/>
      <c r="Y649" s="471"/>
      <c r="Z649" s="471"/>
      <c r="AA649" s="471"/>
      <c r="AB649" s="471"/>
      <c r="AC649" s="471"/>
      <c r="AD649" s="471"/>
      <c r="AE649" s="471"/>
      <c r="AF649" s="471"/>
      <c r="AG649" s="471"/>
      <c r="AH649" s="471"/>
      <c r="AI649" s="471"/>
    </row>
    <row r="650">
      <c r="A650" s="471"/>
      <c r="B650" s="471"/>
      <c r="C650" s="471"/>
      <c r="D650" s="471"/>
      <c r="E650" s="471"/>
      <c r="F650" s="501"/>
      <c r="G650" s="471"/>
      <c r="H650" s="471"/>
      <c r="I650" s="471"/>
      <c r="J650" s="490"/>
      <c r="K650" s="491"/>
      <c r="L650" s="471"/>
      <c r="M650" s="471"/>
      <c r="N650" s="471"/>
      <c r="O650" s="471"/>
      <c r="P650" s="471"/>
      <c r="Q650" s="471"/>
      <c r="R650" s="471"/>
      <c r="S650" s="471"/>
      <c r="T650" s="471"/>
      <c r="U650" s="471"/>
      <c r="V650" s="471"/>
      <c r="W650" s="471"/>
      <c r="X650" s="471"/>
      <c r="Y650" s="471"/>
      <c r="Z650" s="471"/>
      <c r="AA650" s="471"/>
      <c r="AB650" s="471"/>
      <c r="AC650" s="471"/>
      <c r="AD650" s="471"/>
      <c r="AE650" s="471"/>
      <c r="AF650" s="471"/>
      <c r="AG650" s="471"/>
      <c r="AH650" s="471"/>
      <c r="AI650" s="471"/>
    </row>
    <row r="651">
      <c r="A651" s="471"/>
      <c r="B651" s="471"/>
      <c r="C651" s="471"/>
      <c r="D651" s="471"/>
      <c r="E651" s="471"/>
      <c r="F651" s="501"/>
      <c r="G651" s="471"/>
      <c r="H651" s="471"/>
      <c r="I651" s="471"/>
      <c r="J651" s="490"/>
      <c r="K651" s="491"/>
      <c r="L651" s="471"/>
      <c r="M651" s="471"/>
      <c r="N651" s="471"/>
      <c r="O651" s="471"/>
      <c r="P651" s="471"/>
      <c r="Q651" s="471"/>
      <c r="R651" s="471"/>
      <c r="S651" s="471"/>
      <c r="T651" s="471"/>
      <c r="U651" s="471"/>
      <c r="V651" s="471"/>
      <c r="W651" s="471"/>
      <c r="X651" s="471"/>
      <c r="Y651" s="471"/>
      <c r="Z651" s="471"/>
      <c r="AA651" s="471"/>
      <c r="AB651" s="471"/>
      <c r="AC651" s="471"/>
      <c r="AD651" s="471"/>
      <c r="AE651" s="471"/>
      <c r="AF651" s="471"/>
      <c r="AG651" s="471"/>
      <c r="AH651" s="471"/>
      <c r="AI651" s="471"/>
    </row>
    <row r="652">
      <c r="A652" s="471"/>
      <c r="B652" s="471"/>
      <c r="C652" s="471"/>
      <c r="D652" s="471"/>
      <c r="E652" s="471"/>
      <c r="F652" s="501"/>
      <c r="G652" s="471"/>
      <c r="H652" s="471"/>
      <c r="I652" s="471"/>
      <c r="J652" s="490"/>
      <c r="K652" s="491"/>
      <c r="L652" s="471"/>
      <c r="M652" s="471"/>
      <c r="N652" s="471"/>
      <c r="O652" s="471"/>
      <c r="P652" s="471"/>
      <c r="Q652" s="471"/>
      <c r="R652" s="471"/>
      <c r="S652" s="471"/>
      <c r="T652" s="471"/>
      <c r="U652" s="471"/>
      <c r="V652" s="471"/>
      <c r="W652" s="471"/>
      <c r="X652" s="471"/>
      <c r="Y652" s="471"/>
      <c r="Z652" s="471"/>
      <c r="AA652" s="471"/>
      <c r="AB652" s="471"/>
      <c r="AC652" s="471"/>
      <c r="AD652" s="471"/>
      <c r="AE652" s="471"/>
      <c r="AF652" s="471"/>
      <c r="AG652" s="471"/>
      <c r="AH652" s="471"/>
      <c r="AI652" s="471"/>
    </row>
    <row r="653">
      <c r="A653" s="471"/>
      <c r="B653" s="471"/>
      <c r="C653" s="471"/>
      <c r="D653" s="471"/>
      <c r="E653" s="471"/>
      <c r="F653" s="501"/>
      <c r="G653" s="471"/>
      <c r="H653" s="471"/>
      <c r="I653" s="471"/>
      <c r="J653" s="490"/>
      <c r="K653" s="491"/>
      <c r="L653" s="471"/>
      <c r="M653" s="471"/>
      <c r="N653" s="471"/>
      <c r="O653" s="471"/>
      <c r="P653" s="471"/>
      <c r="Q653" s="471"/>
      <c r="R653" s="471"/>
      <c r="S653" s="471"/>
      <c r="T653" s="471"/>
      <c r="U653" s="471"/>
      <c r="V653" s="471"/>
      <c r="W653" s="471"/>
      <c r="X653" s="471"/>
      <c r="Y653" s="471"/>
      <c r="Z653" s="471"/>
      <c r="AA653" s="471"/>
      <c r="AB653" s="471"/>
      <c r="AC653" s="471"/>
      <c r="AD653" s="471"/>
      <c r="AE653" s="471"/>
      <c r="AF653" s="471"/>
      <c r="AG653" s="471"/>
      <c r="AH653" s="471"/>
      <c r="AI653" s="471"/>
    </row>
    <row r="654">
      <c r="A654" s="471"/>
      <c r="B654" s="471"/>
      <c r="C654" s="471"/>
      <c r="D654" s="471"/>
      <c r="E654" s="471"/>
      <c r="F654" s="501"/>
      <c r="G654" s="471"/>
      <c r="H654" s="471"/>
      <c r="I654" s="471"/>
      <c r="J654" s="490"/>
      <c r="K654" s="491"/>
      <c r="L654" s="471"/>
      <c r="M654" s="471"/>
      <c r="N654" s="471"/>
      <c r="O654" s="471"/>
      <c r="P654" s="471"/>
      <c r="Q654" s="471"/>
      <c r="R654" s="471"/>
      <c r="S654" s="471"/>
      <c r="T654" s="471"/>
      <c r="U654" s="471"/>
      <c r="V654" s="471"/>
      <c r="W654" s="471"/>
      <c r="X654" s="471"/>
      <c r="Y654" s="471"/>
      <c r="Z654" s="471"/>
      <c r="AA654" s="471"/>
      <c r="AB654" s="471"/>
      <c r="AC654" s="471"/>
      <c r="AD654" s="471"/>
      <c r="AE654" s="471"/>
      <c r="AF654" s="471"/>
      <c r="AG654" s="471"/>
      <c r="AH654" s="471"/>
      <c r="AI654" s="471"/>
    </row>
    <row r="655">
      <c r="A655" s="471"/>
      <c r="B655" s="471"/>
      <c r="C655" s="471"/>
      <c r="D655" s="471"/>
      <c r="E655" s="471"/>
      <c r="F655" s="501"/>
      <c r="G655" s="471"/>
      <c r="H655" s="471"/>
      <c r="I655" s="471"/>
      <c r="J655" s="490"/>
      <c r="K655" s="491"/>
      <c r="L655" s="471"/>
      <c r="M655" s="471"/>
      <c r="N655" s="471"/>
      <c r="O655" s="471"/>
      <c r="P655" s="471"/>
      <c r="Q655" s="471"/>
      <c r="R655" s="471"/>
      <c r="S655" s="471"/>
      <c r="T655" s="471"/>
      <c r="U655" s="471"/>
      <c r="V655" s="471"/>
      <c r="W655" s="471"/>
      <c r="X655" s="471"/>
      <c r="Y655" s="471"/>
      <c r="Z655" s="471"/>
      <c r="AA655" s="471"/>
      <c r="AB655" s="471"/>
      <c r="AC655" s="471"/>
      <c r="AD655" s="471"/>
      <c r="AE655" s="471"/>
      <c r="AF655" s="471"/>
      <c r="AG655" s="471"/>
      <c r="AH655" s="471"/>
      <c r="AI655" s="471"/>
    </row>
    <row r="656">
      <c r="A656" s="471"/>
      <c r="B656" s="471"/>
      <c r="C656" s="471"/>
      <c r="D656" s="471"/>
      <c r="E656" s="471"/>
      <c r="F656" s="501"/>
      <c r="G656" s="471"/>
      <c r="H656" s="471"/>
      <c r="I656" s="471"/>
      <c r="J656" s="490"/>
      <c r="K656" s="491"/>
      <c r="L656" s="471"/>
      <c r="M656" s="471"/>
      <c r="N656" s="471"/>
      <c r="O656" s="471"/>
      <c r="P656" s="471"/>
      <c r="Q656" s="471"/>
      <c r="R656" s="471"/>
      <c r="S656" s="471"/>
      <c r="T656" s="471"/>
      <c r="U656" s="471"/>
      <c r="V656" s="471"/>
      <c r="W656" s="471"/>
      <c r="X656" s="471"/>
      <c r="Y656" s="471"/>
      <c r="Z656" s="471"/>
      <c r="AA656" s="471"/>
      <c r="AB656" s="471"/>
      <c r="AC656" s="471"/>
      <c r="AD656" s="471"/>
      <c r="AE656" s="471"/>
      <c r="AF656" s="471"/>
      <c r="AG656" s="471"/>
      <c r="AH656" s="471"/>
      <c r="AI656" s="471"/>
    </row>
    <row r="657">
      <c r="A657" s="471"/>
      <c r="B657" s="471"/>
      <c r="C657" s="471"/>
      <c r="D657" s="471"/>
      <c r="E657" s="471"/>
      <c r="F657" s="501"/>
      <c r="G657" s="471"/>
      <c r="H657" s="471"/>
      <c r="I657" s="471"/>
      <c r="J657" s="490"/>
      <c r="K657" s="491"/>
      <c r="L657" s="471"/>
      <c r="M657" s="471"/>
      <c r="N657" s="471"/>
      <c r="O657" s="471"/>
      <c r="P657" s="471"/>
      <c r="Q657" s="471"/>
      <c r="R657" s="471"/>
      <c r="S657" s="471"/>
      <c r="T657" s="471"/>
      <c r="U657" s="471"/>
      <c r="V657" s="471"/>
      <c r="W657" s="471"/>
      <c r="X657" s="471"/>
      <c r="Y657" s="471"/>
      <c r="Z657" s="471"/>
      <c r="AA657" s="471"/>
      <c r="AB657" s="471"/>
      <c r="AC657" s="471"/>
      <c r="AD657" s="471"/>
      <c r="AE657" s="471"/>
      <c r="AF657" s="471"/>
      <c r="AG657" s="471"/>
      <c r="AH657" s="471"/>
      <c r="AI657" s="471"/>
    </row>
    <row r="658">
      <c r="A658" s="471"/>
      <c r="B658" s="471"/>
      <c r="C658" s="471"/>
      <c r="D658" s="471"/>
      <c r="E658" s="471"/>
      <c r="F658" s="501"/>
      <c r="G658" s="471"/>
      <c r="H658" s="471"/>
      <c r="I658" s="471"/>
      <c r="J658" s="490"/>
      <c r="K658" s="491"/>
      <c r="L658" s="471"/>
      <c r="M658" s="471"/>
      <c r="N658" s="471"/>
      <c r="O658" s="471"/>
      <c r="P658" s="471"/>
      <c r="Q658" s="471"/>
      <c r="R658" s="471"/>
      <c r="S658" s="471"/>
      <c r="T658" s="471"/>
      <c r="U658" s="471"/>
      <c r="V658" s="471"/>
      <c r="W658" s="471"/>
      <c r="X658" s="471"/>
      <c r="Y658" s="471"/>
      <c r="Z658" s="471"/>
      <c r="AA658" s="471"/>
      <c r="AB658" s="471"/>
      <c r="AC658" s="471"/>
      <c r="AD658" s="471"/>
      <c r="AE658" s="471"/>
      <c r="AF658" s="471"/>
      <c r="AG658" s="471"/>
      <c r="AH658" s="471"/>
      <c r="AI658" s="471"/>
    </row>
    <row r="659">
      <c r="A659" s="471"/>
      <c r="B659" s="471"/>
      <c r="C659" s="471"/>
      <c r="D659" s="471"/>
      <c r="E659" s="471"/>
      <c r="F659" s="501"/>
      <c r="G659" s="471"/>
      <c r="H659" s="471"/>
      <c r="I659" s="471"/>
      <c r="J659" s="490"/>
      <c r="K659" s="491"/>
      <c r="L659" s="471"/>
      <c r="M659" s="471"/>
      <c r="N659" s="471"/>
      <c r="O659" s="471"/>
      <c r="P659" s="471"/>
      <c r="Q659" s="471"/>
      <c r="R659" s="471"/>
      <c r="S659" s="471"/>
      <c r="T659" s="471"/>
      <c r="U659" s="471"/>
      <c r="V659" s="471"/>
      <c r="W659" s="471"/>
      <c r="X659" s="471"/>
      <c r="Y659" s="471"/>
      <c r="Z659" s="471"/>
      <c r="AA659" s="471"/>
      <c r="AB659" s="471"/>
      <c r="AC659" s="471"/>
      <c r="AD659" s="471"/>
      <c r="AE659" s="471"/>
      <c r="AF659" s="471"/>
      <c r="AG659" s="471"/>
      <c r="AH659" s="471"/>
      <c r="AI659" s="471"/>
    </row>
    <row r="660">
      <c r="A660" s="471"/>
      <c r="B660" s="471"/>
      <c r="C660" s="471"/>
      <c r="D660" s="471"/>
      <c r="E660" s="471"/>
      <c r="F660" s="501"/>
      <c r="G660" s="471"/>
      <c r="H660" s="471"/>
      <c r="I660" s="471"/>
      <c r="J660" s="490"/>
      <c r="K660" s="491"/>
      <c r="L660" s="471"/>
      <c r="M660" s="471"/>
      <c r="N660" s="471"/>
      <c r="O660" s="471"/>
      <c r="P660" s="471"/>
      <c r="Q660" s="471"/>
      <c r="R660" s="471"/>
      <c r="S660" s="471"/>
      <c r="T660" s="471"/>
      <c r="U660" s="471"/>
      <c r="V660" s="471"/>
      <c r="W660" s="471"/>
      <c r="X660" s="471"/>
      <c r="Y660" s="471"/>
      <c r="Z660" s="471"/>
      <c r="AA660" s="471"/>
      <c r="AB660" s="471"/>
      <c r="AC660" s="471"/>
      <c r="AD660" s="471"/>
      <c r="AE660" s="471"/>
      <c r="AF660" s="471"/>
      <c r="AG660" s="471"/>
      <c r="AH660" s="471"/>
      <c r="AI660" s="471"/>
    </row>
    <row r="661">
      <c r="A661" s="471"/>
      <c r="B661" s="471"/>
      <c r="C661" s="471"/>
      <c r="D661" s="471"/>
      <c r="E661" s="471"/>
      <c r="F661" s="501"/>
      <c r="G661" s="471"/>
      <c r="H661" s="471"/>
      <c r="I661" s="471"/>
      <c r="J661" s="490"/>
      <c r="K661" s="491"/>
      <c r="L661" s="471"/>
      <c r="M661" s="471"/>
      <c r="N661" s="471"/>
      <c r="O661" s="471"/>
      <c r="P661" s="471"/>
      <c r="Q661" s="471"/>
      <c r="R661" s="471"/>
      <c r="S661" s="471"/>
      <c r="T661" s="471"/>
      <c r="U661" s="471"/>
      <c r="V661" s="471"/>
      <c r="W661" s="471"/>
      <c r="X661" s="471"/>
      <c r="Y661" s="471"/>
      <c r="Z661" s="471"/>
      <c r="AA661" s="471"/>
      <c r="AB661" s="471"/>
      <c r="AC661" s="471"/>
      <c r="AD661" s="471"/>
      <c r="AE661" s="471"/>
      <c r="AF661" s="471"/>
      <c r="AG661" s="471"/>
      <c r="AH661" s="471"/>
      <c r="AI661" s="471"/>
    </row>
    <row r="662">
      <c r="A662" s="471"/>
      <c r="B662" s="471"/>
      <c r="C662" s="471"/>
      <c r="D662" s="471"/>
      <c r="E662" s="471"/>
      <c r="F662" s="501"/>
      <c r="G662" s="471"/>
      <c r="H662" s="471"/>
      <c r="I662" s="471"/>
      <c r="J662" s="490"/>
      <c r="K662" s="491"/>
      <c r="L662" s="471"/>
      <c r="M662" s="471"/>
      <c r="N662" s="471"/>
      <c r="O662" s="471"/>
      <c r="P662" s="471"/>
      <c r="Q662" s="471"/>
      <c r="R662" s="471"/>
      <c r="S662" s="471"/>
      <c r="T662" s="471"/>
      <c r="U662" s="471"/>
      <c r="V662" s="471"/>
      <c r="W662" s="471"/>
      <c r="X662" s="471"/>
      <c r="Y662" s="471"/>
      <c r="Z662" s="471"/>
      <c r="AA662" s="471"/>
      <c r="AB662" s="471"/>
      <c r="AC662" s="471"/>
      <c r="AD662" s="471"/>
      <c r="AE662" s="471"/>
      <c r="AF662" s="471"/>
      <c r="AG662" s="471"/>
      <c r="AH662" s="471"/>
      <c r="AI662" s="471"/>
    </row>
    <row r="663">
      <c r="A663" s="471"/>
      <c r="B663" s="471"/>
      <c r="C663" s="471"/>
      <c r="D663" s="471"/>
      <c r="E663" s="471"/>
      <c r="F663" s="501"/>
      <c r="G663" s="471"/>
      <c r="H663" s="471"/>
      <c r="I663" s="471"/>
      <c r="J663" s="490"/>
      <c r="K663" s="491"/>
      <c r="L663" s="471"/>
      <c r="M663" s="471"/>
      <c r="N663" s="471"/>
      <c r="O663" s="471"/>
      <c r="P663" s="471"/>
      <c r="Q663" s="471"/>
      <c r="R663" s="471"/>
      <c r="S663" s="471"/>
      <c r="T663" s="471"/>
      <c r="U663" s="471"/>
      <c r="V663" s="471"/>
      <c r="W663" s="471"/>
      <c r="X663" s="471"/>
      <c r="Y663" s="471"/>
      <c r="Z663" s="471"/>
      <c r="AA663" s="471"/>
      <c r="AB663" s="471"/>
      <c r="AC663" s="471"/>
      <c r="AD663" s="471"/>
      <c r="AE663" s="471"/>
      <c r="AF663" s="471"/>
      <c r="AG663" s="471"/>
      <c r="AH663" s="471"/>
      <c r="AI663" s="471"/>
    </row>
    <row r="664">
      <c r="A664" s="471"/>
      <c r="B664" s="471"/>
      <c r="C664" s="471"/>
      <c r="D664" s="471"/>
      <c r="E664" s="471"/>
      <c r="F664" s="501"/>
      <c r="G664" s="471"/>
      <c r="H664" s="471"/>
      <c r="I664" s="471"/>
      <c r="J664" s="490"/>
      <c r="K664" s="491"/>
      <c r="L664" s="471"/>
      <c r="M664" s="471"/>
      <c r="N664" s="471"/>
      <c r="O664" s="471"/>
      <c r="P664" s="471"/>
      <c r="Q664" s="471"/>
      <c r="R664" s="471"/>
      <c r="S664" s="471"/>
      <c r="T664" s="471"/>
      <c r="U664" s="471"/>
      <c r="V664" s="471"/>
      <c r="W664" s="471"/>
      <c r="X664" s="471"/>
      <c r="Y664" s="471"/>
      <c r="Z664" s="471"/>
      <c r="AA664" s="471"/>
      <c r="AB664" s="471"/>
      <c r="AC664" s="471"/>
      <c r="AD664" s="471"/>
      <c r="AE664" s="471"/>
      <c r="AF664" s="471"/>
      <c r="AG664" s="471"/>
      <c r="AH664" s="471"/>
      <c r="AI664" s="471"/>
    </row>
    <row r="665">
      <c r="A665" s="471"/>
      <c r="B665" s="471"/>
      <c r="C665" s="471"/>
      <c r="D665" s="471"/>
      <c r="E665" s="471"/>
      <c r="F665" s="501"/>
      <c r="G665" s="471"/>
      <c r="H665" s="471"/>
      <c r="I665" s="471"/>
      <c r="J665" s="490"/>
      <c r="K665" s="491"/>
      <c r="L665" s="471"/>
      <c r="M665" s="471"/>
      <c r="N665" s="471"/>
      <c r="O665" s="471"/>
      <c r="P665" s="471"/>
      <c r="Q665" s="471"/>
      <c r="R665" s="471"/>
      <c r="S665" s="471"/>
      <c r="T665" s="471"/>
      <c r="U665" s="471"/>
      <c r="V665" s="471"/>
      <c r="W665" s="471"/>
      <c r="X665" s="471"/>
      <c r="Y665" s="471"/>
      <c r="Z665" s="471"/>
      <c r="AA665" s="471"/>
      <c r="AB665" s="471"/>
      <c r="AC665" s="471"/>
      <c r="AD665" s="471"/>
      <c r="AE665" s="471"/>
      <c r="AF665" s="471"/>
      <c r="AG665" s="471"/>
      <c r="AH665" s="471"/>
      <c r="AI665" s="471"/>
    </row>
    <row r="666">
      <c r="A666" s="471"/>
      <c r="B666" s="471"/>
      <c r="C666" s="471"/>
      <c r="D666" s="471"/>
      <c r="E666" s="471"/>
      <c r="F666" s="501"/>
      <c r="G666" s="471"/>
      <c r="H666" s="471"/>
      <c r="I666" s="471"/>
      <c r="J666" s="490"/>
      <c r="K666" s="491"/>
      <c r="L666" s="471"/>
      <c r="M666" s="471"/>
      <c r="N666" s="471"/>
      <c r="O666" s="471"/>
      <c r="P666" s="471"/>
      <c r="Q666" s="471"/>
      <c r="R666" s="471"/>
      <c r="S666" s="471"/>
      <c r="T666" s="471"/>
      <c r="U666" s="471"/>
      <c r="V666" s="471"/>
      <c r="W666" s="471"/>
      <c r="X666" s="471"/>
      <c r="Y666" s="471"/>
      <c r="Z666" s="471"/>
      <c r="AA666" s="471"/>
      <c r="AB666" s="471"/>
      <c r="AC666" s="471"/>
      <c r="AD666" s="471"/>
      <c r="AE666" s="471"/>
      <c r="AF666" s="471"/>
      <c r="AG666" s="471"/>
      <c r="AH666" s="471"/>
      <c r="AI666" s="471"/>
    </row>
    <row r="667">
      <c r="A667" s="471"/>
      <c r="B667" s="471"/>
      <c r="C667" s="471"/>
      <c r="D667" s="471"/>
      <c r="E667" s="471"/>
      <c r="F667" s="501"/>
      <c r="G667" s="471"/>
      <c r="H667" s="471"/>
      <c r="I667" s="471"/>
      <c r="J667" s="490"/>
      <c r="K667" s="491"/>
      <c r="L667" s="471"/>
      <c r="M667" s="471"/>
      <c r="N667" s="471"/>
      <c r="O667" s="471"/>
      <c r="P667" s="471"/>
      <c r="Q667" s="471"/>
      <c r="R667" s="471"/>
      <c r="S667" s="471"/>
      <c r="T667" s="471"/>
      <c r="U667" s="471"/>
      <c r="V667" s="471"/>
      <c r="W667" s="471"/>
      <c r="X667" s="471"/>
      <c r="Y667" s="471"/>
      <c r="Z667" s="471"/>
      <c r="AA667" s="471"/>
      <c r="AB667" s="471"/>
      <c r="AC667" s="471"/>
      <c r="AD667" s="471"/>
      <c r="AE667" s="471"/>
      <c r="AF667" s="471"/>
      <c r="AG667" s="471"/>
      <c r="AH667" s="471"/>
      <c r="AI667" s="471"/>
    </row>
    <row r="668">
      <c r="A668" s="471"/>
      <c r="B668" s="471"/>
      <c r="C668" s="471"/>
      <c r="D668" s="471"/>
      <c r="E668" s="471"/>
      <c r="F668" s="501"/>
      <c r="G668" s="471"/>
      <c r="H668" s="471"/>
      <c r="I668" s="471"/>
      <c r="J668" s="490"/>
      <c r="K668" s="491"/>
      <c r="L668" s="471"/>
      <c r="M668" s="471"/>
      <c r="N668" s="471"/>
      <c r="O668" s="471"/>
      <c r="P668" s="471"/>
      <c r="Q668" s="471"/>
      <c r="R668" s="471"/>
      <c r="S668" s="471"/>
      <c r="T668" s="471"/>
      <c r="U668" s="471"/>
      <c r="V668" s="471"/>
      <c r="W668" s="471"/>
      <c r="X668" s="471"/>
      <c r="Y668" s="471"/>
      <c r="Z668" s="471"/>
      <c r="AA668" s="471"/>
      <c r="AB668" s="471"/>
      <c r="AC668" s="471"/>
      <c r="AD668" s="471"/>
      <c r="AE668" s="471"/>
      <c r="AF668" s="471"/>
      <c r="AG668" s="471"/>
      <c r="AH668" s="471"/>
      <c r="AI668" s="471"/>
    </row>
    <row r="669">
      <c r="A669" s="471"/>
      <c r="B669" s="471"/>
      <c r="C669" s="471"/>
      <c r="D669" s="471"/>
      <c r="E669" s="471"/>
      <c r="F669" s="501"/>
      <c r="G669" s="471"/>
      <c r="H669" s="471"/>
      <c r="I669" s="471"/>
      <c r="J669" s="490"/>
      <c r="K669" s="491"/>
      <c r="L669" s="471"/>
      <c r="M669" s="471"/>
      <c r="N669" s="471"/>
      <c r="O669" s="471"/>
      <c r="P669" s="471"/>
      <c r="Q669" s="471"/>
      <c r="R669" s="471"/>
      <c r="S669" s="471"/>
      <c r="T669" s="471"/>
      <c r="U669" s="471"/>
      <c r="V669" s="471"/>
      <c r="W669" s="471"/>
      <c r="X669" s="471"/>
      <c r="Y669" s="471"/>
      <c r="Z669" s="471"/>
      <c r="AA669" s="471"/>
      <c r="AB669" s="471"/>
      <c r="AC669" s="471"/>
      <c r="AD669" s="471"/>
      <c r="AE669" s="471"/>
      <c r="AF669" s="471"/>
      <c r="AG669" s="471"/>
      <c r="AH669" s="471"/>
      <c r="AI669" s="471"/>
    </row>
    <row r="670">
      <c r="A670" s="471"/>
      <c r="B670" s="471"/>
      <c r="C670" s="471"/>
      <c r="D670" s="471"/>
      <c r="E670" s="471"/>
      <c r="F670" s="501"/>
      <c r="G670" s="471"/>
      <c r="H670" s="471"/>
      <c r="I670" s="471"/>
      <c r="J670" s="490"/>
      <c r="K670" s="491"/>
      <c r="L670" s="471"/>
      <c r="M670" s="471"/>
      <c r="N670" s="471"/>
      <c r="O670" s="471"/>
      <c r="P670" s="471"/>
      <c r="Q670" s="471"/>
      <c r="R670" s="471"/>
      <c r="S670" s="471"/>
      <c r="T670" s="471"/>
      <c r="U670" s="471"/>
      <c r="V670" s="471"/>
      <c r="W670" s="471"/>
      <c r="X670" s="471"/>
      <c r="Y670" s="471"/>
      <c r="Z670" s="471"/>
      <c r="AA670" s="471"/>
      <c r="AB670" s="471"/>
      <c r="AC670" s="471"/>
      <c r="AD670" s="471"/>
      <c r="AE670" s="471"/>
      <c r="AF670" s="471"/>
      <c r="AG670" s="471"/>
      <c r="AH670" s="471"/>
      <c r="AI670" s="471"/>
    </row>
    <row r="671">
      <c r="A671" s="471"/>
      <c r="B671" s="471"/>
      <c r="C671" s="471"/>
      <c r="D671" s="471"/>
      <c r="E671" s="471"/>
      <c r="F671" s="501"/>
      <c r="G671" s="471"/>
      <c r="H671" s="471"/>
      <c r="I671" s="471"/>
      <c r="J671" s="490"/>
      <c r="K671" s="491"/>
      <c r="L671" s="471"/>
      <c r="M671" s="471"/>
      <c r="N671" s="471"/>
      <c r="O671" s="471"/>
      <c r="P671" s="471"/>
      <c r="Q671" s="471"/>
      <c r="R671" s="471"/>
      <c r="S671" s="471"/>
      <c r="T671" s="471"/>
      <c r="U671" s="471"/>
      <c r="V671" s="471"/>
      <c r="W671" s="471"/>
      <c r="X671" s="471"/>
      <c r="Y671" s="471"/>
      <c r="Z671" s="471"/>
      <c r="AA671" s="471"/>
      <c r="AB671" s="471"/>
      <c r="AC671" s="471"/>
      <c r="AD671" s="471"/>
      <c r="AE671" s="471"/>
      <c r="AF671" s="471"/>
      <c r="AG671" s="471"/>
      <c r="AH671" s="471"/>
      <c r="AI671" s="471"/>
    </row>
    <row r="672">
      <c r="A672" s="471"/>
      <c r="B672" s="471"/>
      <c r="C672" s="471"/>
      <c r="D672" s="471"/>
      <c r="E672" s="471"/>
      <c r="F672" s="501"/>
      <c r="G672" s="471"/>
      <c r="H672" s="471"/>
      <c r="I672" s="471"/>
      <c r="J672" s="490"/>
      <c r="K672" s="491"/>
      <c r="L672" s="471"/>
      <c r="M672" s="471"/>
      <c r="N672" s="471"/>
      <c r="O672" s="471"/>
      <c r="P672" s="471"/>
      <c r="Q672" s="471"/>
      <c r="R672" s="471"/>
      <c r="S672" s="471"/>
      <c r="T672" s="471"/>
      <c r="U672" s="471"/>
      <c r="V672" s="471"/>
      <c r="W672" s="471"/>
      <c r="X672" s="471"/>
      <c r="Y672" s="471"/>
      <c r="Z672" s="471"/>
      <c r="AA672" s="471"/>
      <c r="AB672" s="471"/>
      <c r="AC672" s="471"/>
      <c r="AD672" s="471"/>
      <c r="AE672" s="471"/>
      <c r="AF672" s="471"/>
      <c r="AG672" s="471"/>
      <c r="AH672" s="471"/>
      <c r="AI672" s="471"/>
    </row>
    <row r="673">
      <c r="A673" s="471"/>
      <c r="B673" s="471"/>
      <c r="C673" s="471"/>
      <c r="D673" s="471"/>
      <c r="E673" s="471"/>
      <c r="F673" s="501"/>
      <c r="G673" s="471"/>
      <c r="H673" s="471"/>
      <c r="I673" s="471"/>
      <c r="J673" s="490"/>
      <c r="K673" s="491"/>
      <c r="L673" s="471"/>
      <c r="M673" s="471"/>
      <c r="N673" s="471"/>
      <c r="O673" s="471"/>
      <c r="P673" s="471"/>
      <c r="Q673" s="471"/>
      <c r="R673" s="471"/>
      <c r="S673" s="471"/>
      <c r="T673" s="471"/>
      <c r="U673" s="471"/>
      <c r="V673" s="471"/>
      <c r="W673" s="471"/>
      <c r="X673" s="471"/>
      <c r="Y673" s="471"/>
      <c r="Z673" s="471"/>
      <c r="AA673" s="471"/>
      <c r="AB673" s="471"/>
      <c r="AC673" s="471"/>
      <c r="AD673" s="471"/>
      <c r="AE673" s="471"/>
      <c r="AF673" s="471"/>
      <c r="AG673" s="471"/>
      <c r="AH673" s="471"/>
      <c r="AI673" s="471"/>
    </row>
    <row r="674">
      <c r="A674" s="471"/>
      <c r="B674" s="471"/>
      <c r="C674" s="471"/>
      <c r="D674" s="471"/>
      <c r="E674" s="471"/>
      <c r="F674" s="501"/>
      <c r="G674" s="471"/>
      <c r="H674" s="471"/>
      <c r="I674" s="471"/>
      <c r="J674" s="490"/>
      <c r="K674" s="491"/>
      <c r="L674" s="471"/>
      <c r="M674" s="471"/>
      <c r="N674" s="471"/>
      <c r="O674" s="471"/>
      <c r="P674" s="471"/>
      <c r="Q674" s="471"/>
      <c r="R674" s="471"/>
      <c r="S674" s="471"/>
      <c r="T674" s="471"/>
      <c r="U674" s="471"/>
      <c r="V674" s="471"/>
      <c r="W674" s="471"/>
      <c r="X674" s="471"/>
      <c r="Y674" s="471"/>
      <c r="Z674" s="471"/>
      <c r="AA674" s="471"/>
      <c r="AB674" s="471"/>
      <c r="AC674" s="471"/>
      <c r="AD674" s="471"/>
      <c r="AE674" s="471"/>
      <c r="AF674" s="471"/>
      <c r="AG674" s="471"/>
      <c r="AH674" s="471"/>
      <c r="AI674" s="471"/>
    </row>
    <row r="675">
      <c r="A675" s="471"/>
      <c r="B675" s="471"/>
      <c r="C675" s="471"/>
      <c r="D675" s="471"/>
      <c r="E675" s="471"/>
      <c r="F675" s="501"/>
      <c r="G675" s="471"/>
      <c r="H675" s="471"/>
      <c r="I675" s="471"/>
      <c r="J675" s="490"/>
      <c r="K675" s="491"/>
      <c r="L675" s="471"/>
      <c r="M675" s="471"/>
      <c r="N675" s="471"/>
      <c r="O675" s="471"/>
      <c r="P675" s="471"/>
      <c r="Q675" s="471"/>
      <c r="R675" s="471"/>
      <c r="S675" s="471"/>
      <c r="T675" s="471"/>
      <c r="U675" s="471"/>
      <c r="V675" s="471"/>
      <c r="W675" s="471"/>
      <c r="X675" s="471"/>
      <c r="Y675" s="471"/>
      <c r="Z675" s="471"/>
      <c r="AA675" s="471"/>
      <c r="AB675" s="471"/>
      <c r="AC675" s="471"/>
      <c r="AD675" s="471"/>
      <c r="AE675" s="471"/>
      <c r="AF675" s="471"/>
      <c r="AG675" s="471"/>
      <c r="AH675" s="471"/>
      <c r="AI675" s="471"/>
    </row>
    <row r="676">
      <c r="A676" s="471"/>
      <c r="B676" s="471"/>
      <c r="C676" s="471"/>
      <c r="D676" s="471"/>
      <c r="E676" s="471"/>
      <c r="F676" s="501"/>
      <c r="G676" s="471"/>
      <c r="H676" s="471"/>
      <c r="I676" s="471"/>
      <c r="J676" s="490"/>
      <c r="K676" s="491"/>
      <c r="L676" s="471"/>
      <c r="M676" s="471"/>
      <c r="N676" s="471"/>
      <c r="O676" s="471"/>
      <c r="P676" s="471"/>
      <c r="Q676" s="471"/>
      <c r="R676" s="471"/>
      <c r="S676" s="471"/>
      <c r="T676" s="471"/>
      <c r="U676" s="471"/>
      <c r="V676" s="471"/>
      <c r="W676" s="471"/>
      <c r="X676" s="471"/>
      <c r="Y676" s="471"/>
      <c r="Z676" s="471"/>
      <c r="AA676" s="471"/>
      <c r="AB676" s="471"/>
      <c r="AC676" s="471"/>
      <c r="AD676" s="471"/>
      <c r="AE676" s="471"/>
      <c r="AF676" s="471"/>
      <c r="AG676" s="471"/>
      <c r="AH676" s="471"/>
      <c r="AI676" s="471"/>
    </row>
    <row r="677">
      <c r="A677" s="471"/>
      <c r="B677" s="471"/>
      <c r="C677" s="471"/>
      <c r="D677" s="471"/>
      <c r="E677" s="471"/>
      <c r="F677" s="501"/>
      <c r="G677" s="471"/>
      <c r="H677" s="471"/>
      <c r="I677" s="471"/>
      <c r="J677" s="490"/>
      <c r="K677" s="491"/>
      <c r="L677" s="471"/>
      <c r="M677" s="471"/>
      <c r="N677" s="471"/>
      <c r="O677" s="471"/>
      <c r="P677" s="471"/>
      <c r="Q677" s="471"/>
      <c r="R677" s="471"/>
      <c r="S677" s="471"/>
      <c r="T677" s="471"/>
      <c r="U677" s="471"/>
      <c r="V677" s="471"/>
      <c r="W677" s="471"/>
      <c r="X677" s="471"/>
      <c r="Y677" s="471"/>
      <c r="Z677" s="471"/>
      <c r="AA677" s="471"/>
      <c r="AB677" s="471"/>
      <c r="AC677" s="471"/>
      <c r="AD677" s="471"/>
      <c r="AE677" s="471"/>
      <c r="AF677" s="471"/>
      <c r="AG677" s="471"/>
      <c r="AH677" s="471"/>
      <c r="AI677" s="471"/>
    </row>
    <row r="678">
      <c r="A678" s="471"/>
      <c r="B678" s="471"/>
      <c r="C678" s="471"/>
      <c r="D678" s="471"/>
      <c r="E678" s="471"/>
      <c r="F678" s="501"/>
      <c r="G678" s="471"/>
      <c r="H678" s="471"/>
      <c r="I678" s="471"/>
      <c r="J678" s="490"/>
      <c r="K678" s="491"/>
      <c r="L678" s="471"/>
      <c r="M678" s="471"/>
      <c r="N678" s="471"/>
      <c r="O678" s="471"/>
      <c r="P678" s="471"/>
      <c r="Q678" s="471"/>
      <c r="R678" s="471"/>
      <c r="S678" s="471"/>
      <c r="T678" s="471"/>
      <c r="U678" s="471"/>
      <c r="V678" s="471"/>
      <c r="W678" s="471"/>
      <c r="X678" s="471"/>
      <c r="Y678" s="471"/>
      <c r="Z678" s="471"/>
      <c r="AA678" s="471"/>
      <c r="AB678" s="471"/>
      <c r="AC678" s="471"/>
      <c r="AD678" s="471"/>
      <c r="AE678" s="471"/>
      <c r="AF678" s="471"/>
      <c r="AG678" s="471"/>
      <c r="AH678" s="471"/>
      <c r="AI678" s="471"/>
    </row>
    <row r="679">
      <c r="A679" s="471"/>
      <c r="B679" s="471"/>
      <c r="C679" s="471"/>
      <c r="D679" s="471"/>
      <c r="E679" s="471"/>
      <c r="F679" s="501"/>
      <c r="G679" s="471"/>
      <c r="H679" s="471"/>
      <c r="I679" s="471"/>
      <c r="J679" s="490"/>
      <c r="K679" s="491"/>
      <c r="L679" s="471"/>
      <c r="M679" s="471"/>
      <c r="N679" s="471"/>
      <c r="O679" s="471"/>
      <c r="P679" s="471"/>
      <c r="Q679" s="471"/>
      <c r="R679" s="471"/>
      <c r="S679" s="471"/>
      <c r="T679" s="471"/>
      <c r="U679" s="471"/>
      <c r="V679" s="471"/>
      <c r="W679" s="471"/>
      <c r="X679" s="471"/>
      <c r="Y679" s="471"/>
      <c r="Z679" s="471"/>
      <c r="AA679" s="471"/>
      <c r="AB679" s="471"/>
      <c r="AC679" s="471"/>
      <c r="AD679" s="471"/>
      <c r="AE679" s="471"/>
      <c r="AF679" s="471"/>
      <c r="AG679" s="471"/>
      <c r="AH679" s="471"/>
      <c r="AI679" s="471"/>
    </row>
    <row r="680">
      <c r="A680" s="471"/>
      <c r="B680" s="471"/>
      <c r="C680" s="471"/>
      <c r="D680" s="471"/>
      <c r="E680" s="471"/>
      <c r="F680" s="501"/>
      <c r="G680" s="471"/>
      <c r="H680" s="471"/>
      <c r="I680" s="471"/>
      <c r="J680" s="490"/>
      <c r="K680" s="491"/>
      <c r="L680" s="471"/>
      <c r="M680" s="471"/>
      <c r="N680" s="471"/>
      <c r="O680" s="471"/>
      <c r="P680" s="471"/>
      <c r="Q680" s="471"/>
      <c r="R680" s="471"/>
      <c r="S680" s="471"/>
      <c r="T680" s="471"/>
      <c r="U680" s="471"/>
      <c r="V680" s="471"/>
      <c r="W680" s="471"/>
      <c r="X680" s="471"/>
      <c r="Y680" s="471"/>
      <c r="Z680" s="471"/>
      <c r="AA680" s="471"/>
      <c r="AB680" s="471"/>
      <c r="AC680" s="471"/>
      <c r="AD680" s="471"/>
      <c r="AE680" s="471"/>
      <c r="AF680" s="471"/>
      <c r="AG680" s="471"/>
      <c r="AH680" s="471"/>
      <c r="AI680" s="471"/>
    </row>
    <row r="681">
      <c r="A681" s="471"/>
      <c r="B681" s="471"/>
      <c r="C681" s="471"/>
      <c r="D681" s="471"/>
      <c r="E681" s="471"/>
      <c r="F681" s="501"/>
      <c r="G681" s="471"/>
      <c r="H681" s="471"/>
      <c r="I681" s="471"/>
      <c r="J681" s="490"/>
      <c r="K681" s="491"/>
      <c r="L681" s="471"/>
      <c r="M681" s="471"/>
      <c r="N681" s="471"/>
      <c r="O681" s="471"/>
      <c r="P681" s="471"/>
      <c r="Q681" s="471"/>
      <c r="R681" s="471"/>
      <c r="S681" s="471"/>
      <c r="T681" s="471"/>
      <c r="U681" s="471"/>
      <c r="V681" s="471"/>
      <c r="W681" s="471"/>
      <c r="X681" s="471"/>
      <c r="Y681" s="471"/>
      <c r="Z681" s="471"/>
      <c r="AA681" s="471"/>
      <c r="AB681" s="471"/>
      <c r="AC681" s="471"/>
      <c r="AD681" s="471"/>
      <c r="AE681" s="471"/>
      <c r="AF681" s="471"/>
      <c r="AG681" s="471"/>
      <c r="AH681" s="471"/>
      <c r="AI681" s="471"/>
    </row>
    <row r="682">
      <c r="A682" s="471"/>
      <c r="B682" s="471"/>
      <c r="C682" s="471"/>
      <c r="D682" s="471"/>
      <c r="E682" s="471"/>
      <c r="F682" s="501"/>
      <c r="G682" s="471"/>
      <c r="H682" s="471"/>
      <c r="I682" s="471"/>
      <c r="J682" s="490"/>
      <c r="K682" s="491"/>
      <c r="L682" s="471"/>
      <c r="M682" s="471"/>
      <c r="N682" s="471"/>
      <c r="O682" s="471"/>
      <c r="P682" s="471"/>
      <c r="Q682" s="471"/>
      <c r="R682" s="471"/>
      <c r="S682" s="471"/>
      <c r="T682" s="471"/>
      <c r="U682" s="471"/>
      <c r="V682" s="471"/>
      <c r="W682" s="471"/>
      <c r="X682" s="471"/>
      <c r="Y682" s="471"/>
      <c r="Z682" s="471"/>
      <c r="AA682" s="471"/>
      <c r="AB682" s="471"/>
      <c r="AC682" s="471"/>
      <c r="AD682" s="471"/>
      <c r="AE682" s="471"/>
      <c r="AF682" s="471"/>
      <c r="AG682" s="471"/>
      <c r="AH682" s="471"/>
      <c r="AI682" s="471"/>
    </row>
    <row r="683">
      <c r="A683" s="471"/>
      <c r="B683" s="471"/>
      <c r="C683" s="471"/>
      <c r="D683" s="471"/>
      <c r="E683" s="471"/>
      <c r="F683" s="501"/>
      <c r="G683" s="471"/>
      <c r="H683" s="471"/>
      <c r="I683" s="471"/>
      <c r="J683" s="490"/>
      <c r="K683" s="491"/>
      <c r="L683" s="471"/>
      <c r="M683" s="471"/>
      <c r="N683" s="471"/>
      <c r="O683" s="471"/>
      <c r="P683" s="471"/>
      <c r="Q683" s="471"/>
      <c r="R683" s="471"/>
      <c r="S683" s="471"/>
      <c r="T683" s="471"/>
      <c r="U683" s="471"/>
      <c r="V683" s="471"/>
      <c r="W683" s="471"/>
      <c r="X683" s="471"/>
      <c r="Y683" s="471"/>
      <c r="Z683" s="471"/>
      <c r="AA683" s="471"/>
      <c r="AB683" s="471"/>
      <c r="AC683" s="471"/>
      <c r="AD683" s="471"/>
      <c r="AE683" s="471"/>
      <c r="AF683" s="471"/>
      <c r="AG683" s="471"/>
      <c r="AH683" s="471"/>
      <c r="AI683" s="471"/>
    </row>
    <row r="684">
      <c r="A684" s="471"/>
      <c r="B684" s="471"/>
      <c r="C684" s="471"/>
      <c r="D684" s="471"/>
      <c r="E684" s="471"/>
      <c r="F684" s="501"/>
      <c r="G684" s="471"/>
      <c r="H684" s="471"/>
      <c r="I684" s="471"/>
      <c r="J684" s="490"/>
      <c r="K684" s="491"/>
      <c r="L684" s="471"/>
      <c r="M684" s="471"/>
      <c r="N684" s="471"/>
      <c r="O684" s="471"/>
      <c r="P684" s="471"/>
      <c r="Q684" s="471"/>
      <c r="R684" s="471"/>
      <c r="S684" s="471"/>
      <c r="T684" s="471"/>
      <c r="U684" s="471"/>
      <c r="V684" s="471"/>
      <c r="W684" s="471"/>
      <c r="X684" s="471"/>
      <c r="Y684" s="471"/>
      <c r="Z684" s="471"/>
      <c r="AA684" s="471"/>
      <c r="AB684" s="471"/>
      <c r="AC684" s="471"/>
      <c r="AD684" s="471"/>
      <c r="AE684" s="471"/>
      <c r="AF684" s="471"/>
      <c r="AG684" s="471"/>
      <c r="AH684" s="471"/>
      <c r="AI684" s="471"/>
    </row>
    <row r="685">
      <c r="A685" s="471"/>
      <c r="B685" s="471"/>
      <c r="C685" s="471"/>
      <c r="D685" s="471"/>
      <c r="E685" s="471"/>
      <c r="F685" s="501"/>
      <c r="G685" s="471"/>
      <c r="H685" s="471"/>
      <c r="I685" s="471"/>
      <c r="J685" s="490"/>
      <c r="K685" s="491"/>
      <c r="L685" s="471"/>
      <c r="M685" s="471"/>
      <c r="N685" s="471"/>
      <c r="O685" s="471"/>
      <c r="P685" s="471"/>
      <c r="Q685" s="471"/>
      <c r="R685" s="471"/>
      <c r="S685" s="471"/>
      <c r="T685" s="471"/>
      <c r="U685" s="471"/>
      <c r="V685" s="471"/>
      <c r="W685" s="471"/>
      <c r="X685" s="471"/>
      <c r="Y685" s="471"/>
      <c r="Z685" s="471"/>
      <c r="AA685" s="471"/>
      <c r="AB685" s="471"/>
      <c r="AC685" s="471"/>
      <c r="AD685" s="471"/>
      <c r="AE685" s="471"/>
      <c r="AF685" s="471"/>
      <c r="AG685" s="471"/>
      <c r="AH685" s="471"/>
      <c r="AI685" s="471"/>
    </row>
    <row r="686">
      <c r="A686" s="471"/>
      <c r="B686" s="471"/>
      <c r="C686" s="471"/>
      <c r="D686" s="471"/>
      <c r="E686" s="471"/>
      <c r="F686" s="501"/>
      <c r="G686" s="471"/>
      <c r="H686" s="471"/>
      <c r="I686" s="471"/>
      <c r="J686" s="490"/>
      <c r="K686" s="491"/>
      <c r="L686" s="471"/>
      <c r="M686" s="471"/>
      <c r="N686" s="471"/>
      <c r="O686" s="471"/>
      <c r="P686" s="471"/>
      <c r="Q686" s="471"/>
      <c r="R686" s="471"/>
      <c r="S686" s="471"/>
      <c r="T686" s="471"/>
      <c r="U686" s="471"/>
      <c r="V686" s="471"/>
      <c r="W686" s="471"/>
      <c r="X686" s="471"/>
      <c r="Y686" s="471"/>
      <c r="Z686" s="471"/>
      <c r="AA686" s="471"/>
      <c r="AB686" s="471"/>
      <c r="AC686" s="471"/>
      <c r="AD686" s="471"/>
      <c r="AE686" s="471"/>
      <c r="AF686" s="471"/>
      <c r="AG686" s="471"/>
      <c r="AH686" s="471"/>
      <c r="AI686" s="471"/>
    </row>
    <row r="687">
      <c r="A687" s="471"/>
      <c r="B687" s="471"/>
      <c r="C687" s="471"/>
      <c r="D687" s="471"/>
      <c r="E687" s="471"/>
      <c r="F687" s="501"/>
      <c r="G687" s="471"/>
      <c r="H687" s="471"/>
      <c r="I687" s="471"/>
      <c r="J687" s="490"/>
      <c r="K687" s="491"/>
      <c r="L687" s="471"/>
      <c r="M687" s="471"/>
      <c r="N687" s="471"/>
      <c r="O687" s="471"/>
      <c r="P687" s="471"/>
      <c r="Q687" s="471"/>
      <c r="R687" s="471"/>
      <c r="S687" s="471"/>
      <c r="T687" s="471"/>
      <c r="U687" s="471"/>
      <c r="V687" s="471"/>
      <c r="W687" s="471"/>
      <c r="X687" s="471"/>
      <c r="Y687" s="471"/>
      <c r="Z687" s="471"/>
      <c r="AA687" s="471"/>
      <c r="AB687" s="471"/>
      <c r="AC687" s="471"/>
      <c r="AD687" s="471"/>
      <c r="AE687" s="471"/>
      <c r="AF687" s="471"/>
      <c r="AG687" s="471"/>
      <c r="AH687" s="471"/>
      <c r="AI687" s="471"/>
    </row>
    <row r="688">
      <c r="A688" s="471"/>
      <c r="B688" s="471"/>
      <c r="C688" s="471"/>
      <c r="D688" s="471"/>
      <c r="E688" s="471"/>
      <c r="F688" s="501"/>
      <c r="G688" s="471"/>
      <c r="H688" s="471"/>
      <c r="I688" s="471"/>
      <c r="J688" s="490"/>
      <c r="K688" s="491"/>
      <c r="L688" s="471"/>
      <c r="M688" s="471"/>
      <c r="N688" s="471"/>
      <c r="O688" s="471"/>
      <c r="P688" s="471"/>
      <c r="Q688" s="471"/>
      <c r="R688" s="471"/>
      <c r="S688" s="471"/>
      <c r="T688" s="471"/>
      <c r="U688" s="471"/>
      <c r="V688" s="471"/>
      <c r="W688" s="471"/>
      <c r="X688" s="471"/>
      <c r="Y688" s="471"/>
      <c r="Z688" s="471"/>
      <c r="AA688" s="471"/>
      <c r="AB688" s="471"/>
      <c r="AC688" s="471"/>
      <c r="AD688" s="471"/>
      <c r="AE688" s="471"/>
      <c r="AF688" s="471"/>
      <c r="AG688" s="471"/>
      <c r="AH688" s="471"/>
      <c r="AI688" s="471"/>
    </row>
    <row r="689">
      <c r="A689" s="471"/>
      <c r="B689" s="471"/>
      <c r="C689" s="471"/>
      <c r="D689" s="471"/>
      <c r="E689" s="471"/>
      <c r="F689" s="501"/>
      <c r="G689" s="471"/>
      <c r="H689" s="471"/>
      <c r="I689" s="471"/>
      <c r="J689" s="490"/>
      <c r="K689" s="491"/>
      <c r="L689" s="471"/>
      <c r="M689" s="471"/>
      <c r="N689" s="471"/>
      <c r="O689" s="471"/>
      <c r="P689" s="471"/>
      <c r="Q689" s="471"/>
      <c r="R689" s="471"/>
      <c r="S689" s="471"/>
      <c r="T689" s="471"/>
      <c r="U689" s="471"/>
      <c r="V689" s="471"/>
      <c r="W689" s="471"/>
      <c r="X689" s="471"/>
      <c r="Y689" s="471"/>
      <c r="Z689" s="471"/>
      <c r="AA689" s="471"/>
      <c r="AB689" s="471"/>
      <c r="AC689" s="471"/>
      <c r="AD689" s="471"/>
      <c r="AE689" s="471"/>
      <c r="AF689" s="471"/>
      <c r="AG689" s="471"/>
      <c r="AH689" s="471"/>
      <c r="AI689" s="471"/>
    </row>
    <row r="690">
      <c r="A690" s="471"/>
      <c r="B690" s="471"/>
      <c r="C690" s="471"/>
      <c r="D690" s="471"/>
      <c r="E690" s="471"/>
      <c r="F690" s="501"/>
      <c r="G690" s="471"/>
      <c r="H690" s="471"/>
      <c r="I690" s="471"/>
      <c r="J690" s="490"/>
      <c r="K690" s="491"/>
      <c r="L690" s="471"/>
      <c r="M690" s="471"/>
      <c r="N690" s="471"/>
      <c r="O690" s="471"/>
      <c r="P690" s="471"/>
      <c r="Q690" s="471"/>
      <c r="R690" s="471"/>
      <c r="S690" s="471"/>
      <c r="T690" s="471"/>
      <c r="U690" s="471"/>
      <c r="V690" s="471"/>
      <c r="W690" s="471"/>
      <c r="X690" s="471"/>
      <c r="Y690" s="471"/>
      <c r="Z690" s="471"/>
      <c r="AA690" s="471"/>
      <c r="AB690" s="471"/>
      <c r="AC690" s="471"/>
      <c r="AD690" s="471"/>
      <c r="AE690" s="471"/>
      <c r="AF690" s="471"/>
      <c r="AG690" s="471"/>
      <c r="AH690" s="471"/>
      <c r="AI690" s="471"/>
    </row>
    <row r="691">
      <c r="A691" s="471"/>
      <c r="B691" s="471"/>
      <c r="C691" s="471"/>
      <c r="D691" s="471"/>
      <c r="E691" s="471"/>
      <c r="F691" s="501"/>
      <c r="G691" s="471"/>
      <c r="H691" s="471"/>
      <c r="I691" s="471"/>
      <c r="J691" s="490"/>
      <c r="K691" s="491"/>
      <c r="L691" s="471"/>
      <c r="M691" s="471"/>
      <c r="N691" s="471"/>
      <c r="O691" s="471"/>
      <c r="P691" s="471"/>
      <c r="Q691" s="471"/>
      <c r="R691" s="471"/>
      <c r="S691" s="471"/>
      <c r="T691" s="471"/>
      <c r="U691" s="471"/>
      <c r="V691" s="471"/>
      <c r="W691" s="471"/>
      <c r="X691" s="471"/>
      <c r="Y691" s="471"/>
      <c r="Z691" s="471"/>
      <c r="AA691" s="471"/>
      <c r="AB691" s="471"/>
      <c r="AC691" s="471"/>
      <c r="AD691" s="471"/>
      <c r="AE691" s="471"/>
      <c r="AF691" s="471"/>
      <c r="AG691" s="471"/>
      <c r="AH691" s="471"/>
      <c r="AI691" s="471"/>
    </row>
    <row r="692">
      <c r="A692" s="471"/>
      <c r="B692" s="471"/>
      <c r="C692" s="471"/>
      <c r="D692" s="471"/>
      <c r="E692" s="471"/>
      <c r="F692" s="501"/>
      <c r="G692" s="471"/>
      <c r="H692" s="471"/>
      <c r="I692" s="471"/>
      <c r="J692" s="490"/>
      <c r="K692" s="491"/>
      <c r="L692" s="471"/>
      <c r="M692" s="471"/>
      <c r="N692" s="471"/>
      <c r="O692" s="471"/>
      <c r="P692" s="471"/>
      <c r="Q692" s="471"/>
      <c r="R692" s="471"/>
      <c r="S692" s="471"/>
      <c r="T692" s="471"/>
      <c r="U692" s="471"/>
      <c r="V692" s="471"/>
      <c r="W692" s="471"/>
      <c r="X692" s="471"/>
      <c r="Y692" s="471"/>
      <c r="Z692" s="471"/>
      <c r="AA692" s="471"/>
      <c r="AB692" s="471"/>
      <c r="AC692" s="471"/>
      <c r="AD692" s="471"/>
      <c r="AE692" s="471"/>
      <c r="AF692" s="471"/>
      <c r="AG692" s="471"/>
      <c r="AH692" s="471"/>
      <c r="AI692" s="471"/>
    </row>
    <row r="693">
      <c r="A693" s="471"/>
      <c r="B693" s="471"/>
      <c r="C693" s="471"/>
      <c r="D693" s="471"/>
      <c r="E693" s="471"/>
      <c r="F693" s="501"/>
      <c r="G693" s="471"/>
      <c r="H693" s="471"/>
      <c r="I693" s="471"/>
      <c r="J693" s="490"/>
      <c r="K693" s="491"/>
      <c r="L693" s="471"/>
      <c r="M693" s="471"/>
      <c r="N693" s="471"/>
      <c r="O693" s="471"/>
      <c r="P693" s="471"/>
      <c r="Q693" s="471"/>
      <c r="R693" s="471"/>
      <c r="S693" s="471"/>
      <c r="T693" s="471"/>
      <c r="U693" s="471"/>
      <c r="V693" s="471"/>
      <c r="W693" s="471"/>
      <c r="X693" s="471"/>
      <c r="Y693" s="471"/>
      <c r="Z693" s="471"/>
      <c r="AA693" s="471"/>
      <c r="AB693" s="471"/>
      <c r="AC693" s="471"/>
      <c r="AD693" s="471"/>
      <c r="AE693" s="471"/>
      <c r="AF693" s="471"/>
      <c r="AG693" s="471"/>
      <c r="AH693" s="471"/>
      <c r="AI693" s="471"/>
    </row>
    <row r="694">
      <c r="A694" s="471"/>
      <c r="B694" s="471"/>
      <c r="C694" s="471"/>
      <c r="D694" s="471"/>
      <c r="E694" s="471"/>
      <c r="F694" s="501"/>
      <c r="G694" s="471"/>
      <c r="H694" s="471"/>
      <c r="I694" s="471"/>
      <c r="J694" s="490"/>
      <c r="K694" s="491"/>
      <c r="L694" s="471"/>
      <c r="M694" s="471"/>
      <c r="N694" s="471"/>
      <c r="O694" s="471"/>
      <c r="P694" s="471"/>
      <c r="Q694" s="471"/>
      <c r="R694" s="471"/>
      <c r="S694" s="471"/>
      <c r="T694" s="471"/>
      <c r="U694" s="471"/>
      <c r="V694" s="471"/>
      <c r="W694" s="471"/>
      <c r="X694" s="471"/>
      <c r="Y694" s="471"/>
      <c r="Z694" s="471"/>
      <c r="AA694" s="471"/>
      <c r="AB694" s="471"/>
      <c r="AC694" s="471"/>
      <c r="AD694" s="471"/>
      <c r="AE694" s="471"/>
      <c r="AF694" s="471"/>
      <c r="AG694" s="471"/>
      <c r="AH694" s="471"/>
      <c r="AI694" s="471"/>
    </row>
    <row r="695">
      <c r="A695" s="471"/>
      <c r="B695" s="471"/>
      <c r="C695" s="471"/>
      <c r="D695" s="471"/>
      <c r="E695" s="471"/>
      <c r="F695" s="501"/>
      <c r="G695" s="471"/>
      <c r="H695" s="471"/>
      <c r="I695" s="471"/>
      <c r="J695" s="490"/>
      <c r="K695" s="491"/>
      <c r="L695" s="471"/>
      <c r="M695" s="471"/>
      <c r="N695" s="471"/>
      <c r="O695" s="471"/>
      <c r="P695" s="471"/>
      <c r="Q695" s="471"/>
      <c r="R695" s="471"/>
      <c r="S695" s="471"/>
      <c r="T695" s="471"/>
      <c r="U695" s="471"/>
      <c r="V695" s="471"/>
      <c r="W695" s="471"/>
      <c r="X695" s="471"/>
      <c r="Y695" s="471"/>
      <c r="Z695" s="471"/>
      <c r="AA695" s="471"/>
      <c r="AB695" s="471"/>
      <c r="AC695" s="471"/>
      <c r="AD695" s="471"/>
      <c r="AE695" s="471"/>
      <c r="AF695" s="471"/>
      <c r="AG695" s="471"/>
      <c r="AH695" s="471"/>
      <c r="AI695" s="471"/>
    </row>
    <row r="696">
      <c r="A696" s="471"/>
      <c r="B696" s="471"/>
      <c r="C696" s="471"/>
      <c r="D696" s="471"/>
      <c r="E696" s="471"/>
      <c r="F696" s="501"/>
      <c r="G696" s="471"/>
      <c r="H696" s="471"/>
      <c r="I696" s="471"/>
      <c r="J696" s="490"/>
      <c r="K696" s="491"/>
      <c r="L696" s="471"/>
      <c r="M696" s="471"/>
      <c r="N696" s="471"/>
      <c r="O696" s="471"/>
      <c r="P696" s="471"/>
      <c r="Q696" s="471"/>
      <c r="R696" s="471"/>
      <c r="S696" s="471"/>
      <c r="T696" s="471"/>
      <c r="U696" s="471"/>
      <c r="V696" s="471"/>
      <c r="W696" s="471"/>
      <c r="X696" s="471"/>
      <c r="Y696" s="471"/>
      <c r="Z696" s="471"/>
      <c r="AA696" s="471"/>
      <c r="AB696" s="471"/>
      <c r="AC696" s="471"/>
      <c r="AD696" s="471"/>
      <c r="AE696" s="471"/>
      <c r="AF696" s="471"/>
      <c r="AG696" s="471"/>
      <c r="AH696" s="471"/>
      <c r="AI696" s="471"/>
    </row>
    <row r="697">
      <c r="A697" s="471"/>
      <c r="B697" s="471"/>
      <c r="C697" s="471"/>
      <c r="D697" s="471"/>
      <c r="E697" s="471"/>
      <c r="F697" s="501"/>
      <c r="G697" s="471"/>
      <c r="H697" s="471"/>
      <c r="I697" s="471"/>
      <c r="J697" s="490"/>
      <c r="K697" s="491"/>
      <c r="L697" s="471"/>
      <c r="M697" s="471"/>
      <c r="N697" s="471"/>
      <c r="O697" s="471"/>
      <c r="P697" s="471"/>
      <c r="Q697" s="471"/>
      <c r="R697" s="471"/>
      <c r="S697" s="471"/>
      <c r="T697" s="471"/>
      <c r="U697" s="471"/>
      <c r="V697" s="471"/>
      <c r="W697" s="471"/>
      <c r="X697" s="471"/>
      <c r="Y697" s="471"/>
      <c r="Z697" s="471"/>
      <c r="AA697" s="471"/>
      <c r="AB697" s="471"/>
      <c r="AC697" s="471"/>
      <c r="AD697" s="471"/>
      <c r="AE697" s="471"/>
      <c r="AF697" s="471"/>
      <c r="AG697" s="471"/>
      <c r="AH697" s="471"/>
      <c r="AI697" s="471"/>
    </row>
    <row r="698">
      <c r="A698" s="471"/>
      <c r="B698" s="471"/>
      <c r="C698" s="471"/>
      <c r="D698" s="471"/>
      <c r="E698" s="471"/>
      <c r="F698" s="501"/>
      <c r="G698" s="471"/>
      <c r="H698" s="471"/>
      <c r="I698" s="471"/>
      <c r="J698" s="490"/>
      <c r="K698" s="491"/>
      <c r="L698" s="471"/>
      <c r="M698" s="471"/>
      <c r="N698" s="471"/>
      <c r="O698" s="471"/>
      <c r="P698" s="471"/>
      <c r="Q698" s="471"/>
      <c r="R698" s="471"/>
      <c r="S698" s="471"/>
      <c r="T698" s="471"/>
      <c r="U698" s="471"/>
      <c r="V698" s="471"/>
      <c r="W698" s="471"/>
      <c r="X698" s="471"/>
      <c r="Y698" s="471"/>
      <c r="Z698" s="471"/>
      <c r="AA698" s="471"/>
      <c r="AB698" s="471"/>
      <c r="AC698" s="471"/>
      <c r="AD698" s="471"/>
      <c r="AE698" s="471"/>
      <c r="AF698" s="471"/>
      <c r="AG698" s="471"/>
      <c r="AH698" s="471"/>
      <c r="AI698" s="471"/>
    </row>
    <row r="699">
      <c r="A699" s="471"/>
      <c r="B699" s="471"/>
      <c r="C699" s="471"/>
      <c r="D699" s="471"/>
      <c r="E699" s="471"/>
      <c r="F699" s="501"/>
      <c r="G699" s="471"/>
      <c r="H699" s="471"/>
      <c r="I699" s="471"/>
      <c r="J699" s="490"/>
      <c r="K699" s="491"/>
      <c r="L699" s="471"/>
      <c r="M699" s="471"/>
      <c r="N699" s="471"/>
      <c r="O699" s="471"/>
      <c r="P699" s="471"/>
      <c r="Q699" s="471"/>
      <c r="R699" s="471"/>
      <c r="S699" s="471"/>
      <c r="T699" s="471"/>
      <c r="U699" s="471"/>
      <c r="V699" s="471"/>
      <c r="W699" s="471"/>
      <c r="X699" s="471"/>
      <c r="Y699" s="471"/>
      <c r="Z699" s="471"/>
      <c r="AA699" s="471"/>
      <c r="AB699" s="471"/>
      <c r="AC699" s="471"/>
      <c r="AD699" s="471"/>
      <c r="AE699" s="471"/>
      <c r="AF699" s="471"/>
      <c r="AG699" s="471"/>
      <c r="AH699" s="471"/>
      <c r="AI699" s="471"/>
    </row>
    <row r="700">
      <c r="A700" s="471"/>
      <c r="B700" s="471"/>
      <c r="C700" s="471"/>
      <c r="D700" s="471"/>
      <c r="E700" s="471"/>
      <c r="F700" s="501"/>
      <c r="G700" s="471"/>
      <c r="H700" s="471"/>
      <c r="I700" s="471"/>
      <c r="J700" s="490"/>
      <c r="K700" s="491"/>
      <c r="L700" s="471"/>
      <c r="M700" s="471"/>
      <c r="N700" s="471"/>
      <c r="O700" s="471"/>
      <c r="P700" s="471"/>
      <c r="Q700" s="471"/>
      <c r="R700" s="471"/>
      <c r="S700" s="471"/>
      <c r="T700" s="471"/>
      <c r="U700" s="471"/>
      <c r="V700" s="471"/>
      <c r="W700" s="471"/>
      <c r="X700" s="471"/>
      <c r="Y700" s="471"/>
      <c r="Z700" s="471"/>
      <c r="AA700" s="471"/>
      <c r="AB700" s="471"/>
      <c r="AC700" s="471"/>
      <c r="AD700" s="471"/>
      <c r="AE700" s="471"/>
      <c r="AF700" s="471"/>
      <c r="AG700" s="471"/>
      <c r="AH700" s="471"/>
      <c r="AI700" s="471"/>
    </row>
    <row r="701">
      <c r="A701" s="471"/>
      <c r="B701" s="471"/>
      <c r="C701" s="471"/>
      <c r="D701" s="471"/>
      <c r="E701" s="471"/>
      <c r="F701" s="501"/>
      <c r="G701" s="471"/>
      <c r="H701" s="471"/>
      <c r="I701" s="471"/>
      <c r="J701" s="490"/>
      <c r="K701" s="491"/>
      <c r="L701" s="471"/>
      <c r="M701" s="471"/>
      <c r="N701" s="471"/>
      <c r="O701" s="471"/>
      <c r="P701" s="471"/>
      <c r="Q701" s="471"/>
      <c r="R701" s="471"/>
      <c r="S701" s="471"/>
      <c r="T701" s="471"/>
      <c r="U701" s="471"/>
      <c r="V701" s="471"/>
      <c r="W701" s="471"/>
      <c r="X701" s="471"/>
      <c r="Y701" s="471"/>
      <c r="Z701" s="471"/>
      <c r="AA701" s="471"/>
      <c r="AB701" s="471"/>
      <c r="AC701" s="471"/>
      <c r="AD701" s="471"/>
      <c r="AE701" s="471"/>
      <c r="AF701" s="471"/>
      <c r="AG701" s="471"/>
      <c r="AH701" s="471"/>
      <c r="AI701" s="471"/>
    </row>
    <row r="702">
      <c r="A702" s="471"/>
      <c r="B702" s="471"/>
      <c r="C702" s="471"/>
      <c r="D702" s="471"/>
      <c r="E702" s="471"/>
      <c r="F702" s="501"/>
      <c r="G702" s="471"/>
      <c r="H702" s="471"/>
      <c r="I702" s="471"/>
      <c r="J702" s="490"/>
      <c r="K702" s="491"/>
      <c r="L702" s="471"/>
      <c r="M702" s="471"/>
      <c r="N702" s="471"/>
      <c r="O702" s="471"/>
      <c r="P702" s="471"/>
      <c r="Q702" s="471"/>
      <c r="R702" s="471"/>
      <c r="S702" s="471"/>
      <c r="T702" s="471"/>
      <c r="U702" s="471"/>
      <c r="V702" s="471"/>
      <c r="W702" s="471"/>
      <c r="X702" s="471"/>
      <c r="Y702" s="471"/>
      <c r="Z702" s="471"/>
      <c r="AA702" s="471"/>
      <c r="AB702" s="471"/>
      <c r="AC702" s="471"/>
      <c r="AD702" s="471"/>
      <c r="AE702" s="471"/>
      <c r="AF702" s="471"/>
      <c r="AG702" s="471"/>
      <c r="AH702" s="471"/>
      <c r="AI702" s="471"/>
    </row>
    <row r="703">
      <c r="A703" s="471"/>
      <c r="B703" s="471"/>
      <c r="C703" s="471"/>
      <c r="D703" s="471"/>
      <c r="E703" s="471"/>
      <c r="F703" s="501"/>
      <c r="G703" s="471"/>
      <c r="H703" s="471"/>
      <c r="I703" s="471"/>
      <c r="J703" s="490"/>
      <c r="K703" s="491"/>
      <c r="L703" s="471"/>
      <c r="M703" s="471"/>
      <c r="N703" s="471"/>
      <c r="O703" s="471"/>
      <c r="P703" s="471"/>
      <c r="Q703" s="471"/>
      <c r="R703" s="471"/>
      <c r="S703" s="471"/>
      <c r="T703" s="471"/>
      <c r="U703" s="471"/>
      <c r="V703" s="471"/>
      <c r="W703" s="471"/>
      <c r="X703" s="471"/>
      <c r="Y703" s="471"/>
      <c r="Z703" s="471"/>
      <c r="AA703" s="471"/>
      <c r="AB703" s="471"/>
      <c r="AC703" s="471"/>
      <c r="AD703" s="471"/>
      <c r="AE703" s="471"/>
      <c r="AF703" s="471"/>
      <c r="AG703" s="471"/>
      <c r="AH703" s="471"/>
      <c r="AI703" s="471"/>
    </row>
    <row r="704">
      <c r="A704" s="471"/>
      <c r="B704" s="471"/>
      <c r="C704" s="471"/>
      <c r="D704" s="471"/>
      <c r="E704" s="471"/>
      <c r="F704" s="501"/>
      <c r="G704" s="471"/>
      <c r="H704" s="471"/>
      <c r="I704" s="471"/>
      <c r="J704" s="490"/>
      <c r="K704" s="491"/>
      <c r="L704" s="471"/>
      <c r="M704" s="471"/>
      <c r="N704" s="471"/>
      <c r="O704" s="471"/>
      <c r="P704" s="471"/>
      <c r="Q704" s="471"/>
      <c r="R704" s="471"/>
      <c r="S704" s="471"/>
      <c r="T704" s="471"/>
      <c r="U704" s="471"/>
      <c r="V704" s="471"/>
      <c r="W704" s="471"/>
      <c r="X704" s="471"/>
      <c r="Y704" s="471"/>
      <c r="Z704" s="471"/>
      <c r="AA704" s="471"/>
      <c r="AB704" s="471"/>
      <c r="AC704" s="471"/>
      <c r="AD704" s="471"/>
      <c r="AE704" s="471"/>
      <c r="AF704" s="471"/>
      <c r="AG704" s="471"/>
      <c r="AH704" s="471"/>
      <c r="AI704" s="471"/>
    </row>
    <row r="705">
      <c r="A705" s="471"/>
      <c r="B705" s="471"/>
      <c r="C705" s="471"/>
      <c r="D705" s="471"/>
      <c r="E705" s="471"/>
      <c r="F705" s="501"/>
      <c r="G705" s="471"/>
      <c r="H705" s="471"/>
      <c r="I705" s="471"/>
      <c r="J705" s="490"/>
      <c r="K705" s="491"/>
      <c r="L705" s="471"/>
      <c r="M705" s="471"/>
      <c r="N705" s="471"/>
      <c r="O705" s="471"/>
      <c r="P705" s="471"/>
      <c r="Q705" s="471"/>
      <c r="R705" s="471"/>
      <c r="S705" s="471"/>
      <c r="T705" s="471"/>
      <c r="U705" s="471"/>
      <c r="V705" s="471"/>
      <c r="W705" s="471"/>
      <c r="X705" s="471"/>
      <c r="Y705" s="471"/>
      <c r="Z705" s="471"/>
      <c r="AA705" s="471"/>
      <c r="AB705" s="471"/>
      <c r="AC705" s="471"/>
      <c r="AD705" s="471"/>
      <c r="AE705" s="471"/>
      <c r="AF705" s="471"/>
      <c r="AG705" s="471"/>
      <c r="AH705" s="471"/>
      <c r="AI705" s="471"/>
    </row>
    <row r="706">
      <c r="A706" s="471"/>
      <c r="B706" s="471"/>
      <c r="C706" s="471"/>
      <c r="D706" s="471"/>
      <c r="E706" s="471"/>
      <c r="F706" s="501"/>
      <c r="G706" s="471"/>
      <c r="H706" s="471"/>
      <c r="I706" s="471"/>
      <c r="J706" s="490"/>
      <c r="K706" s="491"/>
      <c r="L706" s="471"/>
      <c r="M706" s="471"/>
      <c r="N706" s="471"/>
      <c r="O706" s="471"/>
      <c r="P706" s="471"/>
      <c r="Q706" s="471"/>
      <c r="R706" s="471"/>
      <c r="S706" s="471"/>
      <c r="T706" s="471"/>
      <c r="U706" s="471"/>
      <c r="V706" s="471"/>
      <c r="W706" s="471"/>
      <c r="X706" s="471"/>
      <c r="Y706" s="471"/>
      <c r="Z706" s="471"/>
      <c r="AA706" s="471"/>
      <c r="AB706" s="471"/>
      <c r="AC706" s="471"/>
      <c r="AD706" s="471"/>
      <c r="AE706" s="471"/>
      <c r="AF706" s="471"/>
      <c r="AG706" s="471"/>
      <c r="AH706" s="471"/>
      <c r="AI706" s="471"/>
    </row>
    <row r="707">
      <c r="A707" s="471"/>
      <c r="B707" s="471"/>
      <c r="C707" s="471"/>
      <c r="D707" s="471"/>
      <c r="E707" s="471"/>
      <c r="F707" s="501"/>
      <c r="G707" s="471"/>
      <c r="H707" s="471"/>
      <c r="I707" s="471"/>
      <c r="J707" s="490"/>
      <c r="K707" s="491"/>
      <c r="L707" s="471"/>
      <c r="M707" s="471"/>
      <c r="N707" s="471"/>
      <c r="O707" s="471"/>
      <c r="P707" s="471"/>
      <c r="Q707" s="471"/>
      <c r="R707" s="471"/>
      <c r="S707" s="471"/>
      <c r="T707" s="471"/>
      <c r="U707" s="471"/>
      <c r="V707" s="471"/>
      <c r="W707" s="471"/>
      <c r="X707" s="471"/>
      <c r="Y707" s="471"/>
      <c r="Z707" s="471"/>
      <c r="AA707" s="471"/>
      <c r="AB707" s="471"/>
      <c r="AC707" s="471"/>
      <c r="AD707" s="471"/>
      <c r="AE707" s="471"/>
      <c r="AF707" s="471"/>
      <c r="AG707" s="471"/>
      <c r="AH707" s="471"/>
      <c r="AI707" s="471"/>
    </row>
    <row r="708">
      <c r="A708" s="471"/>
      <c r="B708" s="471"/>
      <c r="C708" s="471"/>
      <c r="D708" s="471"/>
      <c r="E708" s="471"/>
      <c r="F708" s="501"/>
      <c r="G708" s="471"/>
      <c r="H708" s="471"/>
      <c r="I708" s="471"/>
      <c r="J708" s="490"/>
      <c r="K708" s="491"/>
      <c r="L708" s="471"/>
      <c r="M708" s="471"/>
      <c r="N708" s="471"/>
      <c r="O708" s="471"/>
      <c r="P708" s="471"/>
      <c r="Q708" s="471"/>
      <c r="R708" s="471"/>
      <c r="S708" s="471"/>
      <c r="T708" s="471"/>
      <c r="U708" s="471"/>
      <c r="V708" s="471"/>
      <c r="W708" s="471"/>
      <c r="X708" s="471"/>
      <c r="Y708" s="471"/>
      <c r="Z708" s="471"/>
      <c r="AA708" s="471"/>
      <c r="AB708" s="471"/>
      <c r="AC708" s="471"/>
      <c r="AD708" s="471"/>
      <c r="AE708" s="471"/>
      <c r="AF708" s="471"/>
      <c r="AG708" s="471"/>
      <c r="AH708" s="471"/>
      <c r="AI708" s="471"/>
    </row>
    <row r="709">
      <c r="A709" s="471"/>
      <c r="B709" s="471"/>
      <c r="C709" s="471"/>
      <c r="D709" s="471"/>
      <c r="E709" s="471"/>
      <c r="F709" s="501"/>
      <c r="G709" s="471"/>
      <c r="H709" s="471"/>
      <c r="I709" s="471"/>
      <c r="J709" s="490"/>
      <c r="K709" s="491"/>
      <c r="L709" s="471"/>
      <c r="M709" s="471"/>
      <c r="N709" s="471"/>
      <c r="O709" s="471"/>
      <c r="P709" s="471"/>
      <c r="Q709" s="471"/>
      <c r="R709" s="471"/>
      <c r="S709" s="471"/>
      <c r="T709" s="471"/>
      <c r="U709" s="471"/>
      <c r="V709" s="471"/>
      <c r="W709" s="471"/>
      <c r="X709" s="471"/>
      <c r="Y709" s="471"/>
      <c r="Z709" s="471"/>
      <c r="AA709" s="471"/>
      <c r="AB709" s="471"/>
      <c r="AC709" s="471"/>
      <c r="AD709" s="471"/>
      <c r="AE709" s="471"/>
      <c r="AF709" s="471"/>
      <c r="AG709" s="471"/>
      <c r="AH709" s="471"/>
      <c r="AI709" s="471"/>
    </row>
    <row r="710">
      <c r="A710" s="471"/>
      <c r="B710" s="471"/>
      <c r="C710" s="471"/>
      <c r="D710" s="471"/>
      <c r="E710" s="471"/>
      <c r="F710" s="501"/>
      <c r="G710" s="471"/>
      <c r="H710" s="471"/>
      <c r="I710" s="471"/>
      <c r="J710" s="490"/>
      <c r="K710" s="491"/>
      <c r="L710" s="471"/>
      <c r="M710" s="471"/>
      <c r="N710" s="471"/>
      <c r="O710" s="471"/>
      <c r="P710" s="471"/>
      <c r="Q710" s="471"/>
      <c r="R710" s="471"/>
      <c r="S710" s="471"/>
      <c r="T710" s="471"/>
      <c r="U710" s="471"/>
      <c r="V710" s="471"/>
      <c r="W710" s="471"/>
      <c r="X710" s="471"/>
      <c r="Y710" s="471"/>
      <c r="Z710" s="471"/>
      <c r="AA710" s="471"/>
      <c r="AB710" s="471"/>
      <c r="AC710" s="471"/>
      <c r="AD710" s="471"/>
      <c r="AE710" s="471"/>
      <c r="AF710" s="471"/>
      <c r="AG710" s="471"/>
      <c r="AH710" s="471"/>
      <c r="AI710" s="471"/>
    </row>
    <row r="711">
      <c r="A711" s="471"/>
      <c r="B711" s="471"/>
      <c r="C711" s="471"/>
      <c r="D711" s="471"/>
      <c r="E711" s="471"/>
      <c r="F711" s="501"/>
      <c r="G711" s="471"/>
      <c r="H711" s="471"/>
      <c r="I711" s="471"/>
      <c r="J711" s="490"/>
      <c r="K711" s="491"/>
      <c r="L711" s="471"/>
      <c r="M711" s="471"/>
      <c r="N711" s="471"/>
      <c r="O711" s="471"/>
      <c r="P711" s="471"/>
      <c r="Q711" s="471"/>
      <c r="R711" s="471"/>
      <c r="S711" s="471"/>
      <c r="T711" s="471"/>
      <c r="U711" s="471"/>
      <c r="V711" s="471"/>
      <c r="W711" s="471"/>
      <c r="X711" s="471"/>
      <c r="Y711" s="471"/>
      <c r="Z711" s="471"/>
      <c r="AA711" s="471"/>
      <c r="AB711" s="471"/>
      <c r="AC711" s="471"/>
      <c r="AD711" s="471"/>
      <c r="AE711" s="471"/>
      <c r="AF711" s="471"/>
      <c r="AG711" s="471"/>
      <c r="AH711" s="471"/>
      <c r="AI711" s="471"/>
    </row>
    <row r="712">
      <c r="A712" s="471"/>
      <c r="B712" s="471"/>
      <c r="C712" s="471"/>
      <c r="D712" s="471"/>
      <c r="E712" s="471"/>
      <c r="F712" s="501"/>
      <c r="G712" s="471"/>
      <c r="H712" s="471"/>
      <c r="I712" s="471"/>
      <c r="J712" s="490"/>
      <c r="K712" s="491"/>
      <c r="L712" s="471"/>
      <c r="M712" s="471"/>
      <c r="N712" s="471"/>
      <c r="O712" s="471"/>
      <c r="P712" s="471"/>
      <c r="Q712" s="471"/>
      <c r="R712" s="471"/>
      <c r="S712" s="471"/>
      <c r="T712" s="471"/>
      <c r="U712" s="471"/>
      <c r="V712" s="471"/>
      <c r="W712" s="471"/>
      <c r="X712" s="471"/>
      <c r="Y712" s="471"/>
      <c r="Z712" s="471"/>
      <c r="AA712" s="471"/>
      <c r="AB712" s="471"/>
      <c r="AC712" s="471"/>
      <c r="AD712" s="471"/>
      <c r="AE712" s="471"/>
      <c r="AF712" s="471"/>
      <c r="AG712" s="471"/>
      <c r="AH712" s="471"/>
      <c r="AI712" s="471"/>
    </row>
    <row r="713">
      <c r="A713" s="471"/>
      <c r="B713" s="471"/>
      <c r="C713" s="471"/>
      <c r="D713" s="471"/>
      <c r="E713" s="471"/>
      <c r="F713" s="501"/>
      <c r="G713" s="471"/>
      <c r="H713" s="471"/>
      <c r="I713" s="471"/>
      <c r="J713" s="490"/>
      <c r="K713" s="491"/>
      <c r="L713" s="471"/>
      <c r="M713" s="471"/>
      <c r="N713" s="471"/>
      <c r="O713" s="471"/>
      <c r="P713" s="471"/>
      <c r="Q713" s="471"/>
      <c r="R713" s="471"/>
      <c r="S713" s="471"/>
      <c r="T713" s="471"/>
      <c r="U713" s="471"/>
      <c r="V713" s="471"/>
      <c r="W713" s="471"/>
      <c r="X713" s="471"/>
      <c r="Y713" s="471"/>
      <c r="Z713" s="471"/>
      <c r="AA713" s="471"/>
      <c r="AB713" s="471"/>
      <c r="AC713" s="471"/>
      <c r="AD713" s="471"/>
      <c r="AE713" s="471"/>
      <c r="AF713" s="471"/>
      <c r="AG713" s="471"/>
      <c r="AH713" s="471"/>
      <c r="AI713" s="471"/>
    </row>
    <row r="714">
      <c r="A714" s="471"/>
      <c r="B714" s="471"/>
      <c r="C714" s="471"/>
      <c r="D714" s="471"/>
      <c r="E714" s="471"/>
      <c r="F714" s="501"/>
      <c r="G714" s="471"/>
      <c r="H714" s="471"/>
      <c r="I714" s="471"/>
      <c r="J714" s="490"/>
      <c r="K714" s="491"/>
      <c r="L714" s="471"/>
      <c r="M714" s="471"/>
      <c r="N714" s="471"/>
      <c r="O714" s="471"/>
      <c r="P714" s="471"/>
      <c r="Q714" s="471"/>
      <c r="R714" s="471"/>
      <c r="S714" s="471"/>
      <c r="T714" s="471"/>
      <c r="U714" s="471"/>
      <c r="V714" s="471"/>
      <c r="W714" s="471"/>
      <c r="X714" s="471"/>
      <c r="Y714" s="471"/>
      <c r="Z714" s="471"/>
      <c r="AA714" s="471"/>
      <c r="AB714" s="471"/>
      <c r="AC714" s="471"/>
      <c r="AD714" s="471"/>
      <c r="AE714" s="471"/>
      <c r="AF714" s="471"/>
      <c r="AG714" s="471"/>
      <c r="AH714" s="471"/>
      <c r="AI714" s="471"/>
    </row>
    <row r="715">
      <c r="A715" s="471"/>
      <c r="B715" s="471"/>
      <c r="C715" s="471"/>
      <c r="D715" s="471"/>
      <c r="E715" s="471"/>
      <c r="F715" s="501"/>
      <c r="G715" s="471"/>
      <c r="H715" s="471"/>
      <c r="I715" s="471"/>
      <c r="J715" s="490"/>
      <c r="K715" s="491"/>
      <c r="L715" s="471"/>
      <c r="M715" s="471"/>
      <c r="N715" s="471"/>
      <c r="O715" s="471"/>
      <c r="P715" s="471"/>
      <c r="Q715" s="471"/>
      <c r="R715" s="471"/>
      <c r="S715" s="471"/>
      <c r="T715" s="471"/>
      <c r="U715" s="471"/>
      <c r="V715" s="471"/>
      <c r="W715" s="471"/>
      <c r="X715" s="471"/>
      <c r="Y715" s="471"/>
      <c r="Z715" s="471"/>
      <c r="AA715" s="471"/>
      <c r="AB715" s="471"/>
      <c r="AC715" s="471"/>
      <c r="AD715" s="471"/>
      <c r="AE715" s="471"/>
      <c r="AF715" s="471"/>
      <c r="AG715" s="471"/>
      <c r="AH715" s="471"/>
      <c r="AI715" s="471"/>
    </row>
    <row r="716">
      <c r="A716" s="471"/>
      <c r="B716" s="471"/>
      <c r="C716" s="471"/>
      <c r="D716" s="471"/>
      <c r="E716" s="471"/>
      <c r="F716" s="501"/>
      <c r="G716" s="471"/>
      <c r="H716" s="471"/>
      <c r="I716" s="471"/>
      <c r="J716" s="490"/>
      <c r="K716" s="491"/>
      <c r="L716" s="471"/>
      <c r="M716" s="471"/>
      <c r="N716" s="471"/>
      <c r="O716" s="471"/>
      <c r="P716" s="471"/>
      <c r="Q716" s="471"/>
      <c r="R716" s="471"/>
      <c r="S716" s="471"/>
      <c r="T716" s="471"/>
      <c r="U716" s="471"/>
      <c r="V716" s="471"/>
      <c r="W716" s="471"/>
      <c r="X716" s="471"/>
      <c r="Y716" s="471"/>
      <c r="Z716" s="471"/>
      <c r="AA716" s="471"/>
      <c r="AB716" s="471"/>
      <c r="AC716" s="471"/>
      <c r="AD716" s="471"/>
      <c r="AE716" s="471"/>
      <c r="AF716" s="471"/>
      <c r="AG716" s="471"/>
      <c r="AH716" s="471"/>
      <c r="AI716" s="471"/>
    </row>
    <row r="717">
      <c r="A717" s="471"/>
      <c r="B717" s="471"/>
      <c r="C717" s="471"/>
      <c r="D717" s="471"/>
      <c r="E717" s="471"/>
      <c r="F717" s="501"/>
      <c r="G717" s="471"/>
      <c r="H717" s="471"/>
      <c r="I717" s="471"/>
      <c r="J717" s="490"/>
      <c r="K717" s="491"/>
      <c r="L717" s="471"/>
      <c r="M717" s="471"/>
      <c r="N717" s="471"/>
      <c r="O717" s="471"/>
      <c r="P717" s="471"/>
      <c r="Q717" s="471"/>
      <c r="R717" s="471"/>
      <c r="S717" s="471"/>
      <c r="T717" s="471"/>
      <c r="U717" s="471"/>
      <c r="V717" s="471"/>
      <c r="W717" s="471"/>
      <c r="X717" s="471"/>
      <c r="Y717" s="471"/>
      <c r="Z717" s="471"/>
      <c r="AA717" s="471"/>
      <c r="AB717" s="471"/>
      <c r="AC717" s="471"/>
      <c r="AD717" s="471"/>
      <c r="AE717" s="471"/>
      <c r="AF717" s="471"/>
      <c r="AG717" s="471"/>
      <c r="AH717" s="471"/>
      <c r="AI717" s="471"/>
    </row>
    <row r="718">
      <c r="A718" s="471"/>
      <c r="B718" s="471"/>
      <c r="C718" s="471"/>
      <c r="D718" s="471"/>
      <c r="E718" s="471"/>
      <c r="F718" s="501"/>
      <c r="G718" s="471"/>
      <c r="H718" s="471"/>
      <c r="I718" s="471"/>
      <c r="J718" s="490"/>
      <c r="K718" s="491"/>
      <c r="L718" s="471"/>
      <c r="M718" s="471"/>
      <c r="N718" s="471"/>
      <c r="O718" s="471"/>
      <c r="P718" s="471"/>
      <c r="Q718" s="471"/>
      <c r="R718" s="471"/>
      <c r="S718" s="471"/>
      <c r="T718" s="471"/>
      <c r="U718" s="471"/>
      <c r="V718" s="471"/>
      <c r="W718" s="471"/>
      <c r="X718" s="471"/>
      <c r="Y718" s="471"/>
      <c r="Z718" s="471"/>
      <c r="AA718" s="471"/>
      <c r="AB718" s="471"/>
      <c r="AC718" s="471"/>
      <c r="AD718" s="471"/>
      <c r="AE718" s="471"/>
      <c r="AF718" s="471"/>
      <c r="AG718" s="471"/>
      <c r="AH718" s="471"/>
      <c r="AI718" s="471"/>
    </row>
    <row r="719">
      <c r="A719" s="471"/>
      <c r="B719" s="471"/>
      <c r="C719" s="471"/>
      <c r="D719" s="471"/>
      <c r="E719" s="471"/>
      <c r="F719" s="501"/>
      <c r="G719" s="471"/>
      <c r="H719" s="471"/>
      <c r="I719" s="471"/>
      <c r="J719" s="490"/>
      <c r="K719" s="491"/>
      <c r="L719" s="471"/>
      <c r="M719" s="471"/>
      <c r="N719" s="471"/>
      <c r="O719" s="471"/>
      <c r="P719" s="471"/>
      <c r="Q719" s="471"/>
      <c r="R719" s="471"/>
      <c r="S719" s="471"/>
      <c r="T719" s="471"/>
      <c r="U719" s="471"/>
      <c r="V719" s="471"/>
      <c r="W719" s="471"/>
      <c r="X719" s="471"/>
      <c r="Y719" s="471"/>
      <c r="Z719" s="471"/>
      <c r="AA719" s="471"/>
      <c r="AB719" s="471"/>
      <c r="AC719" s="471"/>
      <c r="AD719" s="471"/>
      <c r="AE719" s="471"/>
      <c r="AF719" s="471"/>
      <c r="AG719" s="471"/>
      <c r="AH719" s="471"/>
      <c r="AI719" s="471"/>
    </row>
    <row r="720">
      <c r="A720" s="471"/>
      <c r="B720" s="471"/>
      <c r="C720" s="471"/>
      <c r="D720" s="471"/>
      <c r="E720" s="471"/>
      <c r="F720" s="501"/>
      <c r="G720" s="471"/>
      <c r="H720" s="471"/>
      <c r="I720" s="471"/>
      <c r="J720" s="490"/>
      <c r="K720" s="491"/>
      <c r="L720" s="471"/>
      <c r="M720" s="471"/>
      <c r="N720" s="471"/>
      <c r="O720" s="471"/>
      <c r="P720" s="471"/>
      <c r="Q720" s="471"/>
      <c r="R720" s="471"/>
      <c r="S720" s="471"/>
      <c r="T720" s="471"/>
      <c r="U720" s="471"/>
      <c r="V720" s="471"/>
      <c r="W720" s="471"/>
      <c r="X720" s="471"/>
      <c r="Y720" s="471"/>
      <c r="Z720" s="471"/>
      <c r="AA720" s="471"/>
      <c r="AB720" s="471"/>
      <c r="AC720" s="471"/>
      <c r="AD720" s="471"/>
      <c r="AE720" s="471"/>
      <c r="AF720" s="471"/>
      <c r="AG720" s="471"/>
      <c r="AH720" s="471"/>
      <c r="AI720" s="471"/>
    </row>
    <row r="721">
      <c r="A721" s="471"/>
      <c r="B721" s="471"/>
      <c r="C721" s="471"/>
      <c r="D721" s="471"/>
      <c r="E721" s="471"/>
      <c r="F721" s="501"/>
      <c r="G721" s="471"/>
      <c r="H721" s="471"/>
      <c r="I721" s="471"/>
      <c r="J721" s="490"/>
      <c r="K721" s="491"/>
      <c r="L721" s="471"/>
      <c r="M721" s="471"/>
      <c r="N721" s="471"/>
      <c r="O721" s="471"/>
      <c r="P721" s="471"/>
      <c r="Q721" s="471"/>
      <c r="R721" s="471"/>
      <c r="S721" s="471"/>
      <c r="T721" s="471"/>
      <c r="U721" s="471"/>
      <c r="V721" s="471"/>
      <c r="W721" s="471"/>
      <c r="X721" s="471"/>
      <c r="Y721" s="471"/>
      <c r="Z721" s="471"/>
      <c r="AA721" s="471"/>
      <c r="AB721" s="471"/>
      <c r="AC721" s="471"/>
      <c r="AD721" s="471"/>
      <c r="AE721" s="471"/>
      <c r="AF721" s="471"/>
      <c r="AG721" s="471"/>
      <c r="AH721" s="471"/>
      <c r="AI721" s="471"/>
    </row>
    <row r="722">
      <c r="A722" s="471"/>
      <c r="B722" s="471"/>
      <c r="C722" s="471"/>
      <c r="D722" s="471"/>
      <c r="E722" s="471"/>
      <c r="F722" s="501"/>
      <c r="G722" s="471"/>
      <c r="H722" s="471"/>
      <c r="I722" s="471"/>
      <c r="J722" s="490"/>
      <c r="K722" s="491"/>
      <c r="L722" s="471"/>
      <c r="M722" s="471"/>
      <c r="N722" s="471"/>
      <c r="O722" s="471"/>
      <c r="P722" s="471"/>
      <c r="Q722" s="471"/>
      <c r="R722" s="471"/>
      <c r="S722" s="471"/>
      <c r="T722" s="471"/>
      <c r="U722" s="471"/>
      <c r="V722" s="471"/>
      <c r="W722" s="471"/>
      <c r="X722" s="471"/>
      <c r="Y722" s="471"/>
      <c r="Z722" s="471"/>
      <c r="AA722" s="471"/>
      <c r="AB722" s="471"/>
      <c r="AC722" s="471"/>
      <c r="AD722" s="471"/>
      <c r="AE722" s="471"/>
      <c r="AF722" s="471"/>
      <c r="AG722" s="471"/>
      <c r="AH722" s="471"/>
      <c r="AI722" s="471"/>
    </row>
    <row r="723">
      <c r="A723" s="471"/>
      <c r="B723" s="471"/>
      <c r="C723" s="471"/>
      <c r="D723" s="471"/>
      <c r="E723" s="471"/>
      <c r="F723" s="501"/>
      <c r="G723" s="471"/>
      <c r="H723" s="471"/>
      <c r="I723" s="471"/>
      <c r="J723" s="490"/>
      <c r="K723" s="491"/>
      <c r="L723" s="471"/>
      <c r="M723" s="471"/>
      <c r="N723" s="471"/>
      <c r="O723" s="471"/>
      <c r="P723" s="471"/>
      <c r="Q723" s="471"/>
      <c r="R723" s="471"/>
      <c r="S723" s="471"/>
      <c r="T723" s="471"/>
      <c r="U723" s="471"/>
      <c r="V723" s="471"/>
      <c r="W723" s="471"/>
      <c r="X723" s="471"/>
      <c r="Y723" s="471"/>
      <c r="Z723" s="471"/>
      <c r="AA723" s="471"/>
      <c r="AB723" s="471"/>
      <c r="AC723" s="471"/>
      <c r="AD723" s="471"/>
      <c r="AE723" s="471"/>
      <c r="AF723" s="471"/>
      <c r="AG723" s="471"/>
      <c r="AH723" s="471"/>
      <c r="AI723" s="471"/>
    </row>
    <row r="724">
      <c r="A724" s="471"/>
      <c r="B724" s="471"/>
      <c r="C724" s="471"/>
      <c r="D724" s="471"/>
      <c r="E724" s="471"/>
      <c r="F724" s="501"/>
      <c r="G724" s="471"/>
      <c r="H724" s="471"/>
      <c r="I724" s="471"/>
      <c r="J724" s="490"/>
      <c r="K724" s="491"/>
      <c r="L724" s="471"/>
      <c r="M724" s="471"/>
      <c r="N724" s="471"/>
      <c r="O724" s="471"/>
      <c r="P724" s="471"/>
      <c r="Q724" s="471"/>
      <c r="R724" s="471"/>
      <c r="S724" s="471"/>
      <c r="T724" s="471"/>
      <c r="U724" s="471"/>
      <c r="V724" s="471"/>
      <c r="W724" s="471"/>
      <c r="X724" s="471"/>
      <c r="Y724" s="471"/>
      <c r="Z724" s="471"/>
      <c r="AA724" s="471"/>
      <c r="AB724" s="471"/>
      <c r="AC724" s="471"/>
      <c r="AD724" s="471"/>
      <c r="AE724" s="471"/>
      <c r="AF724" s="471"/>
      <c r="AG724" s="471"/>
      <c r="AH724" s="471"/>
      <c r="AI724" s="471"/>
    </row>
    <row r="725">
      <c r="A725" s="471"/>
      <c r="B725" s="471"/>
      <c r="C725" s="471"/>
      <c r="D725" s="471"/>
      <c r="E725" s="471"/>
      <c r="F725" s="501"/>
      <c r="G725" s="471"/>
      <c r="H725" s="471"/>
      <c r="I725" s="471"/>
      <c r="J725" s="490"/>
      <c r="K725" s="491"/>
      <c r="L725" s="471"/>
      <c r="M725" s="471"/>
      <c r="N725" s="471"/>
      <c r="O725" s="471"/>
      <c r="P725" s="471"/>
      <c r="Q725" s="471"/>
      <c r="R725" s="471"/>
      <c r="S725" s="471"/>
      <c r="T725" s="471"/>
      <c r="U725" s="471"/>
      <c r="V725" s="471"/>
      <c r="W725" s="471"/>
      <c r="X725" s="471"/>
      <c r="Y725" s="471"/>
      <c r="Z725" s="471"/>
      <c r="AA725" s="471"/>
      <c r="AB725" s="471"/>
      <c r="AC725" s="471"/>
      <c r="AD725" s="471"/>
      <c r="AE725" s="471"/>
      <c r="AF725" s="471"/>
      <c r="AG725" s="471"/>
      <c r="AH725" s="471"/>
      <c r="AI725" s="471"/>
    </row>
    <row r="726">
      <c r="A726" s="471"/>
      <c r="B726" s="471"/>
      <c r="C726" s="471"/>
      <c r="D726" s="471"/>
      <c r="E726" s="471"/>
      <c r="F726" s="501"/>
      <c r="G726" s="471"/>
      <c r="H726" s="471"/>
      <c r="I726" s="471"/>
      <c r="J726" s="490"/>
      <c r="K726" s="491"/>
      <c r="L726" s="471"/>
      <c r="M726" s="471"/>
      <c r="N726" s="471"/>
      <c r="O726" s="471"/>
      <c r="P726" s="471"/>
      <c r="Q726" s="471"/>
      <c r="R726" s="471"/>
      <c r="S726" s="471"/>
      <c r="T726" s="471"/>
      <c r="U726" s="471"/>
      <c r="V726" s="471"/>
      <c r="W726" s="471"/>
      <c r="X726" s="471"/>
      <c r="Y726" s="471"/>
      <c r="Z726" s="471"/>
      <c r="AA726" s="471"/>
      <c r="AB726" s="471"/>
      <c r="AC726" s="471"/>
      <c r="AD726" s="471"/>
      <c r="AE726" s="471"/>
      <c r="AF726" s="471"/>
      <c r="AG726" s="471"/>
      <c r="AH726" s="471"/>
      <c r="AI726" s="471"/>
    </row>
    <row r="727">
      <c r="A727" s="471"/>
      <c r="B727" s="471"/>
      <c r="C727" s="471"/>
      <c r="D727" s="471"/>
      <c r="E727" s="471"/>
      <c r="F727" s="501"/>
      <c r="G727" s="471"/>
      <c r="H727" s="471"/>
      <c r="I727" s="471"/>
      <c r="J727" s="490"/>
      <c r="K727" s="491"/>
      <c r="L727" s="471"/>
      <c r="M727" s="471"/>
      <c r="N727" s="471"/>
      <c r="O727" s="471"/>
      <c r="P727" s="471"/>
      <c r="Q727" s="471"/>
      <c r="R727" s="471"/>
      <c r="S727" s="471"/>
      <c r="T727" s="471"/>
      <c r="U727" s="471"/>
      <c r="V727" s="471"/>
      <c r="W727" s="471"/>
      <c r="X727" s="471"/>
      <c r="Y727" s="471"/>
      <c r="Z727" s="471"/>
      <c r="AA727" s="471"/>
      <c r="AB727" s="471"/>
      <c r="AC727" s="471"/>
      <c r="AD727" s="471"/>
      <c r="AE727" s="471"/>
      <c r="AF727" s="471"/>
      <c r="AG727" s="471"/>
      <c r="AH727" s="471"/>
      <c r="AI727" s="471"/>
    </row>
    <row r="728">
      <c r="A728" s="471"/>
      <c r="B728" s="471"/>
      <c r="C728" s="471"/>
      <c r="D728" s="471"/>
      <c r="E728" s="471"/>
      <c r="F728" s="501"/>
      <c r="G728" s="471"/>
      <c r="H728" s="471"/>
      <c r="I728" s="471"/>
      <c r="J728" s="490"/>
      <c r="K728" s="491"/>
      <c r="L728" s="471"/>
      <c r="M728" s="471"/>
      <c r="N728" s="471"/>
      <c r="O728" s="471"/>
      <c r="P728" s="471"/>
      <c r="Q728" s="471"/>
      <c r="R728" s="471"/>
      <c r="S728" s="471"/>
      <c r="T728" s="471"/>
      <c r="U728" s="471"/>
      <c r="V728" s="471"/>
      <c r="W728" s="471"/>
      <c r="X728" s="471"/>
      <c r="Y728" s="471"/>
      <c r="Z728" s="471"/>
      <c r="AA728" s="471"/>
      <c r="AB728" s="471"/>
      <c r="AC728" s="471"/>
      <c r="AD728" s="471"/>
      <c r="AE728" s="471"/>
      <c r="AF728" s="471"/>
      <c r="AG728" s="471"/>
      <c r="AH728" s="471"/>
      <c r="AI728" s="471"/>
    </row>
    <row r="729">
      <c r="A729" s="471"/>
      <c r="B729" s="471"/>
      <c r="C729" s="471"/>
      <c r="D729" s="471"/>
      <c r="E729" s="471"/>
      <c r="F729" s="501"/>
      <c r="G729" s="471"/>
      <c r="H729" s="471"/>
      <c r="I729" s="471"/>
      <c r="J729" s="490"/>
      <c r="K729" s="491"/>
      <c r="L729" s="471"/>
      <c r="M729" s="471"/>
      <c r="N729" s="471"/>
      <c r="O729" s="471"/>
      <c r="P729" s="471"/>
      <c r="Q729" s="471"/>
      <c r="R729" s="471"/>
      <c r="S729" s="471"/>
      <c r="T729" s="471"/>
      <c r="U729" s="471"/>
      <c r="V729" s="471"/>
      <c r="W729" s="471"/>
      <c r="X729" s="471"/>
      <c r="Y729" s="471"/>
      <c r="Z729" s="471"/>
      <c r="AA729" s="471"/>
      <c r="AB729" s="471"/>
      <c r="AC729" s="471"/>
      <c r="AD729" s="471"/>
      <c r="AE729" s="471"/>
      <c r="AF729" s="471"/>
      <c r="AG729" s="471"/>
      <c r="AH729" s="471"/>
      <c r="AI729" s="471"/>
    </row>
    <row r="730">
      <c r="A730" s="471"/>
      <c r="B730" s="471"/>
      <c r="C730" s="471"/>
      <c r="D730" s="471"/>
      <c r="E730" s="471"/>
      <c r="F730" s="501"/>
      <c r="G730" s="471"/>
      <c r="H730" s="471"/>
      <c r="I730" s="471"/>
      <c r="J730" s="490"/>
      <c r="K730" s="491"/>
      <c r="L730" s="471"/>
      <c r="M730" s="471"/>
      <c r="N730" s="471"/>
      <c r="O730" s="471"/>
      <c r="P730" s="471"/>
      <c r="Q730" s="471"/>
      <c r="R730" s="471"/>
      <c r="S730" s="471"/>
      <c r="T730" s="471"/>
      <c r="U730" s="471"/>
      <c r="V730" s="471"/>
      <c r="W730" s="471"/>
      <c r="X730" s="471"/>
      <c r="Y730" s="471"/>
      <c r="Z730" s="471"/>
      <c r="AA730" s="471"/>
      <c r="AB730" s="471"/>
      <c r="AC730" s="471"/>
      <c r="AD730" s="471"/>
      <c r="AE730" s="471"/>
      <c r="AF730" s="471"/>
      <c r="AG730" s="471"/>
      <c r="AH730" s="471"/>
      <c r="AI730" s="471"/>
    </row>
    <row r="731">
      <c r="A731" s="471"/>
      <c r="B731" s="471"/>
      <c r="C731" s="471"/>
      <c r="D731" s="471"/>
      <c r="E731" s="471"/>
      <c r="F731" s="501"/>
      <c r="G731" s="471"/>
      <c r="H731" s="471"/>
      <c r="I731" s="471"/>
      <c r="J731" s="490"/>
      <c r="K731" s="491"/>
      <c r="L731" s="471"/>
      <c r="M731" s="471"/>
      <c r="N731" s="471"/>
      <c r="O731" s="471"/>
      <c r="P731" s="471"/>
      <c r="Q731" s="471"/>
      <c r="R731" s="471"/>
      <c r="S731" s="471"/>
      <c r="T731" s="471"/>
      <c r="U731" s="471"/>
      <c r="V731" s="471"/>
      <c r="W731" s="471"/>
      <c r="X731" s="471"/>
      <c r="Y731" s="471"/>
      <c r="Z731" s="471"/>
      <c r="AA731" s="471"/>
      <c r="AB731" s="471"/>
      <c r="AC731" s="471"/>
      <c r="AD731" s="471"/>
      <c r="AE731" s="471"/>
      <c r="AF731" s="471"/>
      <c r="AG731" s="471"/>
      <c r="AH731" s="471"/>
      <c r="AI731" s="471"/>
    </row>
    <row r="732">
      <c r="A732" s="471"/>
      <c r="B732" s="471"/>
      <c r="C732" s="471"/>
      <c r="D732" s="471"/>
      <c r="E732" s="471"/>
      <c r="F732" s="501"/>
      <c r="G732" s="471"/>
      <c r="H732" s="471"/>
      <c r="I732" s="471"/>
      <c r="J732" s="490"/>
      <c r="K732" s="491"/>
      <c r="L732" s="471"/>
      <c r="M732" s="471"/>
      <c r="N732" s="471"/>
      <c r="O732" s="471"/>
      <c r="P732" s="471"/>
      <c r="Q732" s="471"/>
      <c r="R732" s="471"/>
      <c r="S732" s="471"/>
      <c r="T732" s="471"/>
      <c r="U732" s="471"/>
      <c r="V732" s="471"/>
      <c r="W732" s="471"/>
      <c r="X732" s="471"/>
      <c r="Y732" s="471"/>
      <c r="Z732" s="471"/>
      <c r="AA732" s="471"/>
      <c r="AB732" s="471"/>
      <c r="AC732" s="471"/>
      <c r="AD732" s="471"/>
      <c r="AE732" s="471"/>
      <c r="AF732" s="471"/>
      <c r="AG732" s="471"/>
      <c r="AH732" s="471"/>
      <c r="AI732" s="471"/>
    </row>
    <row r="733">
      <c r="A733" s="471"/>
      <c r="B733" s="471"/>
      <c r="C733" s="471"/>
      <c r="D733" s="471"/>
      <c r="E733" s="471"/>
      <c r="F733" s="501"/>
      <c r="G733" s="471"/>
      <c r="H733" s="471"/>
      <c r="I733" s="471"/>
      <c r="J733" s="490"/>
      <c r="K733" s="491"/>
      <c r="L733" s="471"/>
      <c r="M733" s="471"/>
      <c r="N733" s="471"/>
      <c r="O733" s="471"/>
      <c r="P733" s="471"/>
      <c r="Q733" s="471"/>
      <c r="R733" s="471"/>
      <c r="S733" s="471"/>
      <c r="T733" s="471"/>
      <c r="U733" s="471"/>
      <c r="V733" s="471"/>
      <c r="W733" s="471"/>
      <c r="X733" s="471"/>
      <c r="Y733" s="471"/>
      <c r="Z733" s="471"/>
      <c r="AA733" s="471"/>
      <c r="AB733" s="471"/>
      <c r="AC733" s="471"/>
      <c r="AD733" s="471"/>
      <c r="AE733" s="471"/>
      <c r="AF733" s="471"/>
      <c r="AG733" s="471"/>
      <c r="AH733" s="471"/>
      <c r="AI733" s="471"/>
    </row>
    <row r="734">
      <c r="A734" s="471"/>
      <c r="B734" s="471"/>
      <c r="C734" s="471"/>
      <c r="D734" s="471"/>
      <c r="E734" s="471"/>
      <c r="F734" s="501"/>
      <c r="G734" s="471"/>
      <c r="H734" s="471"/>
      <c r="I734" s="471"/>
      <c r="J734" s="490"/>
      <c r="K734" s="491"/>
      <c r="L734" s="471"/>
      <c r="M734" s="471"/>
      <c r="N734" s="471"/>
      <c r="O734" s="471"/>
      <c r="P734" s="471"/>
      <c r="Q734" s="471"/>
      <c r="R734" s="471"/>
      <c r="S734" s="471"/>
      <c r="T734" s="471"/>
      <c r="U734" s="471"/>
      <c r="V734" s="471"/>
      <c r="W734" s="471"/>
      <c r="X734" s="471"/>
      <c r="Y734" s="471"/>
      <c r="Z734" s="471"/>
      <c r="AA734" s="471"/>
      <c r="AB734" s="471"/>
      <c r="AC734" s="471"/>
      <c r="AD734" s="471"/>
      <c r="AE734" s="471"/>
      <c r="AF734" s="471"/>
      <c r="AG734" s="471"/>
      <c r="AH734" s="471"/>
      <c r="AI734" s="471"/>
    </row>
    <row r="735">
      <c r="A735" s="471"/>
      <c r="B735" s="471"/>
      <c r="C735" s="471"/>
      <c r="D735" s="471"/>
      <c r="E735" s="471"/>
      <c r="F735" s="501"/>
      <c r="G735" s="471"/>
      <c r="H735" s="471"/>
      <c r="I735" s="471"/>
      <c r="J735" s="490"/>
      <c r="K735" s="491"/>
      <c r="L735" s="471"/>
      <c r="M735" s="471"/>
      <c r="N735" s="471"/>
      <c r="O735" s="471"/>
      <c r="P735" s="471"/>
      <c r="Q735" s="471"/>
      <c r="R735" s="471"/>
      <c r="S735" s="471"/>
      <c r="T735" s="471"/>
      <c r="U735" s="471"/>
      <c r="V735" s="471"/>
      <c r="W735" s="471"/>
      <c r="X735" s="471"/>
      <c r="Y735" s="471"/>
      <c r="Z735" s="471"/>
      <c r="AA735" s="471"/>
      <c r="AB735" s="471"/>
      <c r="AC735" s="471"/>
      <c r="AD735" s="471"/>
      <c r="AE735" s="471"/>
      <c r="AF735" s="471"/>
      <c r="AG735" s="471"/>
      <c r="AH735" s="471"/>
      <c r="AI735" s="471"/>
    </row>
    <row r="736">
      <c r="A736" s="471"/>
      <c r="B736" s="471"/>
      <c r="C736" s="471"/>
      <c r="D736" s="471"/>
      <c r="E736" s="471"/>
      <c r="F736" s="501"/>
      <c r="G736" s="471"/>
      <c r="H736" s="471"/>
      <c r="I736" s="471"/>
      <c r="J736" s="490"/>
      <c r="K736" s="491"/>
      <c r="L736" s="471"/>
      <c r="M736" s="471"/>
      <c r="N736" s="471"/>
      <c r="O736" s="471"/>
      <c r="P736" s="471"/>
      <c r="Q736" s="471"/>
      <c r="R736" s="471"/>
      <c r="S736" s="471"/>
      <c r="T736" s="471"/>
      <c r="U736" s="471"/>
      <c r="V736" s="471"/>
      <c r="W736" s="471"/>
      <c r="X736" s="471"/>
      <c r="Y736" s="471"/>
      <c r="Z736" s="471"/>
      <c r="AA736" s="471"/>
      <c r="AB736" s="471"/>
      <c r="AC736" s="471"/>
      <c r="AD736" s="471"/>
      <c r="AE736" s="471"/>
      <c r="AF736" s="471"/>
      <c r="AG736" s="471"/>
      <c r="AH736" s="471"/>
      <c r="AI736" s="471"/>
    </row>
    <row r="737">
      <c r="A737" s="471"/>
      <c r="B737" s="471"/>
      <c r="C737" s="471"/>
      <c r="D737" s="471"/>
      <c r="E737" s="471"/>
      <c r="F737" s="501"/>
      <c r="G737" s="471"/>
      <c r="H737" s="471"/>
      <c r="I737" s="471"/>
      <c r="J737" s="490"/>
      <c r="K737" s="491"/>
      <c r="L737" s="471"/>
      <c r="M737" s="471"/>
      <c r="N737" s="471"/>
      <c r="O737" s="471"/>
      <c r="P737" s="471"/>
      <c r="Q737" s="471"/>
      <c r="R737" s="471"/>
      <c r="S737" s="471"/>
      <c r="T737" s="471"/>
      <c r="U737" s="471"/>
      <c r="V737" s="471"/>
      <c r="W737" s="471"/>
      <c r="X737" s="471"/>
      <c r="Y737" s="471"/>
      <c r="Z737" s="471"/>
      <c r="AA737" s="471"/>
      <c r="AB737" s="471"/>
      <c r="AC737" s="471"/>
      <c r="AD737" s="471"/>
      <c r="AE737" s="471"/>
      <c r="AF737" s="471"/>
      <c r="AG737" s="471"/>
      <c r="AH737" s="471"/>
      <c r="AI737" s="471"/>
    </row>
    <row r="738">
      <c r="A738" s="471"/>
      <c r="B738" s="471"/>
      <c r="C738" s="471"/>
      <c r="D738" s="471"/>
      <c r="E738" s="471"/>
      <c r="F738" s="501"/>
      <c r="G738" s="471"/>
      <c r="H738" s="471"/>
      <c r="I738" s="471"/>
      <c r="J738" s="490"/>
      <c r="K738" s="491"/>
      <c r="L738" s="471"/>
      <c r="M738" s="471"/>
      <c r="N738" s="471"/>
      <c r="O738" s="471"/>
      <c r="P738" s="471"/>
      <c r="Q738" s="471"/>
      <c r="R738" s="471"/>
      <c r="S738" s="471"/>
      <c r="T738" s="471"/>
      <c r="U738" s="471"/>
      <c r="V738" s="471"/>
      <c r="W738" s="471"/>
      <c r="X738" s="471"/>
      <c r="Y738" s="471"/>
      <c r="Z738" s="471"/>
      <c r="AA738" s="471"/>
      <c r="AB738" s="471"/>
      <c r="AC738" s="471"/>
      <c r="AD738" s="471"/>
      <c r="AE738" s="471"/>
      <c r="AF738" s="471"/>
      <c r="AG738" s="471"/>
      <c r="AH738" s="471"/>
      <c r="AI738" s="471"/>
    </row>
    <row r="739">
      <c r="A739" s="471"/>
      <c r="B739" s="471"/>
      <c r="C739" s="471"/>
      <c r="D739" s="471"/>
      <c r="E739" s="471"/>
      <c r="F739" s="501"/>
      <c r="G739" s="471"/>
      <c r="H739" s="471"/>
      <c r="I739" s="471"/>
      <c r="J739" s="490"/>
      <c r="K739" s="491"/>
      <c r="L739" s="471"/>
      <c r="M739" s="471"/>
      <c r="N739" s="471"/>
      <c r="O739" s="471"/>
      <c r="P739" s="471"/>
      <c r="Q739" s="471"/>
      <c r="R739" s="471"/>
      <c r="S739" s="471"/>
      <c r="T739" s="471"/>
      <c r="U739" s="471"/>
      <c r="V739" s="471"/>
      <c r="W739" s="471"/>
      <c r="X739" s="471"/>
      <c r="Y739" s="471"/>
      <c r="Z739" s="471"/>
      <c r="AA739" s="471"/>
      <c r="AB739" s="471"/>
      <c r="AC739" s="471"/>
      <c r="AD739" s="471"/>
      <c r="AE739" s="471"/>
      <c r="AF739" s="471"/>
      <c r="AG739" s="471"/>
      <c r="AH739" s="471"/>
      <c r="AI739" s="471"/>
    </row>
    <row r="740">
      <c r="A740" s="471"/>
      <c r="B740" s="471"/>
      <c r="C740" s="471"/>
      <c r="D740" s="471"/>
      <c r="E740" s="471"/>
      <c r="F740" s="501"/>
      <c r="G740" s="471"/>
      <c r="H740" s="471"/>
      <c r="I740" s="471"/>
      <c r="J740" s="490"/>
      <c r="K740" s="491"/>
      <c r="L740" s="471"/>
      <c r="M740" s="471"/>
      <c r="N740" s="471"/>
      <c r="O740" s="471"/>
      <c r="P740" s="471"/>
      <c r="Q740" s="471"/>
      <c r="R740" s="471"/>
      <c r="S740" s="471"/>
      <c r="T740" s="471"/>
      <c r="U740" s="471"/>
      <c r="V740" s="471"/>
      <c r="W740" s="471"/>
      <c r="X740" s="471"/>
      <c r="Y740" s="471"/>
      <c r="Z740" s="471"/>
      <c r="AA740" s="471"/>
      <c r="AB740" s="471"/>
      <c r="AC740" s="471"/>
      <c r="AD740" s="471"/>
      <c r="AE740" s="471"/>
      <c r="AF740" s="471"/>
      <c r="AG740" s="471"/>
      <c r="AH740" s="471"/>
      <c r="AI740" s="471"/>
    </row>
    <row r="741">
      <c r="A741" s="471"/>
      <c r="B741" s="471"/>
      <c r="C741" s="471"/>
      <c r="D741" s="471"/>
      <c r="E741" s="471"/>
      <c r="F741" s="501"/>
      <c r="G741" s="471"/>
      <c r="H741" s="471"/>
      <c r="I741" s="471"/>
      <c r="J741" s="490"/>
      <c r="K741" s="491"/>
      <c r="L741" s="471"/>
      <c r="M741" s="471"/>
      <c r="N741" s="471"/>
      <c r="O741" s="471"/>
      <c r="P741" s="471"/>
      <c r="Q741" s="471"/>
      <c r="R741" s="471"/>
      <c r="S741" s="471"/>
      <c r="T741" s="471"/>
      <c r="U741" s="471"/>
      <c r="V741" s="471"/>
      <c r="W741" s="471"/>
      <c r="X741" s="471"/>
      <c r="Y741" s="471"/>
      <c r="Z741" s="471"/>
      <c r="AA741" s="471"/>
      <c r="AB741" s="471"/>
      <c r="AC741" s="471"/>
      <c r="AD741" s="471"/>
      <c r="AE741" s="471"/>
      <c r="AF741" s="471"/>
      <c r="AG741" s="471"/>
      <c r="AH741" s="471"/>
      <c r="AI741" s="471"/>
    </row>
    <row r="742">
      <c r="A742" s="471"/>
      <c r="B742" s="471"/>
      <c r="C742" s="471"/>
      <c r="D742" s="471"/>
      <c r="E742" s="471"/>
      <c r="F742" s="501"/>
      <c r="G742" s="471"/>
      <c r="H742" s="471"/>
      <c r="I742" s="471"/>
      <c r="J742" s="490"/>
      <c r="K742" s="491"/>
      <c r="L742" s="471"/>
      <c r="M742" s="471"/>
      <c r="N742" s="471"/>
      <c r="O742" s="471"/>
      <c r="P742" s="471"/>
      <c r="Q742" s="471"/>
      <c r="R742" s="471"/>
      <c r="S742" s="471"/>
      <c r="T742" s="471"/>
      <c r="U742" s="471"/>
      <c r="V742" s="471"/>
      <c r="W742" s="471"/>
      <c r="X742" s="471"/>
      <c r="Y742" s="471"/>
      <c r="Z742" s="471"/>
      <c r="AA742" s="471"/>
      <c r="AB742" s="471"/>
      <c r="AC742" s="471"/>
      <c r="AD742" s="471"/>
      <c r="AE742" s="471"/>
      <c r="AF742" s="471"/>
      <c r="AG742" s="471"/>
      <c r="AH742" s="471"/>
      <c r="AI742" s="471"/>
    </row>
    <row r="743">
      <c r="A743" s="471"/>
      <c r="B743" s="471"/>
      <c r="C743" s="471"/>
      <c r="D743" s="471"/>
      <c r="E743" s="471"/>
      <c r="F743" s="501"/>
      <c r="G743" s="471"/>
      <c r="H743" s="471"/>
      <c r="I743" s="471"/>
      <c r="J743" s="490"/>
      <c r="K743" s="491"/>
      <c r="L743" s="471"/>
      <c r="M743" s="471"/>
      <c r="N743" s="471"/>
      <c r="O743" s="471"/>
      <c r="P743" s="471"/>
      <c r="Q743" s="471"/>
      <c r="R743" s="471"/>
      <c r="S743" s="471"/>
      <c r="T743" s="471"/>
      <c r="U743" s="471"/>
      <c r="V743" s="471"/>
      <c r="W743" s="471"/>
      <c r="X743" s="471"/>
      <c r="Y743" s="471"/>
      <c r="Z743" s="471"/>
      <c r="AA743" s="471"/>
      <c r="AB743" s="471"/>
      <c r="AC743" s="471"/>
      <c r="AD743" s="471"/>
      <c r="AE743" s="471"/>
      <c r="AF743" s="471"/>
      <c r="AG743" s="471"/>
      <c r="AH743" s="471"/>
      <c r="AI743" s="471"/>
    </row>
    <row r="744">
      <c r="A744" s="471"/>
      <c r="B744" s="471"/>
      <c r="C744" s="471"/>
      <c r="D744" s="471"/>
      <c r="E744" s="471"/>
      <c r="F744" s="501"/>
      <c r="G744" s="471"/>
      <c r="H744" s="471"/>
      <c r="I744" s="471"/>
      <c r="J744" s="490"/>
      <c r="K744" s="491"/>
      <c r="L744" s="471"/>
      <c r="M744" s="471"/>
      <c r="N744" s="471"/>
      <c r="O744" s="471"/>
      <c r="P744" s="471"/>
      <c r="Q744" s="471"/>
      <c r="R744" s="471"/>
      <c r="S744" s="471"/>
      <c r="T744" s="471"/>
      <c r="U744" s="471"/>
      <c r="V744" s="471"/>
      <c r="W744" s="471"/>
      <c r="X744" s="471"/>
      <c r="Y744" s="471"/>
      <c r="Z744" s="471"/>
      <c r="AA744" s="471"/>
      <c r="AB744" s="471"/>
      <c r="AC744" s="471"/>
      <c r="AD744" s="471"/>
      <c r="AE744" s="471"/>
      <c r="AF744" s="471"/>
      <c r="AG744" s="471"/>
      <c r="AH744" s="471"/>
      <c r="AI744" s="471"/>
    </row>
    <row r="745">
      <c r="A745" s="471"/>
      <c r="B745" s="471"/>
      <c r="C745" s="471"/>
      <c r="D745" s="471"/>
      <c r="E745" s="471"/>
      <c r="F745" s="501"/>
      <c r="G745" s="471"/>
      <c r="H745" s="471"/>
      <c r="I745" s="471"/>
      <c r="J745" s="490"/>
      <c r="K745" s="491"/>
      <c r="L745" s="471"/>
      <c r="M745" s="471"/>
      <c r="N745" s="471"/>
      <c r="O745" s="471"/>
      <c r="P745" s="471"/>
      <c r="Q745" s="471"/>
      <c r="R745" s="471"/>
      <c r="S745" s="471"/>
      <c r="T745" s="471"/>
      <c r="U745" s="471"/>
      <c r="V745" s="471"/>
      <c r="W745" s="471"/>
      <c r="X745" s="471"/>
      <c r="Y745" s="471"/>
      <c r="Z745" s="471"/>
      <c r="AA745" s="471"/>
      <c r="AB745" s="471"/>
      <c r="AC745" s="471"/>
      <c r="AD745" s="471"/>
      <c r="AE745" s="471"/>
      <c r="AF745" s="471"/>
      <c r="AG745" s="471"/>
      <c r="AH745" s="471"/>
      <c r="AI745" s="471"/>
    </row>
    <row r="746">
      <c r="A746" s="471"/>
      <c r="B746" s="471"/>
      <c r="C746" s="471"/>
      <c r="D746" s="471"/>
      <c r="E746" s="471"/>
      <c r="F746" s="501"/>
      <c r="G746" s="471"/>
      <c r="H746" s="471"/>
      <c r="I746" s="471"/>
      <c r="J746" s="490"/>
      <c r="K746" s="491"/>
      <c r="L746" s="471"/>
      <c r="M746" s="471"/>
      <c r="N746" s="471"/>
      <c r="O746" s="471"/>
      <c r="P746" s="471"/>
      <c r="Q746" s="471"/>
      <c r="R746" s="471"/>
      <c r="S746" s="471"/>
      <c r="T746" s="471"/>
      <c r="U746" s="471"/>
      <c r="V746" s="471"/>
      <c r="W746" s="471"/>
      <c r="X746" s="471"/>
      <c r="Y746" s="471"/>
      <c r="Z746" s="471"/>
      <c r="AA746" s="471"/>
      <c r="AB746" s="471"/>
      <c r="AC746" s="471"/>
      <c r="AD746" s="471"/>
      <c r="AE746" s="471"/>
      <c r="AF746" s="471"/>
      <c r="AG746" s="471"/>
      <c r="AH746" s="471"/>
      <c r="AI746" s="471"/>
    </row>
    <row r="747">
      <c r="A747" s="471"/>
      <c r="B747" s="471"/>
      <c r="C747" s="471"/>
      <c r="D747" s="471"/>
      <c r="E747" s="471"/>
      <c r="F747" s="501"/>
      <c r="G747" s="471"/>
      <c r="H747" s="471"/>
      <c r="I747" s="471"/>
      <c r="J747" s="490"/>
      <c r="K747" s="491"/>
      <c r="L747" s="471"/>
      <c r="M747" s="471"/>
      <c r="N747" s="471"/>
      <c r="O747" s="471"/>
      <c r="P747" s="471"/>
      <c r="Q747" s="471"/>
      <c r="R747" s="471"/>
      <c r="S747" s="471"/>
      <c r="T747" s="471"/>
      <c r="U747" s="471"/>
      <c r="V747" s="471"/>
      <c r="W747" s="471"/>
      <c r="X747" s="471"/>
      <c r="Y747" s="471"/>
      <c r="Z747" s="471"/>
      <c r="AA747" s="471"/>
      <c r="AB747" s="471"/>
      <c r="AC747" s="471"/>
      <c r="AD747" s="471"/>
      <c r="AE747" s="471"/>
      <c r="AF747" s="471"/>
      <c r="AG747" s="471"/>
      <c r="AH747" s="471"/>
      <c r="AI747" s="471"/>
    </row>
    <row r="748">
      <c r="A748" s="471"/>
      <c r="B748" s="471"/>
      <c r="C748" s="471"/>
      <c r="D748" s="471"/>
      <c r="E748" s="471"/>
      <c r="F748" s="501"/>
      <c r="G748" s="471"/>
      <c r="H748" s="471"/>
      <c r="I748" s="471"/>
      <c r="J748" s="490"/>
      <c r="K748" s="491"/>
      <c r="L748" s="471"/>
      <c r="M748" s="471"/>
      <c r="N748" s="471"/>
      <c r="O748" s="471"/>
      <c r="P748" s="471"/>
      <c r="Q748" s="471"/>
      <c r="R748" s="471"/>
      <c r="S748" s="471"/>
      <c r="T748" s="471"/>
      <c r="U748" s="471"/>
      <c r="V748" s="471"/>
      <c r="W748" s="471"/>
      <c r="X748" s="471"/>
      <c r="Y748" s="471"/>
      <c r="Z748" s="471"/>
      <c r="AA748" s="471"/>
      <c r="AB748" s="471"/>
      <c r="AC748" s="471"/>
      <c r="AD748" s="471"/>
      <c r="AE748" s="471"/>
      <c r="AF748" s="471"/>
      <c r="AG748" s="471"/>
      <c r="AH748" s="471"/>
      <c r="AI748" s="471"/>
    </row>
    <row r="749">
      <c r="A749" s="471"/>
      <c r="B749" s="471"/>
      <c r="C749" s="471"/>
      <c r="D749" s="471"/>
      <c r="E749" s="471"/>
      <c r="F749" s="501"/>
      <c r="G749" s="471"/>
      <c r="H749" s="471"/>
      <c r="I749" s="471"/>
      <c r="J749" s="490"/>
      <c r="K749" s="491"/>
      <c r="L749" s="471"/>
      <c r="M749" s="471"/>
      <c r="N749" s="471"/>
      <c r="O749" s="471"/>
      <c r="P749" s="471"/>
      <c r="Q749" s="471"/>
      <c r="R749" s="471"/>
      <c r="S749" s="471"/>
      <c r="T749" s="471"/>
      <c r="U749" s="471"/>
      <c r="V749" s="471"/>
      <c r="W749" s="471"/>
      <c r="X749" s="471"/>
      <c r="Y749" s="471"/>
      <c r="Z749" s="471"/>
      <c r="AA749" s="471"/>
      <c r="AB749" s="471"/>
      <c r="AC749" s="471"/>
      <c r="AD749" s="471"/>
      <c r="AE749" s="471"/>
      <c r="AF749" s="471"/>
      <c r="AG749" s="471"/>
      <c r="AH749" s="471"/>
      <c r="AI749" s="471"/>
    </row>
    <row r="750">
      <c r="A750" s="471"/>
      <c r="B750" s="471"/>
      <c r="C750" s="471"/>
      <c r="D750" s="471"/>
      <c r="E750" s="471"/>
      <c r="F750" s="501"/>
      <c r="G750" s="471"/>
      <c r="H750" s="471"/>
      <c r="I750" s="471"/>
      <c r="J750" s="490"/>
      <c r="K750" s="491"/>
      <c r="L750" s="471"/>
      <c r="M750" s="471"/>
      <c r="N750" s="471"/>
      <c r="O750" s="471"/>
      <c r="P750" s="471"/>
      <c r="Q750" s="471"/>
      <c r="R750" s="471"/>
      <c r="S750" s="471"/>
      <c r="T750" s="471"/>
      <c r="U750" s="471"/>
      <c r="V750" s="471"/>
      <c r="W750" s="471"/>
      <c r="X750" s="471"/>
      <c r="Y750" s="471"/>
      <c r="Z750" s="471"/>
      <c r="AA750" s="471"/>
      <c r="AB750" s="471"/>
      <c r="AC750" s="471"/>
      <c r="AD750" s="471"/>
      <c r="AE750" s="471"/>
      <c r="AF750" s="471"/>
      <c r="AG750" s="471"/>
      <c r="AH750" s="471"/>
      <c r="AI750" s="471"/>
    </row>
    <row r="751">
      <c r="A751" s="471"/>
      <c r="B751" s="471"/>
      <c r="C751" s="471"/>
      <c r="D751" s="471"/>
      <c r="E751" s="471"/>
      <c r="F751" s="501"/>
      <c r="G751" s="471"/>
      <c r="H751" s="471"/>
      <c r="I751" s="471"/>
      <c r="J751" s="490"/>
      <c r="K751" s="491"/>
      <c r="L751" s="471"/>
      <c r="M751" s="471"/>
      <c r="N751" s="471"/>
      <c r="O751" s="471"/>
      <c r="P751" s="471"/>
      <c r="Q751" s="471"/>
      <c r="R751" s="471"/>
      <c r="S751" s="471"/>
      <c r="T751" s="471"/>
      <c r="U751" s="471"/>
      <c r="V751" s="471"/>
      <c r="W751" s="471"/>
      <c r="X751" s="471"/>
      <c r="Y751" s="471"/>
      <c r="Z751" s="471"/>
      <c r="AA751" s="471"/>
      <c r="AB751" s="471"/>
      <c r="AC751" s="471"/>
      <c r="AD751" s="471"/>
      <c r="AE751" s="471"/>
      <c r="AF751" s="471"/>
      <c r="AG751" s="471"/>
      <c r="AH751" s="471"/>
      <c r="AI751" s="471"/>
    </row>
    <row r="752">
      <c r="A752" s="471"/>
      <c r="B752" s="471"/>
      <c r="C752" s="471"/>
      <c r="D752" s="471"/>
      <c r="E752" s="471"/>
      <c r="F752" s="501"/>
      <c r="G752" s="471"/>
      <c r="H752" s="471"/>
      <c r="I752" s="471"/>
      <c r="J752" s="490"/>
      <c r="K752" s="491"/>
      <c r="L752" s="471"/>
      <c r="M752" s="471"/>
      <c r="N752" s="471"/>
      <c r="O752" s="471"/>
      <c r="P752" s="471"/>
      <c r="Q752" s="471"/>
      <c r="R752" s="471"/>
      <c r="S752" s="471"/>
      <c r="T752" s="471"/>
      <c r="U752" s="471"/>
      <c r="V752" s="471"/>
      <c r="W752" s="471"/>
      <c r="X752" s="471"/>
      <c r="Y752" s="471"/>
      <c r="Z752" s="471"/>
      <c r="AA752" s="471"/>
      <c r="AB752" s="471"/>
      <c r="AC752" s="471"/>
      <c r="AD752" s="471"/>
      <c r="AE752" s="471"/>
      <c r="AF752" s="471"/>
      <c r="AG752" s="471"/>
      <c r="AH752" s="471"/>
      <c r="AI752" s="471"/>
    </row>
    <row r="753">
      <c r="A753" s="471"/>
      <c r="B753" s="471"/>
      <c r="C753" s="471"/>
      <c r="D753" s="471"/>
      <c r="E753" s="471"/>
      <c r="F753" s="501"/>
      <c r="G753" s="471"/>
      <c r="H753" s="471"/>
      <c r="I753" s="471"/>
      <c r="J753" s="490"/>
      <c r="K753" s="491"/>
      <c r="L753" s="471"/>
      <c r="M753" s="471"/>
      <c r="N753" s="471"/>
      <c r="O753" s="471"/>
      <c r="P753" s="471"/>
      <c r="Q753" s="471"/>
      <c r="R753" s="471"/>
      <c r="S753" s="471"/>
      <c r="T753" s="471"/>
      <c r="U753" s="471"/>
      <c r="V753" s="471"/>
      <c r="W753" s="471"/>
      <c r="X753" s="471"/>
      <c r="Y753" s="471"/>
      <c r="Z753" s="471"/>
      <c r="AA753" s="471"/>
      <c r="AB753" s="471"/>
      <c r="AC753" s="471"/>
      <c r="AD753" s="471"/>
      <c r="AE753" s="471"/>
      <c r="AF753" s="471"/>
      <c r="AG753" s="471"/>
      <c r="AH753" s="471"/>
      <c r="AI753" s="471"/>
    </row>
    <row r="754">
      <c r="A754" s="471"/>
      <c r="B754" s="471"/>
      <c r="C754" s="471"/>
      <c r="D754" s="471"/>
      <c r="E754" s="471"/>
      <c r="F754" s="501"/>
      <c r="G754" s="471"/>
      <c r="H754" s="471"/>
      <c r="I754" s="471"/>
      <c r="J754" s="490"/>
      <c r="K754" s="491"/>
      <c r="L754" s="471"/>
      <c r="M754" s="471"/>
      <c r="N754" s="471"/>
      <c r="O754" s="471"/>
      <c r="P754" s="471"/>
      <c r="Q754" s="471"/>
      <c r="R754" s="471"/>
      <c r="S754" s="471"/>
      <c r="T754" s="471"/>
      <c r="U754" s="471"/>
      <c r="V754" s="471"/>
      <c r="W754" s="471"/>
      <c r="X754" s="471"/>
      <c r="Y754" s="471"/>
      <c r="Z754" s="471"/>
      <c r="AA754" s="471"/>
      <c r="AB754" s="471"/>
      <c r="AC754" s="471"/>
      <c r="AD754" s="471"/>
      <c r="AE754" s="471"/>
      <c r="AF754" s="471"/>
      <c r="AG754" s="471"/>
      <c r="AH754" s="471"/>
      <c r="AI754" s="471"/>
    </row>
    <row r="755">
      <c r="A755" s="471"/>
      <c r="B755" s="471"/>
      <c r="C755" s="471"/>
      <c r="D755" s="471"/>
      <c r="E755" s="471"/>
      <c r="F755" s="501"/>
      <c r="G755" s="471"/>
      <c r="H755" s="471"/>
      <c r="I755" s="471"/>
      <c r="J755" s="490"/>
      <c r="K755" s="491"/>
      <c r="L755" s="471"/>
      <c r="M755" s="471"/>
      <c r="N755" s="471"/>
      <c r="O755" s="471"/>
      <c r="P755" s="471"/>
      <c r="Q755" s="471"/>
      <c r="R755" s="471"/>
      <c r="S755" s="471"/>
      <c r="T755" s="471"/>
      <c r="U755" s="471"/>
      <c r="V755" s="471"/>
      <c r="W755" s="471"/>
      <c r="X755" s="471"/>
      <c r="Y755" s="471"/>
      <c r="Z755" s="471"/>
      <c r="AA755" s="471"/>
      <c r="AB755" s="471"/>
      <c r="AC755" s="471"/>
      <c r="AD755" s="471"/>
      <c r="AE755" s="471"/>
      <c r="AF755" s="471"/>
      <c r="AG755" s="471"/>
      <c r="AH755" s="471"/>
      <c r="AI755" s="471"/>
    </row>
    <row r="756">
      <c r="A756" s="471"/>
      <c r="B756" s="471"/>
      <c r="C756" s="471"/>
      <c r="D756" s="471"/>
      <c r="E756" s="471"/>
      <c r="F756" s="501"/>
      <c r="G756" s="471"/>
      <c r="H756" s="471"/>
      <c r="I756" s="471"/>
      <c r="J756" s="490"/>
      <c r="K756" s="491"/>
      <c r="L756" s="471"/>
      <c r="M756" s="471"/>
      <c r="N756" s="471"/>
      <c r="O756" s="471"/>
      <c r="P756" s="471"/>
      <c r="Q756" s="471"/>
      <c r="R756" s="471"/>
      <c r="S756" s="471"/>
      <c r="T756" s="471"/>
      <c r="U756" s="471"/>
      <c r="V756" s="471"/>
      <c r="W756" s="471"/>
      <c r="X756" s="471"/>
      <c r="Y756" s="471"/>
      <c r="Z756" s="471"/>
      <c r="AA756" s="471"/>
      <c r="AB756" s="471"/>
      <c r="AC756" s="471"/>
      <c r="AD756" s="471"/>
      <c r="AE756" s="471"/>
      <c r="AF756" s="471"/>
      <c r="AG756" s="471"/>
      <c r="AH756" s="471"/>
      <c r="AI756" s="471"/>
    </row>
    <row r="757">
      <c r="A757" s="471"/>
      <c r="B757" s="471"/>
      <c r="C757" s="471"/>
      <c r="D757" s="471"/>
      <c r="E757" s="471"/>
      <c r="F757" s="501"/>
      <c r="G757" s="471"/>
      <c r="H757" s="471"/>
      <c r="I757" s="471"/>
      <c r="J757" s="490"/>
      <c r="K757" s="491"/>
      <c r="L757" s="471"/>
      <c r="M757" s="471"/>
      <c r="N757" s="471"/>
      <c r="O757" s="471"/>
      <c r="P757" s="471"/>
      <c r="Q757" s="471"/>
      <c r="R757" s="471"/>
      <c r="S757" s="471"/>
      <c r="T757" s="471"/>
      <c r="U757" s="471"/>
      <c r="V757" s="471"/>
      <c r="W757" s="471"/>
      <c r="X757" s="471"/>
      <c r="Y757" s="471"/>
      <c r="Z757" s="471"/>
      <c r="AA757" s="471"/>
      <c r="AB757" s="471"/>
      <c r="AC757" s="471"/>
      <c r="AD757" s="471"/>
      <c r="AE757" s="471"/>
      <c r="AF757" s="471"/>
      <c r="AG757" s="471"/>
      <c r="AH757" s="471"/>
      <c r="AI757" s="471"/>
    </row>
    <row r="758">
      <c r="A758" s="471"/>
      <c r="B758" s="471"/>
      <c r="C758" s="471"/>
      <c r="D758" s="471"/>
      <c r="E758" s="471"/>
      <c r="F758" s="501"/>
      <c r="G758" s="471"/>
      <c r="H758" s="471"/>
      <c r="I758" s="471"/>
      <c r="J758" s="490"/>
      <c r="K758" s="491"/>
      <c r="L758" s="471"/>
      <c r="M758" s="471"/>
      <c r="N758" s="471"/>
      <c r="O758" s="471"/>
      <c r="P758" s="471"/>
      <c r="Q758" s="471"/>
      <c r="R758" s="471"/>
      <c r="S758" s="471"/>
      <c r="T758" s="471"/>
      <c r="U758" s="471"/>
      <c r="V758" s="471"/>
      <c r="W758" s="471"/>
      <c r="X758" s="471"/>
      <c r="Y758" s="471"/>
      <c r="Z758" s="471"/>
      <c r="AA758" s="471"/>
      <c r="AB758" s="471"/>
      <c r="AC758" s="471"/>
      <c r="AD758" s="471"/>
      <c r="AE758" s="471"/>
      <c r="AF758" s="471"/>
      <c r="AG758" s="471"/>
      <c r="AH758" s="471"/>
      <c r="AI758" s="471"/>
    </row>
    <row r="759">
      <c r="A759" s="471"/>
      <c r="B759" s="471"/>
      <c r="C759" s="471"/>
      <c r="D759" s="471"/>
      <c r="E759" s="471"/>
      <c r="F759" s="501"/>
      <c r="G759" s="471"/>
      <c r="H759" s="471"/>
      <c r="I759" s="471"/>
      <c r="J759" s="490"/>
      <c r="K759" s="491"/>
      <c r="L759" s="471"/>
      <c r="M759" s="471"/>
      <c r="N759" s="471"/>
      <c r="O759" s="471"/>
      <c r="P759" s="471"/>
      <c r="Q759" s="471"/>
      <c r="R759" s="471"/>
      <c r="S759" s="471"/>
      <c r="T759" s="471"/>
      <c r="U759" s="471"/>
      <c r="V759" s="471"/>
      <c r="W759" s="471"/>
      <c r="X759" s="471"/>
      <c r="Y759" s="471"/>
      <c r="Z759" s="471"/>
      <c r="AA759" s="471"/>
      <c r="AB759" s="471"/>
      <c r="AC759" s="471"/>
      <c r="AD759" s="471"/>
      <c r="AE759" s="471"/>
      <c r="AF759" s="471"/>
      <c r="AG759" s="471"/>
      <c r="AH759" s="471"/>
      <c r="AI759" s="471"/>
    </row>
    <row r="760">
      <c r="A760" s="471"/>
      <c r="B760" s="471"/>
      <c r="C760" s="471"/>
      <c r="D760" s="471"/>
      <c r="E760" s="471"/>
      <c r="F760" s="501"/>
      <c r="G760" s="471"/>
      <c r="H760" s="471"/>
      <c r="I760" s="471"/>
      <c r="J760" s="490"/>
      <c r="K760" s="491"/>
      <c r="L760" s="471"/>
      <c r="M760" s="471"/>
      <c r="N760" s="471"/>
      <c r="O760" s="471"/>
      <c r="P760" s="471"/>
      <c r="Q760" s="471"/>
      <c r="R760" s="471"/>
      <c r="S760" s="471"/>
      <c r="T760" s="471"/>
      <c r="U760" s="471"/>
      <c r="V760" s="471"/>
      <c r="W760" s="471"/>
      <c r="X760" s="471"/>
      <c r="Y760" s="471"/>
      <c r="Z760" s="471"/>
      <c r="AA760" s="471"/>
      <c r="AB760" s="471"/>
      <c r="AC760" s="471"/>
      <c r="AD760" s="471"/>
      <c r="AE760" s="471"/>
      <c r="AF760" s="471"/>
      <c r="AG760" s="471"/>
      <c r="AH760" s="471"/>
      <c r="AI760" s="471"/>
    </row>
    <row r="761">
      <c r="A761" s="471"/>
      <c r="B761" s="471"/>
      <c r="C761" s="471"/>
      <c r="D761" s="471"/>
      <c r="E761" s="471"/>
      <c r="F761" s="501"/>
      <c r="G761" s="471"/>
      <c r="H761" s="471"/>
      <c r="I761" s="471"/>
      <c r="J761" s="490"/>
      <c r="K761" s="491"/>
      <c r="L761" s="471"/>
      <c r="M761" s="471"/>
      <c r="N761" s="471"/>
      <c r="O761" s="471"/>
      <c r="P761" s="471"/>
      <c r="Q761" s="471"/>
      <c r="R761" s="471"/>
      <c r="S761" s="471"/>
      <c r="T761" s="471"/>
      <c r="U761" s="471"/>
      <c r="V761" s="471"/>
      <c r="W761" s="471"/>
      <c r="X761" s="471"/>
      <c r="Y761" s="471"/>
      <c r="Z761" s="471"/>
      <c r="AA761" s="471"/>
      <c r="AB761" s="471"/>
      <c r="AC761" s="471"/>
      <c r="AD761" s="471"/>
      <c r="AE761" s="471"/>
      <c r="AF761" s="471"/>
      <c r="AG761" s="471"/>
      <c r="AH761" s="471"/>
      <c r="AI761" s="471"/>
    </row>
    <row r="762">
      <c r="A762" s="471"/>
      <c r="B762" s="471"/>
      <c r="C762" s="471"/>
      <c r="D762" s="471"/>
      <c r="E762" s="471"/>
      <c r="F762" s="501"/>
      <c r="G762" s="471"/>
      <c r="H762" s="471"/>
      <c r="I762" s="471"/>
      <c r="J762" s="490"/>
      <c r="K762" s="491"/>
      <c r="L762" s="471"/>
      <c r="M762" s="471"/>
      <c r="N762" s="471"/>
      <c r="O762" s="471"/>
      <c r="P762" s="471"/>
      <c r="Q762" s="471"/>
      <c r="R762" s="471"/>
      <c r="S762" s="471"/>
      <c r="T762" s="471"/>
      <c r="U762" s="471"/>
      <c r="V762" s="471"/>
      <c r="W762" s="471"/>
      <c r="X762" s="471"/>
      <c r="Y762" s="471"/>
      <c r="Z762" s="471"/>
      <c r="AA762" s="471"/>
      <c r="AB762" s="471"/>
      <c r="AC762" s="471"/>
      <c r="AD762" s="471"/>
      <c r="AE762" s="471"/>
      <c r="AF762" s="471"/>
      <c r="AG762" s="471"/>
      <c r="AH762" s="471"/>
      <c r="AI762" s="471"/>
    </row>
    <row r="763">
      <c r="A763" s="471"/>
      <c r="B763" s="471"/>
      <c r="C763" s="471"/>
      <c r="D763" s="471"/>
      <c r="E763" s="471"/>
      <c r="F763" s="501"/>
      <c r="G763" s="471"/>
      <c r="H763" s="471"/>
      <c r="I763" s="471"/>
      <c r="J763" s="490"/>
      <c r="K763" s="491"/>
      <c r="L763" s="471"/>
      <c r="M763" s="471"/>
      <c r="N763" s="471"/>
      <c r="O763" s="471"/>
      <c r="P763" s="471"/>
      <c r="Q763" s="471"/>
      <c r="R763" s="471"/>
      <c r="S763" s="471"/>
      <c r="T763" s="471"/>
      <c r="U763" s="471"/>
      <c r="V763" s="471"/>
      <c r="W763" s="471"/>
      <c r="X763" s="471"/>
      <c r="Y763" s="471"/>
      <c r="Z763" s="471"/>
      <c r="AA763" s="471"/>
      <c r="AB763" s="471"/>
      <c r="AC763" s="471"/>
      <c r="AD763" s="471"/>
      <c r="AE763" s="471"/>
      <c r="AF763" s="471"/>
      <c r="AG763" s="471"/>
      <c r="AH763" s="471"/>
      <c r="AI763" s="471"/>
    </row>
    <row r="764">
      <c r="A764" s="471"/>
      <c r="B764" s="471"/>
      <c r="C764" s="471"/>
      <c r="D764" s="471"/>
      <c r="E764" s="471"/>
      <c r="F764" s="501"/>
      <c r="G764" s="471"/>
      <c r="H764" s="471"/>
      <c r="I764" s="471"/>
      <c r="J764" s="490"/>
      <c r="K764" s="491"/>
      <c r="L764" s="471"/>
      <c r="M764" s="471"/>
      <c r="N764" s="471"/>
      <c r="O764" s="471"/>
      <c r="P764" s="471"/>
      <c r="Q764" s="471"/>
      <c r="R764" s="471"/>
      <c r="S764" s="471"/>
      <c r="T764" s="471"/>
      <c r="U764" s="471"/>
      <c r="V764" s="471"/>
      <c r="W764" s="471"/>
      <c r="X764" s="471"/>
      <c r="Y764" s="471"/>
      <c r="Z764" s="471"/>
      <c r="AA764" s="471"/>
      <c r="AB764" s="471"/>
      <c r="AC764" s="471"/>
      <c r="AD764" s="471"/>
      <c r="AE764" s="471"/>
      <c r="AF764" s="471"/>
      <c r="AG764" s="471"/>
      <c r="AH764" s="471"/>
      <c r="AI764" s="471"/>
    </row>
    <row r="765">
      <c r="A765" s="471"/>
      <c r="B765" s="471"/>
      <c r="C765" s="471"/>
      <c r="D765" s="471"/>
      <c r="E765" s="471"/>
      <c r="F765" s="501"/>
      <c r="G765" s="471"/>
      <c r="H765" s="471"/>
      <c r="I765" s="471"/>
      <c r="J765" s="490"/>
      <c r="K765" s="491"/>
      <c r="L765" s="471"/>
      <c r="M765" s="471"/>
      <c r="N765" s="471"/>
      <c r="O765" s="471"/>
      <c r="P765" s="471"/>
      <c r="Q765" s="471"/>
      <c r="R765" s="471"/>
      <c r="S765" s="471"/>
      <c r="T765" s="471"/>
      <c r="U765" s="471"/>
      <c r="V765" s="471"/>
      <c r="W765" s="471"/>
      <c r="X765" s="471"/>
      <c r="Y765" s="471"/>
      <c r="Z765" s="471"/>
      <c r="AA765" s="471"/>
      <c r="AB765" s="471"/>
      <c r="AC765" s="471"/>
      <c r="AD765" s="471"/>
      <c r="AE765" s="471"/>
      <c r="AF765" s="471"/>
      <c r="AG765" s="471"/>
      <c r="AH765" s="471"/>
      <c r="AI765" s="471"/>
    </row>
    <row r="766">
      <c r="A766" s="471"/>
      <c r="B766" s="471"/>
      <c r="C766" s="471"/>
      <c r="D766" s="471"/>
      <c r="E766" s="471"/>
      <c r="F766" s="501"/>
      <c r="G766" s="471"/>
      <c r="H766" s="471"/>
      <c r="I766" s="471"/>
      <c r="J766" s="490"/>
      <c r="K766" s="491"/>
      <c r="L766" s="471"/>
      <c r="M766" s="471"/>
      <c r="N766" s="471"/>
      <c r="O766" s="471"/>
      <c r="P766" s="471"/>
      <c r="Q766" s="471"/>
      <c r="R766" s="471"/>
      <c r="S766" s="471"/>
      <c r="T766" s="471"/>
      <c r="U766" s="471"/>
      <c r="V766" s="471"/>
      <c r="W766" s="471"/>
      <c r="X766" s="471"/>
      <c r="Y766" s="471"/>
      <c r="Z766" s="471"/>
      <c r="AA766" s="471"/>
      <c r="AB766" s="471"/>
      <c r="AC766" s="471"/>
      <c r="AD766" s="471"/>
      <c r="AE766" s="471"/>
      <c r="AF766" s="471"/>
      <c r="AG766" s="471"/>
      <c r="AH766" s="471"/>
      <c r="AI766" s="471"/>
    </row>
    <row r="767">
      <c r="A767" s="471"/>
      <c r="B767" s="471"/>
      <c r="C767" s="471"/>
      <c r="D767" s="471"/>
      <c r="E767" s="471"/>
      <c r="F767" s="501"/>
      <c r="G767" s="471"/>
      <c r="H767" s="471"/>
      <c r="I767" s="471"/>
      <c r="J767" s="490"/>
      <c r="K767" s="491"/>
      <c r="L767" s="471"/>
      <c r="M767" s="471"/>
      <c r="N767" s="471"/>
      <c r="O767" s="471"/>
      <c r="P767" s="471"/>
      <c r="Q767" s="471"/>
      <c r="R767" s="471"/>
      <c r="S767" s="471"/>
      <c r="T767" s="471"/>
      <c r="U767" s="471"/>
      <c r="V767" s="471"/>
      <c r="W767" s="471"/>
      <c r="X767" s="471"/>
      <c r="Y767" s="471"/>
      <c r="Z767" s="471"/>
      <c r="AA767" s="471"/>
      <c r="AB767" s="471"/>
      <c r="AC767" s="471"/>
      <c r="AD767" s="471"/>
      <c r="AE767" s="471"/>
      <c r="AF767" s="471"/>
      <c r="AG767" s="471"/>
      <c r="AH767" s="471"/>
      <c r="AI767" s="471"/>
    </row>
    <row r="768">
      <c r="A768" s="471"/>
      <c r="B768" s="471"/>
      <c r="C768" s="471"/>
      <c r="D768" s="471"/>
      <c r="E768" s="471"/>
      <c r="F768" s="501"/>
      <c r="G768" s="471"/>
      <c r="H768" s="471"/>
      <c r="I768" s="471"/>
      <c r="J768" s="490"/>
      <c r="K768" s="491"/>
      <c r="L768" s="471"/>
      <c r="M768" s="471"/>
      <c r="N768" s="471"/>
      <c r="O768" s="471"/>
      <c r="P768" s="471"/>
      <c r="Q768" s="471"/>
      <c r="R768" s="471"/>
      <c r="S768" s="471"/>
      <c r="T768" s="471"/>
      <c r="U768" s="471"/>
      <c r="V768" s="471"/>
      <c r="W768" s="471"/>
      <c r="X768" s="471"/>
      <c r="Y768" s="471"/>
      <c r="Z768" s="471"/>
      <c r="AA768" s="471"/>
      <c r="AB768" s="471"/>
      <c r="AC768" s="471"/>
      <c r="AD768" s="471"/>
      <c r="AE768" s="471"/>
      <c r="AF768" s="471"/>
      <c r="AG768" s="471"/>
      <c r="AH768" s="471"/>
      <c r="AI768" s="471"/>
    </row>
    <row r="769">
      <c r="A769" s="471"/>
      <c r="B769" s="471"/>
      <c r="C769" s="471"/>
      <c r="D769" s="471"/>
      <c r="E769" s="471"/>
      <c r="F769" s="501"/>
      <c r="G769" s="471"/>
      <c r="H769" s="471"/>
      <c r="I769" s="471"/>
      <c r="J769" s="490"/>
      <c r="K769" s="491"/>
      <c r="L769" s="471"/>
      <c r="M769" s="471"/>
      <c r="N769" s="471"/>
      <c r="O769" s="471"/>
      <c r="P769" s="471"/>
      <c r="Q769" s="471"/>
      <c r="R769" s="471"/>
      <c r="S769" s="471"/>
      <c r="T769" s="471"/>
      <c r="U769" s="471"/>
      <c r="V769" s="471"/>
      <c r="W769" s="471"/>
      <c r="X769" s="471"/>
      <c r="Y769" s="471"/>
      <c r="Z769" s="471"/>
      <c r="AA769" s="471"/>
      <c r="AB769" s="471"/>
      <c r="AC769" s="471"/>
      <c r="AD769" s="471"/>
      <c r="AE769" s="471"/>
      <c r="AF769" s="471"/>
      <c r="AG769" s="471"/>
      <c r="AH769" s="471"/>
      <c r="AI769" s="471"/>
    </row>
    <row r="770">
      <c r="A770" s="471"/>
      <c r="B770" s="471"/>
      <c r="C770" s="471"/>
      <c r="D770" s="471"/>
      <c r="E770" s="471"/>
      <c r="F770" s="501"/>
      <c r="G770" s="471"/>
      <c r="H770" s="471"/>
      <c r="I770" s="471"/>
      <c r="J770" s="490"/>
      <c r="K770" s="491"/>
      <c r="L770" s="471"/>
      <c r="M770" s="471"/>
      <c r="N770" s="471"/>
      <c r="O770" s="471"/>
      <c r="P770" s="471"/>
      <c r="Q770" s="471"/>
      <c r="R770" s="471"/>
      <c r="S770" s="471"/>
      <c r="T770" s="471"/>
      <c r="U770" s="471"/>
      <c r="V770" s="471"/>
      <c r="W770" s="471"/>
      <c r="X770" s="471"/>
      <c r="Y770" s="471"/>
      <c r="Z770" s="471"/>
      <c r="AA770" s="471"/>
      <c r="AB770" s="471"/>
      <c r="AC770" s="471"/>
      <c r="AD770" s="471"/>
      <c r="AE770" s="471"/>
      <c r="AF770" s="471"/>
      <c r="AG770" s="471"/>
      <c r="AH770" s="471"/>
      <c r="AI770" s="471"/>
    </row>
    <row r="771">
      <c r="A771" s="471"/>
      <c r="B771" s="471"/>
      <c r="C771" s="471"/>
      <c r="D771" s="471"/>
      <c r="E771" s="471"/>
      <c r="F771" s="501"/>
      <c r="G771" s="471"/>
      <c r="H771" s="471"/>
      <c r="I771" s="471"/>
      <c r="J771" s="490"/>
      <c r="K771" s="491"/>
      <c r="L771" s="471"/>
      <c r="M771" s="471"/>
      <c r="N771" s="471"/>
      <c r="O771" s="471"/>
      <c r="P771" s="471"/>
      <c r="Q771" s="471"/>
      <c r="R771" s="471"/>
      <c r="S771" s="471"/>
      <c r="T771" s="471"/>
      <c r="U771" s="471"/>
      <c r="V771" s="471"/>
      <c r="W771" s="471"/>
      <c r="X771" s="471"/>
      <c r="Y771" s="471"/>
      <c r="Z771" s="471"/>
      <c r="AA771" s="471"/>
      <c r="AB771" s="471"/>
      <c r="AC771" s="471"/>
      <c r="AD771" s="471"/>
      <c r="AE771" s="471"/>
      <c r="AF771" s="471"/>
      <c r="AG771" s="471"/>
      <c r="AH771" s="471"/>
      <c r="AI771" s="471"/>
    </row>
    <row r="772">
      <c r="A772" s="471"/>
      <c r="B772" s="471"/>
      <c r="C772" s="471"/>
      <c r="D772" s="471"/>
      <c r="E772" s="471"/>
      <c r="F772" s="501"/>
      <c r="G772" s="471"/>
      <c r="H772" s="471"/>
      <c r="I772" s="471"/>
      <c r="J772" s="490"/>
      <c r="K772" s="491"/>
      <c r="L772" s="471"/>
      <c r="M772" s="471"/>
      <c r="N772" s="471"/>
      <c r="O772" s="471"/>
      <c r="P772" s="471"/>
      <c r="Q772" s="471"/>
      <c r="R772" s="471"/>
      <c r="S772" s="471"/>
      <c r="T772" s="471"/>
      <c r="U772" s="471"/>
      <c r="V772" s="471"/>
      <c r="W772" s="471"/>
      <c r="X772" s="471"/>
      <c r="Y772" s="471"/>
      <c r="Z772" s="471"/>
      <c r="AA772" s="471"/>
      <c r="AB772" s="471"/>
      <c r="AC772" s="471"/>
      <c r="AD772" s="471"/>
      <c r="AE772" s="471"/>
      <c r="AF772" s="471"/>
      <c r="AG772" s="471"/>
      <c r="AH772" s="471"/>
      <c r="AI772" s="471"/>
    </row>
    <row r="773">
      <c r="A773" s="471"/>
      <c r="B773" s="471"/>
      <c r="C773" s="471"/>
      <c r="D773" s="471"/>
      <c r="E773" s="471"/>
      <c r="F773" s="501"/>
      <c r="G773" s="471"/>
      <c r="H773" s="471"/>
      <c r="I773" s="471"/>
      <c r="J773" s="490"/>
      <c r="K773" s="491"/>
      <c r="L773" s="471"/>
      <c r="M773" s="471"/>
      <c r="N773" s="471"/>
      <c r="O773" s="471"/>
      <c r="P773" s="471"/>
      <c r="Q773" s="471"/>
      <c r="R773" s="471"/>
      <c r="S773" s="471"/>
      <c r="T773" s="471"/>
      <c r="U773" s="471"/>
      <c r="V773" s="471"/>
      <c r="W773" s="471"/>
      <c r="X773" s="471"/>
      <c r="Y773" s="471"/>
      <c r="Z773" s="471"/>
      <c r="AA773" s="471"/>
      <c r="AB773" s="471"/>
      <c r="AC773" s="471"/>
      <c r="AD773" s="471"/>
      <c r="AE773" s="471"/>
      <c r="AF773" s="471"/>
      <c r="AG773" s="471"/>
      <c r="AH773" s="471"/>
      <c r="AI773" s="471"/>
    </row>
    <row r="774">
      <c r="A774" s="471"/>
      <c r="B774" s="471"/>
      <c r="C774" s="471"/>
      <c r="D774" s="471"/>
      <c r="E774" s="471"/>
      <c r="F774" s="501"/>
      <c r="G774" s="471"/>
      <c r="H774" s="471"/>
      <c r="I774" s="471"/>
      <c r="J774" s="490"/>
      <c r="K774" s="491"/>
      <c r="L774" s="471"/>
      <c r="M774" s="471"/>
      <c r="N774" s="471"/>
      <c r="O774" s="471"/>
      <c r="P774" s="471"/>
      <c r="Q774" s="471"/>
      <c r="R774" s="471"/>
      <c r="S774" s="471"/>
      <c r="T774" s="471"/>
      <c r="U774" s="471"/>
      <c r="V774" s="471"/>
      <c r="W774" s="471"/>
      <c r="X774" s="471"/>
      <c r="Y774" s="471"/>
      <c r="Z774" s="471"/>
      <c r="AA774" s="471"/>
      <c r="AB774" s="471"/>
      <c r="AC774" s="471"/>
      <c r="AD774" s="471"/>
      <c r="AE774" s="471"/>
      <c r="AF774" s="471"/>
      <c r="AG774" s="471"/>
      <c r="AH774" s="471"/>
      <c r="AI774" s="471"/>
    </row>
    <row r="775">
      <c r="A775" s="471"/>
      <c r="B775" s="471"/>
      <c r="C775" s="471"/>
      <c r="D775" s="471"/>
      <c r="E775" s="471"/>
      <c r="F775" s="501"/>
      <c r="G775" s="471"/>
      <c r="H775" s="471"/>
      <c r="I775" s="471"/>
      <c r="J775" s="490"/>
      <c r="K775" s="491"/>
      <c r="L775" s="471"/>
      <c r="M775" s="471"/>
      <c r="N775" s="471"/>
      <c r="O775" s="471"/>
      <c r="P775" s="471"/>
      <c r="Q775" s="471"/>
      <c r="R775" s="471"/>
      <c r="S775" s="471"/>
      <c r="T775" s="471"/>
      <c r="U775" s="471"/>
      <c r="V775" s="471"/>
      <c r="W775" s="471"/>
      <c r="X775" s="471"/>
      <c r="Y775" s="471"/>
      <c r="Z775" s="471"/>
      <c r="AA775" s="471"/>
      <c r="AB775" s="471"/>
      <c r="AC775" s="471"/>
      <c r="AD775" s="471"/>
      <c r="AE775" s="471"/>
      <c r="AF775" s="471"/>
      <c r="AG775" s="471"/>
      <c r="AH775" s="471"/>
      <c r="AI775" s="471"/>
    </row>
    <row r="776">
      <c r="A776" s="471"/>
      <c r="B776" s="471"/>
      <c r="C776" s="471"/>
      <c r="D776" s="471"/>
      <c r="E776" s="471"/>
      <c r="F776" s="501"/>
      <c r="G776" s="471"/>
      <c r="H776" s="471"/>
      <c r="I776" s="471"/>
      <c r="J776" s="490"/>
      <c r="K776" s="491"/>
      <c r="L776" s="471"/>
      <c r="M776" s="471"/>
      <c r="N776" s="471"/>
      <c r="O776" s="471"/>
      <c r="P776" s="471"/>
      <c r="Q776" s="471"/>
      <c r="R776" s="471"/>
      <c r="S776" s="471"/>
      <c r="T776" s="471"/>
      <c r="U776" s="471"/>
      <c r="V776" s="471"/>
      <c r="W776" s="471"/>
      <c r="X776" s="471"/>
      <c r="Y776" s="471"/>
      <c r="Z776" s="471"/>
      <c r="AA776" s="471"/>
      <c r="AB776" s="471"/>
      <c r="AC776" s="471"/>
      <c r="AD776" s="471"/>
      <c r="AE776" s="471"/>
      <c r="AF776" s="471"/>
      <c r="AG776" s="471"/>
      <c r="AH776" s="471"/>
      <c r="AI776" s="471"/>
    </row>
    <row r="777">
      <c r="A777" s="471"/>
      <c r="B777" s="471"/>
      <c r="C777" s="471"/>
      <c r="D777" s="471"/>
      <c r="E777" s="471"/>
      <c r="F777" s="501"/>
      <c r="G777" s="471"/>
      <c r="H777" s="471"/>
      <c r="I777" s="471"/>
      <c r="J777" s="490"/>
      <c r="K777" s="491"/>
      <c r="L777" s="471"/>
      <c r="M777" s="471"/>
      <c r="N777" s="471"/>
      <c r="O777" s="471"/>
      <c r="P777" s="471"/>
      <c r="Q777" s="471"/>
      <c r="R777" s="471"/>
      <c r="S777" s="471"/>
      <c r="T777" s="471"/>
      <c r="U777" s="471"/>
      <c r="V777" s="471"/>
      <c r="W777" s="471"/>
      <c r="X777" s="471"/>
      <c r="Y777" s="471"/>
      <c r="Z777" s="471"/>
      <c r="AA777" s="471"/>
      <c r="AB777" s="471"/>
      <c r="AC777" s="471"/>
      <c r="AD777" s="471"/>
      <c r="AE777" s="471"/>
      <c r="AF777" s="471"/>
      <c r="AG777" s="471"/>
      <c r="AH777" s="471"/>
      <c r="AI777" s="471"/>
    </row>
    <row r="778">
      <c r="A778" s="471"/>
      <c r="B778" s="471"/>
      <c r="C778" s="471"/>
      <c r="D778" s="471"/>
      <c r="E778" s="471"/>
      <c r="F778" s="501"/>
      <c r="G778" s="471"/>
      <c r="H778" s="471"/>
      <c r="I778" s="471"/>
      <c r="J778" s="490"/>
      <c r="K778" s="491"/>
      <c r="L778" s="471"/>
      <c r="M778" s="471"/>
      <c r="N778" s="471"/>
      <c r="O778" s="471"/>
      <c r="P778" s="471"/>
      <c r="Q778" s="471"/>
      <c r="R778" s="471"/>
      <c r="S778" s="471"/>
      <c r="T778" s="471"/>
      <c r="U778" s="471"/>
      <c r="V778" s="471"/>
      <c r="W778" s="471"/>
      <c r="X778" s="471"/>
      <c r="Y778" s="471"/>
      <c r="Z778" s="471"/>
      <c r="AA778" s="471"/>
      <c r="AB778" s="471"/>
      <c r="AC778" s="471"/>
      <c r="AD778" s="471"/>
      <c r="AE778" s="471"/>
      <c r="AF778" s="471"/>
      <c r="AG778" s="471"/>
      <c r="AH778" s="471"/>
      <c r="AI778" s="471"/>
    </row>
    <row r="779">
      <c r="A779" s="471"/>
      <c r="B779" s="471"/>
      <c r="C779" s="471"/>
      <c r="D779" s="471"/>
      <c r="E779" s="471"/>
      <c r="F779" s="501"/>
      <c r="G779" s="471"/>
      <c r="H779" s="471"/>
      <c r="I779" s="471"/>
      <c r="J779" s="490"/>
      <c r="K779" s="491"/>
      <c r="L779" s="471"/>
      <c r="M779" s="471"/>
      <c r="N779" s="471"/>
      <c r="O779" s="471"/>
      <c r="P779" s="471"/>
      <c r="Q779" s="471"/>
      <c r="R779" s="471"/>
      <c r="S779" s="471"/>
      <c r="T779" s="471"/>
      <c r="U779" s="471"/>
      <c r="V779" s="471"/>
      <c r="W779" s="471"/>
      <c r="X779" s="471"/>
      <c r="Y779" s="471"/>
      <c r="Z779" s="471"/>
      <c r="AA779" s="471"/>
      <c r="AB779" s="471"/>
      <c r="AC779" s="471"/>
      <c r="AD779" s="471"/>
      <c r="AE779" s="471"/>
      <c r="AF779" s="471"/>
      <c r="AG779" s="471"/>
      <c r="AH779" s="471"/>
      <c r="AI779" s="471"/>
    </row>
    <row r="780">
      <c r="A780" s="471"/>
      <c r="B780" s="471"/>
      <c r="C780" s="471"/>
      <c r="D780" s="471"/>
      <c r="E780" s="471"/>
      <c r="F780" s="501"/>
      <c r="G780" s="471"/>
      <c r="H780" s="471"/>
      <c r="I780" s="471"/>
      <c r="J780" s="490"/>
      <c r="K780" s="491"/>
      <c r="L780" s="471"/>
      <c r="M780" s="471"/>
      <c r="N780" s="471"/>
      <c r="O780" s="471"/>
      <c r="P780" s="471"/>
      <c r="Q780" s="471"/>
      <c r="R780" s="471"/>
      <c r="S780" s="471"/>
      <c r="T780" s="471"/>
      <c r="U780" s="471"/>
      <c r="V780" s="471"/>
      <c r="W780" s="471"/>
      <c r="X780" s="471"/>
      <c r="Y780" s="471"/>
      <c r="Z780" s="471"/>
      <c r="AA780" s="471"/>
      <c r="AB780" s="471"/>
      <c r="AC780" s="471"/>
      <c r="AD780" s="471"/>
      <c r="AE780" s="471"/>
      <c r="AF780" s="471"/>
      <c r="AG780" s="471"/>
      <c r="AH780" s="471"/>
      <c r="AI780" s="471"/>
    </row>
    <row r="781">
      <c r="A781" s="471"/>
      <c r="B781" s="471"/>
      <c r="C781" s="471"/>
      <c r="D781" s="471"/>
      <c r="E781" s="471"/>
      <c r="F781" s="501"/>
      <c r="G781" s="471"/>
      <c r="H781" s="471"/>
      <c r="I781" s="471"/>
      <c r="J781" s="490"/>
      <c r="K781" s="491"/>
      <c r="L781" s="471"/>
      <c r="M781" s="471"/>
      <c r="N781" s="471"/>
      <c r="O781" s="471"/>
      <c r="P781" s="471"/>
      <c r="Q781" s="471"/>
      <c r="R781" s="471"/>
      <c r="S781" s="471"/>
      <c r="T781" s="471"/>
      <c r="U781" s="471"/>
      <c r="V781" s="471"/>
      <c r="W781" s="471"/>
      <c r="X781" s="471"/>
      <c r="Y781" s="471"/>
      <c r="Z781" s="471"/>
      <c r="AA781" s="471"/>
      <c r="AB781" s="471"/>
      <c r="AC781" s="471"/>
      <c r="AD781" s="471"/>
      <c r="AE781" s="471"/>
      <c r="AF781" s="471"/>
      <c r="AG781" s="471"/>
      <c r="AH781" s="471"/>
      <c r="AI781" s="471"/>
    </row>
    <row r="782">
      <c r="A782" s="471"/>
      <c r="B782" s="471"/>
      <c r="C782" s="471"/>
      <c r="D782" s="471"/>
      <c r="E782" s="471"/>
      <c r="F782" s="501"/>
      <c r="G782" s="471"/>
      <c r="H782" s="471"/>
      <c r="I782" s="471"/>
      <c r="J782" s="490"/>
      <c r="K782" s="491"/>
      <c r="L782" s="471"/>
      <c r="M782" s="471"/>
      <c r="N782" s="471"/>
      <c r="O782" s="471"/>
      <c r="P782" s="471"/>
      <c r="Q782" s="471"/>
      <c r="R782" s="471"/>
      <c r="S782" s="471"/>
      <c r="T782" s="471"/>
      <c r="U782" s="471"/>
      <c r="V782" s="471"/>
      <c r="W782" s="471"/>
      <c r="X782" s="471"/>
      <c r="Y782" s="471"/>
      <c r="Z782" s="471"/>
      <c r="AA782" s="471"/>
      <c r="AB782" s="471"/>
      <c r="AC782" s="471"/>
      <c r="AD782" s="471"/>
      <c r="AE782" s="471"/>
      <c r="AF782" s="471"/>
      <c r="AG782" s="471"/>
      <c r="AH782" s="471"/>
      <c r="AI782" s="471"/>
    </row>
    <row r="783">
      <c r="A783" s="471"/>
      <c r="B783" s="471"/>
      <c r="C783" s="471"/>
      <c r="D783" s="471"/>
      <c r="E783" s="471"/>
      <c r="F783" s="501"/>
      <c r="G783" s="471"/>
      <c r="H783" s="471"/>
      <c r="I783" s="471"/>
      <c r="J783" s="490"/>
      <c r="K783" s="491"/>
      <c r="L783" s="471"/>
      <c r="M783" s="471"/>
      <c r="N783" s="471"/>
      <c r="O783" s="471"/>
      <c r="P783" s="471"/>
      <c r="Q783" s="471"/>
      <c r="R783" s="471"/>
      <c r="S783" s="471"/>
      <c r="T783" s="471"/>
      <c r="U783" s="471"/>
      <c r="V783" s="471"/>
      <c r="W783" s="471"/>
      <c r="X783" s="471"/>
      <c r="Y783" s="471"/>
      <c r="Z783" s="471"/>
      <c r="AA783" s="471"/>
      <c r="AB783" s="471"/>
      <c r="AC783" s="471"/>
      <c r="AD783" s="471"/>
      <c r="AE783" s="471"/>
      <c r="AF783" s="471"/>
      <c r="AG783" s="471"/>
      <c r="AH783" s="471"/>
      <c r="AI783" s="471"/>
    </row>
    <row r="784">
      <c r="A784" s="471"/>
      <c r="B784" s="471"/>
      <c r="C784" s="471"/>
      <c r="D784" s="471"/>
      <c r="E784" s="471"/>
      <c r="F784" s="501"/>
      <c r="G784" s="471"/>
      <c r="H784" s="471"/>
      <c r="I784" s="471"/>
      <c r="J784" s="490"/>
      <c r="K784" s="491"/>
      <c r="L784" s="471"/>
      <c r="M784" s="471"/>
      <c r="N784" s="471"/>
      <c r="O784" s="471"/>
      <c r="P784" s="471"/>
      <c r="Q784" s="471"/>
      <c r="R784" s="471"/>
      <c r="S784" s="471"/>
      <c r="T784" s="471"/>
      <c r="U784" s="471"/>
      <c r="V784" s="471"/>
      <c r="W784" s="471"/>
      <c r="X784" s="471"/>
      <c r="Y784" s="471"/>
      <c r="Z784" s="471"/>
      <c r="AA784" s="471"/>
      <c r="AB784" s="471"/>
      <c r="AC784" s="471"/>
      <c r="AD784" s="471"/>
      <c r="AE784" s="471"/>
      <c r="AF784" s="471"/>
      <c r="AG784" s="471"/>
      <c r="AH784" s="471"/>
      <c r="AI784" s="471"/>
    </row>
    <row r="785">
      <c r="A785" s="471"/>
      <c r="B785" s="471"/>
      <c r="C785" s="471"/>
      <c r="D785" s="471"/>
      <c r="E785" s="471"/>
      <c r="F785" s="501"/>
      <c r="G785" s="471"/>
      <c r="H785" s="471"/>
      <c r="I785" s="471"/>
      <c r="J785" s="490"/>
      <c r="K785" s="491"/>
      <c r="L785" s="471"/>
      <c r="M785" s="471"/>
      <c r="N785" s="471"/>
      <c r="O785" s="471"/>
      <c r="P785" s="471"/>
      <c r="Q785" s="471"/>
      <c r="R785" s="471"/>
      <c r="S785" s="471"/>
      <c r="T785" s="471"/>
      <c r="U785" s="471"/>
      <c r="V785" s="471"/>
      <c r="W785" s="471"/>
      <c r="X785" s="471"/>
      <c r="Y785" s="471"/>
      <c r="Z785" s="471"/>
      <c r="AA785" s="471"/>
      <c r="AB785" s="471"/>
      <c r="AC785" s="471"/>
      <c r="AD785" s="471"/>
      <c r="AE785" s="471"/>
      <c r="AF785" s="471"/>
      <c r="AG785" s="471"/>
      <c r="AH785" s="471"/>
      <c r="AI785" s="471"/>
    </row>
    <row r="786">
      <c r="A786" s="471"/>
      <c r="B786" s="471"/>
      <c r="C786" s="471"/>
      <c r="D786" s="471"/>
      <c r="E786" s="471"/>
      <c r="F786" s="501"/>
      <c r="G786" s="471"/>
      <c r="H786" s="471"/>
      <c r="I786" s="471"/>
      <c r="J786" s="490"/>
      <c r="K786" s="491"/>
      <c r="L786" s="471"/>
      <c r="M786" s="471"/>
      <c r="N786" s="471"/>
      <c r="O786" s="471"/>
      <c r="P786" s="471"/>
      <c r="Q786" s="471"/>
      <c r="R786" s="471"/>
      <c r="S786" s="471"/>
      <c r="T786" s="471"/>
      <c r="U786" s="471"/>
      <c r="V786" s="471"/>
      <c r="W786" s="471"/>
      <c r="X786" s="471"/>
      <c r="Y786" s="471"/>
      <c r="Z786" s="471"/>
      <c r="AA786" s="471"/>
      <c r="AB786" s="471"/>
      <c r="AC786" s="471"/>
      <c r="AD786" s="471"/>
      <c r="AE786" s="471"/>
      <c r="AF786" s="471"/>
      <c r="AG786" s="471"/>
      <c r="AH786" s="471"/>
      <c r="AI786" s="471"/>
    </row>
    <row r="787">
      <c r="A787" s="471"/>
      <c r="B787" s="471"/>
      <c r="C787" s="471"/>
      <c r="D787" s="471"/>
      <c r="E787" s="471"/>
      <c r="F787" s="501"/>
      <c r="G787" s="471"/>
      <c r="H787" s="471"/>
      <c r="I787" s="471"/>
      <c r="J787" s="490"/>
      <c r="K787" s="491"/>
      <c r="L787" s="471"/>
      <c r="M787" s="471"/>
      <c r="N787" s="471"/>
      <c r="O787" s="471"/>
      <c r="P787" s="471"/>
      <c r="Q787" s="471"/>
      <c r="R787" s="471"/>
      <c r="S787" s="471"/>
      <c r="T787" s="471"/>
      <c r="U787" s="471"/>
      <c r="V787" s="471"/>
      <c r="W787" s="471"/>
      <c r="X787" s="471"/>
      <c r="Y787" s="471"/>
      <c r="Z787" s="471"/>
      <c r="AA787" s="471"/>
      <c r="AB787" s="471"/>
      <c r="AC787" s="471"/>
      <c r="AD787" s="471"/>
      <c r="AE787" s="471"/>
      <c r="AF787" s="471"/>
      <c r="AG787" s="471"/>
      <c r="AH787" s="471"/>
      <c r="AI787" s="471"/>
    </row>
    <row r="788">
      <c r="A788" s="471"/>
      <c r="B788" s="471"/>
      <c r="C788" s="471"/>
      <c r="D788" s="471"/>
      <c r="E788" s="471"/>
      <c r="F788" s="501"/>
      <c r="G788" s="471"/>
      <c r="H788" s="471"/>
      <c r="I788" s="471"/>
      <c r="J788" s="490"/>
      <c r="K788" s="491"/>
      <c r="L788" s="471"/>
      <c r="M788" s="471"/>
      <c r="N788" s="471"/>
      <c r="O788" s="471"/>
      <c r="P788" s="471"/>
      <c r="Q788" s="471"/>
      <c r="R788" s="471"/>
      <c r="S788" s="471"/>
      <c r="T788" s="471"/>
      <c r="U788" s="471"/>
      <c r="V788" s="471"/>
      <c r="W788" s="471"/>
      <c r="X788" s="471"/>
      <c r="Y788" s="471"/>
      <c r="Z788" s="471"/>
      <c r="AA788" s="471"/>
      <c r="AB788" s="471"/>
      <c r="AC788" s="471"/>
      <c r="AD788" s="471"/>
      <c r="AE788" s="471"/>
      <c r="AF788" s="471"/>
      <c r="AG788" s="471"/>
      <c r="AH788" s="471"/>
      <c r="AI788" s="471"/>
    </row>
    <row r="789">
      <c r="A789" s="471"/>
      <c r="B789" s="471"/>
      <c r="C789" s="471"/>
      <c r="D789" s="471"/>
      <c r="E789" s="471"/>
      <c r="F789" s="501"/>
      <c r="G789" s="471"/>
      <c r="H789" s="471"/>
      <c r="I789" s="471"/>
      <c r="J789" s="490"/>
      <c r="K789" s="491"/>
      <c r="L789" s="471"/>
      <c r="M789" s="471"/>
      <c r="N789" s="471"/>
      <c r="O789" s="471"/>
      <c r="P789" s="471"/>
      <c r="Q789" s="471"/>
      <c r="R789" s="471"/>
      <c r="S789" s="471"/>
      <c r="T789" s="471"/>
      <c r="U789" s="471"/>
      <c r="V789" s="471"/>
      <c r="W789" s="471"/>
      <c r="X789" s="471"/>
      <c r="Y789" s="471"/>
      <c r="Z789" s="471"/>
      <c r="AA789" s="471"/>
      <c r="AB789" s="471"/>
      <c r="AC789" s="471"/>
      <c r="AD789" s="471"/>
      <c r="AE789" s="471"/>
      <c r="AF789" s="471"/>
      <c r="AG789" s="471"/>
      <c r="AH789" s="471"/>
      <c r="AI789" s="471"/>
    </row>
    <row r="790">
      <c r="A790" s="471"/>
      <c r="B790" s="471"/>
      <c r="C790" s="471"/>
      <c r="D790" s="471"/>
      <c r="E790" s="471"/>
      <c r="F790" s="501"/>
      <c r="G790" s="471"/>
      <c r="H790" s="471"/>
      <c r="I790" s="471"/>
      <c r="J790" s="490"/>
      <c r="K790" s="491"/>
      <c r="L790" s="471"/>
      <c r="M790" s="471"/>
      <c r="N790" s="471"/>
      <c r="O790" s="471"/>
      <c r="P790" s="471"/>
      <c r="Q790" s="471"/>
      <c r="R790" s="471"/>
      <c r="S790" s="471"/>
      <c r="T790" s="471"/>
      <c r="U790" s="471"/>
      <c r="V790" s="471"/>
      <c r="W790" s="471"/>
      <c r="X790" s="471"/>
      <c r="Y790" s="471"/>
      <c r="Z790" s="471"/>
      <c r="AA790" s="471"/>
      <c r="AB790" s="471"/>
      <c r="AC790" s="471"/>
      <c r="AD790" s="471"/>
      <c r="AE790" s="471"/>
      <c r="AF790" s="471"/>
      <c r="AG790" s="471"/>
      <c r="AH790" s="471"/>
      <c r="AI790" s="471"/>
    </row>
    <row r="791">
      <c r="A791" s="471"/>
      <c r="B791" s="471"/>
      <c r="C791" s="471"/>
      <c r="D791" s="471"/>
      <c r="E791" s="471"/>
      <c r="F791" s="501"/>
      <c r="G791" s="471"/>
      <c r="H791" s="471"/>
      <c r="I791" s="471"/>
      <c r="J791" s="490"/>
      <c r="K791" s="491"/>
      <c r="L791" s="471"/>
      <c r="M791" s="471"/>
      <c r="N791" s="471"/>
      <c r="O791" s="471"/>
      <c r="P791" s="471"/>
      <c r="Q791" s="471"/>
      <c r="R791" s="471"/>
      <c r="S791" s="471"/>
      <c r="T791" s="471"/>
      <c r="U791" s="471"/>
      <c r="V791" s="471"/>
      <c r="W791" s="471"/>
      <c r="X791" s="471"/>
      <c r="Y791" s="471"/>
      <c r="Z791" s="471"/>
      <c r="AA791" s="471"/>
      <c r="AB791" s="471"/>
      <c r="AC791" s="471"/>
      <c r="AD791" s="471"/>
      <c r="AE791" s="471"/>
      <c r="AF791" s="471"/>
      <c r="AG791" s="471"/>
      <c r="AH791" s="471"/>
      <c r="AI791" s="471"/>
    </row>
    <row r="792">
      <c r="A792" s="471"/>
      <c r="B792" s="471"/>
      <c r="C792" s="471"/>
      <c r="D792" s="471"/>
      <c r="E792" s="471"/>
      <c r="F792" s="501"/>
      <c r="G792" s="471"/>
      <c r="H792" s="471"/>
      <c r="I792" s="471"/>
      <c r="J792" s="490"/>
      <c r="K792" s="491"/>
      <c r="L792" s="471"/>
      <c r="M792" s="471"/>
      <c r="N792" s="471"/>
      <c r="O792" s="471"/>
      <c r="P792" s="471"/>
      <c r="Q792" s="471"/>
      <c r="R792" s="471"/>
      <c r="S792" s="471"/>
      <c r="T792" s="471"/>
      <c r="U792" s="471"/>
      <c r="V792" s="471"/>
      <c r="W792" s="471"/>
      <c r="X792" s="471"/>
      <c r="Y792" s="471"/>
      <c r="Z792" s="471"/>
      <c r="AA792" s="471"/>
      <c r="AB792" s="471"/>
      <c r="AC792" s="471"/>
      <c r="AD792" s="471"/>
      <c r="AE792" s="471"/>
      <c r="AF792" s="471"/>
      <c r="AG792" s="471"/>
      <c r="AH792" s="471"/>
      <c r="AI792" s="471"/>
    </row>
    <row r="793">
      <c r="A793" s="471"/>
      <c r="B793" s="471"/>
      <c r="C793" s="471"/>
      <c r="D793" s="471"/>
      <c r="E793" s="471"/>
      <c r="F793" s="501"/>
      <c r="G793" s="471"/>
      <c r="H793" s="471"/>
      <c r="I793" s="471"/>
      <c r="J793" s="490"/>
      <c r="K793" s="491"/>
      <c r="L793" s="471"/>
      <c r="M793" s="471"/>
      <c r="N793" s="471"/>
      <c r="O793" s="471"/>
      <c r="P793" s="471"/>
      <c r="Q793" s="471"/>
      <c r="R793" s="471"/>
      <c r="S793" s="471"/>
      <c r="T793" s="471"/>
      <c r="U793" s="471"/>
      <c r="V793" s="471"/>
      <c r="W793" s="471"/>
      <c r="X793" s="471"/>
      <c r="Y793" s="471"/>
      <c r="Z793" s="471"/>
      <c r="AA793" s="471"/>
      <c r="AB793" s="471"/>
      <c r="AC793" s="471"/>
      <c r="AD793" s="471"/>
      <c r="AE793" s="471"/>
      <c r="AF793" s="471"/>
      <c r="AG793" s="471"/>
      <c r="AH793" s="471"/>
      <c r="AI793" s="471"/>
    </row>
    <row r="794">
      <c r="A794" s="471"/>
      <c r="B794" s="471"/>
      <c r="C794" s="471"/>
      <c r="D794" s="471"/>
      <c r="E794" s="471"/>
      <c r="F794" s="501"/>
      <c r="G794" s="471"/>
      <c r="H794" s="471"/>
      <c r="I794" s="471"/>
      <c r="J794" s="490"/>
      <c r="K794" s="491"/>
      <c r="L794" s="471"/>
      <c r="M794" s="471"/>
      <c r="N794" s="471"/>
      <c r="O794" s="471"/>
      <c r="P794" s="471"/>
      <c r="Q794" s="471"/>
      <c r="R794" s="471"/>
      <c r="S794" s="471"/>
      <c r="T794" s="471"/>
      <c r="U794" s="471"/>
      <c r="V794" s="471"/>
      <c r="W794" s="471"/>
      <c r="X794" s="471"/>
      <c r="Y794" s="471"/>
      <c r="Z794" s="471"/>
      <c r="AA794" s="471"/>
      <c r="AB794" s="471"/>
      <c r="AC794" s="471"/>
      <c r="AD794" s="471"/>
      <c r="AE794" s="471"/>
      <c r="AF794" s="471"/>
      <c r="AG794" s="471"/>
      <c r="AH794" s="471"/>
      <c r="AI794" s="471"/>
    </row>
    <row r="795">
      <c r="A795" s="471"/>
      <c r="B795" s="471"/>
      <c r="C795" s="471"/>
      <c r="D795" s="471"/>
      <c r="E795" s="471"/>
      <c r="F795" s="501"/>
      <c r="G795" s="471"/>
      <c r="H795" s="471"/>
      <c r="I795" s="471"/>
      <c r="J795" s="490"/>
      <c r="K795" s="491"/>
      <c r="L795" s="471"/>
      <c r="M795" s="471"/>
      <c r="N795" s="471"/>
      <c r="O795" s="471"/>
      <c r="P795" s="471"/>
      <c r="Q795" s="471"/>
      <c r="R795" s="471"/>
      <c r="S795" s="471"/>
      <c r="T795" s="471"/>
      <c r="U795" s="471"/>
      <c r="V795" s="471"/>
      <c r="W795" s="471"/>
      <c r="X795" s="471"/>
      <c r="Y795" s="471"/>
      <c r="Z795" s="471"/>
      <c r="AA795" s="471"/>
      <c r="AB795" s="471"/>
      <c r="AC795" s="471"/>
      <c r="AD795" s="471"/>
      <c r="AE795" s="471"/>
      <c r="AF795" s="471"/>
      <c r="AG795" s="471"/>
      <c r="AH795" s="471"/>
      <c r="AI795" s="471"/>
    </row>
    <row r="796">
      <c r="A796" s="471"/>
      <c r="B796" s="471"/>
      <c r="C796" s="471"/>
      <c r="D796" s="471"/>
      <c r="E796" s="471"/>
      <c r="F796" s="501"/>
      <c r="G796" s="471"/>
      <c r="H796" s="471"/>
      <c r="I796" s="471"/>
      <c r="J796" s="490"/>
      <c r="K796" s="491"/>
      <c r="L796" s="471"/>
      <c r="M796" s="471"/>
      <c r="N796" s="471"/>
      <c r="O796" s="471"/>
      <c r="P796" s="471"/>
      <c r="Q796" s="471"/>
      <c r="R796" s="471"/>
      <c r="S796" s="471"/>
      <c r="T796" s="471"/>
      <c r="U796" s="471"/>
      <c r="V796" s="471"/>
      <c r="W796" s="471"/>
      <c r="X796" s="471"/>
      <c r="Y796" s="471"/>
      <c r="Z796" s="471"/>
      <c r="AA796" s="471"/>
      <c r="AB796" s="471"/>
      <c r="AC796" s="471"/>
      <c r="AD796" s="471"/>
      <c r="AE796" s="471"/>
      <c r="AF796" s="471"/>
      <c r="AG796" s="471"/>
      <c r="AH796" s="471"/>
      <c r="AI796" s="471"/>
    </row>
    <row r="797">
      <c r="A797" s="471"/>
      <c r="B797" s="471"/>
      <c r="C797" s="471"/>
      <c r="D797" s="471"/>
      <c r="E797" s="471"/>
      <c r="F797" s="501"/>
      <c r="G797" s="471"/>
      <c r="H797" s="471"/>
      <c r="I797" s="471"/>
      <c r="J797" s="490"/>
      <c r="K797" s="491"/>
      <c r="L797" s="471"/>
      <c r="M797" s="471"/>
      <c r="N797" s="471"/>
      <c r="O797" s="471"/>
      <c r="P797" s="471"/>
      <c r="Q797" s="471"/>
      <c r="R797" s="471"/>
      <c r="S797" s="471"/>
      <c r="T797" s="471"/>
      <c r="U797" s="471"/>
      <c r="V797" s="471"/>
      <c r="W797" s="471"/>
      <c r="X797" s="471"/>
      <c r="Y797" s="471"/>
      <c r="Z797" s="471"/>
      <c r="AA797" s="471"/>
      <c r="AB797" s="471"/>
      <c r="AC797" s="471"/>
      <c r="AD797" s="471"/>
      <c r="AE797" s="471"/>
      <c r="AF797" s="471"/>
      <c r="AG797" s="471"/>
      <c r="AH797" s="471"/>
      <c r="AI797" s="471"/>
    </row>
    <row r="798">
      <c r="A798" s="471"/>
      <c r="B798" s="471"/>
      <c r="C798" s="471"/>
      <c r="D798" s="471"/>
      <c r="E798" s="471"/>
      <c r="F798" s="501"/>
      <c r="G798" s="471"/>
      <c r="H798" s="471"/>
      <c r="I798" s="471"/>
      <c r="J798" s="490"/>
      <c r="K798" s="491"/>
      <c r="L798" s="471"/>
      <c r="M798" s="471"/>
      <c r="N798" s="471"/>
      <c r="O798" s="471"/>
      <c r="P798" s="471"/>
      <c r="Q798" s="471"/>
      <c r="R798" s="471"/>
      <c r="S798" s="471"/>
      <c r="T798" s="471"/>
      <c r="U798" s="471"/>
      <c r="V798" s="471"/>
      <c r="W798" s="471"/>
      <c r="X798" s="471"/>
      <c r="Y798" s="471"/>
      <c r="Z798" s="471"/>
      <c r="AA798" s="471"/>
      <c r="AB798" s="471"/>
      <c r="AC798" s="471"/>
      <c r="AD798" s="471"/>
      <c r="AE798" s="471"/>
      <c r="AF798" s="471"/>
      <c r="AG798" s="471"/>
      <c r="AH798" s="471"/>
      <c r="AI798" s="471"/>
    </row>
    <row r="799">
      <c r="A799" s="471"/>
      <c r="B799" s="471"/>
      <c r="C799" s="471"/>
      <c r="D799" s="471"/>
      <c r="E799" s="471"/>
      <c r="F799" s="501"/>
      <c r="G799" s="471"/>
      <c r="H799" s="471"/>
      <c r="I799" s="471"/>
      <c r="J799" s="490"/>
      <c r="K799" s="491"/>
      <c r="L799" s="471"/>
      <c r="M799" s="471"/>
      <c r="N799" s="471"/>
      <c r="O799" s="471"/>
      <c r="P799" s="471"/>
      <c r="Q799" s="471"/>
      <c r="R799" s="471"/>
      <c r="S799" s="471"/>
      <c r="T799" s="471"/>
      <c r="U799" s="471"/>
      <c r="V799" s="471"/>
      <c r="W799" s="471"/>
      <c r="X799" s="471"/>
      <c r="Y799" s="471"/>
      <c r="Z799" s="471"/>
      <c r="AA799" s="471"/>
      <c r="AB799" s="471"/>
      <c r="AC799" s="471"/>
      <c r="AD799" s="471"/>
      <c r="AE799" s="471"/>
      <c r="AF799" s="471"/>
      <c r="AG799" s="471"/>
      <c r="AH799" s="471"/>
      <c r="AI799" s="471"/>
    </row>
    <row r="800">
      <c r="A800" s="471"/>
      <c r="B800" s="471"/>
      <c r="C800" s="471"/>
      <c r="D800" s="471"/>
      <c r="E800" s="471"/>
      <c r="F800" s="501"/>
      <c r="G800" s="471"/>
      <c r="H800" s="471"/>
      <c r="I800" s="471"/>
      <c r="J800" s="490"/>
      <c r="K800" s="491"/>
      <c r="L800" s="471"/>
      <c r="M800" s="471"/>
      <c r="N800" s="471"/>
      <c r="O800" s="471"/>
      <c r="P800" s="471"/>
      <c r="Q800" s="471"/>
      <c r="R800" s="471"/>
      <c r="S800" s="471"/>
      <c r="T800" s="471"/>
      <c r="U800" s="471"/>
      <c r="V800" s="471"/>
      <c r="W800" s="471"/>
      <c r="X800" s="471"/>
      <c r="Y800" s="471"/>
      <c r="Z800" s="471"/>
      <c r="AA800" s="471"/>
      <c r="AB800" s="471"/>
      <c r="AC800" s="471"/>
      <c r="AD800" s="471"/>
      <c r="AE800" s="471"/>
      <c r="AF800" s="471"/>
      <c r="AG800" s="471"/>
      <c r="AH800" s="471"/>
      <c r="AI800" s="471"/>
    </row>
    <row r="801">
      <c r="A801" s="471"/>
      <c r="B801" s="471"/>
      <c r="C801" s="471"/>
      <c r="D801" s="471"/>
      <c r="E801" s="471"/>
      <c r="F801" s="501"/>
      <c r="G801" s="471"/>
      <c r="H801" s="471"/>
      <c r="I801" s="471"/>
      <c r="J801" s="490"/>
      <c r="K801" s="491"/>
      <c r="L801" s="471"/>
      <c r="M801" s="471"/>
      <c r="N801" s="471"/>
      <c r="O801" s="471"/>
      <c r="P801" s="471"/>
      <c r="Q801" s="471"/>
      <c r="R801" s="471"/>
      <c r="S801" s="471"/>
      <c r="T801" s="471"/>
      <c r="U801" s="471"/>
      <c r="V801" s="471"/>
      <c r="W801" s="471"/>
      <c r="X801" s="471"/>
      <c r="Y801" s="471"/>
      <c r="Z801" s="471"/>
      <c r="AA801" s="471"/>
      <c r="AB801" s="471"/>
      <c r="AC801" s="471"/>
      <c r="AD801" s="471"/>
      <c r="AE801" s="471"/>
      <c r="AF801" s="471"/>
      <c r="AG801" s="471"/>
      <c r="AH801" s="471"/>
      <c r="AI801" s="471"/>
    </row>
    <row r="802">
      <c r="A802" s="471"/>
      <c r="B802" s="471"/>
      <c r="C802" s="471"/>
      <c r="D802" s="471"/>
      <c r="E802" s="471"/>
      <c r="F802" s="501"/>
      <c r="G802" s="471"/>
      <c r="H802" s="471"/>
      <c r="I802" s="471"/>
      <c r="J802" s="490"/>
      <c r="K802" s="491"/>
      <c r="L802" s="471"/>
      <c r="M802" s="471"/>
      <c r="N802" s="471"/>
      <c r="O802" s="471"/>
      <c r="P802" s="471"/>
      <c r="Q802" s="471"/>
      <c r="R802" s="471"/>
      <c r="S802" s="471"/>
      <c r="T802" s="471"/>
      <c r="U802" s="471"/>
      <c r="V802" s="471"/>
      <c r="W802" s="471"/>
      <c r="X802" s="471"/>
      <c r="Y802" s="471"/>
      <c r="Z802" s="471"/>
      <c r="AA802" s="471"/>
      <c r="AB802" s="471"/>
      <c r="AC802" s="471"/>
      <c r="AD802" s="471"/>
      <c r="AE802" s="471"/>
      <c r="AF802" s="471"/>
      <c r="AG802" s="471"/>
      <c r="AH802" s="471"/>
      <c r="AI802" s="471"/>
    </row>
    <row r="803">
      <c r="A803" s="471"/>
      <c r="B803" s="471"/>
      <c r="C803" s="471"/>
      <c r="D803" s="471"/>
      <c r="E803" s="471"/>
      <c r="F803" s="501"/>
      <c r="G803" s="471"/>
      <c r="H803" s="471"/>
      <c r="I803" s="471"/>
      <c r="J803" s="490"/>
      <c r="K803" s="491"/>
      <c r="L803" s="471"/>
      <c r="M803" s="471"/>
      <c r="N803" s="471"/>
      <c r="O803" s="471"/>
      <c r="P803" s="471"/>
      <c r="Q803" s="471"/>
      <c r="R803" s="471"/>
      <c r="S803" s="471"/>
      <c r="T803" s="471"/>
      <c r="U803" s="471"/>
      <c r="V803" s="471"/>
      <c r="W803" s="471"/>
      <c r="X803" s="471"/>
      <c r="Y803" s="471"/>
      <c r="Z803" s="471"/>
      <c r="AA803" s="471"/>
      <c r="AB803" s="471"/>
      <c r="AC803" s="471"/>
      <c r="AD803" s="471"/>
      <c r="AE803" s="471"/>
      <c r="AF803" s="471"/>
      <c r="AG803" s="471"/>
      <c r="AH803" s="471"/>
      <c r="AI803" s="471"/>
    </row>
    <row r="804">
      <c r="A804" s="471"/>
      <c r="B804" s="471"/>
      <c r="C804" s="471"/>
      <c r="D804" s="471"/>
      <c r="E804" s="471"/>
      <c r="F804" s="501"/>
      <c r="G804" s="471"/>
      <c r="H804" s="471"/>
      <c r="I804" s="471"/>
      <c r="J804" s="490"/>
      <c r="K804" s="491"/>
      <c r="L804" s="471"/>
      <c r="M804" s="471"/>
      <c r="N804" s="471"/>
      <c r="O804" s="471"/>
      <c r="P804" s="471"/>
      <c r="Q804" s="471"/>
      <c r="R804" s="471"/>
      <c r="S804" s="471"/>
      <c r="T804" s="471"/>
      <c r="U804" s="471"/>
      <c r="V804" s="471"/>
      <c r="W804" s="471"/>
      <c r="X804" s="471"/>
      <c r="Y804" s="471"/>
      <c r="Z804" s="471"/>
      <c r="AA804" s="471"/>
      <c r="AB804" s="471"/>
      <c r="AC804" s="471"/>
      <c r="AD804" s="471"/>
      <c r="AE804" s="471"/>
      <c r="AF804" s="471"/>
      <c r="AG804" s="471"/>
      <c r="AH804" s="471"/>
      <c r="AI804" s="471"/>
    </row>
    <row r="805">
      <c r="A805" s="471"/>
      <c r="B805" s="471"/>
      <c r="C805" s="471"/>
      <c r="D805" s="471"/>
      <c r="E805" s="471"/>
      <c r="F805" s="501"/>
      <c r="G805" s="471"/>
      <c r="H805" s="471"/>
      <c r="I805" s="471"/>
      <c r="J805" s="490"/>
      <c r="K805" s="491"/>
      <c r="L805" s="471"/>
      <c r="M805" s="471"/>
      <c r="N805" s="471"/>
      <c r="O805" s="471"/>
      <c r="P805" s="471"/>
      <c r="Q805" s="471"/>
      <c r="R805" s="471"/>
      <c r="S805" s="471"/>
      <c r="T805" s="471"/>
      <c r="U805" s="471"/>
      <c r="V805" s="471"/>
      <c r="W805" s="471"/>
      <c r="X805" s="471"/>
      <c r="Y805" s="471"/>
      <c r="Z805" s="471"/>
      <c r="AA805" s="471"/>
      <c r="AB805" s="471"/>
      <c r="AC805" s="471"/>
      <c r="AD805" s="471"/>
      <c r="AE805" s="471"/>
      <c r="AF805" s="471"/>
      <c r="AG805" s="471"/>
      <c r="AH805" s="471"/>
      <c r="AI805" s="471"/>
    </row>
    <row r="806">
      <c r="A806" s="471"/>
      <c r="B806" s="471"/>
      <c r="C806" s="471"/>
      <c r="D806" s="471"/>
      <c r="E806" s="471"/>
      <c r="F806" s="501"/>
      <c r="G806" s="471"/>
      <c r="H806" s="471"/>
      <c r="I806" s="471"/>
      <c r="J806" s="490"/>
      <c r="K806" s="491"/>
      <c r="L806" s="471"/>
      <c r="M806" s="471"/>
      <c r="N806" s="471"/>
      <c r="O806" s="471"/>
      <c r="P806" s="471"/>
      <c r="Q806" s="471"/>
      <c r="R806" s="471"/>
      <c r="S806" s="471"/>
      <c r="T806" s="471"/>
      <c r="U806" s="471"/>
      <c r="V806" s="471"/>
      <c r="W806" s="471"/>
      <c r="X806" s="471"/>
      <c r="Y806" s="471"/>
      <c r="Z806" s="471"/>
      <c r="AA806" s="471"/>
      <c r="AB806" s="471"/>
      <c r="AC806" s="471"/>
      <c r="AD806" s="471"/>
      <c r="AE806" s="471"/>
      <c r="AF806" s="471"/>
      <c r="AG806" s="471"/>
      <c r="AH806" s="471"/>
      <c r="AI806" s="471"/>
    </row>
    <row r="807">
      <c r="A807" s="471"/>
      <c r="B807" s="471"/>
      <c r="C807" s="471"/>
      <c r="D807" s="471"/>
      <c r="E807" s="471"/>
      <c r="F807" s="501"/>
      <c r="G807" s="471"/>
      <c r="H807" s="471"/>
      <c r="I807" s="471"/>
      <c r="J807" s="490"/>
      <c r="K807" s="491"/>
      <c r="L807" s="471"/>
      <c r="M807" s="471"/>
      <c r="N807" s="471"/>
      <c r="O807" s="471"/>
      <c r="P807" s="471"/>
      <c r="Q807" s="471"/>
      <c r="R807" s="471"/>
      <c r="S807" s="471"/>
      <c r="T807" s="471"/>
      <c r="U807" s="471"/>
      <c r="V807" s="471"/>
      <c r="W807" s="471"/>
      <c r="X807" s="471"/>
      <c r="Y807" s="471"/>
      <c r="Z807" s="471"/>
      <c r="AA807" s="471"/>
      <c r="AB807" s="471"/>
      <c r="AC807" s="471"/>
      <c r="AD807" s="471"/>
      <c r="AE807" s="471"/>
      <c r="AF807" s="471"/>
      <c r="AG807" s="471"/>
      <c r="AH807" s="471"/>
      <c r="AI807" s="471"/>
    </row>
    <row r="808">
      <c r="A808" s="471"/>
      <c r="B808" s="471"/>
      <c r="C808" s="471"/>
      <c r="D808" s="471"/>
      <c r="E808" s="471"/>
      <c r="F808" s="501"/>
      <c r="G808" s="471"/>
      <c r="H808" s="471"/>
      <c r="I808" s="471"/>
      <c r="J808" s="490"/>
      <c r="K808" s="491"/>
      <c r="L808" s="471"/>
      <c r="M808" s="471"/>
      <c r="N808" s="471"/>
      <c r="O808" s="471"/>
      <c r="P808" s="471"/>
      <c r="Q808" s="471"/>
      <c r="R808" s="471"/>
      <c r="S808" s="471"/>
      <c r="T808" s="471"/>
      <c r="U808" s="471"/>
      <c r="V808" s="471"/>
      <c r="W808" s="471"/>
      <c r="X808" s="471"/>
      <c r="Y808" s="471"/>
      <c r="Z808" s="471"/>
      <c r="AA808" s="471"/>
      <c r="AB808" s="471"/>
      <c r="AC808" s="471"/>
      <c r="AD808" s="471"/>
      <c r="AE808" s="471"/>
      <c r="AF808" s="471"/>
      <c r="AG808" s="471"/>
      <c r="AH808" s="471"/>
      <c r="AI808" s="471"/>
    </row>
    <row r="809">
      <c r="A809" s="471"/>
      <c r="B809" s="471"/>
      <c r="C809" s="471"/>
      <c r="D809" s="471"/>
      <c r="E809" s="471"/>
      <c r="F809" s="501"/>
      <c r="G809" s="471"/>
      <c r="H809" s="471"/>
      <c r="I809" s="471"/>
      <c r="J809" s="490"/>
      <c r="K809" s="491"/>
      <c r="L809" s="471"/>
      <c r="M809" s="471"/>
      <c r="N809" s="471"/>
      <c r="O809" s="471"/>
      <c r="P809" s="471"/>
      <c r="Q809" s="471"/>
      <c r="R809" s="471"/>
      <c r="S809" s="471"/>
      <c r="T809" s="471"/>
      <c r="U809" s="471"/>
      <c r="V809" s="471"/>
      <c r="W809" s="471"/>
      <c r="X809" s="471"/>
      <c r="Y809" s="471"/>
      <c r="Z809" s="471"/>
      <c r="AA809" s="471"/>
      <c r="AB809" s="471"/>
      <c r="AC809" s="471"/>
      <c r="AD809" s="471"/>
      <c r="AE809" s="471"/>
      <c r="AF809" s="471"/>
      <c r="AG809" s="471"/>
      <c r="AH809" s="471"/>
      <c r="AI809" s="471"/>
    </row>
    <row r="810">
      <c r="A810" s="471"/>
      <c r="B810" s="471"/>
      <c r="C810" s="471"/>
      <c r="D810" s="471"/>
      <c r="E810" s="471"/>
      <c r="F810" s="501"/>
      <c r="G810" s="471"/>
      <c r="H810" s="471"/>
      <c r="I810" s="471"/>
      <c r="J810" s="490"/>
      <c r="K810" s="491"/>
      <c r="L810" s="471"/>
      <c r="M810" s="471"/>
      <c r="N810" s="471"/>
      <c r="O810" s="471"/>
      <c r="P810" s="471"/>
      <c r="Q810" s="471"/>
      <c r="R810" s="471"/>
      <c r="S810" s="471"/>
      <c r="T810" s="471"/>
      <c r="U810" s="471"/>
      <c r="V810" s="471"/>
      <c r="W810" s="471"/>
      <c r="X810" s="471"/>
      <c r="Y810" s="471"/>
      <c r="Z810" s="471"/>
      <c r="AA810" s="471"/>
      <c r="AB810" s="471"/>
      <c r="AC810" s="471"/>
      <c r="AD810" s="471"/>
      <c r="AE810" s="471"/>
      <c r="AF810" s="471"/>
      <c r="AG810" s="471"/>
      <c r="AH810" s="471"/>
      <c r="AI810" s="471"/>
    </row>
    <row r="811">
      <c r="A811" s="471"/>
      <c r="B811" s="471"/>
      <c r="C811" s="471"/>
      <c r="D811" s="471"/>
      <c r="E811" s="471"/>
      <c r="F811" s="501"/>
      <c r="G811" s="471"/>
      <c r="H811" s="471"/>
      <c r="I811" s="471"/>
      <c r="J811" s="490"/>
      <c r="K811" s="491"/>
      <c r="L811" s="471"/>
      <c r="M811" s="471"/>
      <c r="N811" s="471"/>
      <c r="O811" s="471"/>
      <c r="P811" s="471"/>
      <c r="Q811" s="471"/>
      <c r="R811" s="471"/>
      <c r="S811" s="471"/>
      <c r="T811" s="471"/>
      <c r="U811" s="471"/>
      <c r="V811" s="471"/>
      <c r="W811" s="471"/>
      <c r="X811" s="471"/>
      <c r="Y811" s="471"/>
      <c r="Z811" s="471"/>
      <c r="AA811" s="471"/>
      <c r="AB811" s="471"/>
      <c r="AC811" s="471"/>
      <c r="AD811" s="471"/>
      <c r="AE811" s="471"/>
      <c r="AF811" s="471"/>
      <c r="AG811" s="471"/>
      <c r="AH811" s="471"/>
      <c r="AI811" s="471"/>
    </row>
    <row r="812">
      <c r="A812" s="471"/>
      <c r="B812" s="471"/>
      <c r="C812" s="471"/>
      <c r="D812" s="471"/>
      <c r="E812" s="471"/>
      <c r="F812" s="501"/>
      <c r="G812" s="471"/>
      <c r="H812" s="471"/>
      <c r="I812" s="471"/>
      <c r="J812" s="490"/>
      <c r="K812" s="491"/>
      <c r="L812" s="471"/>
      <c r="M812" s="471"/>
      <c r="N812" s="471"/>
      <c r="O812" s="471"/>
      <c r="P812" s="471"/>
      <c r="Q812" s="471"/>
      <c r="R812" s="471"/>
      <c r="S812" s="471"/>
      <c r="T812" s="471"/>
      <c r="U812" s="471"/>
      <c r="V812" s="471"/>
      <c r="W812" s="471"/>
      <c r="X812" s="471"/>
      <c r="Y812" s="471"/>
      <c r="Z812" s="471"/>
      <c r="AA812" s="471"/>
      <c r="AB812" s="471"/>
      <c r="AC812" s="471"/>
      <c r="AD812" s="471"/>
      <c r="AE812" s="471"/>
      <c r="AF812" s="471"/>
      <c r="AG812" s="471"/>
      <c r="AH812" s="471"/>
      <c r="AI812" s="471"/>
    </row>
    <row r="813">
      <c r="A813" s="471"/>
      <c r="B813" s="471"/>
      <c r="C813" s="471"/>
      <c r="D813" s="471"/>
      <c r="E813" s="471"/>
      <c r="F813" s="501"/>
      <c r="G813" s="471"/>
      <c r="H813" s="471"/>
      <c r="I813" s="471"/>
      <c r="J813" s="490"/>
      <c r="K813" s="491"/>
      <c r="L813" s="471"/>
      <c r="M813" s="471"/>
      <c r="N813" s="471"/>
      <c r="O813" s="471"/>
      <c r="P813" s="471"/>
      <c r="Q813" s="471"/>
      <c r="R813" s="471"/>
      <c r="S813" s="471"/>
      <c r="T813" s="471"/>
      <c r="U813" s="471"/>
      <c r="V813" s="471"/>
      <c r="W813" s="471"/>
      <c r="X813" s="471"/>
      <c r="Y813" s="471"/>
      <c r="Z813" s="471"/>
      <c r="AA813" s="471"/>
      <c r="AB813" s="471"/>
      <c r="AC813" s="471"/>
      <c r="AD813" s="471"/>
      <c r="AE813" s="471"/>
      <c r="AF813" s="471"/>
      <c r="AG813" s="471"/>
      <c r="AH813" s="471"/>
      <c r="AI813" s="471"/>
    </row>
    <row r="814">
      <c r="A814" s="471"/>
      <c r="B814" s="471"/>
      <c r="C814" s="471"/>
      <c r="D814" s="471"/>
      <c r="E814" s="471"/>
      <c r="F814" s="501"/>
      <c r="G814" s="471"/>
      <c r="H814" s="471"/>
      <c r="I814" s="471"/>
      <c r="J814" s="490"/>
      <c r="K814" s="491"/>
      <c r="L814" s="471"/>
      <c r="M814" s="471"/>
      <c r="N814" s="471"/>
      <c r="O814" s="471"/>
      <c r="P814" s="471"/>
      <c r="Q814" s="471"/>
      <c r="R814" s="471"/>
      <c r="S814" s="471"/>
      <c r="T814" s="471"/>
      <c r="U814" s="471"/>
      <c r="V814" s="471"/>
      <c r="W814" s="471"/>
      <c r="X814" s="471"/>
      <c r="Y814" s="471"/>
      <c r="Z814" s="471"/>
      <c r="AA814" s="471"/>
      <c r="AB814" s="471"/>
      <c r="AC814" s="471"/>
      <c r="AD814" s="471"/>
      <c r="AE814" s="471"/>
      <c r="AF814" s="471"/>
      <c r="AG814" s="471"/>
      <c r="AH814" s="471"/>
      <c r="AI814" s="471"/>
    </row>
    <row r="815">
      <c r="A815" s="471"/>
      <c r="B815" s="471"/>
      <c r="C815" s="471"/>
      <c r="D815" s="471"/>
      <c r="E815" s="471"/>
      <c r="F815" s="501"/>
      <c r="G815" s="471"/>
      <c r="H815" s="471"/>
      <c r="I815" s="471"/>
      <c r="J815" s="490"/>
      <c r="K815" s="491"/>
      <c r="L815" s="471"/>
      <c r="M815" s="471"/>
      <c r="N815" s="471"/>
      <c r="O815" s="471"/>
      <c r="P815" s="471"/>
      <c r="Q815" s="471"/>
      <c r="R815" s="471"/>
      <c r="S815" s="471"/>
      <c r="T815" s="471"/>
      <c r="U815" s="471"/>
      <c r="V815" s="471"/>
      <c r="W815" s="471"/>
      <c r="X815" s="471"/>
      <c r="Y815" s="471"/>
      <c r="Z815" s="471"/>
      <c r="AA815" s="471"/>
      <c r="AB815" s="471"/>
      <c r="AC815" s="471"/>
      <c r="AD815" s="471"/>
      <c r="AE815" s="471"/>
      <c r="AF815" s="471"/>
      <c r="AG815" s="471"/>
      <c r="AH815" s="471"/>
      <c r="AI815" s="471"/>
    </row>
    <row r="816">
      <c r="A816" s="471"/>
      <c r="B816" s="471"/>
      <c r="C816" s="471"/>
      <c r="D816" s="471"/>
      <c r="E816" s="471"/>
      <c r="F816" s="501"/>
      <c r="G816" s="471"/>
      <c r="H816" s="471"/>
      <c r="I816" s="471"/>
      <c r="J816" s="490"/>
      <c r="K816" s="491"/>
      <c r="L816" s="471"/>
      <c r="M816" s="471"/>
      <c r="N816" s="471"/>
      <c r="O816" s="471"/>
      <c r="P816" s="471"/>
      <c r="Q816" s="471"/>
      <c r="R816" s="471"/>
      <c r="S816" s="471"/>
      <c r="T816" s="471"/>
      <c r="U816" s="471"/>
      <c r="V816" s="471"/>
      <c r="W816" s="471"/>
      <c r="X816" s="471"/>
      <c r="Y816" s="471"/>
      <c r="Z816" s="471"/>
      <c r="AA816" s="471"/>
      <c r="AB816" s="471"/>
      <c r="AC816" s="471"/>
      <c r="AD816" s="471"/>
      <c r="AE816" s="471"/>
      <c r="AF816" s="471"/>
      <c r="AG816" s="471"/>
      <c r="AH816" s="471"/>
      <c r="AI816" s="471"/>
    </row>
    <row r="817">
      <c r="A817" s="471"/>
      <c r="B817" s="471"/>
      <c r="C817" s="471"/>
      <c r="D817" s="471"/>
      <c r="E817" s="471"/>
      <c r="F817" s="501"/>
      <c r="G817" s="471"/>
      <c r="H817" s="471"/>
      <c r="I817" s="471"/>
      <c r="J817" s="490"/>
      <c r="K817" s="491"/>
      <c r="L817" s="471"/>
      <c r="M817" s="471"/>
      <c r="N817" s="471"/>
      <c r="O817" s="471"/>
      <c r="P817" s="471"/>
      <c r="Q817" s="471"/>
      <c r="R817" s="471"/>
      <c r="S817" s="471"/>
      <c r="T817" s="471"/>
      <c r="U817" s="471"/>
      <c r="V817" s="471"/>
      <c r="W817" s="471"/>
      <c r="X817" s="471"/>
      <c r="Y817" s="471"/>
      <c r="Z817" s="471"/>
      <c r="AA817" s="471"/>
      <c r="AB817" s="471"/>
      <c r="AC817" s="471"/>
      <c r="AD817" s="471"/>
      <c r="AE817" s="471"/>
      <c r="AF817" s="471"/>
      <c r="AG817" s="471"/>
      <c r="AH817" s="471"/>
      <c r="AI817" s="471"/>
    </row>
    <row r="818">
      <c r="A818" s="471"/>
      <c r="B818" s="471"/>
      <c r="C818" s="471"/>
      <c r="D818" s="471"/>
      <c r="E818" s="471"/>
      <c r="F818" s="501"/>
      <c r="G818" s="471"/>
      <c r="H818" s="471"/>
      <c r="I818" s="471"/>
      <c r="J818" s="490"/>
      <c r="K818" s="491"/>
      <c r="L818" s="471"/>
      <c r="M818" s="471"/>
      <c r="N818" s="471"/>
      <c r="O818" s="471"/>
      <c r="P818" s="471"/>
      <c r="Q818" s="471"/>
      <c r="R818" s="471"/>
      <c r="S818" s="471"/>
      <c r="T818" s="471"/>
      <c r="U818" s="471"/>
      <c r="V818" s="471"/>
      <c r="W818" s="471"/>
      <c r="X818" s="471"/>
      <c r="Y818" s="471"/>
      <c r="Z818" s="471"/>
      <c r="AA818" s="471"/>
      <c r="AB818" s="471"/>
      <c r="AC818" s="471"/>
      <c r="AD818" s="471"/>
      <c r="AE818" s="471"/>
      <c r="AF818" s="471"/>
      <c r="AG818" s="471"/>
      <c r="AH818" s="471"/>
      <c r="AI818" s="471"/>
    </row>
    <row r="819">
      <c r="A819" s="471"/>
      <c r="B819" s="471"/>
      <c r="C819" s="471"/>
      <c r="D819" s="471"/>
      <c r="E819" s="471"/>
      <c r="F819" s="501"/>
      <c r="G819" s="471"/>
      <c r="H819" s="471"/>
      <c r="I819" s="471"/>
      <c r="J819" s="490"/>
      <c r="K819" s="491"/>
      <c r="L819" s="471"/>
      <c r="M819" s="471"/>
      <c r="N819" s="471"/>
      <c r="O819" s="471"/>
      <c r="P819" s="471"/>
      <c r="Q819" s="471"/>
      <c r="R819" s="471"/>
      <c r="S819" s="471"/>
      <c r="T819" s="471"/>
      <c r="U819" s="471"/>
      <c r="V819" s="471"/>
      <c r="W819" s="471"/>
      <c r="X819" s="471"/>
      <c r="Y819" s="471"/>
      <c r="Z819" s="471"/>
      <c r="AA819" s="471"/>
      <c r="AB819" s="471"/>
      <c r="AC819" s="471"/>
      <c r="AD819" s="471"/>
      <c r="AE819" s="471"/>
      <c r="AF819" s="471"/>
      <c r="AG819" s="471"/>
      <c r="AH819" s="471"/>
      <c r="AI819" s="471"/>
    </row>
    <row r="820">
      <c r="A820" s="471"/>
      <c r="B820" s="471"/>
      <c r="C820" s="471"/>
      <c r="D820" s="471"/>
      <c r="E820" s="471"/>
      <c r="F820" s="501"/>
      <c r="G820" s="471"/>
      <c r="H820" s="471"/>
      <c r="I820" s="471"/>
      <c r="J820" s="490"/>
      <c r="K820" s="491"/>
      <c r="L820" s="471"/>
      <c r="M820" s="471"/>
      <c r="N820" s="471"/>
      <c r="O820" s="471"/>
      <c r="P820" s="471"/>
      <c r="Q820" s="471"/>
      <c r="R820" s="471"/>
      <c r="S820" s="471"/>
      <c r="T820" s="471"/>
      <c r="U820" s="471"/>
      <c r="V820" s="471"/>
      <c r="W820" s="471"/>
      <c r="X820" s="471"/>
      <c r="Y820" s="471"/>
      <c r="Z820" s="471"/>
      <c r="AA820" s="471"/>
      <c r="AB820" s="471"/>
      <c r="AC820" s="471"/>
      <c r="AD820" s="471"/>
      <c r="AE820" s="471"/>
      <c r="AF820" s="471"/>
      <c r="AG820" s="471"/>
      <c r="AH820" s="471"/>
      <c r="AI820" s="471"/>
    </row>
    <row r="821">
      <c r="A821" s="471"/>
      <c r="B821" s="471"/>
      <c r="C821" s="471"/>
      <c r="D821" s="471"/>
      <c r="E821" s="471"/>
      <c r="F821" s="501"/>
      <c r="G821" s="471"/>
      <c r="H821" s="471"/>
      <c r="I821" s="471"/>
      <c r="J821" s="490"/>
      <c r="K821" s="491"/>
      <c r="L821" s="471"/>
      <c r="M821" s="471"/>
      <c r="N821" s="471"/>
      <c r="O821" s="471"/>
      <c r="P821" s="471"/>
      <c r="Q821" s="471"/>
      <c r="R821" s="471"/>
      <c r="S821" s="471"/>
      <c r="T821" s="471"/>
      <c r="U821" s="471"/>
      <c r="V821" s="471"/>
      <c r="W821" s="471"/>
      <c r="X821" s="471"/>
      <c r="Y821" s="471"/>
      <c r="Z821" s="471"/>
      <c r="AA821" s="471"/>
      <c r="AB821" s="471"/>
      <c r="AC821" s="471"/>
      <c r="AD821" s="471"/>
      <c r="AE821" s="471"/>
      <c r="AF821" s="471"/>
      <c r="AG821" s="471"/>
      <c r="AH821" s="471"/>
      <c r="AI821" s="471"/>
    </row>
    <row r="822">
      <c r="A822" s="471"/>
      <c r="B822" s="471"/>
      <c r="C822" s="471"/>
      <c r="D822" s="471"/>
      <c r="E822" s="471"/>
      <c r="F822" s="501"/>
      <c r="G822" s="471"/>
      <c r="H822" s="471"/>
      <c r="I822" s="471"/>
      <c r="J822" s="490"/>
      <c r="K822" s="491"/>
      <c r="L822" s="471"/>
      <c r="M822" s="471"/>
      <c r="N822" s="471"/>
      <c r="O822" s="471"/>
      <c r="P822" s="471"/>
      <c r="Q822" s="471"/>
      <c r="R822" s="471"/>
      <c r="S822" s="471"/>
      <c r="T822" s="471"/>
      <c r="U822" s="471"/>
      <c r="V822" s="471"/>
      <c r="W822" s="471"/>
      <c r="X822" s="471"/>
      <c r="Y822" s="471"/>
      <c r="Z822" s="471"/>
      <c r="AA822" s="471"/>
      <c r="AB822" s="471"/>
      <c r="AC822" s="471"/>
      <c r="AD822" s="471"/>
      <c r="AE822" s="471"/>
      <c r="AF822" s="471"/>
      <c r="AG822" s="471"/>
      <c r="AH822" s="471"/>
      <c r="AI822" s="471"/>
    </row>
    <row r="823">
      <c r="A823" s="471"/>
      <c r="B823" s="471"/>
      <c r="C823" s="471"/>
      <c r="D823" s="471"/>
      <c r="E823" s="471"/>
      <c r="F823" s="501"/>
      <c r="G823" s="471"/>
      <c r="H823" s="471"/>
      <c r="I823" s="471"/>
      <c r="J823" s="490"/>
      <c r="K823" s="491"/>
      <c r="L823" s="471"/>
      <c r="M823" s="471"/>
      <c r="N823" s="471"/>
      <c r="O823" s="471"/>
      <c r="P823" s="471"/>
      <c r="Q823" s="471"/>
      <c r="R823" s="471"/>
      <c r="S823" s="471"/>
      <c r="T823" s="471"/>
      <c r="U823" s="471"/>
      <c r="V823" s="471"/>
      <c r="W823" s="471"/>
      <c r="X823" s="471"/>
      <c r="Y823" s="471"/>
      <c r="Z823" s="471"/>
      <c r="AA823" s="471"/>
      <c r="AB823" s="471"/>
      <c r="AC823" s="471"/>
      <c r="AD823" s="471"/>
      <c r="AE823" s="471"/>
      <c r="AF823" s="471"/>
      <c r="AG823" s="471"/>
      <c r="AH823" s="471"/>
      <c r="AI823" s="471"/>
    </row>
    <row r="824">
      <c r="A824" s="471"/>
      <c r="B824" s="471"/>
      <c r="C824" s="471"/>
      <c r="D824" s="471"/>
      <c r="E824" s="471"/>
      <c r="F824" s="501"/>
      <c r="G824" s="471"/>
      <c r="H824" s="471"/>
      <c r="I824" s="471"/>
      <c r="J824" s="490"/>
      <c r="K824" s="491"/>
      <c r="L824" s="471"/>
      <c r="M824" s="471"/>
      <c r="N824" s="471"/>
      <c r="O824" s="471"/>
      <c r="P824" s="471"/>
      <c r="Q824" s="471"/>
      <c r="R824" s="471"/>
      <c r="S824" s="471"/>
      <c r="T824" s="471"/>
      <c r="U824" s="471"/>
      <c r="V824" s="471"/>
      <c r="W824" s="471"/>
      <c r="X824" s="471"/>
      <c r="Y824" s="471"/>
      <c r="Z824" s="471"/>
      <c r="AA824" s="471"/>
      <c r="AB824" s="471"/>
      <c r="AC824" s="471"/>
      <c r="AD824" s="471"/>
      <c r="AE824" s="471"/>
      <c r="AF824" s="471"/>
      <c r="AG824" s="471"/>
      <c r="AH824" s="471"/>
      <c r="AI824" s="471"/>
    </row>
    <row r="825">
      <c r="A825" s="471"/>
      <c r="B825" s="471"/>
      <c r="C825" s="471"/>
      <c r="D825" s="471"/>
      <c r="E825" s="471"/>
      <c r="F825" s="501"/>
      <c r="G825" s="471"/>
      <c r="H825" s="471"/>
      <c r="I825" s="471"/>
      <c r="J825" s="490"/>
      <c r="K825" s="491"/>
      <c r="L825" s="471"/>
      <c r="M825" s="471"/>
      <c r="N825" s="471"/>
      <c r="O825" s="471"/>
      <c r="P825" s="471"/>
      <c r="Q825" s="471"/>
      <c r="R825" s="471"/>
      <c r="S825" s="471"/>
      <c r="T825" s="471"/>
      <c r="U825" s="471"/>
      <c r="V825" s="471"/>
      <c r="W825" s="471"/>
      <c r="X825" s="471"/>
      <c r="Y825" s="471"/>
      <c r="Z825" s="471"/>
      <c r="AA825" s="471"/>
      <c r="AB825" s="471"/>
      <c r="AC825" s="471"/>
      <c r="AD825" s="471"/>
      <c r="AE825" s="471"/>
      <c r="AF825" s="471"/>
      <c r="AG825" s="471"/>
      <c r="AH825" s="471"/>
      <c r="AI825" s="471"/>
    </row>
    <row r="826">
      <c r="A826" s="471"/>
      <c r="B826" s="471"/>
      <c r="C826" s="471"/>
      <c r="D826" s="471"/>
      <c r="E826" s="471"/>
      <c r="F826" s="501"/>
      <c r="G826" s="471"/>
      <c r="H826" s="471"/>
      <c r="I826" s="471"/>
      <c r="J826" s="490"/>
      <c r="K826" s="491"/>
      <c r="L826" s="471"/>
      <c r="M826" s="471"/>
      <c r="N826" s="471"/>
      <c r="O826" s="471"/>
      <c r="P826" s="471"/>
      <c r="Q826" s="471"/>
      <c r="R826" s="471"/>
      <c r="S826" s="471"/>
      <c r="T826" s="471"/>
      <c r="U826" s="471"/>
      <c r="V826" s="471"/>
      <c r="W826" s="471"/>
      <c r="X826" s="471"/>
      <c r="Y826" s="471"/>
      <c r="Z826" s="471"/>
      <c r="AA826" s="471"/>
      <c r="AB826" s="471"/>
      <c r="AC826" s="471"/>
      <c r="AD826" s="471"/>
      <c r="AE826" s="471"/>
      <c r="AF826" s="471"/>
      <c r="AG826" s="471"/>
      <c r="AH826" s="471"/>
      <c r="AI826" s="471"/>
    </row>
    <row r="827">
      <c r="A827" s="471"/>
      <c r="B827" s="471"/>
      <c r="C827" s="471"/>
      <c r="D827" s="471"/>
      <c r="E827" s="471"/>
      <c r="F827" s="501"/>
      <c r="G827" s="471"/>
      <c r="H827" s="471"/>
      <c r="I827" s="471"/>
      <c r="J827" s="490"/>
      <c r="K827" s="491"/>
      <c r="L827" s="471"/>
      <c r="M827" s="471"/>
      <c r="N827" s="471"/>
      <c r="O827" s="471"/>
      <c r="P827" s="471"/>
      <c r="Q827" s="471"/>
      <c r="R827" s="471"/>
      <c r="S827" s="471"/>
      <c r="T827" s="471"/>
      <c r="U827" s="471"/>
      <c r="V827" s="471"/>
      <c r="W827" s="471"/>
      <c r="X827" s="471"/>
      <c r="Y827" s="471"/>
      <c r="Z827" s="471"/>
      <c r="AA827" s="471"/>
      <c r="AB827" s="471"/>
      <c r="AC827" s="471"/>
      <c r="AD827" s="471"/>
      <c r="AE827" s="471"/>
      <c r="AF827" s="471"/>
      <c r="AG827" s="471"/>
      <c r="AH827" s="471"/>
      <c r="AI827" s="471"/>
    </row>
    <row r="828">
      <c r="A828" s="471"/>
      <c r="B828" s="471"/>
      <c r="C828" s="471"/>
      <c r="D828" s="471"/>
      <c r="E828" s="471"/>
      <c r="F828" s="501"/>
      <c r="G828" s="471"/>
      <c r="H828" s="471"/>
      <c r="I828" s="471"/>
      <c r="J828" s="490"/>
      <c r="K828" s="491"/>
      <c r="L828" s="471"/>
      <c r="M828" s="471"/>
      <c r="N828" s="471"/>
      <c r="O828" s="471"/>
      <c r="P828" s="471"/>
      <c r="Q828" s="471"/>
      <c r="R828" s="471"/>
      <c r="S828" s="471"/>
      <c r="T828" s="471"/>
      <c r="U828" s="471"/>
      <c r="V828" s="471"/>
      <c r="W828" s="471"/>
      <c r="X828" s="471"/>
      <c r="Y828" s="471"/>
      <c r="Z828" s="471"/>
      <c r="AA828" s="471"/>
      <c r="AB828" s="471"/>
      <c r="AC828" s="471"/>
      <c r="AD828" s="471"/>
      <c r="AE828" s="471"/>
      <c r="AF828" s="471"/>
      <c r="AG828" s="471"/>
      <c r="AH828" s="471"/>
      <c r="AI828" s="471"/>
    </row>
    <row r="829">
      <c r="A829" s="471"/>
      <c r="B829" s="471"/>
      <c r="C829" s="471"/>
      <c r="D829" s="471"/>
      <c r="E829" s="471"/>
      <c r="F829" s="501"/>
      <c r="G829" s="471"/>
      <c r="H829" s="471"/>
      <c r="I829" s="471"/>
      <c r="J829" s="490"/>
      <c r="K829" s="491"/>
      <c r="L829" s="471"/>
      <c r="M829" s="471"/>
      <c r="N829" s="471"/>
      <c r="O829" s="471"/>
      <c r="P829" s="471"/>
      <c r="Q829" s="471"/>
      <c r="R829" s="471"/>
      <c r="S829" s="471"/>
      <c r="T829" s="471"/>
      <c r="U829" s="471"/>
      <c r="V829" s="471"/>
      <c r="W829" s="471"/>
      <c r="X829" s="471"/>
      <c r="Y829" s="471"/>
      <c r="Z829" s="471"/>
      <c r="AA829" s="471"/>
      <c r="AB829" s="471"/>
      <c r="AC829" s="471"/>
      <c r="AD829" s="471"/>
      <c r="AE829" s="471"/>
      <c r="AF829" s="471"/>
      <c r="AG829" s="471"/>
      <c r="AH829" s="471"/>
      <c r="AI829" s="471"/>
    </row>
    <row r="830">
      <c r="A830" s="471"/>
      <c r="B830" s="471"/>
      <c r="C830" s="471"/>
      <c r="D830" s="471"/>
      <c r="E830" s="471"/>
      <c r="F830" s="501"/>
      <c r="G830" s="471"/>
      <c r="H830" s="471"/>
      <c r="I830" s="471"/>
      <c r="J830" s="490"/>
      <c r="K830" s="491"/>
      <c r="L830" s="471"/>
      <c r="M830" s="471"/>
      <c r="N830" s="471"/>
      <c r="O830" s="471"/>
      <c r="P830" s="471"/>
      <c r="Q830" s="471"/>
      <c r="R830" s="471"/>
      <c r="S830" s="471"/>
      <c r="T830" s="471"/>
      <c r="U830" s="471"/>
      <c r="V830" s="471"/>
      <c r="W830" s="471"/>
      <c r="X830" s="471"/>
      <c r="Y830" s="471"/>
      <c r="Z830" s="471"/>
      <c r="AA830" s="471"/>
      <c r="AB830" s="471"/>
      <c r="AC830" s="471"/>
      <c r="AD830" s="471"/>
      <c r="AE830" s="471"/>
      <c r="AF830" s="471"/>
      <c r="AG830" s="471"/>
      <c r="AH830" s="471"/>
      <c r="AI830" s="471"/>
    </row>
    <row r="831">
      <c r="A831" s="471"/>
      <c r="B831" s="471"/>
      <c r="C831" s="471"/>
      <c r="D831" s="471"/>
      <c r="E831" s="471"/>
      <c r="F831" s="501"/>
      <c r="G831" s="471"/>
      <c r="H831" s="471"/>
      <c r="I831" s="471"/>
      <c r="J831" s="490"/>
      <c r="K831" s="491"/>
      <c r="L831" s="471"/>
      <c r="M831" s="471"/>
      <c r="N831" s="471"/>
      <c r="O831" s="471"/>
      <c r="P831" s="471"/>
      <c r="Q831" s="471"/>
      <c r="R831" s="471"/>
      <c r="S831" s="471"/>
      <c r="T831" s="471"/>
      <c r="U831" s="471"/>
      <c r="V831" s="471"/>
      <c r="W831" s="471"/>
      <c r="X831" s="471"/>
      <c r="Y831" s="471"/>
      <c r="Z831" s="471"/>
      <c r="AA831" s="471"/>
      <c r="AB831" s="471"/>
      <c r="AC831" s="471"/>
      <c r="AD831" s="471"/>
      <c r="AE831" s="471"/>
      <c r="AF831" s="471"/>
      <c r="AG831" s="471"/>
      <c r="AH831" s="471"/>
      <c r="AI831" s="471"/>
    </row>
    <row r="832">
      <c r="A832" s="471"/>
      <c r="B832" s="471"/>
      <c r="C832" s="471"/>
      <c r="D832" s="471"/>
      <c r="E832" s="471"/>
      <c r="F832" s="501"/>
      <c r="G832" s="471"/>
      <c r="H832" s="471"/>
      <c r="I832" s="471"/>
      <c r="J832" s="490"/>
      <c r="K832" s="491"/>
      <c r="L832" s="471"/>
      <c r="M832" s="471"/>
      <c r="N832" s="471"/>
      <c r="O832" s="471"/>
      <c r="P832" s="471"/>
      <c r="Q832" s="471"/>
      <c r="R832" s="471"/>
      <c r="S832" s="471"/>
      <c r="T832" s="471"/>
      <c r="U832" s="471"/>
      <c r="V832" s="471"/>
      <c r="W832" s="471"/>
      <c r="X832" s="471"/>
      <c r="Y832" s="471"/>
      <c r="Z832" s="471"/>
      <c r="AA832" s="471"/>
      <c r="AB832" s="471"/>
      <c r="AC832" s="471"/>
      <c r="AD832" s="471"/>
      <c r="AE832" s="471"/>
      <c r="AF832" s="471"/>
      <c r="AG832" s="471"/>
      <c r="AH832" s="471"/>
      <c r="AI832" s="471"/>
    </row>
    <row r="833">
      <c r="A833" s="471"/>
      <c r="B833" s="471"/>
      <c r="C833" s="471"/>
      <c r="D833" s="471"/>
      <c r="E833" s="471"/>
      <c r="F833" s="501"/>
      <c r="G833" s="471"/>
      <c r="H833" s="471"/>
      <c r="I833" s="471"/>
      <c r="J833" s="490"/>
      <c r="K833" s="491"/>
      <c r="L833" s="471"/>
      <c r="M833" s="471"/>
      <c r="N833" s="471"/>
      <c r="O833" s="471"/>
      <c r="P833" s="471"/>
      <c r="Q833" s="471"/>
      <c r="R833" s="471"/>
      <c r="S833" s="471"/>
      <c r="T833" s="471"/>
      <c r="U833" s="471"/>
      <c r="V833" s="471"/>
      <c r="W833" s="471"/>
      <c r="X833" s="471"/>
      <c r="Y833" s="471"/>
      <c r="Z833" s="471"/>
      <c r="AA833" s="471"/>
      <c r="AB833" s="471"/>
      <c r="AC833" s="471"/>
      <c r="AD833" s="471"/>
      <c r="AE833" s="471"/>
      <c r="AF833" s="471"/>
      <c r="AG833" s="471"/>
      <c r="AH833" s="471"/>
      <c r="AI833" s="471"/>
    </row>
    <row r="834">
      <c r="A834" s="471"/>
      <c r="B834" s="471"/>
      <c r="C834" s="471"/>
      <c r="D834" s="471"/>
      <c r="E834" s="471"/>
      <c r="F834" s="501"/>
      <c r="G834" s="471"/>
      <c r="H834" s="471"/>
      <c r="I834" s="471"/>
      <c r="J834" s="490"/>
      <c r="K834" s="491"/>
      <c r="L834" s="471"/>
      <c r="M834" s="471"/>
      <c r="N834" s="471"/>
      <c r="O834" s="471"/>
      <c r="P834" s="471"/>
      <c r="Q834" s="471"/>
      <c r="R834" s="471"/>
      <c r="S834" s="471"/>
      <c r="T834" s="471"/>
      <c r="U834" s="471"/>
      <c r="V834" s="471"/>
      <c r="W834" s="471"/>
      <c r="X834" s="471"/>
      <c r="Y834" s="471"/>
      <c r="Z834" s="471"/>
      <c r="AA834" s="471"/>
      <c r="AB834" s="471"/>
      <c r="AC834" s="471"/>
      <c r="AD834" s="471"/>
      <c r="AE834" s="471"/>
      <c r="AF834" s="471"/>
      <c r="AG834" s="471"/>
      <c r="AH834" s="471"/>
      <c r="AI834" s="471"/>
    </row>
    <row r="835">
      <c r="A835" s="471"/>
      <c r="B835" s="471"/>
      <c r="C835" s="471"/>
      <c r="D835" s="471"/>
      <c r="E835" s="471"/>
      <c r="F835" s="501"/>
      <c r="G835" s="471"/>
      <c r="H835" s="471"/>
      <c r="I835" s="471"/>
      <c r="J835" s="490"/>
      <c r="K835" s="491"/>
      <c r="L835" s="471"/>
      <c r="M835" s="471"/>
      <c r="N835" s="471"/>
      <c r="O835" s="471"/>
      <c r="P835" s="471"/>
      <c r="Q835" s="471"/>
      <c r="R835" s="471"/>
      <c r="S835" s="471"/>
      <c r="T835" s="471"/>
      <c r="U835" s="471"/>
      <c r="V835" s="471"/>
      <c r="W835" s="471"/>
      <c r="X835" s="471"/>
      <c r="Y835" s="471"/>
      <c r="Z835" s="471"/>
      <c r="AA835" s="471"/>
      <c r="AB835" s="471"/>
      <c r="AC835" s="471"/>
      <c r="AD835" s="471"/>
      <c r="AE835" s="471"/>
      <c r="AF835" s="471"/>
      <c r="AG835" s="471"/>
      <c r="AH835" s="471"/>
      <c r="AI835" s="471"/>
    </row>
    <row r="836">
      <c r="A836" s="471"/>
      <c r="B836" s="471"/>
      <c r="C836" s="471"/>
      <c r="D836" s="471"/>
      <c r="E836" s="471"/>
      <c r="F836" s="501"/>
      <c r="G836" s="471"/>
      <c r="H836" s="471"/>
      <c r="I836" s="471"/>
      <c r="J836" s="490"/>
      <c r="K836" s="491"/>
      <c r="L836" s="471"/>
      <c r="M836" s="471"/>
      <c r="N836" s="471"/>
      <c r="O836" s="471"/>
      <c r="P836" s="471"/>
      <c r="Q836" s="471"/>
      <c r="R836" s="471"/>
      <c r="S836" s="471"/>
      <c r="T836" s="471"/>
      <c r="U836" s="471"/>
      <c r="V836" s="471"/>
      <c r="W836" s="471"/>
      <c r="X836" s="471"/>
      <c r="Y836" s="471"/>
      <c r="Z836" s="471"/>
      <c r="AA836" s="471"/>
      <c r="AB836" s="471"/>
      <c r="AC836" s="471"/>
      <c r="AD836" s="471"/>
      <c r="AE836" s="471"/>
      <c r="AF836" s="471"/>
      <c r="AG836" s="471"/>
      <c r="AH836" s="471"/>
      <c r="AI836" s="471"/>
    </row>
    <row r="837">
      <c r="A837" s="471"/>
      <c r="B837" s="471"/>
      <c r="C837" s="471"/>
      <c r="D837" s="471"/>
      <c r="E837" s="471"/>
      <c r="F837" s="501"/>
      <c r="G837" s="471"/>
      <c r="H837" s="471"/>
      <c r="I837" s="471"/>
      <c r="J837" s="490"/>
      <c r="K837" s="491"/>
      <c r="L837" s="471"/>
      <c r="M837" s="471"/>
      <c r="N837" s="471"/>
      <c r="O837" s="471"/>
      <c r="P837" s="471"/>
      <c r="Q837" s="471"/>
      <c r="R837" s="471"/>
      <c r="S837" s="471"/>
      <c r="T837" s="471"/>
      <c r="U837" s="471"/>
      <c r="V837" s="471"/>
      <c r="W837" s="471"/>
      <c r="X837" s="471"/>
      <c r="Y837" s="471"/>
      <c r="Z837" s="471"/>
      <c r="AA837" s="471"/>
      <c r="AB837" s="471"/>
      <c r="AC837" s="471"/>
      <c r="AD837" s="471"/>
      <c r="AE837" s="471"/>
      <c r="AF837" s="471"/>
      <c r="AG837" s="471"/>
      <c r="AH837" s="471"/>
      <c r="AI837" s="471"/>
    </row>
    <row r="838">
      <c r="A838" s="471"/>
      <c r="B838" s="471"/>
      <c r="C838" s="471"/>
      <c r="D838" s="471"/>
      <c r="E838" s="471"/>
      <c r="F838" s="501"/>
      <c r="G838" s="471"/>
      <c r="H838" s="471"/>
      <c r="I838" s="471"/>
      <c r="J838" s="490"/>
      <c r="K838" s="491"/>
      <c r="L838" s="471"/>
      <c r="M838" s="471"/>
      <c r="N838" s="471"/>
      <c r="O838" s="471"/>
      <c r="P838" s="471"/>
      <c r="Q838" s="471"/>
      <c r="R838" s="471"/>
      <c r="S838" s="471"/>
      <c r="T838" s="471"/>
      <c r="U838" s="471"/>
      <c r="V838" s="471"/>
      <c r="W838" s="471"/>
      <c r="X838" s="471"/>
      <c r="Y838" s="471"/>
      <c r="Z838" s="471"/>
      <c r="AA838" s="471"/>
      <c r="AB838" s="471"/>
      <c r="AC838" s="471"/>
      <c r="AD838" s="471"/>
      <c r="AE838" s="471"/>
      <c r="AF838" s="471"/>
      <c r="AG838" s="471"/>
      <c r="AH838" s="471"/>
      <c r="AI838" s="471"/>
    </row>
    <row r="839">
      <c r="A839" s="471"/>
      <c r="B839" s="471"/>
      <c r="C839" s="471"/>
      <c r="D839" s="471"/>
      <c r="E839" s="471"/>
      <c r="F839" s="501"/>
      <c r="G839" s="471"/>
      <c r="H839" s="471"/>
      <c r="I839" s="471"/>
      <c r="J839" s="490"/>
      <c r="K839" s="491"/>
      <c r="L839" s="471"/>
      <c r="M839" s="471"/>
      <c r="N839" s="471"/>
      <c r="O839" s="471"/>
      <c r="P839" s="471"/>
      <c r="Q839" s="471"/>
      <c r="R839" s="471"/>
      <c r="S839" s="471"/>
      <c r="T839" s="471"/>
      <c r="U839" s="471"/>
      <c r="V839" s="471"/>
      <c r="W839" s="471"/>
      <c r="X839" s="471"/>
      <c r="Y839" s="471"/>
      <c r="Z839" s="471"/>
      <c r="AA839" s="471"/>
      <c r="AB839" s="471"/>
      <c r="AC839" s="471"/>
      <c r="AD839" s="471"/>
      <c r="AE839" s="471"/>
      <c r="AF839" s="471"/>
      <c r="AG839" s="471"/>
      <c r="AH839" s="471"/>
      <c r="AI839" s="471"/>
    </row>
    <row r="840">
      <c r="A840" s="471"/>
      <c r="B840" s="471"/>
      <c r="C840" s="471"/>
      <c r="D840" s="471"/>
      <c r="E840" s="471"/>
      <c r="F840" s="501"/>
      <c r="G840" s="471"/>
      <c r="H840" s="471"/>
      <c r="I840" s="471"/>
      <c r="J840" s="490"/>
      <c r="K840" s="491"/>
      <c r="L840" s="471"/>
      <c r="M840" s="471"/>
      <c r="N840" s="471"/>
      <c r="O840" s="471"/>
      <c r="P840" s="471"/>
      <c r="Q840" s="471"/>
      <c r="R840" s="471"/>
      <c r="S840" s="471"/>
      <c r="T840" s="471"/>
      <c r="U840" s="471"/>
      <c r="V840" s="471"/>
      <c r="W840" s="471"/>
      <c r="X840" s="471"/>
      <c r="Y840" s="471"/>
      <c r="Z840" s="471"/>
      <c r="AA840" s="471"/>
      <c r="AB840" s="471"/>
      <c r="AC840" s="471"/>
      <c r="AD840" s="471"/>
      <c r="AE840" s="471"/>
      <c r="AF840" s="471"/>
      <c r="AG840" s="471"/>
      <c r="AH840" s="471"/>
      <c r="AI840" s="471"/>
    </row>
    <row r="841">
      <c r="A841" s="471"/>
      <c r="B841" s="471"/>
      <c r="C841" s="471"/>
      <c r="D841" s="471"/>
      <c r="E841" s="471"/>
      <c r="F841" s="501"/>
      <c r="G841" s="471"/>
      <c r="H841" s="471"/>
      <c r="I841" s="471"/>
      <c r="J841" s="490"/>
      <c r="K841" s="491"/>
      <c r="L841" s="471"/>
      <c r="M841" s="471"/>
      <c r="N841" s="471"/>
      <c r="O841" s="471"/>
      <c r="P841" s="471"/>
      <c r="Q841" s="471"/>
      <c r="R841" s="471"/>
      <c r="S841" s="471"/>
      <c r="T841" s="471"/>
      <c r="U841" s="471"/>
      <c r="V841" s="471"/>
      <c r="W841" s="471"/>
      <c r="X841" s="471"/>
      <c r="Y841" s="471"/>
      <c r="Z841" s="471"/>
      <c r="AA841" s="471"/>
      <c r="AB841" s="471"/>
      <c r="AC841" s="471"/>
      <c r="AD841" s="471"/>
      <c r="AE841" s="471"/>
      <c r="AF841" s="471"/>
      <c r="AG841" s="471"/>
      <c r="AH841" s="471"/>
      <c r="AI841" s="471"/>
    </row>
    <row r="842">
      <c r="A842" s="471"/>
      <c r="B842" s="471"/>
      <c r="C842" s="471"/>
      <c r="D842" s="471"/>
      <c r="E842" s="471"/>
      <c r="F842" s="501"/>
      <c r="G842" s="471"/>
      <c r="H842" s="471"/>
      <c r="I842" s="471"/>
      <c r="J842" s="490"/>
      <c r="K842" s="491"/>
      <c r="L842" s="471"/>
      <c r="M842" s="471"/>
      <c r="N842" s="471"/>
      <c r="O842" s="471"/>
      <c r="P842" s="471"/>
      <c r="Q842" s="471"/>
      <c r="R842" s="471"/>
      <c r="S842" s="471"/>
      <c r="T842" s="471"/>
      <c r="U842" s="471"/>
      <c r="V842" s="471"/>
      <c r="W842" s="471"/>
      <c r="X842" s="471"/>
      <c r="Y842" s="471"/>
      <c r="Z842" s="471"/>
      <c r="AA842" s="471"/>
      <c r="AB842" s="471"/>
      <c r="AC842" s="471"/>
      <c r="AD842" s="471"/>
      <c r="AE842" s="471"/>
      <c r="AF842" s="471"/>
      <c r="AG842" s="471"/>
      <c r="AH842" s="471"/>
      <c r="AI842" s="471"/>
    </row>
    <row r="843">
      <c r="A843" s="471"/>
      <c r="B843" s="471"/>
      <c r="C843" s="471"/>
      <c r="D843" s="471"/>
      <c r="E843" s="471"/>
      <c r="F843" s="501"/>
      <c r="G843" s="471"/>
      <c r="H843" s="471"/>
      <c r="I843" s="471"/>
      <c r="J843" s="490"/>
      <c r="K843" s="491"/>
      <c r="L843" s="471"/>
      <c r="M843" s="471"/>
      <c r="N843" s="471"/>
      <c r="O843" s="471"/>
      <c r="P843" s="471"/>
      <c r="Q843" s="471"/>
      <c r="R843" s="471"/>
      <c r="S843" s="471"/>
      <c r="T843" s="471"/>
      <c r="U843" s="471"/>
      <c r="V843" s="471"/>
      <c r="W843" s="471"/>
      <c r="X843" s="471"/>
      <c r="Y843" s="471"/>
      <c r="Z843" s="471"/>
      <c r="AA843" s="471"/>
      <c r="AB843" s="471"/>
      <c r="AC843" s="471"/>
      <c r="AD843" s="471"/>
      <c r="AE843" s="471"/>
      <c r="AF843" s="471"/>
      <c r="AG843" s="471"/>
      <c r="AH843" s="471"/>
      <c r="AI843" s="471"/>
    </row>
    <row r="844">
      <c r="A844" s="471"/>
      <c r="B844" s="471"/>
      <c r="C844" s="471"/>
      <c r="D844" s="471"/>
      <c r="E844" s="471"/>
      <c r="F844" s="501"/>
      <c r="G844" s="471"/>
      <c r="H844" s="471"/>
      <c r="I844" s="471"/>
      <c r="J844" s="490"/>
      <c r="K844" s="491"/>
      <c r="L844" s="471"/>
      <c r="M844" s="471"/>
      <c r="N844" s="471"/>
      <c r="O844" s="471"/>
      <c r="P844" s="471"/>
      <c r="Q844" s="471"/>
      <c r="R844" s="471"/>
      <c r="S844" s="471"/>
      <c r="T844" s="471"/>
      <c r="U844" s="471"/>
      <c r="V844" s="471"/>
      <c r="W844" s="471"/>
      <c r="X844" s="471"/>
      <c r="Y844" s="471"/>
      <c r="Z844" s="471"/>
      <c r="AA844" s="471"/>
      <c r="AB844" s="471"/>
      <c r="AC844" s="471"/>
      <c r="AD844" s="471"/>
      <c r="AE844" s="471"/>
      <c r="AF844" s="471"/>
      <c r="AG844" s="471"/>
      <c r="AH844" s="471"/>
      <c r="AI844" s="471"/>
    </row>
    <row r="845">
      <c r="A845" s="471"/>
      <c r="B845" s="471"/>
      <c r="C845" s="471"/>
      <c r="D845" s="471"/>
      <c r="E845" s="471"/>
      <c r="F845" s="501"/>
      <c r="G845" s="471"/>
      <c r="H845" s="471"/>
      <c r="I845" s="471"/>
      <c r="J845" s="490"/>
      <c r="K845" s="491"/>
      <c r="L845" s="471"/>
      <c r="M845" s="471"/>
      <c r="N845" s="471"/>
      <c r="O845" s="471"/>
      <c r="P845" s="471"/>
      <c r="Q845" s="471"/>
      <c r="R845" s="471"/>
      <c r="S845" s="471"/>
      <c r="T845" s="471"/>
      <c r="U845" s="471"/>
      <c r="V845" s="471"/>
      <c r="W845" s="471"/>
      <c r="X845" s="471"/>
      <c r="Y845" s="471"/>
      <c r="Z845" s="471"/>
      <c r="AA845" s="471"/>
      <c r="AB845" s="471"/>
      <c r="AC845" s="471"/>
      <c r="AD845" s="471"/>
      <c r="AE845" s="471"/>
      <c r="AF845" s="471"/>
      <c r="AG845" s="471"/>
      <c r="AH845" s="471"/>
      <c r="AI845" s="471"/>
    </row>
    <row r="846">
      <c r="A846" s="471"/>
      <c r="B846" s="471"/>
      <c r="C846" s="471"/>
      <c r="D846" s="471"/>
      <c r="E846" s="471"/>
      <c r="F846" s="501"/>
      <c r="G846" s="471"/>
      <c r="H846" s="471"/>
      <c r="I846" s="471"/>
      <c r="J846" s="490"/>
      <c r="K846" s="491"/>
      <c r="L846" s="471"/>
      <c r="M846" s="471"/>
      <c r="N846" s="471"/>
      <c r="O846" s="471"/>
      <c r="P846" s="471"/>
      <c r="Q846" s="471"/>
      <c r="R846" s="471"/>
      <c r="S846" s="471"/>
      <c r="T846" s="471"/>
      <c r="U846" s="471"/>
      <c r="V846" s="471"/>
      <c r="W846" s="471"/>
      <c r="X846" s="471"/>
      <c r="Y846" s="471"/>
      <c r="Z846" s="471"/>
      <c r="AA846" s="471"/>
      <c r="AB846" s="471"/>
      <c r="AC846" s="471"/>
      <c r="AD846" s="471"/>
      <c r="AE846" s="471"/>
      <c r="AF846" s="471"/>
      <c r="AG846" s="471"/>
      <c r="AH846" s="471"/>
      <c r="AI846" s="471"/>
    </row>
    <row r="847">
      <c r="A847" s="471"/>
      <c r="B847" s="471"/>
      <c r="C847" s="471"/>
      <c r="D847" s="471"/>
      <c r="E847" s="471"/>
      <c r="F847" s="501"/>
      <c r="G847" s="471"/>
      <c r="H847" s="471"/>
      <c r="I847" s="471"/>
      <c r="J847" s="490"/>
      <c r="K847" s="491"/>
      <c r="L847" s="471"/>
      <c r="M847" s="471"/>
      <c r="N847" s="471"/>
      <c r="O847" s="471"/>
      <c r="P847" s="471"/>
      <c r="Q847" s="471"/>
      <c r="R847" s="471"/>
      <c r="S847" s="471"/>
      <c r="T847" s="471"/>
      <c r="U847" s="471"/>
      <c r="V847" s="471"/>
      <c r="W847" s="471"/>
      <c r="X847" s="471"/>
      <c r="Y847" s="471"/>
      <c r="Z847" s="471"/>
      <c r="AA847" s="471"/>
      <c r="AB847" s="471"/>
      <c r="AC847" s="471"/>
      <c r="AD847" s="471"/>
      <c r="AE847" s="471"/>
      <c r="AF847" s="471"/>
      <c r="AG847" s="471"/>
      <c r="AH847" s="471"/>
      <c r="AI847" s="471"/>
    </row>
    <row r="848">
      <c r="A848" s="471"/>
      <c r="B848" s="471"/>
      <c r="C848" s="471"/>
      <c r="D848" s="471"/>
      <c r="E848" s="471"/>
      <c r="F848" s="501"/>
      <c r="G848" s="471"/>
      <c r="H848" s="471"/>
      <c r="I848" s="471"/>
      <c r="J848" s="490"/>
      <c r="K848" s="491"/>
      <c r="L848" s="471"/>
      <c r="M848" s="471"/>
      <c r="N848" s="471"/>
      <c r="O848" s="471"/>
      <c r="P848" s="471"/>
      <c r="Q848" s="471"/>
      <c r="R848" s="471"/>
      <c r="S848" s="471"/>
      <c r="T848" s="471"/>
      <c r="U848" s="471"/>
      <c r="V848" s="471"/>
      <c r="W848" s="471"/>
      <c r="X848" s="471"/>
      <c r="Y848" s="471"/>
      <c r="Z848" s="471"/>
      <c r="AA848" s="471"/>
      <c r="AB848" s="471"/>
      <c r="AC848" s="471"/>
      <c r="AD848" s="471"/>
      <c r="AE848" s="471"/>
      <c r="AF848" s="471"/>
      <c r="AG848" s="471"/>
      <c r="AH848" s="471"/>
      <c r="AI848" s="471"/>
    </row>
    <row r="849">
      <c r="A849" s="471"/>
      <c r="B849" s="471"/>
      <c r="C849" s="471"/>
      <c r="D849" s="471"/>
      <c r="E849" s="471"/>
      <c r="F849" s="501"/>
      <c r="G849" s="471"/>
      <c r="H849" s="471"/>
      <c r="I849" s="471"/>
      <c r="J849" s="490"/>
      <c r="K849" s="491"/>
      <c r="L849" s="471"/>
      <c r="M849" s="471"/>
      <c r="N849" s="471"/>
      <c r="O849" s="471"/>
      <c r="P849" s="471"/>
      <c r="Q849" s="471"/>
      <c r="R849" s="471"/>
      <c r="S849" s="471"/>
      <c r="T849" s="471"/>
      <c r="U849" s="471"/>
      <c r="V849" s="471"/>
      <c r="W849" s="471"/>
      <c r="X849" s="471"/>
      <c r="Y849" s="471"/>
      <c r="Z849" s="471"/>
      <c r="AA849" s="471"/>
      <c r="AB849" s="471"/>
      <c r="AC849" s="471"/>
      <c r="AD849" s="471"/>
      <c r="AE849" s="471"/>
      <c r="AF849" s="471"/>
      <c r="AG849" s="471"/>
      <c r="AH849" s="471"/>
      <c r="AI849" s="471"/>
    </row>
    <row r="850">
      <c r="A850" s="471"/>
      <c r="B850" s="471"/>
      <c r="C850" s="471"/>
      <c r="D850" s="471"/>
      <c r="E850" s="471"/>
      <c r="F850" s="501"/>
      <c r="G850" s="471"/>
      <c r="H850" s="471"/>
      <c r="I850" s="471"/>
      <c r="J850" s="490"/>
      <c r="K850" s="491"/>
      <c r="L850" s="471"/>
      <c r="M850" s="471"/>
      <c r="N850" s="471"/>
      <c r="O850" s="471"/>
      <c r="P850" s="471"/>
      <c r="Q850" s="471"/>
      <c r="R850" s="471"/>
      <c r="S850" s="471"/>
      <c r="T850" s="471"/>
      <c r="U850" s="471"/>
      <c r="V850" s="471"/>
      <c r="W850" s="471"/>
      <c r="X850" s="471"/>
      <c r="Y850" s="471"/>
      <c r="Z850" s="471"/>
      <c r="AA850" s="471"/>
      <c r="AB850" s="471"/>
      <c r="AC850" s="471"/>
      <c r="AD850" s="471"/>
      <c r="AE850" s="471"/>
      <c r="AF850" s="471"/>
      <c r="AG850" s="471"/>
      <c r="AH850" s="471"/>
      <c r="AI850" s="471"/>
    </row>
    <row r="851">
      <c r="A851" s="471"/>
      <c r="B851" s="471"/>
      <c r="C851" s="471"/>
      <c r="D851" s="471"/>
      <c r="E851" s="471"/>
      <c r="F851" s="501"/>
      <c r="G851" s="471"/>
      <c r="H851" s="471"/>
      <c r="I851" s="471"/>
      <c r="J851" s="490"/>
      <c r="K851" s="491"/>
      <c r="L851" s="471"/>
      <c r="M851" s="471"/>
      <c r="N851" s="471"/>
      <c r="O851" s="471"/>
      <c r="P851" s="471"/>
      <c r="Q851" s="471"/>
      <c r="R851" s="471"/>
      <c r="S851" s="471"/>
      <c r="T851" s="471"/>
      <c r="U851" s="471"/>
      <c r="V851" s="471"/>
      <c r="W851" s="471"/>
      <c r="X851" s="471"/>
      <c r="Y851" s="471"/>
      <c r="Z851" s="471"/>
      <c r="AA851" s="471"/>
      <c r="AB851" s="471"/>
      <c r="AC851" s="471"/>
      <c r="AD851" s="471"/>
      <c r="AE851" s="471"/>
      <c r="AF851" s="471"/>
      <c r="AG851" s="471"/>
      <c r="AH851" s="471"/>
      <c r="AI851" s="471"/>
    </row>
    <row r="852">
      <c r="A852" s="471"/>
      <c r="B852" s="471"/>
      <c r="C852" s="471"/>
      <c r="D852" s="471"/>
      <c r="E852" s="471"/>
      <c r="F852" s="501"/>
      <c r="G852" s="471"/>
      <c r="H852" s="471"/>
      <c r="I852" s="471"/>
      <c r="J852" s="490"/>
      <c r="K852" s="491"/>
      <c r="L852" s="471"/>
      <c r="M852" s="471"/>
      <c r="N852" s="471"/>
      <c r="O852" s="471"/>
      <c r="P852" s="471"/>
      <c r="Q852" s="471"/>
      <c r="R852" s="471"/>
      <c r="S852" s="471"/>
      <c r="T852" s="471"/>
      <c r="U852" s="471"/>
      <c r="V852" s="471"/>
      <c r="W852" s="471"/>
      <c r="X852" s="471"/>
      <c r="Y852" s="471"/>
      <c r="Z852" s="471"/>
      <c r="AA852" s="471"/>
      <c r="AB852" s="471"/>
      <c r="AC852" s="471"/>
      <c r="AD852" s="471"/>
      <c r="AE852" s="471"/>
      <c r="AF852" s="471"/>
      <c r="AG852" s="471"/>
      <c r="AH852" s="471"/>
      <c r="AI852" s="471"/>
    </row>
    <row r="853">
      <c r="A853" s="471"/>
      <c r="B853" s="471"/>
      <c r="C853" s="471"/>
      <c r="D853" s="471"/>
      <c r="E853" s="471"/>
      <c r="F853" s="501"/>
      <c r="G853" s="471"/>
      <c r="H853" s="471"/>
      <c r="I853" s="471"/>
      <c r="J853" s="490"/>
      <c r="K853" s="491"/>
      <c r="L853" s="471"/>
      <c r="M853" s="471"/>
      <c r="N853" s="471"/>
      <c r="O853" s="471"/>
      <c r="P853" s="471"/>
      <c r="Q853" s="471"/>
      <c r="R853" s="471"/>
      <c r="S853" s="471"/>
      <c r="T853" s="471"/>
      <c r="U853" s="471"/>
      <c r="V853" s="471"/>
      <c r="W853" s="471"/>
      <c r="X853" s="471"/>
      <c r="Y853" s="471"/>
      <c r="Z853" s="471"/>
      <c r="AA853" s="471"/>
      <c r="AB853" s="471"/>
      <c r="AC853" s="471"/>
      <c r="AD853" s="471"/>
      <c r="AE853" s="471"/>
      <c r="AF853" s="471"/>
      <c r="AG853" s="471"/>
      <c r="AH853" s="471"/>
      <c r="AI853" s="471"/>
    </row>
    <row r="854">
      <c r="A854" s="471"/>
      <c r="B854" s="471"/>
      <c r="C854" s="471"/>
      <c r="D854" s="471"/>
      <c r="E854" s="471"/>
      <c r="F854" s="501"/>
      <c r="G854" s="471"/>
      <c r="H854" s="471"/>
      <c r="I854" s="471"/>
      <c r="J854" s="490"/>
      <c r="K854" s="491"/>
      <c r="L854" s="471"/>
      <c r="M854" s="471"/>
      <c r="N854" s="471"/>
      <c r="O854" s="471"/>
      <c r="P854" s="471"/>
      <c r="Q854" s="471"/>
      <c r="R854" s="471"/>
      <c r="S854" s="471"/>
      <c r="T854" s="471"/>
      <c r="U854" s="471"/>
      <c r="V854" s="471"/>
      <c r="W854" s="471"/>
      <c r="X854" s="471"/>
      <c r="Y854" s="471"/>
      <c r="Z854" s="471"/>
      <c r="AA854" s="471"/>
      <c r="AB854" s="471"/>
      <c r="AC854" s="471"/>
      <c r="AD854" s="471"/>
      <c r="AE854" s="471"/>
      <c r="AF854" s="471"/>
      <c r="AG854" s="471"/>
      <c r="AH854" s="471"/>
      <c r="AI854" s="471"/>
    </row>
    <row r="855">
      <c r="A855" s="471"/>
      <c r="B855" s="471"/>
      <c r="C855" s="471"/>
      <c r="D855" s="471"/>
      <c r="E855" s="471"/>
      <c r="F855" s="501"/>
      <c r="G855" s="471"/>
      <c r="H855" s="471"/>
      <c r="I855" s="471"/>
      <c r="J855" s="490"/>
      <c r="K855" s="491"/>
      <c r="L855" s="471"/>
      <c r="M855" s="471"/>
      <c r="N855" s="471"/>
      <c r="O855" s="471"/>
      <c r="P855" s="471"/>
      <c r="Q855" s="471"/>
      <c r="R855" s="471"/>
      <c r="S855" s="471"/>
      <c r="T855" s="471"/>
      <c r="U855" s="471"/>
      <c r="V855" s="471"/>
      <c r="W855" s="471"/>
      <c r="X855" s="471"/>
      <c r="Y855" s="471"/>
      <c r="Z855" s="471"/>
      <c r="AA855" s="471"/>
      <c r="AB855" s="471"/>
      <c r="AC855" s="471"/>
      <c r="AD855" s="471"/>
      <c r="AE855" s="471"/>
      <c r="AF855" s="471"/>
      <c r="AG855" s="471"/>
      <c r="AH855" s="471"/>
      <c r="AI855" s="471"/>
    </row>
    <row r="856">
      <c r="A856" s="471"/>
      <c r="B856" s="471"/>
      <c r="C856" s="471"/>
      <c r="D856" s="471"/>
      <c r="E856" s="471"/>
      <c r="F856" s="501"/>
      <c r="G856" s="471"/>
      <c r="H856" s="471"/>
      <c r="I856" s="471"/>
      <c r="J856" s="490"/>
      <c r="K856" s="491"/>
      <c r="L856" s="471"/>
      <c r="M856" s="471"/>
      <c r="N856" s="471"/>
      <c r="O856" s="471"/>
      <c r="P856" s="471"/>
      <c r="Q856" s="471"/>
      <c r="R856" s="471"/>
      <c r="S856" s="471"/>
      <c r="T856" s="471"/>
      <c r="U856" s="471"/>
      <c r="V856" s="471"/>
      <c r="W856" s="471"/>
      <c r="X856" s="471"/>
      <c r="Y856" s="471"/>
      <c r="Z856" s="471"/>
      <c r="AA856" s="471"/>
      <c r="AB856" s="471"/>
      <c r="AC856" s="471"/>
      <c r="AD856" s="471"/>
      <c r="AE856" s="471"/>
      <c r="AF856" s="471"/>
      <c r="AG856" s="471"/>
      <c r="AH856" s="471"/>
      <c r="AI856" s="471"/>
    </row>
    <row r="857">
      <c r="A857" s="471"/>
      <c r="B857" s="471"/>
      <c r="C857" s="471"/>
      <c r="D857" s="471"/>
      <c r="E857" s="471"/>
      <c r="F857" s="501"/>
      <c r="G857" s="471"/>
      <c r="H857" s="471"/>
      <c r="I857" s="471"/>
      <c r="J857" s="490"/>
      <c r="K857" s="491"/>
      <c r="L857" s="471"/>
      <c r="M857" s="471"/>
      <c r="N857" s="471"/>
      <c r="O857" s="471"/>
      <c r="P857" s="471"/>
      <c r="Q857" s="471"/>
      <c r="R857" s="471"/>
      <c r="S857" s="471"/>
      <c r="T857" s="471"/>
      <c r="U857" s="471"/>
      <c r="V857" s="471"/>
      <c r="W857" s="471"/>
      <c r="X857" s="471"/>
      <c r="Y857" s="471"/>
      <c r="Z857" s="471"/>
      <c r="AA857" s="471"/>
      <c r="AB857" s="471"/>
      <c r="AC857" s="471"/>
      <c r="AD857" s="471"/>
      <c r="AE857" s="471"/>
      <c r="AF857" s="471"/>
      <c r="AG857" s="471"/>
      <c r="AH857" s="471"/>
      <c r="AI857" s="471"/>
    </row>
    <row r="858">
      <c r="A858" s="471"/>
      <c r="B858" s="471"/>
      <c r="C858" s="471"/>
      <c r="D858" s="471"/>
      <c r="E858" s="471"/>
      <c r="F858" s="501"/>
      <c r="G858" s="471"/>
      <c r="H858" s="471"/>
      <c r="I858" s="471"/>
      <c r="J858" s="490"/>
      <c r="K858" s="491"/>
      <c r="L858" s="471"/>
      <c r="M858" s="471"/>
      <c r="N858" s="471"/>
      <c r="O858" s="471"/>
      <c r="P858" s="471"/>
      <c r="Q858" s="471"/>
      <c r="R858" s="471"/>
      <c r="S858" s="471"/>
      <c r="T858" s="471"/>
      <c r="U858" s="471"/>
      <c r="V858" s="471"/>
      <c r="W858" s="471"/>
      <c r="X858" s="471"/>
      <c r="Y858" s="471"/>
      <c r="Z858" s="471"/>
      <c r="AA858" s="471"/>
      <c r="AB858" s="471"/>
      <c r="AC858" s="471"/>
      <c r="AD858" s="471"/>
      <c r="AE858" s="471"/>
      <c r="AF858" s="471"/>
      <c r="AG858" s="471"/>
      <c r="AH858" s="471"/>
      <c r="AI858" s="471"/>
    </row>
    <row r="859">
      <c r="A859" s="471"/>
      <c r="B859" s="471"/>
      <c r="C859" s="471"/>
      <c r="D859" s="471"/>
      <c r="E859" s="471"/>
      <c r="F859" s="501"/>
      <c r="G859" s="471"/>
      <c r="H859" s="471"/>
      <c r="I859" s="471"/>
      <c r="J859" s="490"/>
      <c r="K859" s="491"/>
      <c r="L859" s="471"/>
      <c r="M859" s="471"/>
      <c r="N859" s="471"/>
      <c r="O859" s="471"/>
      <c r="P859" s="471"/>
      <c r="Q859" s="471"/>
      <c r="R859" s="471"/>
      <c r="S859" s="471"/>
      <c r="T859" s="471"/>
      <c r="U859" s="471"/>
      <c r="V859" s="471"/>
      <c r="W859" s="471"/>
      <c r="X859" s="471"/>
      <c r="Y859" s="471"/>
      <c r="Z859" s="471"/>
      <c r="AA859" s="471"/>
      <c r="AB859" s="471"/>
      <c r="AC859" s="471"/>
      <c r="AD859" s="471"/>
      <c r="AE859" s="471"/>
      <c r="AF859" s="471"/>
      <c r="AG859" s="471"/>
      <c r="AH859" s="471"/>
      <c r="AI859" s="471"/>
    </row>
    <row r="860">
      <c r="A860" s="471"/>
      <c r="B860" s="471"/>
      <c r="C860" s="471"/>
      <c r="D860" s="471"/>
      <c r="E860" s="471"/>
      <c r="F860" s="501"/>
      <c r="G860" s="471"/>
      <c r="H860" s="471"/>
      <c r="I860" s="471"/>
      <c r="J860" s="490"/>
      <c r="K860" s="491"/>
      <c r="L860" s="471"/>
      <c r="M860" s="471"/>
      <c r="N860" s="471"/>
      <c r="O860" s="471"/>
      <c r="P860" s="471"/>
      <c r="Q860" s="471"/>
      <c r="R860" s="471"/>
      <c r="S860" s="471"/>
      <c r="T860" s="471"/>
      <c r="U860" s="471"/>
      <c r="V860" s="471"/>
      <c r="W860" s="471"/>
      <c r="X860" s="471"/>
      <c r="Y860" s="471"/>
      <c r="Z860" s="471"/>
      <c r="AA860" s="471"/>
      <c r="AB860" s="471"/>
      <c r="AC860" s="471"/>
      <c r="AD860" s="471"/>
      <c r="AE860" s="471"/>
      <c r="AF860" s="471"/>
      <c r="AG860" s="471"/>
      <c r="AH860" s="471"/>
      <c r="AI860" s="471"/>
    </row>
    <row r="861">
      <c r="A861" s="471"/>
      <c r="B861" s="471"/>
      <c r="C861" s="471"/>
      <c r="D861" s="471"/>
      <c r="E861" s="471"/>
      <c r="F861" s="501"/>
      <c r="G861" s="471"/>
      <c r="H861" s="471"/>
      <c r="I861" s="471"/>
      <c r="J861" s="490"/>
      <c r="K861" s="491"/>
      <c r="L861" s="471"/>
      <c r="M861" s="471"/>
      <c r="N861" s="471"/>
      <c r="O861" s="471"/>
      <c r="P861" s="471"/>
      <c r="Q861" s="471"/>
      <c r="R861" s="471"/>
      <c r="S861" s="471"/>
      <c r="T861" s="471"/>
      <c r="U861" s="471"/>
      <c r="V861" s="471"/>
      <c r="W861" s="471"/>
      <c r="X861" s="471"/>
      <c r="Y861" s="471"/>
      <c r="Z861" s="471"/>
      <c r="AA861" s="471"/>
      <c r="AB861" s="471"/>
      <c r="AC861" s="471"/>
      <c r="AD861" s="471"/>
      <c r="AE861" s="471"/>
      <c r="AF861" s="471"/>
      <c r="AG861" s="471"/>
      <c r="AH861" s="471"/>
      <c r="AI861" s="471"/>
    </row>
    <row r="862">
      <c r="A862" s="471"/>
      <c r="B862" s="471"/>
      <c r="C862" s="471"/>
      <c r="D862" s="471"/>
      <c r="E862" s="471"/>
      <c r="F862" s="501"/>
      <c r="G862" s="471"/>
      <c r="H862" s="471"/>
      <c r="I862" s="471"/>
      <c r="J862" s="490"/>
      <c r="K862" s="491"/>
      <c r="L862" s="471"/>
      <c r="M862" s="471"/>
      <c r="N862" s="471"/>
      <c r="O862" s="471"/>
      <c r="P862" s="471"/>
      <c r="Q862" s="471"/>
      <c r="R862" s="471"/>
      <c r="S862" s="471"/>
      <c r="T862" s="471"/>
      <c r="U862" s="471"/>
      <c r="V862" s="471"/>
      <c r="W862" s="471"/>
      <c r="X862" s="471"/>
      <c r="Y862" s="471"/>
      <c r="Z862" s="471"/>
      <c r="AA862" s="471"/>
      <c r="AB862" s="471"/>
      <c r="AC862" s="471"/>
      <c r="AD862" s="471"/>
      <c r="AE862" s="471"/>
      <c r="AF862" s="471"/>
      <c r="AG862" s="471"/>
      <c r="AH862" s="471"/>
      <c r="AI862" s="471"/>
    </row>
    <row r="863">
      <c r="A863" s="471"/>
      <c r="B863" s="471"/>
      <c r="C863" s="471"/>
      <c r="D863" s="471"/>
      <c r="E863" s="471"/>
      <c r="F863" s="501"/>
      <c r="G863" s="471"/>
      <c r="H863" s="471"/>
      <c r="I863" s="471"/>
      <c r="J863" s="490"/>
      <c r="K863" s="491"/>
      <c r="L863" s="471"/>
      <c r="M863" s="471"/>
      <c r="N863" s="471"/>
      <c r="O863" s="471"/>
      <c r="P863" s="471"/>
      <c r="Q863" s="471"/>
      <c r="R863" s="471"/>
      <c r="S863" s="471"/>
      <c r="T863" s="471"/>
      <c r="U863" s="471"/>
      <c r="V863" s="471"/>
      <c r="W863" s="471"/>
      <c r="X863" s="471"/>
      <c r="Y863" s="471"/>
      <c r="Z863" s="471"/>
      <c r="AA863" s="471"/>
      <c r="AB863" s="471"/>
      <c r="AC863" s="471"/>
      <c r="AD863" s="471"/>
      <c r="AE863" s="471"/>
      <c r="AF863" s="471"/>
      <c r="AG863" s="471"/>
      <c r="AH863" s="471"/>
      <c r="AI863" s="471"/>
    </row>
    <row r="864">
      <c r="A864" s="471"/>
      <c r="B864" s="471"/>
      <c r="C864" s="471"/>
      <c r="D864" s="471"/>
      <c r="E864" s="471"/>
      <c r="F864" s="501"/>
      <c r="G864" s="471"/>
      <c r="H864" s="471"/>
      <c r="I864" s="471"/>
      <c r="J864" s="490"/>
      <c r="K864" s="491"/>
      <c r="L864" s="471"/>
      <c r="M864" s="471"/>
      <c r="N864" s="471"/>
      <c r="O864" s="471"/>
      <c r="P864" s="471"/>
      <c r="Q864" s="471"/>
      <c r="R864" s="471"/>
      <c r="S864" s="471"/>
      <c r="T864" s="471"/>
      <c r="U864" s="471"/>
      <c r="V864" s="471"/>
      <c r="W864" s="471"/>
      <c r="X864" s="471"/>
      <c r="Y864" s="471"/>
      <c r="Z864" s="471"/>
      <c r="AA864" s="471"/>
      <c r="AB864" s="471"/>
      <c r="AC864" s="471"/>
      <c r="AD864" s="471"/>
      <c r="AE864" s="471"/>
      <c r="AF864" s="471"/>
      <c r="AG864" s="471"/>
      <c r="AH864" s="471"/>
      <c r="AI864" s="471"/>
    </row>
    <row r="865">
      <c r="A865" s="471"/>
      <c r="B865" s="471"/>
      <c r="C865" s="471"/>
      <c r="D865" s="471"/>
      <c r="E865" s="471"/>
      <c r="F865" s="501"/>
      <c r="G865" s="471"/>
      <c r="H865" s="471"/>
      <c r="I865" s="471"/>
      <c r="J865" s="490"/>
      <c r="K865" s="491"/>
      <c r="L865" s="471"/>
      <c r="M865" s="471"/>
      <c r="N865" s="471"/>
      <c r="O865" s="471"/>
      <c r="P865" s="471"/>
      <c r="Q865" s="471"/>
      <c r="R865" s="471"/>
      <c r="S865" s="471"/>
      <c r="T865" s="471"/>
      <c r="U865" s="471"/>
      <c r="V865" s="471"/>
      <c r="W865" s="471"/>
      <c r="X865" s="471"/>
      <c r="Y865" s="471"/>
      <c r="Z865" s="471"/>
      <c r="AA865" s="471"/>
      <c r="AB865" s="471"/>
      <c r="AC865" s="471"/>
      <c r="AD865" s="471"/>
      <c r="AE865" s="471"/>
      <c r="AF865" s="471"/>
      <c r="AG865" s="471"/>
      <c r="AH865" s="471"/>
      <c r="AI865" s="471"/>
    </row>
    <row r="866">
      <c r="A866" s="471"/>
      <c r="B866" s="471"/>
      <c r="C866" s="471"/>
      <c r="D866" s="471"/>
      <c r="E866" s="471"/>
      <c r="F866" s="501"/>
      <c r="G866" s="471"/>
      <c r="H866" s="471"/>
      <c r="I866" s="471"/>
      <c r="J866" s="490"/>
      <c r="K866" s="491"/>
      <c r="L866" s="471"/>
      <c r="M866" s="471"/>
      <c r="N866" s="471"/>
      <c r="O866" s="471"/>
      <c r="P866" s="471"/>
      <c r="Q866" s="471"/>
      <c r="R866" s="471"/>
      <c r="S866" s="471"/>
      <c r="T866" s="471"/>
      <c r="U866" s="471"/>
      <c r="V866" s="471"/>
      <c r="W866" s="471"/>
      <c r="X866" s="471"/>
      <c r="Y866" s="471"/>
      <c r="Z866" s="471"/>
      <c r="AA866" s="471"/>
      <c r="AB866" s="471"/>
      <c r="AC866" s="471"/>
      <c r="AD866" s="471"/>
      <c r="AE866" s="471"/>
      <c r="AF866" s="471"/>
      <c r="AG866" s="471"/>
      <c r="AH866" s="471"/>
      <c r="AI866" s="471"/>
    </row>
    <row r="867">
      <c r="A867" s="471"/>
      <c r="B867" s="471"/>
      <c r="C867" s="471"/>
      <c r="D867" s="471"/>
      <c r="E867" s="471"/>
      <c r="F867" s="501"/>
      <c r="G867" s="471"/>
      <c r="H867" s="471"/>
      <c r="I867" s="471"/>
      <c r="J867" s="490"/>
      <c r="K867" s="491"/>
      <c r="L867" s="471"/>
      <c r="M867" s="471"/>
      <c r="N867" s="471"/>
      <c r="O867" s="471"/>
      <c r="P867" s="471"/>
      <c r="Q867" s="471"/>
      <c r="R867" s="471"/>
      <c r="S867" s="471"/>
      <c r="T867" s="471"/>
      <c r="U867" s="471"/>
      <c r="V867" s="471"/>
      <c r="W867" s="471"/>
      <c r="X867" s="471"/>
      <c r="Y867" s="471"/>
      <c r="Z867" s="471"/>
      <c r="AA867" s="471"/>
      <c r="AB867" s="471"/>
      <c r="AC867" s="471"/>
      <c r="AD867" s="471"/>
      <c r="AE867" s="471"/>
      <c r="AF867" s="471"/>
      <c r="AG867" s="471"/>
      <c r="AH867" s="471"/>
      <c r="AI867" s="471"/>
    </row>
    <row r="868">
      <c r="A868" s="471"/>
      <c r="B868" s="471"/>
      <c r="C868" s="471"/>
      <c r="D868" s="471"/>
      <c r="E868" s="471"/>
      <c r="F868" s="501"/>
      <c r="G868" s="471"/>
      <c r="H868" s="471"/>
      <c r="I868" s="471"/>
      <c r="J868" s="490"/>
      <c r="K868" s="491"/>
      <c r="L868" s="471"/>
      <c r="M868" s="471"/>
      <c r="N868" s="471"/>
      <c r="O868" s="471"/>
      <c r="P868" s="471"/>
      <c r="Q868" s="471"/>
      <c r="R868" s="471"/>
      <c r="S868" s="471"/>
      <c r="T868" s="471"/>
      <c r="U868" s="471"/>
      <c r="V868" s="471"/>
      <c r="W868" s="471"/>
      <c r="X868" s="471"/>
      <c r="Y868" s="471"/>
      <c r="Z868" s="471"/>
      <c r="AA868" s="471"/>
      <c r="AB868" s="471"/>
      <c r="AC868" s="471"/>
      <c r="AD868" s="471"/>
      <c r="AE868" s="471"/>
      <c r="AF868" s="471"/>
      <c r="AG868" s="471"/>
      <c r="AH868" s="471"/>
      <c r="AI868" s="471"/>
    </row>
    <row r="869">
      <c r="A869" s="471"/>
      <c r="B869" s="471"/>
      <c r="C869" s="471"/>
      <c r="D869" s="471"/>
      <c r="E869" s="471"/>
      <c r="F869" s="501"/>
      <c r="G869" s="471"/>
      <c r="H869" s="471"/>
      <c r="I869" s="471"/>
      <c r="J869" s="490"/>
      <c r="K869" s="491"/>
      <c r="L869" s="471"/>
      <c r="M869" s="471"/>
      <c r="N869" s="471"/>
      <c r="O869" s="471"/>
      <c r="P869" s="471"/>
      <c r="Q869" s="471"/>
      <c r="R869" s="471"/>
      <c r="S869" s="471"/>
      <c r="T869" s="471"/>
      <c r="U869" s="471"/>
      <c r="V869" s="471"/>
      <c r="W869" s="471"/>
      <c r="X869" s="471"/>
      <c r="Y869" s="471"/>
      <c r="Z869" s="471"/>
      <c r="AA869" s="471"/>
      <c r="AB869" s="471"/>
      <c r="AC869" s="471"/>
      <c r="AD869" s="471"/>
      <c r="AE869" s="471"/>
      <c r="AF869" s="471"/>
      <c r="AG869" s="471"/>
      <c r="AH869" s="471"/>
      <c r="AI869" s="471"/>
    </row>
    <row r="870">
      <c r="A870" s="471"/>
      <c r="B870" s="471"/>
      <c r="C870" s="471"/>
      <c r="D870" s="471"/>
      <c r="E870" s="471"/>
      <c r="F870" s="501"/>
      <c r="G870" s="471"/>
      <c r="H870" s="471"/>
      <c r="I870" s="471"/>
      <c r="J870" s="490"/>
      <c r="K870" s="491"/>
      <c r="L870" s="471"/>
      <c r="M870" s="471"/>
      <c r="N870" s="471"/>
      <c r="O870" s="471"/>
      <c r="P870" s="471"/>
      <c r="Q870" s="471"/>
      <c r="R870" s="471"/>
      <c r="S870" s="471"/>
      <c r="T870" s="471"/>
      <c r="U870" s="471"/>
      <c r="V870" s="471"/>
      <c r="W870" s="471"/>
      <c r="X870" s="471"/>
      <c r="Y870" s="471"/>
      <c r="Z870" s="471"/>
      <c r="AA870" s="471"/>
      <c r="AB870" s="471"/>
      <c r="AC870" s="471"/>
      <c r="AD870" s="471"/>
      <c r="AE870" s="471"/>
      <c r="AF870" s="471"/>
      <c r="AG870" s="471"/>
      <c r="AH870" s="471"/>
      <c r="AI870" s="471"/>
    </row>
    <row r="871">
      <c r="A871" s="471"/>
      <c r="B871" s="471"/>
      <c r="C871" s="471"/>
      <c r="D871" s="471"/>
      <c r="E871" s="471"/>
      <c r="F871" s="501"/>
      <c r="G871" s="471"/>
      <c r="H871" s="471"/>
      <c r="I871" s="471"/>
      <c r="J871" s="490"/>
      <c r="K871" s="491"/>
      <c r="L871" s="471"/>
      <c r="M871" s="471"/>
      <c r="N871" s="471"/>
      <c r="O871" s="471"/>
      <c r="P871" s="471"/>
      <c r="Q871" s="471"/>
      <c r="R871" s="471"/>
      <c r="S871" s="471"/>
      <c r="T871" s="471"/>
      <c r="U871" s="471"/>
      <c r="V871" s="471"/>
      <c r="W871" s="471"/>
      <c r="X871" s="471"/>
      <c r="Y871" s="471"/>
      <c r="Z871" s="471"/>
      <c r="AA871" s="471"/>
      <c r="AB871" s="471"/>
      <c r="AC871" s="471"/>
      <c r="AD871" s="471"/>
      <c r="AE871" s="471"/>
      <c r="AF871" s="471"/>
      <c r="AG871" s="471"/>
      <c r="AH871" s="471"/>
      <c r="AI871" s="471"/>
    </row>
    <row r="872">
      <c r="A872" s="471"/>
      <c r="B872" s="471"/>
      <c r="C872" s="471"/>
      <c r="D872" s="471"/>
      <c r="E872" s="471"/>
      <c r="F872" s="501"/>
      <c r="G872" s="471"/>
      <c r="H872" s="471"/>
      <c r="I872" s="471"/>
      <c r="J872" s="490"/>
      <c r="K872" s="491"/>
      <c r="L872" s="471"/>
      <c r="M872" s="471"/>
      <c r="N872" s="471"/>
      <c r="O872" s="471"/>
      <c r="P872" s="471"/>
      <c r="Q872" s="471"/>
      <c r="R872" s="471"/>
      <c r="S872" s="471"/>
      <c r="T872" s="471"/>
      <c r="U872" s="471"/>
      <c r="V872" s="471"/>
      <c r="W872" s="471"/>
      <c r="X872" s="471"/>
      <c r="Y872" s="471"/>
      <c r="Z872" s="471"/>
      <c r="AA872" s="471"/>
      <c r="AB872" s="471"/>
      <c r="AC872" s="471"/>
      <c r="AD872" s="471"/>
      <c r="AE872" s="471"/>
      <c r="AF872" s="471"/>
      <c r="AG872" s="471"/>
      <c r="AH872" s="471"/>
      <c r="AI872" s="471"/>
    </row>
    <row r="873">
      <c r="A873" s="471"/>
      <c r="B873" s="471"/>
      <c r="C873" s="471"/>
      <c r="D873" s="471"/>
      <c r="E873" s="471"/>
      <c r="F873" s="501"/>
      <c r="G873" s="471"/>
      <c r="H873" s="471"/>
      <c r="I873" s="471"/>
      <c r="J873" s="490"/>
      <c r="K873" s="491"/>
      <c r="L873" s="471"/>
      <c r="M873" s="471"/>
      <c r="N873" s="471"/>
      <c r="O873" s="471"/>
      <c r="P873" s="471"/>
      <c r="Q873" s="471"/>
      <c r="R873" s="471"/>
      <c r="S873" s="471"/>
      <c r="T873" s="471"/>
      <c r="U873" s="471"/>
      <c r="V873" s="471"/>
      <c r="W873" s="471"/>
      <c r="X873" s="471"/>
      <c r="Y873" s="471"/>
      <c r="Z873" s="471"/>
      <c r="AA873" s="471"/>
      <c r="AB873" s="471"/>
      <c r="AC873" s="471"/>
      <c r="AD873" s="471"/>
      <c r="AE873" s="471"/>
      <c r="AF873" s="471"/>
      <c r="AG873" s="471"/>
      <c r="AH873" s="471"/>
      <c r="AI873" s="471"/>
    </row>
    <row r="874">
      <c r="A874" s="471"/>
      <c r="B874" s="471"/>
      <c r="C874" s="471"/>
      <c r="D874" s="471"/>
      <c r="E874" s="471"/>
      <c r="F874" s="501"/>
      <c r="G874" s="471"/>
      <c r="H874" s="471"/>
      <c r="I874" s="471"/>
      <c r="J874" s="490"/>
      <c r="K874" s="491"/>
      <c r="L874" s="471"/>
      <c r="M874" s="471"/>
      <c r="N874" s="471"/>
      <c r="O874" s="471"/>
      <c r="P874" s="471"/>
      <c r="Q874" s="471"/>
      <c r="R874" s="471"/>
      <c r="S874" s="471"/>
      <c r="T874" s="471"/>
      <c r="U874" s="471"/>
      <c r="V874" s="471"/>
      <c r="W874" s="471"/>
      <c r="X874" s="471"/>
      <c r="Y874" s="471"/>
      <c r="Z874" s="471"/>
      <c r="AA874" s="471"/>
      <c r="AB874" s="471"/>
      <c r="AC874" s="471"/>
      <c r="AD874" s="471"/>
      <c r="AE874" s="471"/>
      <c r="AF874" s="471"/>
      <c r="AG874" s="471"/>
      <c r="AH874" s="471"/>
      <c r="AI874" s="471"/>
    </row>
    <row r="875">
      <c r="A875" s="471"/>
      <c r="B875" s="471"/>
      <c r="C875" s="471"/>
      <c r="D875" s="471"/>
      <c r="E875" s="471"/>
      <c r="F875" s="501"/>
      <c r="G875" s="471"/>
      <c r="H875" s="471"/>
      <c r="I875" s="471"/>
      <c r="J875" s="490"/>
      <c r="K875" s="491"/>
      <c r="L875" s="471"/>
      <c r="M875" s="471"/>
      <c r="N875" s="471"/>
      <c r="O875" s="471"/>
      <c r="P875" s="471"/>
      <c r="Q875" s="471"/>
      <c r="R875" s="471"/>
      <c r="S875" s="471"/>
      <c r="T875" s="471"/>
      <c r="U875" s="471"/>
      <c r="V875" s="471"/>
      <c r="W875" s="471"/>
      <c r="X875" s="471"/>
      <c r="Y875" s="471"/>
      <c r="Z875" s="471"/>
      <c r="AA875" s="471"/>
      <c r="AB875" s="471"/>
      <c r="AC875" s="471"/>
      <c r="AD875" s="471"/>
      <c r="AE875" s="471"/>
      <c r="AF875" s="471"/>
      <c r="AG875" s="471"/>
      <c r="AH875" s="471"/>
      <c r="AI875" s="471"/>
    </row>
    <row r="876">
      <c r="A876" s="471"/>
      <c r="B876" s="471"/>
      <c r="C876" s="471"/>
      <c r="D876" s="471"/>
      <c r="E876" s="471"/>
      <c r="F876" s="501"/>
      <c r="G876" s="471"/>
      <c r="H876" s="471"/>
      <c r="I876" s="471"/>
      <c r="J876" s="490"/>
      <c r="K876" s="491"/>
      <c r="L876" s="471"/>
      <c r="M876" s="471"/>
      <c r="N876" s="471"/>
      <c r="O876" s="471"/>
      <c r="P876" s="471"/>
      <c r="Q876" s="471"/>
      <c r="R876" s="471"/>
      <c r="S876" s="471"/>
      <c r="T876" s="471"/>
      <c r="U876" s="471"/>
      <c r="V876" s="471"/>
      <c r="W876" s="471"/>
      <c r="X876" s="471"/>
      <c r="Y876" s="471"/>
      <c r="Z876" s="471"/>
      <c r="AA876" s="471"/>
      <c r="AB876" s="471"/>
      <c r="AC876" s="471"/>
      <c r="AD876" s="471"/>
      <c r="AE876" s="471"/>
      <c r="AF876" s="471"/>
      <c r="AG876" s="471"/>
      <c r="AH876" s="471"/>
      <c r="AI876" s="471"/>
    </row>
    <row r="877">
      <c r="A877" s="471"/>
      <c r="B877" s="471"/>
      <c r="C877" s="471"/>
      <c r="D877" s="471"/>
      <c r="E877" s="471"/>
      <c r="F877" s="501"/>
      <c r="G877" s="471"/>
      <c r="H877" s="471"/>
      <c r="I877" s="471"/>
      <c r="J877" s="490"/>
      <c r="K877" s="491"/>
      <c r="L877" s="471"/>
      <c r="M877" s="471"/>
      <c r="N877" s="471"/>
      <c r="O877" s="471"/>
      <c r="P877" s="471"/>
      <c r="Q877" s="471"/>
      <c r="R877" s="471"/>
      <c r="S877" s="471"/>
      <c r="T877" s="471"/>
      <c r="U877" s="471"/>
      <c r="V877" s="471"/>
      <c r="W877" s="471"/>
      <c r="X877" s="471"/>
      <c r="Y877" s="471"/>
      <c r="Z877" s="471"/>
      <c r="AA877" s="471"/>
      <c r="AB877" s="471"/>
      <c r="AC877" s="471"/>
      <c r="AD877" s="471"/>
      <c r="AE877" s="471"/>
      <c r="AF877" s="471"/>
      <c r="AG877" s="471"/>
      <c r="AH877" s="471"/>
      <c r="AI877" s="471"/>
    </row>
    <row r="878">
      <c r="A878" s="471"/>
      <c r="B878" s="471"/>
      <c r="C878" s="471"/>
      <c r="D878" s="471"/>
      <c r="E878" s="471"/>
      <c r="F878" s="501"/>
      <c r="G878" s="471"/>
      <c r="H878" s="471"/>
      <c r="I878" s="471"/>
      <c r="J878" s="490"/>
      <c r="K878" s="491"/>
      <c r="L878" s="471"/>
      <c r="M878" s="471"/>
      <c r="N878" s="471"/>
      <c r="O878" s="471"/>
      <c r="P878" s="471"/>
      <c r="Q878" s="471"/>
      <c r="R878" s="471"/>
      <c r="S878" s="471"/>
      <c r="T878" s="471"/>
      <c r="U878" s="471"/>
      <c r="V878" s="471"/>
      <c r="W878" s="471"/>
      <c r="X878" s="471"/>
      <c r="Y878" s="471"/>
      <c r="Z878" s="471"/>
      <c r="AA878" s="471"/>
      <c r="AB878" s="471"/>
      <c r="AC878" s="471"/>
      <c r="AD878" s="471"/>
      <c r="AE878" s="471"/>
      <c r="AF878" s="471"/>
      <c r="AG878" s="471"/>
      <c r="AH878" s="471"/>
      <c r="AI878" s="471"/>
    </row>
    <row r="879">
      <c r="A879" s="471"/>
      <c r="B879" s="471"/>
      <c r="C879" s="471"/>
      <c r="D879" s="471"/>
      <c r="E879" s="471"/>
      <c r="F879" s="501"/>
      <c r="G879" s="471"/>
      <c r="H879" s="471"/>
      <c r="I879" s="471"/>
      <c r="J879" s="490"/>
      <c r="K879" s="491"/>
      <c r="L879" s="471"/>
      <c r="M879" s="471"/>
      <c r="N879" s="471"/>
      <c r="O879" s="471"/>
      <c r="P879" s="471"/>
      <c r="Q879" s="471"/>
      <c r="R879" s="471"/>
      <c r="S879" s="471"/>
      <c r="T879" s="471"/>
      <c r="U879" s="471"/>
      <c r="V879" s="471"/>
      <c r="W879" s="471"/>
      <c r="X879" s="471"/>
      <c r="Y879" s="471"/>
      <c r="Z879" s="471"/>
      <c r="AA879" s="471"/>
      <c r="AB879" s="471"/>
      <c r="AC879" s="471"/>
      <c r="AD879" s="471"/>
      <c r="AE879" s="471"/>
      <c r="AF879" s="471"/>
      <c r="AG879" s="471"/>
      <c r="AH879" s="471"/>
      <c r="AI879" s="471"/>
    </row>
    <row r="880">
      <c r="A880" s="471"/>
      <c r="B880" s="471"/>
      <c r="C880" s="471"/>
      <c r="D880" s="471"/>
      <c r="E880" s="471"/>
      <c r="F880" s="501"/>
      <c r="G880" s="471"/>
      <c r="H880" s="471"/>
      <c r="I880" s="471"/>
      <c r="J880" s="490"/>
      <c r="K880" s="491"/>
      <c r="L880" s="471"/>
      <c r="M880" s="471"/>
      <c r="N880" s="471"/>
      <c r="O880" s="471"/>
      <c r="P880" s="471"/>
      <c r="Q880" s="471"/>
      <c r="R880" s="471"/>
      <c r="S880" s="471"/>
      <c r="T880" s="471"/>
      <c r="U880" s="471"/>
      <c r="V880" s="471"/>
      <c r="W880" s="471"/>
      <c r="X880" s="471"/>
      <c r="Y880" s="471"/>
      <c r="Z880" s="471"/>
      <c r="AA880" s="471"/>
      <c r="AB880" s="471"/>
      <c r="AC880" s="471"/>
      <c r="AD880" s="471"/>
      <c r="AE880" s="471"/>
      <c r="AF880" s="471"/>
      <c r="AG880" s="471"/>
      <c r="AH880" s="471"/>
      <c r="AI880" s="471"/>
    </row>
    <row r="881">
      <c r="A881" s="471"/>
      <c r="B881" s="471"/>
      <c r="C881" s="471"/>
      <c r="D881" s="471"/>
      <c r="E881" s="471"/>
      <c r="F881" s="501"/>
      <c r="G881" s="471"/>
      <c r="H881" s="471"/>
      <c r="I881" s="471"/>
      <c r="J881" s="490"/>
      <c r="K881" s="491"/>
      <c r="L881" s="471"/>
      <c r="M881" s="471"/>
      <c r="N881" s="471"/>
      <c r="O881" s="471"/>
      <c r="P881" s="471"/>
      <c r="Q881" s="471"/>
      <c r="R881" s="471"/>
      <c r="S881" s="471"/>
      <c r="T881" s="471"/>
      <c r="U881" s="471"/>
      <c r="V881" s="471"/>
      <c r="W881" s="471"/>
      <c r="X881" s="471"/>
      <c r="Y881" s="471"/>
      <c r="Z881" s="471"/>
      <c r="AA881" s="471"/>
      <c r="AB881" s="471"/>
      <c r="AC881" s="471"/>
      <c r="AD881" s="471"/>
      <c r="AE881" s="471"/>
      <c r="AF881" s="471"/>
      <c r="AG881" s="471"/>
      <c r="AH881" s="471"/>
      <c r="AI881" s="471"/>
    </row>
    <row r="882">
      <c r="A882" s="471"/>
      <c r="B882" s="471"/>
      <c r="C882" s="471"/>
      <c r="D882" s="471"/>
      <c r="E882" s="471"/>
      <c r="F882" s="501"/>
      <c r="G882" s="471"/>
      <c r="H882" s="471"/>
      <c r="I882" s="471"/>
      <c r="J882" s="490"/>
      <c r="K882" s="491"/>
      <c r="L882" s="471"/>
      <c r="M882" s="471"/>
      <c r="N882" s="471"/>
      <c r="O882" s="471"/>
      <c r="P882" s="471"/>
      <c r="Q882" s="471"/>
      <c r="R882" s="471"/>
      <c r="S882" s="471"/>
      <c r="T882" s="471"/>
      <c r="U882" s="471"/>
      <c r="V882" s="471"/>
      <c r="W882" s="471"/>
      <c r="X882" s="471"/>
      <c r="Y882" s="471"/>
      <c r="Z882" s="471"/>
      <c r="AA882" s="471"/>
      <c r="AB882" s="471"/>
      <c r="AC882" s="471"/>
      <c r="AD882" s="471"/>
      <c r="AE882" s="471"/>
      <c r="AF882" s="471"/>
      <c r="AG882" s="471"/>
      <c r="AH882" s="471"/>
      <c r="AI882" s="471"/>
    </row>
    <row r="883">
      <c r="A883" s="471"/>
      <c r="B883" s="471"/>
      <c r="C883" s="471"/>
      <c r="D883" s="471"/>
      <c r="E883" s="471"/>
      <c r="F883" s="501"/>
      <c r="G883" s="471"/>
      <c r="H883" s="471"/>
      <c r="I883" s="471"/>
      <c r="J883" s="490"/>
      <c r="K883" s="491"/>
      <c r="L883" s="471"/>
      <c r="M883" s="471"/>
      <c r="N883" s="471"/>
      <c r="O883" s="471"/>
      <c r="P883" s="471"/>
      <c r="Q883" s="471"/>
      <c r="R883" s="471"/>
      <c r="S883" s="471"/>
      <c r="T883" s="471"/>
      <c r="U883" s="471"/>
      <c r="V883" s="471"/>
      <c r="W883" s="471"/>
      <c r="X883" s="471"/>
      <c r="Y883" s="471"/>
      <c r="Z883" s="471"/>
      <c r="AA883" s="471"/>
      <c r="AB883" s="471"/>
      <c r="AC883" s="471"/>
      <c r="AD883" s="471"/>
      <c r="AE883" s="471"/>
      <c r="AF883" s="471"/>
      <c r="AG883" s="471"/>
      <c r="AH883" s="471"/>
      <c r="AI883" s="471"/>
    </row>
    <row r="884">
      <c r="A884" s="471"/>
      <c r="B884" s="471"/>
      <c r="C884" s="471"/>
      <c r="D884" s="471"/>
      <c r="E884" s="471"/>
      <c r="F884" s="501"/>
      <c r="G884" s="471"/>
      <c r="H884" s="471"/>
      <c r="I884" s="471"/>
      <c r="J884" s="490"/>
      <c r="K884" s="491"/>
      <c r="L884" s="471"/>
      <c r="M884" s="471"/>
      <c r="N884" s="471"/>
      <c r="O884" s="471"/>
      <c r="P884" s="471"/>
      <c r="Q884" s="471"/>
      <c r="R884" s="471"/>
      <c r="S884" s="471"/>
      <c r="T884" s="471"/>
      <c r="U884" s="471"/>
      <c r="V884" s="471"/>
      <c r="W884" s="471"/>
      <c r="X884" s="471"/>
      <c r="Y884" s="471"/>
      <c r="Z884" s="471"/>
      <c r="AA884" s="471"/>
      <c r="AB884" s="471"/>
      <c r="AC884" s="471"/>
      <c r="AD884" s="471"/>
      <c r="AE884" s="471"/>
      <c r="AF884" s="471"/>
      <c r="AG884" s="471"/>
      <c r="AH884" s="471"/>
      <c r="AI884" s="471"/>
    </row>
    <row r="885">
      <c r="A885" s="471"/>
      <c r="B885" s="471"/>
      <c r="C885" s="471"/>
      <c r="D885" s="471"/>
      <c r="E885" s="471"/>
      <c r="F885" s="501"/>
      <c r="G885" s="471"/>
      <c r="H885" s="471"/>
      <c r="I885" s="471"/>
      <c r="J885" s="490"/>
      <c r="K885" s="491"/>
      <c r="L885" s="471"/>
      <c r="M885" s="471"/>
      <c r="N885" s="471"/>
      <c r="O885" s="471"/>
      <c r="P885" s="471"/>
      <c r="Q885" s="471"/>
      <c r="R885" s="471"/>
      <c r="S885" s="471"/>
      <c r="T885" s="471"/>
      <c r="U885" s="471"/>
      <c r="V885" s="471"/>
      <c r="W885" s="471"/>
      <c r="X885" s="471"/>
      <c r="Y885" s="471"/>
      <c r="Z885" s="471"/>
      <c r="AA885" s="471"/>
      <c r="AB885" s="471"/>
      <c r="AC885" s="471"/>
      <c r="AD885" s="471"/>
      <c r="AE885" s="471"/>
      <c r="AF885" s="471"/>
      <c r="AG885" s="471"/>
      <c r="AH885" s="471"/>
      <c r="AI885" s="471"/>
    </row>
    <row r="886">
      <c r="A886" s="471"/>
      <c r="B886" s="471"/>
      <c r="C886" s="471"/>
      <c r="D886" s="471"/>
      <c r="E886" s="471"/>
      <c r="F886" s="501"/>
      <c r="G886" s="471"/>
      <c r="H886" s="471"/>
      <c r="I886" s="471"/>
      <c r="J886" s="490"/>
      <c r="K886" s="491"/>
      <c r="L886" s="471"/>
      <c r="M886" s="471"/>
      <c r="N886" s="471"/>
      <c r="O886" s="471"/>
      <c r="P886" s="471"/>
      <c r="Q886" s="471"/>
      <c r="R886" s="471"/>
      <c r="S886" s="471"/>
      <c r="T886" s="471"/>
      <c r="U886" s="471"/>
      <c r="V886" s="471"/>
      <c r="W886" s="471"/>
      <c r="X886" s="471"/>
      <c r="Y886" s="471"/>
      <c r="Z886" s="471"/>
      <c r="AA886" s="471"/>
      <c r="AB886" s="471"/>
      <c r="AC886" s="471"/>
      <c r="AD886" s="471"/>
      <c r="AE886" s="471"/>
      <c r="AF886" s="471"/>
      <c r="AG886" s="471"/>
      <c r="AH886" s="471"/>
      <c r="AI886" s="471"/>
    </row>
    <row r="887">
      <c r="A887" s="471"/>
      <c r="B887" s="471"/>
      <c r="C887" s="471"/>
      <c r="D887" s="471"/>
      <c r="E887" s="471"/>
      <c r="F887" s="501"/>
      <c r="G887" s="471"/>
      <c r="H887" s="471"/>
      <c r="I887" s="471"/>
      <c r="J887" s="490"/>
      <c r="K887" s="491"/>
      <c r="L887" s="471"/>
      <c r="M887" s="471"/>
      <c r="N887" s="471"/>
      <c r="O887" s="471"/>
      <c r="P887" s="471"/>
      <c r="Q887" s="471"/>
      <c r="R887" s="471"/>
      <c r="S887" s="471"/>
      <c r="T887" s="471"/>
      <c r="U887" s="471"/>
      <c r="V887" s="471"/>
      <c r="W887" s="471"/>
      <c r="X887" s="471"/>
      <c r="Y887" s="471"/>
      <c r="Z887" s="471"/>
      <c r="AA887" s="471"/>
      <c r="AB887" s="471"/>
      <c r="AC887" s="471"/>
      <c r="AD887" s="471"/>
      <c r="AE887" s="471"/>
      <c r="AF887" s="471"/>
      <c r="AG887" s="471"/>
      <c r="AH887" s="471"/>
      <c r="AI887" s="471"/>
    </row>
    <row r="888">
      <c r="A888" s="471"/>
      <c r="B888" s="471"/>
      <c r="C888" s="471"/>
      <c r="D888" s="471"/>
      <c r="E888" s="471"/>
      <c r="F888" s="501"/>
      <c r="G888" s="471"/>
      <c r="H888" s="471"/>
      <c r="I888" s="471"/>
      <c r="J888" s="490"/>
      <c r="K888" s="491"/>
      <c r="L888" s="471"/>
      <c r="M888" s="471"/>
      <c r="N888" s="471"/>
      <c r="O888" s="471"/>
      <c r="P888" s="471"/>
      <c r="Q888" s="471"/>
      <c r="R888" s="471"/>
      <c r="S888" s="471"/>
      <c r="T888" s="471"/>
      <c r="U888" s="471"/>
      <c r="V888" s="471"/>
      <c r="W888" s="471"/>
      <c r="X888" s="471"/>
      <c r="Y888" s="471"/>
      <c r="Z888" s="471"/>
      <c r="AA888" s="471"/>
      <c r="AB888" s="471"/>
      <c r="AC888" s="471"/>
      <c r="AD888" s="471"/>
      <c r="AE888" s="471"/>
      <c r="AF888" s="471"/>
      <c r="AG888" s="471"/>
      <c r="AH888" s="471"/>
      <c r="AI888" s="471"/>
    </row>
    <row r="889">
      <c r="A889" s="471"/>
      <c r="B889" s="471"/>
      <c r="C889" s="471"/>
      <c r="D889" s="471"/>
      <c r="E889" s="471"/>
      <c r="F889" s="501"/>
      <c r="G889" s="471"/>
      <c r="H889" s="471"/>
      <c r="I889" s="471"/>
      <c r="J889" s="490"/>
      <c r="K889" s="491"/>
      <c r="L889" s="471"/>
      <c r="M889" s="471"/>
      <c r="N889" s="471"/>
      <c r="O889" s="471"/>
      <c r="P889" s="471"/>
      <c r="Q889" s="471"/>
      <c r="R889" s="471"/>
      <c r="S889" s="471"/>
      <c r="T889" s="471"/>
      <c r="U889" s="471"/>
      <c r="V889" s="471"/>
      <c r="W889" s="471"/>
      <c r="X889" s="471"/>
      <c r="Y889" s="471"/>
      <c r="Z889" s="471"/>
      <c r="AA889" s="471"/>
      <c r="AB889" s="471"/>
      <c r="AC889" s="471"/>
      <c r="AD889" s="471"/>
      <c r="AE889" s="471"/>
      <c r="AF889" s="471"/>
      <c r="AG889" s="471"/>
      <c r="AH889" s="471"/>
      <c r="AI889" s="471"/>
    </row>
    <row r="890">
      <c r="A890" s="471"/>
      <c r="B890" s="471"/>
      <c r="C890" s="471"/>
      <c r="D890" s="471"/>
      <c r="E890" s="471"/>
      <c r="F890" s="501"/>
      <c r="G890" s="471"/>
      <c r="H890" s="471"/>
      <c r="I890" s="471"/>
      <c r="J890" s="490"/>
      <c r="K890" s="491"/>
      <c r="L890" s="471"/>
      <c r="M890" s="471"/>
      <c r="N890" s="471"/>
      <c r="O890" s="471"/>
      <c r="P890" s="471"/>
      <c r="Q890" s="471"/>
      <c r="R890" s="471"/>
      <c r="S890" s="471"/>
      <c r="T890" s="471"/>
      <c r="U890" s="471"/>
      <c r="V890" s="471"/>
      <c r="W890" s="471"/>
      <c r="X890" s="471"/>
      <c r="Y890" s="471"/>
      <c r="Z890" s="471"/>
      <c r="AA890" s="471"/>
      <c r="AB890" s="471"/>
      <c r="AC890" s="471"/>
      <c r="AD890" s="471"/>
      <c r="AE890" s="471"/>
      <c r="AF890" s="471"/>
      <c r="AG890" s="471"/>
      <c r="AH890" s="471"/>
      <c r="AI890" s="471"/>
    </row>
    <row r="891">
      <c r="A891" s="471"/>
      <c r="B891" s="471"/>
      <c r="C891" s="471"/>
      <c r="D891" s="471"/>
      <c r="E891" s="471"/>
      <c r="F891" s="501"/>
      <c r="G891" s="471"/>
      <c r="H891" s="471"/>
      <c r="I891" s="471"/>
      <c r="J891" s="490"/>
      <c r="K891" s="491"/>
      <c r="L891" s="471"/>
      <c r="M891" s="471"/>
      <c r="N891" s="471"/>
      <c r="O891" s="471"/>
      <c r="P891" s="471"/>
      <c r="Q891" s="471"/>
      <c r="R891" s="471"/>
      <c r="S891" s="471"/>
      <c r="T891" s="471"/>
      <c r="U891" s="471"/>
      <c r="V891" s="471"/>
      <c r="W891" s="471"/>
      <c r="X891" s="471"/>
      <c r="Y891" s="471"/>
      <c r="Z891" s="471"/>
      <c r="AA891" s="471"/>
      <c r="AB891" s="471"/>
      <c r="AC891" s="471"/>
      <c r="AD891" s="471"/>
      <c r="AE891" s="471"/>
      <c r="AF891" s="471"/>
      <c r="AG891" s="471"/>
      <c r="AH891" s="471"/>
      <c r="AI891" s="471"/>
    </row>
    <row r="892">
      <c r="A892" s="471"/>
      <c r="B892" s="471"/>
      <c r="C892" s="471"/>
      <c r="D892" s="471"/>
      <c r="E892" s="471"/>
      <c r="F892" s="501"/>
      <c r="G892" s="471"/>
      <c r="H892" s="471"/>
      <c r="I892" s="471"/>
      <c r="J892" s="490"/>
      <c r="K892" s="491"/>
      <c r="L892" s="471"/>
      <c r="M892" s="471"/>
      <c r="N892" s="471"/>
      <c r="O892" s="471"/>
      <c r="P892" s="471"/>
      <c r="Q892" s="471"/>
      <c r="R892" s="471"/>
      <c r="S892" s="471"/>
      <c r="T892" s="471"/>
      <c r="U892" s="471"/>
      <c r="V892" s="471"/>
      <c r="W892" s="471"/>
      <c r="X892" s="471"/>
      <c r="Y892" s="471"/>
      <c r="Z892" s="471"/>
      <c r="AA892" s="471"/>
      <c r="AB892" s="471"/>
      <c r="AC892" s="471"/>
      <c r="AD892" s="471"/>
      <c r="AE892" s="471"/>
      <c r="AF892" s="471"/>
      <c r="AG892" s="471"/>
      <c r="AH892" s="471"/>
      <c r="AI892" s="471"/>
    </row>
    <row r="893">
      <c r="A893" s="471"/>
      <c r="B893" s="471"/>
      <c r="C893" s="471"/>
      <c r="D893" s="471"/>
      <c r="E893" s="471"/>
      <c r="F893" s="501"/>
      <c r="G893" s="471"/>
      <c r="H893" s="471"/>
      <c r="I893" s="471"/>
      <c r="J893" s="490"/>
      <c r="K893" s="491"/>
      <c r="L893" s="471"/>
      <c r="M893" s="471"/>
      <c r="N893" s="471"/>
      <c r="O893" s="471"/>
      <c r="P893" s="471"/>
      <c r="Q893" s="471"/>
      <c r="R893" s="471"/>
      <c r="S893" s="471"/>
      <c r="T893" s="471"/>
      <c r="U893" s="471"/>
      <c r="V893" s="471"/>
      <c r="W893" s="471"/>
      <c r="X893" s="471"/>
      <c r="Y893" s="471"/>
      <c r="Z893" s="471"/>
      <c r="AA893" s="471"/>
      <c r="AB893" s="471"/>
      <c r="AC893" s="471"/>
      <c r="AD893" s="471"/>
      <c r="AE893" s="471"/>
      <c r="AF893" s="471"/>
      <c r="AG893" s="471"/>
      <c r="AH893" s="471"/>
      <c r="AI893" s="471"/>
    </row>
    <row r="894">
      <c r="A894" s="471"/>
      <c r="B894" s="471"/>
      <c r="C894" s="471"/>
      <c r="D894" s="471"/>
      <c r="E894" s="471"/>
      <c r="F894" s="501"/>
      <c r="G894" s="471"/>
      <c r="H894" s="471"/>
      <c r="I894" s="471"/>
      <c r="J894" s="490"/>
      <c r="K894" s="491"/>
      <c r="L894" s="471"/>
      <c r="M894" s="471"/>
      <c r="N894" s="471"/>
      <c r="O894" s="471"/>
      <c r="P894" s="471"/>
      <c r="Q894" s="471"/>
      <c r="R894" s="471"/>
      <c r="S894" s="471"/>
      <c r="T894" s="471"/>
      <c r="U894" s="471"/>
      <c r="V894" s="471"/>
      <c r="W894" s="471"/>
      <c r="X894" s="471"/>
      <c r="Y894" s="471"/>
      <c r="Z894" s="471"/>
      <c r="AA894" s="471"/>
      <c r="AB894" s="471"/>
      <c r="AC894" s="471"/>
      <c r="AD894" s="471"/>
      <c r="AE894" s="471"/>
      <c r="AF894" s="471"/>
      <c r="AG894" s="471"/>
      <c r="AH894" s="471"/>
      <c r="AI894" s="471"/>
    </row>
    <row r="895">
      <c r="A895" s="471"/>
      <c r="B895" s="471"/>
      <c r="C895" s="471"/>
      <c r="D895" s="471"/>
      <c r="E895" s="471"/>
      <c r="F895" s="501"/>
      <c r="G895" s="471"/>
      <c r="H895" s="471"/>
      <c r="I895" s="471"/>
      <c r="J895" s="490"/>
      <c r="K895" s="491"/>
      <c r="L895" s="471"/>
      <c r="M895" s="471"/>
      <c r="N895" s="471"/>
      <c r="O895" s="471"/>
      <c r="P895" s="471"/>
      <c r="Q895" s="471"/>
      <c r="R895" s="471"/>
      <c r="S895" s="471"/>
      <c r="T895" s="471"/>
      <c r="U895" s="471"/>
      <c r="V895" s="471"/>
      <c r="W895" s="471"/>
      <c r="X895" s="471"/>
      <c r="Y895" s="471"/>
      <c r="Z895" s="471"/>
      <c r="AA895" s="471"/>
      <c r="AB895" s="471"/>
      <c r="AC895" s="471"/>
      <c r="AD895" s="471"/>
      <c r="AE895" s="471"/>
      <c r="AF895" s="471"/>
      <c r="AG895" s="471"/>
      <c r="AH895" s="471"/>
      <c r="AI895" s="471"/>
    </row>
    <row r="896">
      <c r="A896" s="471"/>
      <c r="B896" s="471"/>
      <c r="C896" s="471"/>
      <c r="D896" s="471"/>
      <c r="E896" s="471"/>
      <c r="F896" s="501"/>
      <c r="G896" s="471"/>
      <c r="H896" s="471"/>
      <c r="I896" s="471"/>
      <c r="J896" s="490"/>
      <c r="K896" s="491"/>
      <c r="L896" s="471"/>
      <c r="M896" s="471"/>
      <c r="N896" s="471"/>
      <c r="O896" s="471"/>
      <c r="P896" s="471"/>
      <c r="Q896" s="471"/>
      <c r="R896" s="471"/>
      <c r="S896" s="471"/>
      <c r="T896" s="471"/>
      <c r="U896" s="471"/>
      <c r="V896" s="471"/>
      <c r="W896" s="471"/>
      <c r="X896" s="471"/>
      <c r="Y896" s="471"/>
      <c r="Z896" s="471"/>
      <c r="AA896" s="471"/>
      <c r="AB896" s="471"/>
      <c r="AC896" s="471"/>
      <c r="AD896" s="471"/>
      <c r="AE896" s="471"/>
      <c r="AF896" s="471"/>
      <c r="AG896" s="471"/>
      <c r="AH896" s="471"/>
      <c r="AI896" s="471"/>
    </row>
    <row r="897">
      <c r="A897" s="471"/>
      <c r="B897" s="471"/>
      <c r="C897" s="471"/>
      <c r="D897" s="471"/>
      <c r="E897" s="471"/>
      <c r="F897" s="501"/>
      <c r="G897" s="471"/>
      <c r="H897" s="471"/>
      <c r="I897" s="471"/>
      <c r="J897" s="490"/>
      <c r="K897" s="491"/>
      <c r="L897" s="471"/>
      <c r="M897" s="471"/>
      <c r="N897" s="471"/>
      <c r="O897" s="471"/>
      <c r="P897" s="471"/>
      <c r="Q897" s="471"/>
      <c r="R897" s="471"/>
      <c r="S897" s="471"/>
      <c r="T897" s="471"/>
      <c r="U897" s="471"/>
      <c r="V897" s="471"/>
      <c r="W897" s="471"/>
      <c r="X897" s="471"/>
      <c r="Y897" s="471"/>
      <c r="Z897" s="471"/>
      <c r="AA897" s="471"/>
      <c r="AB897" s="471"/>
      <c r="AC897" s="471"/>
      <c r="AD897" s="471"/>
      <c r="AE897" s="471"/>
      <c r="AF897" s="471"/>
      <c r="AG897" s="471"/>
      <c r="AH897" s="471"/>
      <c r="AI897" s="471"/>
    </row>
    <row r="898">
      <c r="A898" s="471"/>
      <c r="B898" s="471"/>
      <c r="C898" s="471"/>
      <c r="D898" s="471"/>
      <c r="E898" s="471"/>
      <c r="F898" s="501"/>
      <c r="G898" s="471"/>
      <c r="H898" s="471"/>
      <c r="I898" s="471"/>
      <c r="J898" s="490"/>
      <c r="K898" s="491"/>
      <c r="L898" s="471"/>
      <c r="M898" s="471"/>
      <c r="N898" s="471"/>
      <c r="O898" s="471"/>
      <c r="P898" s="471"/>
      <c r="Q898" s="471"/>
      <c r="R898" s="471"/>
      <c r="S898" s="471"/>
      <c r="T898" s="471"/>
      <c r="U898" s="471"/>
      <c r="V898" s="471"/>
      <c r="W898" s="471"/>
      <c r="X898" s="471"/>
      <c r="Y898" s="471"/>
      <c r="Z898" s="471"/>
      <c r="AA898" s="471"/>
      <c r="AB898" s="471"/>
      <c r="AC898" s="471"/>
      <c r="AD898" s="471"/>
      <c r="AE898" s="471"/>
      <c r="AF898" s="471"/>
      <c r="AG898" s="471"/>
      <c r="AH898" s="471"/>
      <c r="AI898" s="471"/>
    </row>
    <row r="899">
      <c r="A899" s="471"/>
      <c r="B899" s="471"/>
      <c r="C899" s="471"/>
      <c r="D899" s="471"/>
      <c r="E899" s="471"/>
      <c r="F899" s="501"/>
      <c r="G899" s="471"/>
      <c r="H899" s="471"/>
      <c r="I899" s="471"/>
      <c r="J899" s="490"/>
      <c r="K899" s="491"/>
      <c r="L899" s="471"/>
      <c r="M899" s="471"/>
      <c r="N899" s="471"/>
      <c r="O899" s="471"/>
      <c r="P899" s="471"/>
      <c r="Q899" s="471"/>
      <c r="R899" s="471"/>
      <c r="S899" s="471"/>
      <c r="T899" s="471"/>
      <c r="U899" s="471"/>
      <c r="V899" s="471"/>
      <c r="W899" s="471"/>
      <c r="X899" s="471"/>
      <c r="Y899" s="471"/>
      <c r="Z899" s="471"/>
      <c r="AA899" s="471"/>
      <c r="AB899" s="471"/>
      <c r="AC899" s="471"/>
      <c r="AD899" s="471"/>
      <c r="AE899" s="471"/>
      <c r="AF899" s="471"/>
      <c r="AG899" s="471"/>
      <c r="AH899" s="471"/>
      <c r="AI899" s="471"/>
    </row>
    <row r="900">
      <c r="A900" s="471"/>
      <c r="B900" s="471"/>
      <c r="C900" s="471"/>
      <c r="D900" s="471"/>
      <c r="E900" s="471"/>
      <c r="F900" s="501"/>
      <c r="G900" s="471"/>
      <c r="H900" s="471"/>
      <c r="I900" s="471"/>
      <c r="J900" s="490"/>
      <c r="K900" s="491"/>
      <c r="L900" s="471"/>
      <c r="M900" s="471"/>
      <c r="N900" s="471"/>
      <c r="O900" s="471"/>
      <c r="P900" s="471"/>
      <c r="Q900" s="471"/>
      <c r="R900" s="471"/>
      <c r="S900" s="471"/>
      <c r="T900" s="471"/>
      <c r="U900" s="471"/>
      <c r="V900" s="471"/>
      <c r="W900" s="471"/>
      <c r="X900" s="471"/>
      <c r="Y900" s="471"/>
      <c r="Z900" s="471"/>
      <c r="AA900" s="471"/>
      <c r="AB900" s="471"/>
      <c r="AC900" s="471"/>
      <c r="AD900" s="471"/>
      <c r="AE900" s="471"/>
      <c r="AF900" s="471"/>
      <c r="AG900" s="471"/>
      <c r="AH900" s="471"/>
      <c r="AI900" s="471"/>
    </row>
    <row r="901">
      <c r="A901" s="471"/>
      <c r="B901" s="471"/>
      <c r="C901" s="471"/>
      <c r="D901" s="471"/>
      <c r="E901" s="471"/>
      <c r="F901" s="501"/>
      <c r="G901" s="471"/>
      <c r="H901" s="471"/>
      <c r="I901" s="471"/>
      <c r="J901" s="490"/>
      <c r="K901" s="491"/>
      <c r="L901" s="471"/>
      <c r="M901" s="471"/>
      <c r="N901" s="471"/>
      <c r="O901" s="471"/>
      <c r="P901" s="471"/>
      <c r="Q901" s="471"/>
      <c r="R901" s="471"/>
      <c r="S901" s="471"/>
      <c r="T901" s="471"/>
      <c r="U901" s="471"/>
      <c r="V901" s="471"/>
      <c r="W901" s="471"/>
      <c r="X901" s="471"/>
      <c r="Y901" s="471"/>
      <c r="Z901" s="471"/>
      <c r="AA901" s="471"/>
      <c r="AB901" s="471"/>
      <c r="AC901" s="471"/>
      <c r="AD901" s="471"/>
      <c r="AE901" s="471"/>
      <c r="AF901" s="471"/>
      <c r="AG901" s="471"/>
      <c r="AH901" s="471"/>
      <c r="AI901" s="471"/>
    </row>
    <row r="902">
      <c r="A902" s="471"/>
      <c r="B902" s="471"/>
      <c r="C902" s="471"/>
      <c r="D902" s="471"/>
      <c r="E902" s="471"/>
      <c r="F902" s="501"/>
      <c r="G902" s="471"/>
      <c r="H902" s="471"/>
      <c r="I902" s="471"/>
      <c r="J902" s="490"/>
      <c r="K902" s="491"/>
      <c r="L902" s="471"/>
      <c r="M902" s="471"/>
      <c r="N902" s="471"/>
      <c r="O902" s="471"/>
      <c r="P902" s="471"/>
      <c r="Q902" s="471"/>
      <c r="R902" s="471"/>
      <c r="S902" s="471"/>
      <c r="T902" s="471"/>
      <c r="U902" s="471"/>
      <c r="V902" s="471"/>
      <c r="W902" s="471"/>
      <c r="X902" s="471"/>
      <c r="Y902" s="471"/>
      <c r="Z902" s="471"/>
      <c r="AA902" s="471"/>
      <c r="AB902" s="471"/>
      <c r="AC902" s="471"/>
      <c r="AD902" s="471"/>
      <c r="AE902" s="471"/>
      <c r="AF902" s="471"/>
      <c r="AG902" s="471"/>
      <c r="AH902" s="471"/>
      <c r="AI902" s="471"/>
    </row>
    <row r="903">
      <c r="A903" s="471"/>
      <c r="B903" s="471"/>
      <c r="C903" s="471"/>
      <c r="D903" s="471"/>
      <c r="E903" s="471"/>
      <c r="F903" s="501"/>
      <c r="G903" s="471"/>
      <c r="H903" s="471"/>
      <c r="I903" s="471"/>
      <c r="J903" s="490"/>
      <c r="K903" s="491"/>
      <c r="L903" s="471"/>
      <c r="M903" s="471"/>
      <c r="N903" s="471"/>
      <c r="O903" s="471"/>
      <c r="P903" s="471"/>
      <c r="Q903" s="471"/>
      <c r="R903" s="471"/>
      <c r="S903" s="471"/>
      <c r="T903" s="471"/>
      <c r="U903" s="471"/>
      <c r="V903" s="471"/>
      <c r="W903" s="471"/>
      <c r="X903" s="471"/>
      <c r="Y903" s="471"/>
      <c r="Z903" s="471"/>
      <c r="AA903" s="471"/>
      <c r="AB903" s="471"/>
      <c r="AC903" s="471"/>
      <c r="AD903" s="471"/>
      <c r="AE903" s="471"/>
      <c r="AF903" s="471"/>
      <c r="AG903" s="471"/>
      <c r="AH903" s="471"/>
      <c r="AI903" s="471"/>
    </row>
    <row r="904">
      <c r="A904" s="471"/>
      <c r="B904" s="471"/>
      <c r="C904" s="471"/>
      <c r="D904" s="471"/>
      <c r="E904" s="471"/>
      <c r="F904" s="501"/>
      <c r="G904" s="471"/>
      <c r="H904" s="471"/>
      <c r="I904" s="471"/>
      <c r="J904" s="490"/>
      <c r="K904" s="491"/>
      <c r="L904" s="471"/>
      <c r="M904" s="471"/>
      <c r="N904" s="471"/>
      <c r="O904" s="471"/>
      <c r="P904" s="471"/>
      <c r="Q904" s="471"/>
      <c r="R904" s="471"/>
      <c r="S904" s="471"/>
      <c r="T904" s="471"/>
      <c r="U904" s="471"/>
      <c r="V904" s="471"/>
      <c r="W904" s="471"/>
      <c r="X904" s="471"/>
      <c r="Y904" s="471"/>
      <c r="Z904" s="471"/>
      <c r="AA904" s="471"/>
      <c r="AB904" s="471"/>
      <c r="AC904" s="471"/>
      <c r="AD904" s="471"/>
      <c r="AE904" s="471"/>
      <c r="AF904" s="471"/>
      <c r="AG904" s="471"/>
      <c r="AH904" s="471"/>
      <c r="AI904" s="471"/>
    </row>
    <row r="905">
      <c r="A905" s="471"/>
      <c r="B905" s="471"/>
      <c r="C905" s="471"/>
      <c r="D905" s="471"/>
      <c r="E905" s="471"/>
      <c r="F905" s="501"/>
      <c r="G905" s="471"/>
      <c r="H905" s="471"/>
      <c r="I905" s="471"/>
      <c r="J905" s="490"/>
      <c r="K905" s="491"/>
      <c r="L905" s="471"/>
      <c r="M905" s="471"/>
      <c r="N905" s="471"/>
      <c r="O905" s="471"/>
      <c r="P905" s="471"/>
      <c r="Q905" s="471"/>
      <c r="R905" s="471"/>
      <c r="S905" s="471"/>
      <c r="T905" s="471"/>
      <c r="U905" s="471"/>
      <c r="V905" s="471"/>
      <c r="W905" s="471"/>
      <c r="X905" s="471"/>
      <c r="Y905" s="471"/>
      <c r="Z905" s="471"/>
      <c r="AA905" s="471"/>
      <c r="AB905" s="471"/>
      <c r="AC905" s="471"/>
      <c r="AD905" s="471"/>
      <c r="AE905" s="471"/>
      <c r="AF905" s="471"/>
      <c r="AG905" s="471"/>
      <c r="AH905" s="471"/>
      <c r="AI905" s="471"/>
    </row>
    <row r="906">
      <c r="A906" s="471"/>
      <c r="B906" s="471"/>
      <c r="C906" s="471"/>
      <c r="D906" s="471"/>
      <c r="E906" s="471"/>
      <c r="F906" s="501"/>
      <c r="G906" s="471"/>
      <c r="H906" s="471"/>
      <c r="I906" s="471"/>
      <c r="J906" s="490"/>
      <c r="K906" s="491"/>
      <c r="L906" s="471"/>
      <c r="M906" s="471"/>
      <c r="N906" s="471"/>
      <c r="O906" s="471"/>
      <c r="P906" s="471"/>
      <c r="Q906" s="471"/>
      <c r="R906" s="471"/>
      <c r="S906" s="471"/>
      <c r="T906" s="471"/>
      <c r="U906" s="471"/>
      <c r="V906" s="471"/>
      <c r="W906" s="471"/>
      <c r="X906" s="471"/>
      <c r="Y906" s="471"/>
      <c r="Z906" s="471"/>
      <c r="AA906" s="471"/>
      <c r="AB906" s="471"/>
      <c r="AC906" s="471"/>
      <c r="AD906" s="471"/>
      <c r="AE906" s="471"/>
      <c r="AF906" s="471"/>
      <c r="AG906" s="471"/>
      <c r="AH906" s="471"/>
      <c r="AI906" s="471"/>
    </row>
    <row r="907">
      <c r="A907" s="471"/>
      <c r="B907" s="471"/>
      <c r="C907" s="471"/>
      <c r="D907" s="471"/>
      <c r="E907" s="471"/>
      <c r="F907" s="501"/>
      <c r="G907" s="471"/>
      <c r="H907" s="471"/>
      <c r="I907" s="471"/>
      <c r="J907" s="490"/>
      <c r="K907" s="491"/>
      <c r="L907" s="471"/>
      <c r="M907" s="471"/>
      <c r="N907" s="471"/>
      <c r="O907" s="471"/>
      <c r="P907" s="471"/>
      <c r="Q907" s="471"/>
      <c r="R907" s="471"/>
      <c r="S907" s="471"/>
      <c r="T907" s="471"/>
      <c r="U907" s="471"/>
      <c r="V907" s="471"/>
      <c r="W907" s="471"/>
      <c r="X907" s="471"/>
      <c r="Y907" s="471"/>
      <c r="Z907" s="471"/>
      <c r="AA907" s="471"/>
      <c r="AB907" s="471"/>
      <c r="AC907" s="471"/>
      <c r="AD907" s="471"/>
      <c r="AE907" s="471"/>
      <c r="AF907" s="471"/>
      <c r="AG907" s="471"/>
      <c r="AH907" s="471"/>
      <c r="AI907" s="471"/>
    </row>
    <row r="908">
      <c r="A908" s="471"/>
      <c r="B908" s="471"/>
      <c r="C908" s="471"/>
      <c r="D908" s="471"/>
      <c r="E908" s="471"/>
      <c r="F908" s="501"/>
      <c r="G908" s="471"/>
      <c r="H908" s="471"/>
      <c r="I908" s="471"/>
      <c r="J908" s="490"/>
      <c r="K908" s="491"/>
      <c r="L908" s="471"/>
      <c r="M908" s="471"/>
      <c r="N908" s="471"/>
      <c r="O908" s="471"/>
      <c r="P908" s="471"/>
      <c r="Q908" s="471"/>
      <c r="R908" s="471"/>
      <c r="S908" s="471"/>
      <c r="T908" s="471"/>
      <c r="U908" s="471"/>
      <c r="V908" s="471"/>
      <c r="W908" s="471"/>
      <c r="X908" s="471"/>
      <c r="Y908" s="471"/>
      <c r="Z908" s="471"/>
      <c r="AA908" s="471"/>
      <c r="AB908" s="471"/>
      <c r="AC908" s="471"/>
      <c r="AD908" s="471"/>
      <c r="AE908" s="471"/>
      <c r="AF908" s="471"/>
      <c r="AG908" s="471"/>
      <c r="AH908" s="471"/>
      <c r="AI908" s="471"/>
    </row>
    <row r="909">
      <c r="A909" s="471"/>
      <c r="B909" s="471"/>
      <c r="C909" s="471"/>
      <c r="D909" s="471"/>
      <c r="E909" s="471"/>
      <c r="F909" s="501"/>
      <c r="G909" s="471"/>
      <c r="H909" s="471"/>
      <c r="I909" s="471"/>
      <c r="J909" s="490"/>
      <c r="K909" s="491"/>
      <c r="L909" s="471"/>
      <c r="M909" s="471"/>
      <c r="N909" s="471"/>
      <c r="O909" s="471"/>
      <c r="P909" s="471"/>
      <c r="Q909" s="471"/>
      <c r="R909" s="471"/>
      <c r="S909" s="471"/>
      <c r="T909" s="471"/>
      <c r="U909" s="471"/>
      <c r="V909" s="471"/>
      <c r="W909" s="471"/>
      <c r="X909" s="471"/>
      <c r="Y909" s="471"/>
      <c r="Z909" s="471"/>
      <c r="AA909" s="471"/>
      <c r="AB909" s="471"/>
      <c r="AC909" s="471"/>
      <c r="AD909" s="471"/>
      <c r="AE909" s="471"/>
      <c r="AF909" s="471"/>
      <c r="AG909" s="471"/>
      <c r="AH909" s="471"/>
      <c r="AI909" s="471"/>
    </row>
    <row r="910">
      <c r="A910" s="471"/>
      <c r="B910" s="471"/>
      <c r="C910" s="471"/>
      <c r="D910" s="471"/>
      <c r="E910" s="471"/>
      <c r="F910" s="501"/>
      <c r="G910" s="471"/>
      <c r="H910" s="471"/>
      <c r="I910" s="471"/>
      <c r="J910" s="490"/>
      <c r="K910" s="491"/>
      <c r="L910" s="471"/>
      <c r="M910" s="471"/>
      <c r="N910" s="471"/>
      <c r="O910" s="471"/>
      <c r="P910" s="471"/>
      <c r="Q910" s="471"/>
      <c r="R910" s="471"/>
      <c r="S910" s="471"/>
      <c r="T910" s="471"/>
      <c r="U910" s="471"/>
      <c r="V910" s="471"/>
      <c r="W910" s="471"/>
      <c r="X910" s="471"/>
      <c r="Y910" s="471"/>
      <c r="Z910" s="471"/>
      <c r="AA910" s="471"/>
      <c r="AB910" s="471"/>
      <c r="AC910" s="471"/>
      <c r="AD910" s="471"/>
      <c r="AE910" s="471"/>
      <c r="AF910" s="471"/>
      <c r="AG910" s="471"/>
      <c r="AH910" s="471"/>
      <c r="AI910" s="471"/>
    </row>
    <row r="911">
      <c r="A911" s="471"/>
      <c r="B911" s="471"/>
      <c r="C911" s="471"/>
      <c r="D911" s="471"/>
      <c r="E911" s="471"/>
      <c r="F911" s="501"/>
      <c r="G911" s="471"/>
      <c r="H911" s="471"/>
      <c r="I911" s="471"/>
      <c r="J911" s="490"/>
      <c r="K911" s="491"/>
      <c r="L911" s="471"/>
      <c r="M911" s="471"/>
      <c r="N911" s="471"/>
      <c r="O911" s="471"/>
      <c r="P911" s="471"/>
      <c r="Q911" s="471"/>
      <c r="R911" s="471"/>
      <c r="S911" s="471"/>
      <c r="T911" s="471"/>
      <c r="U911" s="471"/>
      <c r="V911" s="471"/>
      <c r="W911" s="471"/>
      <c r="X911" s="471"/>
      <c r="Y911" s="471"/>
      <c r="Z911" s="471"/>
      <c r="AA911" s="471"/>
      <c r="AB911" s="471"/>
      <c r="AC911" s="471"/>
      <c r="AD911" s="471"/>
      <c r="AE911" s="471"/>
      <c r="AF911" s="471"/>
      <c r="AG911" s="471"/>
      <c r="AH911" s="471"/>
      <c r="AI911" s="471"/>
    </row>
    <row r="912">
      <c r="A912" s="471"/>
      <c r="B912" s="471"/>
      <c r="C912" s="471"/>
      <c r="D912" s="471"/>
      <c r="E912" s="471"/>
      <c r="F912" s="501"/>
      <c r="G912" s="471"/>
      <c r="H912" s="471"/>
      <c r="I912" s="471"/>
      <c r="J912" s="490"/>
      <c r="K912" s="491"/>
      <c r="L912" s="471"/>
      <c r="M912" s="471"/>
      <c r="N912" s="471"/>
      <c r="O912" s="471"/>
      <c r="P912" s="471"/>
      <c r="Q912" s="471"/>
      <c r="R912" s="471"/>
      <c r="S912" s="471"/>
      <c r="T912" s="471"/>
      <c r="U912" s="471"/>
      <c r="V912" s="471"/>
      <c r="W912" s="471"/>
      <c r="X912" s="471"/>
      <c r="Y912" s="471"/>
      <c r="Z912" s="471"/>
      <c r="AA912" s="471"/>
      <c r="AB912" s="471"/>
      <c r="AC912" s="471"/>
      <c r="AD912" s="471"/>
      <c r="AE912" s="471"/>
      <c r="AF912" s="471"/>
      <c r="AG912" s="471"/>
      <c r="AH912" s="471"/>
      <c r="AI912" s="471"/>
    </row>
    <row r="913">
      <c r="A913" s="471"/>
      <c r="B913" s="471"/>
      <c r="C913" s="471"/>
      <c r="D913" s="471"/>
      <c r="E913" s="471"/>
      <c r="F913" s="501"/>
      <c r="G913" s="471"/>
      <c r="H913" s="471"/>
      <c r="I913" s="471"/>
      <c r="J913" s="490"/>
      <c r="K913" s="491"/>
      <c r="L913" s="471"/>
      <c r="M913" s="471"/>
      <c r="N913" s="471"/>
      <c r="O913" s="471"/>
      <c r="P913" s="471"/>
      <c r="Q913" s="471"/>
      <c r="R913" s="471"/>
      <c r="S913" s="471"/>
      <c r="T913" s="471"/>
      <c r="U913" s="471"/>
      <c r="V913" s="471"/>
      <c r="W913" s="471"/>
      <c r="X913" s="471"/>
      <c r="Y913" s="471"/>
      <c r="Z913" s="471"/>
      <c r="AA913" s="471"/>
      <c r="AB913" s="471"/>
      <c r="AC913" s="471"/>
      <c r="AD913" s="471"/>
      <c r="AE913" s="471"/>
      <c r="AF913" s="471"/>
      <c r="AG913" s="471"/>
      <c r="AH913" s="471"/>
      <c r="AI913" s="471"/>
    </row>
    <row r="914">
      <c r="A914" s="471"/>
      <c r="B914" s="471"/>
      <c r="C914" s="471"/>
      <c r="D914" s="471"/>
      <c r="E914" s="471"/>
      <c r="F914" s="501"/>
      <c r="G914" s="471"/>
      <c r="H914" s="471"/>
      <c r="I914" s="471"/>
      <c r="J914" s="490"/>
      <c r="K914" s="491"/>
      <c r="L914" s="471"/>
      <c r="M914" s="471"/>
      <c r="N914" s="471"/>
      <c r="O914" s="471"/>
      <c r="P914" s="471"/>
      <c r="Q914" s="471"/>
      <c r="R914" s="471"/>
      <c r="S914" s="471"/>
      <c r="T914" s="471"/>
      <c r="U914" s="471"/>
      <c r="V914" s="471"/>
      <c r="W914" s="471"/>
      <c r="X914" s="471"/>
      <c r="Y914" s="471"/>
      <c r="Z914" s="471"/>
      <c r="AA914" s="471"/>
      <c r="AB914" s="471"/>
      <c r="AC914" s="471"/>
      <c r="AD914" s="471"/>
      <c r="AE914" s="471"/>
      <c r="AF914" s="471"/>
      <c r="AG914" s="471"/>
      <c r="AH914" s="471"/>
      <c r="AI914" s="471"/>
    </row>
    <row r="915">
      <c r="A915" s="471"/>
      <c r="B915" s="471"/>
      <c r="C915" s="471"/>
      <c r="D915" s="471"/>
      <c r="E915" s="471"/>
      <c r="F915" s="501"/>
      <c r="G915" s="471"/>
      <c r="H915" s="471"/>
      <c r="I915" s="471"/>
      <c r="J915" s="490"/>
      <c r="K915" s="491"/>
      <c r="L915" s="471"/>
      <c r="M915" s="471"/>
      <c r="N915" s="471"/>
      <c r="O915" s="471"/>
      <c r="P915" s="471"/>
      <c r="Q915" s="471"/>
      <c r="R915" s="471"/>
      <c r="S915" s="471"/>
      <c r="T915" s="471"/>
      <c r="U915" s="471"/>
      <c r="V915" s="471"/>
      <c r="W915" s="471"/>
      <c r="X915" s="471"/>
      <c r="Y915" s="471"/>
      <c r="Z915" s="471"/>
      <c r="AA915" s="471"/>
      <c r="AB915" s="471"/>
      <c r="AC915" s="471"/>
      <c r="AD915" s="471"/>
      <c r="AE915" s="471"/>
      <c r="AF915" s="471"/>
      <c r="AG915" s="471"/>
      <c r="AH915" s="471"/>
      <c r="AI915" s="471"/>
    </row>
    <row r="916">
      <c r="A916" s="471"/>
      <c r="B916" s="471"/>
      <c r="C916" s="471"/>
      <c r="D916" s="471"/>
      <c r="E916" s="471"/>
      <c r="F916" s="501"/>
      <c r="G916" s="471"/>
      <c r="H916" s="471"/>
      <c r="I916" s="471"/>
      <c r="J916" s="490"/>
      <c r="K916" s="491"/>
      <c r="L916" s="471"/>
      <c r="M916" s="471"/>
      <c r="N916" s="471"/>
      <c r="O916" s="471"/>
      <c r="P916" s="471"/>
      <c r="Q916" s="471"/>
      <c r="R916" s="471"/>
      <c r="S916" s="471"/>
      <c r="T916" s="471"/>
      <c r="U916" s="471"/>
      <c r="V916" s="471"/>
      <c r="W916" s="471"/>
      <c r="X916" s="471"/>
      <c r="Y916" s="471"/>
      <c r="Z916" s="471"/>
      <c r="AA916" s="471"/>
      <c r="AB916" s="471"/>
      <c r="AC916" s="471"/>
      <c r="AD916" s="471"/>
      <c r="AE916" s="471"/>
      <c r="AF916" s="471"/>
      <c r="AG916" s="471"/>
      <c r="AH916" s="471"/>
      <c r="AI916" s="471"/>
    </row>
    <row r="917">
      <c r="A917" s="471"/>
      <c r="B917" s="471"/>
      <c r="C917" s="471"/>
      <c r="D917" s="471"/>
      <c r="E917" s="471"/>
      <c r="F917" s="501"/>
      <c r="G917" s="471"/>
      <c r="H917" s="471"/>
      <c r="I917" s="471"/>
      <c r="J917" s="490"/>
      <c r="K917" s="491"/>
      <c r="L917" s="471"/>
      <c r="M917" s="471"/>
      <c r="N917" s="471"/>
      <c r="O917" s="471"/>
      <c r="P917" s="471"/>
      <c r="Q917" s="471"/>
      <c r="R917" s="471"/>
      <c r="S917" s="471"/>
      <c r="T917" s="471"/>
      <c r="U917" s="471"/>
      <c r="V917" s="471"/>
      <c r="W917" s="471"/>
      <c r="X917" s="471"/>
      <c r="Y917" s="471"/>
      <c r="Z917" s="471"/>
      <c r="AA917" s="471"/>
      <c r="AB917" s="471"/>
      <c r="AC917" s="471"/>
      <c r="AD917" s="471"/>
      <c r="AE917" s="471"/>
      <c r="AF917" s="471"/>
      <c r="AG917" s="471"/>
      <c r="AH917" s="471"/>
      <c r="AI917" s="471"/>
    </row>
    <row r="918">
      <c r="A918" s="471"/>
      <c r="B918" s="471"/>
      <c r="C918" s="471"/>
      <c r="D918" s="471"/>
      <c r="E918" s="471"/>
      <c r="F918" s="501"/>
      <c r="G918" s="471"/>
      <c r="H918" s="471"/>
      <c r="I918" s="471"/>
      <c r="J918" s="490"/>
      <c r="K918" s="491"/>
      <c r="L918" s="471"/>
      <c r="M918" s="471"/>
      <c r="N918" s="471"/>
      <c r="O918" s="471"/>
      <c r="P918" s="471"/>
      <c r="Q918" s="471"/>
      <c r="R918" s="471"/>
      <c r="S918" s="471"/>
      <c r="T918" s="471"/>
      <c r="U918" s="471"/>
      <c r="V918" s="471"/>
      <c r="W918" s="471"/>
      <c r="X918" s="471"/>
      <c r="Y918" s="471"/>
      <c r="Z918" s="471"/>
      <c r="AA918" s="471"/>
      <c r="AB918" s="471"/>
      <c r="AC918" s="471"/>
      <c r="AD918" s="471"/>
      <c r="AE918" s="471"/>
      <c r="AF918" s="471"/>
      <c r="AG918" s="471"/>
      <c r="AH918" s="471"/>
      <c r="AI918" s="471"/>
    </row>
    <row r="919">
      <c r="A919" s="471"/>
      <c r="B919" s="471"/>
      <c r="C919" s="471"/>
      <c r="D919" s="471"/>
      <c r="E919" s="471"/>
      <c r="F919" s="501"/>
      <c r="G919" s="471"/>
      <c r="H919" s="471"/>
      <c r="I919" s="471"/>
      <c r="J919" s="490"/>
      <c r="K919" s="491"/>
      <c r="L919" s="471"/>
      <c r="M919" s="471"/>
      <c r="N919" s="471"/>
      <c r="O919" s="471"/>
      <c r="P919" s="471"/>
      <c r="Q919" s="471"/>
      <c r="R919" s="471"/>
      <c r="S919" s="471"/>
      <c r="T919" s="471"/>
      <c r="U919" s="471"/>
      <c r="V919" s="471"/>
      <c r="W919" s="471"/>
      <c r="X919" s="471"/>
      <c r="Y919" s="471"/>
      <c r="Z919" s="471"/>
      <c r="AA919" s="471"/>
      <c r="AB919" s="471"/>
      <c r="AC919" s="471"/>
      <c r="AD919" s="471"/>
      <c r="AE919" s="471"/>
      <c r="AF919" s="471"/>
      <c r="AG919" s="471"/>
      <c r="AH919" s="471"/>
      <c r="AI919" s="471"/>
    </row>
    <row r="920">
      <c r="A920" s="471"/>
      <c r="B920" s="471"/>
      <c r="C920" s="471"/>
      <c r="D920" s="471"/>
      <c r="E920" s="471"/>
      <c r="F920" s="501"/>
      <c r="G920" s="471"/>
      <c r="H920" s="471"/>
      <c r="I920" s="471"/>
      <c r="J920" s="490"/>
      <c r="K920" s="491"/>
      <c r="L920" s="471"/>
      <c r="M920" s="471"/>
      <c r="N920" s="471"/>
      <c r="O920" s="471"/>
      <c r="P920" s="471"/>
      <c r="Q920" s="471"/>
      <c r="R920" s="471"/>
      <c r="S920" s="471"/>
      <c r="T920" s="471"/>
      <c r="U920" s="471"/>
      <c r="V920" s="471"/>
      <c r="W920" s="471"/>
      <c r="X920" s="471"/>
      <c r="Y920" s="471"/>
      <c r="Z920" s="471"/>
      <c r="AA920" s="471"/>
      <c r="AB920" s="471"/>
      <c r="AC920" s="471"/>
      <c r="AD920" s="471"/>
      <c r="AE920" s="471"/>
      <c r="AF920" s="471"/>
      <c r="AG920" s="471"/>
      <c r="AH920" s="471"/>
      <c r="AI920" s="471"/>
    </row>
    <row r="921">
      <c r="A921" s="471"/>
      <c r="B921" s="471"/>
      <c r="C921" s="471"/>
      <c r="D921" s="471"/>
      <c r="E921" s="471"/>
      <c r="F921" s="501"/>
      <c r="G921" s="471"/>
      <c r="H921" s="471"/>
      <c r="I921" s="471"/>
      <c r="J921" s="490"/>
      <c r="K921" s="491"/>
      <c r="L921" s="471"/>
      <c r="M921" s="471"/>
      <c r="N921" s="471"/>
      <c r="O921" s="471"/>
      <c r="P921" s="471"/>
      <c r="Q921" s="471"/>
      <c r="R921" s="471"/>
      <c r="S921" s="471"/>
      <c r="T921" s="471"/>
      <c r="U921" s="471"/>
      <c r="V921" s="471"/>
      <c r="W921" s="471"/>
      <c r="X921" s="471"/>
      <c r="Y921" s="471"/>
      <c r="Z921" s="471"/>
      <c r="AA921" s="471"/>
      <c r="AB921" s="471"/>
      <c r="AC921" s="471"/>
      <c r="AD921" s="471"/>
      <c r="AE921" s="471"/>
      <c r="AF921" s="471"/>
      <c r="AG921" s="471"/>
      <c r="AH921" s="471"/>
      <c r="AI921" s="471"/>
    </row>
    <row r="922">
      <c r="A922" s="471"/>
      <c r="B922" s="471"/>
      <c r="C922" s="471"/>
      <c r="D922" s="471"/>
      <c r="E922" s="471"/>
      <c r="F922" s="501"/>
      <c r="G922" s="471"/>
      <c r="H922" s="471"/>
      <c r="I922" s="471"/>
      <c r="J922" s="490"/>
      <c r="K922" s="491"/>
      <c r="L922" s="471"/>
      <c r="M922" s="471"/>
      <c r="N922" s="471"/>
      <c r="O922" s="471"/>
      <c r="P922" s="471"/>
      <c r="Q922" s="471"/>
      <c r="R922" s="471"/>
      <c r="S922" s="471"/>
      <c r="T922" s="471"/>
      <c r="U922" s="471"/>
      <c r="V922" s="471"/>
      <c r="W922" s="471"/>
      <c r="X922" s="471"/>
      <c r="Y922" s="471"/>
      <c r="Z922" s="471"/>
      <c r="AA922" s="471"/>
      <c r="AB922" s="471"/>
      <c r="AC922" s="471"/>
      <c r="AD922" s="471"/>
      <c r="AE922" s="471"/>
      <c r="AF922" s="471"/>
      <c r="AG922" s="471"/>
      <c r="AH922" s="471"/>
      <c r="AI922" s="471"/>
    </row>
    <row r="923">
      <c r="A923" s="471"/>
      <c r="B923" s="471"/>
      <c r="C923" s="471"/>
      <c r="D923" s="471"/>
      <c r="E923" s="471"/>
      <c r="F923" s="501"/>
      <c r="G923" s="471"/>
      <c r="H923" s="471"/>
      <c r="I923" s="471"/>
      <c r="J923" s="490"/>
      <c r="K923" s="491"/>
      <c r="L923" s="471"/>
      <c r="M923" s="471"/>
      <c r="N923" s="471"/>
      <c r="O923" s="471"/>
      <c r="P923" s="471"/>
      <c r="Q923" s="471"/>
      <c r="R923" s="471"/>
      <c r="S923" s="471"/>
      <c r="T923" s="471"/>
      <c r="U923" s="471"/>
      <c r="V923" s="471"/>
      <c r="W923" s="471"/>
      <c r="X923" s="471"/>
      <c r="Y923" s="471"/>
      <c r="Z923" s="471"/>
      <c r="AA923" s="471"/>
      <c r="AB923" s="471"/>
      <c r="AC923" s="471"/>
      <c r="AD923" s="471"/>
      <c r="AE923" s="471"/>
      <c r="AF923" s="471"/>
      <c r="AG923" s="471"/>
      <c r="AH923" s="471"/>
      <c r="AI923" s="471"/>
    </row>
    <row r="924">
      <c r="A924" s="471"/>
      <c r="B924" s="471"/>
      <c r="C924" s="471"/>
      <c r="D924" s="471"/>
      <c r="E924" s="471"/>
      <c r="F924" s="501"/>
      <c r="G924" s="471"/>
      <c r="H924" s="471"/>
      <c r="I924" s="471"/>
      <c r="J924" s="490"/>
      <c r="K924" s="491"/>
      <c r="L924" s="471"/>
      <c r="M924" s="471"/>
      <c r="N924" s="471"/>
      <c r="O924" s="471"/>
      <c r="P924" s="471"/>
      <c r="Q924" s="471"/>
      <c r="R924" s="471"/>
      <c r="S924" s="471"/>
      <c r="T924" s="471"/>
      <c r="U924" s="471"/>
      <c r="V924" s="471"/>
      <c r="W924" s="471"/>
      <c r="X924" s="471"/>
      <c r="Y924" s="471"/>
      <c r="Z924" s="471"/>
      <c r="AA924" s="471"/>
      <c r="AB924" s="471"/>
      <c r="AC924" s="471"/>
      <c r="AD924" s="471"/>
      <c r="AE924" s="471"/>
      <c r="AF924" s="471"/>
      <c r="AG924" s="471"/>
      <c r="AH924" s="471"/>
      <c r="AI924" s="471"/>
    </row>
    <row r="925">
      <c r="A925" s="471"/>
      <c r="B925" s="471"/>
      <c r="C925" s="471"/>
      <c r="D925" s="471"/>
      <c r="E925" s="471"/>
      <c r="F925" s="501"/>
      <c r="G925" s="471"/>
      <c r="H925" s="471"/>
      <c r="I925" s="471"/>
      <c r="J925" s="490"/>
      <c r="K925" s="491"/>
      <c r="L925" s="471"/>
      <c r="M925" s="471"/>
      <c r="N925" s="471"/>
      <c r="O925" s="471"/>
      <c r="P925" s="471"/>
      <c r="Q925" s="471"/>
      <c r="R925" s="471"/>
      <c r="S925" s="471"/>
      <c r="T925" s="471"/>
      <c r="U925" s="471"/>
      <c r="V925" s="471"/>
      <c r="W925" s="471"/>
      <c r="X925" s="471"/>
      <c r="Y925" s="471"/>
      <c r="Z925" s="471"/>
      <c r="AA925" s="471"/>
      <c r="AB925" s="471"/>
      <c r="AC925" s="471"/>
      <c r="AD925" s="471"/>
      <c r="AE925" s="471"/>
      <c r="AF925" s="471"/>
      <c r="AG925" s="471"/>
      <c r="AH925" s="471"/>
      <c r="AI925" s="471"/>
    </row>
    <row r="926">
      <c r="A926" s="471"/>
      <c r="B926" s="471"/>
      <c r="C926" s="471"/>
      <c r="D926" s="471"/>
      <c r="E926" s="471"/>
      <c r="F926" s="501"/>
      <c r="G926" s="471"/>
      <c r="H926" s="471"/>
      <c r="I926" s="471"/>
      <c r="J926" s="490"/>
      <c r="K926" s="491"/>
      <c r="L926" s="471"/>
      <c r="M926" s="471"/>
      <c r="N926" s="471"/>
      <c r="O926" s="471"/>
      <c r="P926" s="471"/>
      <c r="Q926" s="471"/>
      <c r="R926" s="471"/>
      <c r="S926" s="471"/>
      <c r="T926" s="471"/>
      <c r="U926" s="471"/>
      <c r="V926" s="471"/>
      <c r="W926" s="471"/>
      <c r="X926" s="471"/>
      <c r="Y926" s="471"/>
      <c r="Z926" s="471"/>
      <c r="AA926" s="471"/>
      <c r="AB926" s="471"/>
      <c r="AC926" s="471"/>
      <c r="AD926" s="471"/>
      <c r="AE926" s="471"/>
      <c r="AF926" s="471"/>
      <c r="AG926" s="471"/>
      <c r="AH926" s="471"/>
      <c r="AI926" s="471"/>
    </row>
    <row r="927">
      <c r="A927" s="471"/>
      <c r="B927" s="471"/>
      <c r="C927" s="471"/>
      <c r="D927" s="471"/>
      <c r="E927" s="471"/>
      <c r="F927" s="501"/>
      <c r="G927" s="471"/>
      <c r="H927" s="471"/>
      <c r="I927" s="471"/>
      <c r="J927" s="490"/>
      <c r="K927" s="491"/>
      <c r="L927" s="471"/>
      <c r="M927" s="471"/>
      <c r="N927" s="471"/>
      <c r="O927" s="471"/>
      <c r="P927" s="471"/>
      <c r="Q927" s="471"/>
      <c r="R927" s="471"/>
      <c r="S927" s="471"/>
      <c r="T927" s="471"/>
      <c r="U927" s="471"/>
      <c r="V927" s="471"/>
      <c r="W927" s="471"/>
      <c r="X927" s="471"/>
      <c r="Y927" s="471"/>
      <c r="Z927" s="471"/>
      <c r="AA927" s="471"/>
      <c r="AB927" s="471"/>
      <c r="AC927" s="471"/>
      <c r="AD927" s="471"/>
      <c r="AE927" s="471"/>
      <c r="AF927" s="471"/>
      <c r="AG927" s="471"/>
      <c r="AH927" s="471"/>
      <c r="AI927" s="471"/>
    </row>
    <row r="928">
      <c r="A928" s="471"/>
      <c r="B928" s="471"/>
      <c r="C928" s="471"/>
      <c r="D928" s="471"/>
      <c r="E928" s="471"/>
      <c r="F928" s="501"/>
      <c r="G928" s="471"/>
      <c r="H928" s="471"/>
      <c r="I928" s="471"/>
      <c r="J928" s="490"/>
      <c r="K928" s="491"/>
      <c r="L928" s="471"/>
      <c r="M928" s="471"/>
      <c r="N928" s="471"/>
      <c r="O928" s="471"/>
      <c r="P928" s="471"/>
      <c r="Q928" s="471"/>
      <c r="R928" s="471"/>
      <c r="S928" s="471"/>
      <c r="T928" s="471"/>
      <c r="U928" s="471"/>
      <c r="V928" s="471"/>
      <c r="W928" s="471"/>
      <c r="X928" s="471"/>
      <c r="Y928" s="471"/>
      <c r="Z928" s="471"/>
      <c r="AA928" s="471"/>
      <c r="AB928" s="471"/>
      <c r="AC928" s="471"/>
      <c r="AD928" s="471"/>
      <c r="AE928" s="471"/>
      <c r="AF928" s="471"/>
      <c r="AG928" s="471"/>
      <c r="AH928" s="471"/>
      <c r="AI928" s="471"/>
    </row>
    <row r="929">
      <c r="A929" s="471"/>
      <c r="B929" s="471"/>
      <c r="C929" s="471"/>
      <c r="D929" s="471"/>
      <c r="E929" s="471"/>
      <c r="F929" s="501"/>
      <c r="G929" s="471"/>
      <c r="H929" s="471"/>
      <c r="I929" s="471"/>
      <c r="J929" s="490"/>
      <c r="K929" s="491"/>
      <c r="L929" s="471"/>
      <c r="M929" s="471"/>
      <c r="N929" s="471"/>
      <c r="O929" s="471"/>
      <c r="P929" s="471"/>
      <c r="Q929" s="471"/>
      <c r="R929" s="471"/>
      <c r="S929" s="471"/>
      <c r="T929" s="471"/>
      <c r="U929" s="471"/>
      <c r="V929" s="471"/>
      <c r="W929" s="471"/>
      <c r="X929" s="471"/>
      <c r="Y929" s="471"/>
      <c r="Z929" s="471"/>
      <c r="AA929" s="471"/>
      <c r="AB929" s="471"/>
      <c r="AC929" s="471"/>
      <c r="AD929" s="471"/>
      <c r="AE929" s="471"/>
      <c r="AF929" s="471"/>
      <c r="AG929" s="471"/>
      <c r="AH929" s="471"/>
      <c r="AI929" s="471"/>
    </row>
    <row r="930">
      <c r="A930" s="471"/>
      <c r="B930" s="471"/>
      <c r="C930" s="471"/>
      <c r="D930" s="471"/>
      <c r="E930" s="471"/>
      <c r="F930" s="501"/>
      <c r="G930" s="471"/>
      <c r="H930" s="471"/>
      <c r="I930" s="471"/>
      <c r="J930" s="490"/>
      <c r="K930" s="491"/>
      <c r="L930" s="471"/>
      <c r="M930" s="471"/>
      <c r="N930" s="471"/>
      <c r="O930" s="471"/>
      <c r="P930" s="471"/>
      <c r="Q930" s="471"/>
      <c r="R930" s="471"/>
      <c r="S930" s="471"/>
      <c r="T930" s="471"/>
      <c r="U930" s="471"/>
      <c r="V930" s="471"/>
      <c r="W930" s="471"/>
      <c r="X930" s="471"/>
      <c r="Y930" s="471"/>
      <c r="Z930" s="471"/>
      <c r="AA930" s="471"/>
      <c r="AB930" s="471"/>
      <c r="AC930" s="471"/>
      <c r="AD930" s="471"/>
      <c r="AE930" s="471"/>
      <c r="AF930" s="471"/>
      <c r="AG930" s="471"/>
      <c r="AH930" s="471"/>
      <c r="AI930" s="471"/>
    </row>
    <row r="931">
      <c r="A931" s="471"/>
      <c r="B931" s="471"/>
      <c r="C931" s="471"/>
      <c r="D931" s="471"/>
      <c r="E931" s="471"/>
      <c r="F931" s="501"/>
      <c r="G931" s="471"/>
      <c r="H931" s="471"/>
      <c r="I931" s="471"/>
      <c r="J931" s="490"/>
      <c r="K931" s="491"/>
      <c r="L931" s="471"/>
      <c r="M931" s="471"/>
      <c r="N931" s="471"/>
      <c r="O931" s="471"/>
      <c r="P931" s="471"/>
      <c r="Q931" s="471"/>
      <c r="R931" s="471"/>
      <c r="S931" s="471"/>
      <c r="T931" s="471"/>
      <c r="U931" s="471"/>
      <c r="V931" s="471"/>
      <c r="W931" s="471"/>
      <c r="X931" s="471"/>
      <c r="Y931" s="471"/>
      <c r="Z931" s="471"/>
      <c r="AA931" s="471"/>
      <c r="AB931" s="471"/>
      <c r="AC931" s="471"/>
      <c r="AD931" s="471"/>
      <c r="AE931" s="471"/>
      <c r="AF931" s="471"/>
      <c r="AG931" s="471"/>
      <c r="AH931" s="471"/>
      <c r="AI931" s="471"/>
    </row>
    <row r="932">
      <c r="A932" s="471"/>
      <c r="B932" s="471"/>
      <c r="C932" s="471"/>
      <c r="D932" s="471"/>
      <c r="E932" s="471"/>
      <c r="F932" s="501"/>
      <c r="G932" s="471"/>
      <c r="H932" s="471"/>
      <c r="I932" s="471"/>
      <c r="J932" s="490"/>
      <c r="K932" s="491"/>
      <c r="L932" s="471"/>
      <c r="M932" s="471"/>
      <c r="N932" s="471"/>
      <c r="O932" s="471"/>
      <c r="P932" s="471"/>
      <c r="Q932" s="471"/>
      <c r="R932" s="471"/>
      <c r="S932" s="471"/>
      <c r="T932" s="471"/>
      <c r="U932" s="471"/>
      <c r="V932" s="471"/>
      <c r="W932" s="471"/>
      <c r="X932" s="471"/>
      <c r="Y932" s="471"/>
      <c r="Z932" s="471"/>
      <c r="AA932" s="471"/>
      <c r="AB932" s="471"/>
      <c r="AC932" s="471"/>
      <c r="AD932" s="471"/>
      <c r="AE932" s="471"/>
      <c r="AF932" s="471"/>
      <c r="AG932" s="471"/>
      <c r="AH932" s="471"/>
      <c r="AI932" s="471"/>
    </row>
    <row r="933">
      <c r="A933" s="471"/>
      <c r="B933" s="471"/>
      <c r="C933" s="471"/>
      <c r="D933" s="471"/>
      <c r="E933" s="471"/>
      <c r="F933" s="501"/>
      <c r="G933" s="471"/>
      <c r="H933" s="471"/>
      <c r="I933" s="471"/>
      <c r="J933" s="490"/>
      <c r="K933" s="491"/>
      <c r="L933" s="471"/>
      <c r="M933" s="471"/>
      <c r="N933" s="471"/>
      <c r="O933" s="471"/>
      <c r="P933" s="471"/>
      <c r="Q933" s="471"/>
      <c r="R933" s="471"/>
      <c r="S933" s="471"/>
      <c r="T933" s="471"/>
      <c r="U933" s="471"/>
      <c r="V933" s="471"/>
      <c r="W933" s="471"/>
      <c r="X933" s="471"/>
      <c r="Y933" s="471"/>
      <c r="Z933" s="471"/>
      <c r="AA933" s="471"/>
      <c r="AB933" s="471"/>
      <c r="AC933" s="471"/>
      <c r="AD933" s="471"/>
      <c r="AE933" s="471"/>
      <c r="AF933" s="471"/>
      <c r="AG933" s="471"/>
      <c r="AH933" s="471"/>
      <c r="AI933" s="471"/>
    </row>
    <row r="934">
      <c r="A934" s="471"/>
      <c r="B934" s="471"/>
      <c r="C934" s="471"/>
      <c r="D934" s="471"/>
      <c r="E934" s="471"/>
      <c r="F934" s="501"/>
      <c r="G934" s="471"/>
      <c r="H934" s="471"/>
      <c r="I934" s="471"/>
      <c r="J934" s="490"/>
      <c r="K934" s="491"/>
      <c r="L934" s="471"/>
      <c r="M934" s="471"/>
      <c r="N934" s="471"/>
      <c r="O934" s="471"/>
      <c r="P934" s="471"/>
      <c r="Q934" s="471"/>
      <c r="R934" s="471"/>
      <c r="S934" s="471"/>
      <c r="T934" s="471"/>
      <c r="U934" s="471"/>
      <c r="V934" s="471"/>
      <c r="W934" s="471"/>
      <c r="X934" s="471"/>
      <c r="Y934" s="471"/>
      <c r="Z934" s="471"/>
      <c r="AA934" s="471"/>
      <c r="AB934" s="471"/>
      <c r="AC934" s="471"/>
      <c r="AD934" s="471"/>
      <c r="AE934" s="471"/>
      <c r="AF934" s="471"/>
      <c r="AG934" s="471"/>
      <c r="AH934" s="471"/>
      <c r="AI934" s="471"/>
    </row>
    <row r="935">
      <c r="A935" s="471"/>
      <c r="B935" s="471"/>
      <c r="C935" s="471"/>
      <c r="D935" s="471"/>
      <c r="E935" s="471"/>
      <c r="F935" s="501"/>
      <c r="G935" s="471"/>
      <c r="H935" s="471"/>
      <c r="I935" s="471"/>
      <c r="J935" s="490"/>
      <c r="K935" s="491"/>
      <c r="L935" s="471"/>
      <c r="M935" s="471"/>
      <c r="N935" s="471"/>
      <c r="O935" s="471"/>
      <c r="P935" s="471"/>
      <c r="Q935" s="471"/>
      <c r="R935" s="471"/>
      <c r="S935" s="471"/>
      <c r="T935" s="471"/>
      <c r="U935" s="471"/>
      <c r="V935" s="471"/>
      <c r="W935" s="471"/>
      <c r="X935" s="471"/>
      <c r="Y935" s="471"/>
      <c r="Z935" s="471"/>
      <c r="AA935" s="471"/>
      <c r="AB935" s="471"/>
      <c r="AC935" s="471"/>
      <c r="AD935" s="471"/>
      <c r="AE935" s="471"/>
      <c r="AF935" s="471"/>
      <c r="AG935" s="471"/>
      <c r="AH935" s="471"/>
      <c r="AI935" s="471"/>
    </row>
    <row r="936">
      <c r="A936" s="471"/>
      <c r="B936" s="471"/>
      <c r="C936" s="471"/>
      <c r="D936" s="471"/>
      <c r="E936" s="471"/>
      <c r="F936" s="501"/>
      <c r="G936" s="471"/>
      <c r="H936" s="471"/>
      <c r="I936" s="471"/>
      <c r="J936" s="490"/>
      <c r="K936" s="491"/>
      <c r="L936" s="471"/>
      <c r="M936" s="471"/>
      <c r="N936" s="471"/>
      <c r="O936" s="471"/>
      <c r="P936" s="471"/>
      <c r="Q936" s="471"/>
      <c r="R936" s="471"/>
      <c r="S936" s="471"/>
      <c r="T936" s="471"/>
      <c r="U936" s="471"/>
      <c r="V936" s="471"/>
      <c r="W936" s="471"/>
      <c r="X936" s="471"/>
      <c r="Y936" s="471"/>
      <c r="Z936" s="471"/>
      <c r="AA936" s="471"/>
      <c r="AB936" s="471"/>
      <c r="AC936" s="471"/>
      <c r="AD936" s="471"/>
      <c r="AE936" s="471"/>
      <c r="AF936" s="471"/>
      <c r="AG936" s="471"/>
      <c r="AH936" s="471"/>
      <c r="AI936" s="471"/>
    </row>
    <row r="937">
      <c r="A937" s="471"/>
      <c r="B937" s="471"/>
      <c r="C937" s="471"/>
      <c r="D937" s="471"/>
      <c r="E937" s="471"/>
      <c r="F937" s="501"/>
      <c r="G937" s="471"/>
      <c r="H937" s="471"/>
      <c r="I937" s="471"/>
      <c r="J937" s="490"/>
      <c r="K937" s="491"/>
      <c r="L937" s="471"/>
      <c r="M937" s="471"/>
      <c r="N937" s="471"/>
      <c r="O937" s="471"/>
      <c r="P937" s="471"/>
      <c r="Q937" s="471"/>
      <c r="R937" s="471"/>
      <c r="S937" s="471"/>
      <c r="T937" s="471"/>
      <c r="U937" s="471"/>
      <c r="V937" s="471"/>
      <c r="W937" s="471"/>
      <c r="X937" s="471"/>
      <c r="Y937" s="471"/>
      <c r="Z937" s="471"/>
      <c r="AA937" s="471"/>
      <c r="AB937" s="471"/>
      <c r="AC937" s="471"/>
      <c r="AD937" s="471"/>
      <c r="AE937" s="471"/>
      <c r="AF937" s="471"/>
      <c r="AG937" s="471"/>
      <c r="AH937" s="471"/>
      <c r="AI937" s="471"/>
    </row>
    <row r="938">
      <c r="A938" s="471"/>
      <c r="B938" s="471"/>
      <c r="C938" s="471"/>
      <c r="D938" s="471"/>
      <c r="E938" s="471"/>
      <c r="F938" s="501"/>
      <c r="G938" s="471"/>
      <c r="H938" s="471"/>
      <c r="I938" s="471"/>
      <c r="J938" s="490"/>
      <c r="K938" s="491"/>
      <c r="L938" s="471"/>
      <c r="M938" s="471"/>
      <c r="N938" s="471"/>
      <c r="O938" s="471"/>
      <c r="P938" s="471"/>
      <c r="Q938" s="471"/>
      <c r="R938" s="471"/>
      <c r="S938" s="471"/>
      <c r="T938" s="471"/>
      <c r="U938" s="471"/>
      <c r="V938" s="471"/>
      <c r="W938" s="471"/>
      <c r="X938" s="471"/>
      <c r="Y938" s="471"/>
      <c r="Z938" s="471"/>
      <c r="AA938" s="471"/>
      <c r="AB938" s="471"/>
      <c r="AC938" s="471"/>
      <c r="AD938" s="471"/>
      <c r="AE938" s="471"/>
      <c r="AF938" s="471"/>
      <c r="AG938" s="471"/>
      <c r="AH938" s="471"/>
      <c r="AI938" s="471"/>
    </row>
    <row r="939">
      <c r="A939" s="471"/>
      <c r="B939" s="471"/>
      <c r="C939" s="471"/>
      <c r="D939" s="471"/>
      <c r="E939" s="471"/>
      <c r="F939" s="501"/>
      <c r="G939" s="471"/>
      <c r="H939" s="471"/>
      <c r="I939" s="471"/>
      <c r="J939" s="490"/>
      <c r="K939" s="491"/>
      <c r="L939" s="471"/>
      <c r="M939" s="471"/>
      <c r="N939" s="471"/>
      <c r="O939" s="471"/>
      <c r="P939" s="471"/>
      <c r="Q939" s="471"/>
      <c r="R939" s="471"/>
      <c r="S939" s="471"/>
      <c r="T939" s="471"/>
      <c r="U939" s="471"/>
      <c r="V939" s="471"/>
      <c r="W939" s="471"/>
      <c r="X939" s="471"/>
      <c r="Y939" s="471"/>
      <c r="Z939" s="471"/>
      <c r="AA939" s="471"/>
      <c r="AB939" s="471"/>
      <c r="AC939" s="471"/>
      <c r="AD939" s="471"/>
      <c r="AE939" s="471"/>
      <c r="AF939" s="471"/>
      <c r="AG939" s="471"/>
      <c r="AH939" s="471"/>
      <c r="AI939" s="471"/>
    </row>
    <row r="940">
      <c r="A940" s="471"/>
      <c r="B940" s="471"/>
      <c r="C940" s="471"/>
      <c r="D940" s="471"/>
      <c r="E940" s="471"/>
      <c r="F940" s="501"/>
      <c r="G940" s="471"/>
      <c r="H940" s="471"/>
      <c r="I940" s="471"/>
      <c r="J940" s="490"/>
      <c r="K940" s="491"/>
      <c r="L940" s="471"/>
      <c r="M940" s="471"/>
      <c r="N940" s="471"/>
      <c r="O940" s="471"/>
      <c r="P940" s="471"/>
      <c r="Q940" s="471"/>
      <c r="R940" s="471"/>
      <c r="S940" s="471"/>
      <c r="T940" s="471"/>
      <c r="U940" s="471"/>
      <c r="V940" s="471"/>
      <c r="W940" s="471"/>
      <c r="X940" s="471"/>
      <c r="Y940" s="471"/>
      <c r="Z940" s="471"/>
      <c r="AA940" s="471"/>
      <c r="AB940" s="471"/>
      <c r="AC940" s="471"/>
      <c r="AD940" s="471"/>
      <c r="AE940" s="471"/>
      <c r="AF940" s="471"/>
      <c r="AG940" s="471"/>
      <c r="AH940" s="471"/>
      <c r="AI940" s="471"/>
    </row>
    <row r="941">
      <c r="A941" s="471"/>
      <c r="B941" s="471"/>
      <c r="C941" s="471"/>
      <c r="D941" s="471"/>
      <c r="E941" s="471"/>
      <c r="F941" s="501"/>
      <c r="G941" s="471"/>
      <c r="H941" s="471"/>
      <c r="I941" s="471"/>
      <c r="J941" s="490"/>
      <c r="K941" s="491"/>
      <c r="L941" s="471"/>
      <c r="M941" s="471"/>
      <c r="N941" s="471"/>
      <c r="O941" s="471"/>
      <c r="P941" s="471"/>
      <c r="Q941" s="471"/>
      <c r="R941" s="471"/>
      <c r="S941" s="471"/>
      <c r="T941" s="471"/>
      <c r="U941" s="471"/>
      <c r="V941" s="471"/>
      <c r="W941" s="471"/>
      <c r="X941" s="471"/>
      <c r="Y941" s="471"/>
      <c r="Z941" s="471"/>
      <c r="AA941" s="471"/>
      <c r="AB941" s="471"/>
      <c r="AC941" s="471"/>
      <c r="AD941" s="471"/>
      <c r="AE941" s="471"/>
      <c r="AF941" s="471"/>
      <c r="AG941" s="471"/>
      <c r="AH941" s="471"/>
      <c r="AI941" s="471"/>
    </row>
    <row r="942">
      <c r="A942" s="471"/>
      <c r="B942" s="471"/>
      <c r="C942" s="471"/>
      <c r="D942" s="471"/>
      <c r="E942" s="471"/>
      <c r="F942" s="501"/>
      <c r="G942" s="471"/>
      <c r="H942" s="471"/>
      <c r="I942" s="471"/>
      <c r="J942" s="490"/>
      <c r="K942" s="491"/>
      <c r="L942" s="471"/>
      <c r="M942" s="471"/>
      <c r="N942" s="471"/>
      <c r="O942" s="471"/>
      <c r="P942" s="471"/>
      <c r="Q942" s="471"/>
      <c r="R942" s="471"/>
      <c r="S942" s="471"/>
      <c r="T942" s="471"/>
      <c r="U942" s="471"/>
      <c r="V942" s="471"/>
      <c r="W942" s="471"/>
      <c r="X942" s="471"/>
      <c r="Y942" s="471"/>
      <c r="Z942" s="471"/>
      <c r="AA942" s="471"/>
      <c r="AB942" s="471"/>
      <c r="AC942" s="471"/>
      <c r="AD942" s="471"/>
      <c r="AE942" s="471"/>
      <c r="AF942" s="471"/>
      <c r="AG942" s="471"/>
      <c r="AH942" s="471"/>
      <c r="AI942" s="471"/>
    </row>
    <row r="943">
      <c r="A943" s="471"/>
      <c r="B943" s="471"/>
      <c r="C943" s="471"/>
      <c r="D943" s="471"/>
      <c r="E943" s="471"/>
      <c r="F943" s="501"/>
      <c r="G943" s="471"/>
      <c r="H943" s="471"/>
      <c r="I943" s="471"/>
      <c r="J943" s="490"/>
      <c r="K943" s="491"/>
      <c r="L943" s="471"/>
      <c r="M943" s="471"/>
      <c r="N943" s="471"/>
      <c r="O943" s="471"/>
      <c r="P943" s="471"/>
      <c r="Q943" s="471"/>
      <c r="R943" s="471"/>
      <c r="S943" s="471"/>
      <c r="T943" s="471"/>
      <c r="U943" s="471"/>
      <c r="V943" s="471"/>
      <c r="W943" s="471"/>
      <c r="X943" s="471"/>
      <c r="Y943" s="471"/>
      <c r="Z943" s="471"/>
      <c r="AA943" s="471"/>
      <c r="AB943" s="471"/>
      <c r="AC943" s="471"/>
      <c r="AD943" s="471"/>
      <c r="AE943" s="471"/>
      <c r="AF943" s="471"/>
      <c r="AG943" s="471"/>
      <c r="AH943" s="471"/>
      <c r="AI943" s="471"/>
    </row>
    <row r="944">
      <c r="A944" s="471"/>
      <c r="B944" s="471"/>
      <c r="C944" s="471"/>
      <c r="D944" s="471"/>
      <c r="E944" s="471"/>
      <c r="F944" s="501"/>
      <c r="G944" s="471"/>
      <c r="H944" s="471"/>
      <c r="I944" s="471"/>
      <c r="J944" s="490"/>
      <c r="K944" s="491"/>
      <c r="L944" s="471"/>
      <c r="M944" s="471"/>
      <c r="N944" s="471"/>
      <c r="O944" s="471"/>
      <c r="P944" s="471"/>
      <c r="Q944" s="471"/>
      <c r="R944" s="471"/>
      <c r="S944" s="471"/>
      <c r="T944" s="471"/>
      <c r="U944" s="471"/>
      <c r="V944" s="471"/>
      <c r="W944" s="471"/>
      <c r="X944" s="471"/>
      <c r="Y944" s="471"/>
      <c r="Z944" s="471"/>
      <c r="AA944" s="471"/>
      <c r="AB944" s="471"/>
      <c r="AC944" s="471"/>
      <c r="AD944" s="471"/>
      <c r="AE944" s="471"/>
      <c r="AF944" s="471"/>
      <c r="AG944" s="471"/>
      <c r="AH944" s="471"/>
      <c r="AI944" s="471"/>
    </row>
    <row r="945">
      <c r="A945" s="471"/>
      <c r="B945" s="471"/>
      <c r="C945" s="471"/>
      <c r="D945" s="471"/>
      <c r="E945" s="471"/>
      <c r="F945" s="501"/>
      <c r="G945" s="471"/>
      <c r="H945" s="471"/>
      <c r="I945" s="471"/>
      <c r="J945" s="490"/>
      <c r="K945" s="491"/>
      <c r="L945" s="471"/>
      <c r="M945" s="471"/>
      <c r="N945" s="471"/>
      <c r="O945" s="471"/>
      <c r="P945" s="471"/>
      <c r="Q945" s="471"/>
      <c r="R945" s="471"/>
      <c r="S945" s="471"/>
      <c r="T945" s="471"/>
      <c r="U945" s="471"/>
      <c r="V945" s="471"/>
      <c r="W945" s="471"/>
      <c r="X945" s="471"/>
      <c r="Y945" s="471"/>
      <c r="Z945" s="471"/>
      <c r="AA945" s="471"/>
      <c r="AB945" s="471"/>
      <c r="AC945" s="471"/>
      <c r="AD945" s="471"/>
      <c r="AE945" s="471"/>
      <c r="AF945" s="471"/>
      <c r="AG945" s="471"/>
      <c r="AH945" s="471"/>
      <c r="AI945" s="471"/>
    </row>
    <row r="946">
      <c r="A946" s="471"/>
      <c r="B946" s="471"/>
      <c r="C946" s="471"/>
      <c r="D946" s="471"/>
      <c r="E946" s="471"/>
      <c r="F946" s="501"/>
      <c r="G946" s="471"/>
      <c r="H946" s="471"/>
      <c r="I946" s="471"/>
      <c r="J946" s="490"/>
      <c r="K946" s="491"/>
      <c r="L946" s="471"/>
      <c r="M946" s="471"/>
      <c r="N946" s="471"/>
      <c r="O946" s="471"/>
      <c r="P946" s="471"/>
      <c r="Q946" s="471"/>
      <c r="R946" s="471"/>
      <c r="S946" s="471"/>
      <c r="T946" s="471"/>
      <c r="U946" s="471"/>
      <c r="V946" s="471"/>
      <c r="W946" s="471"/>
      <c r="X946" s="471"/>
      <c r="Y946" s="471"/>
      <c r="Z946" s="471"/>
      <c r="AA946" s="471"/>
      <c r="AB946" s="471"/>
      <c r="AC946" s="471"/>
      <c r="AD946" s="471"/>
      <c r="AE946" s="471"/>
      <c r="AF946" s="471"/>
      <c r="AG946" s="471"/>
      <c r="AH946" s="471"/>
      <c r="AI946" s="471"/>
    </row>
    <row r="947">
      <c r="A947" s="471"/>
      <c r="B947" s="471"/>
      <c r="C947" s="471"/>
      <c r="D947" s="471"/>
      <c r="E947" s="471"/>
      <c r="F947" s="501"/>
      <c r="G947" s="471"/>
      <c r="H947" s="471"/>
      <c r="I947" s="471"/>
      <c r="J947" s="490"/>
      <c r="K947" s="491"/>
      <c r="L947" s="471"/>
      <c r="M947" s="471"/>
      <c r="N947" s="471"/>
      <c r="O947" s="471"/>
      <c r="P947" s="471"/>
      <c r="Q947" s="471"/>
      <c r="R947" s="471"/>
      <c r="S947" s="471"/>
      <c r="T947" s="471"/>
      <c r="U947" s="471"/>
      <c r="V947" s="471"/>
      <c r="W947" s="471"/>
      <c r="X947" s="471"/>
      <c r="Y947" s="471"/>
      <c r="Z947" s="471"/>
      <c r="AA947" s="471"/>
      <c r="AB947" s="471"/>
      <c r="AC947" s="471"/>
      <c r="AD947" s="471"/>
      <c r="AE947" s="471"/>
      <c r="AF947" s="471"/>
      <c r="AG947" s="471"/>
      <c r="AH947" s="471"/>
      <c r="AI947" s="471"/>
    </row>
    <row r="948">
      <c r="A948" s="471"/>
      <c r="B948" s="471"/>
      <c r="C948" s="471"/>
      <c r="D948" s="471"/>
      <c r="E948" s="471"/>
      <c r="F948" s="501"/>
      <c r="G948" s="471"/>
      <c r="H948" s="471"/>
      <c r="I948" s="471"/>
      <c r="J948" s="490"/>
      <c r="K948" s="491"/>
      <c r="L948" s="471"/>
      <c r="M948" s="471"/>
      <c r="N948" s="471"/>
      <c r="O948" s="471"/>
      <c r="P948" s="471"/>
      <c r="Q948" s="471"/>
      <c r="R948" s="471"/>
      <c r="S948" s="471"/>
      <c r="T948" s="471"/>
      <c r="U948" s="471"/>
      <c r="V948" s="471"/>
      <c r="W948" s="471"/>
      <c r="X948" s="471"/>
      <c r="Y948" s="471"/>
      <c r="Z948" s="471"/>
      <c r="AA948" s="471"/>
      <c r="AB948" s="471"/>
      <c r="AC948" s="471"/>
      <c r="AD948" s="471"/>
      <c r="AE948" s="471"/>
      <c r="AF948" s="471"/>
      <c r="AG948" s="471"/>
      <c r="AH948" s="471"/>
      <c r="AI948" s="471"/>
    </row>
    <row r="949">
      <c r="A949" s="471"/>
      <c r="B949" s="471"/>
      <c r="C949" s="471"/>
      <c r="D949" s="471"/>
      <c r="E949" s="471"/>
      <c r="F949" s="501"/>
      <c r="G949" s="471"/>
      <c r="H949" s="471"/>
      <c r="I949" s="471"/>
      <c r="J949" s="490"/>
      <c r="K949" s="491"/>
      <c r="L949" s="471"/>
      <c r="M949" s="471"/>
      <c r="N949" s="471"/>
      <c r="O949" s="471"/>
      <c r="P949" s="471"/>
      <c r="Q949" s="471"/>
      <c r="R949" s="471"/>
      <c r="S949" s="471"/>
      <c r="T949" s="471"/>
      <c r="U949" s="471"/>
      <c r="V949" s="471"/>
      <c r="W949" s="471"/>
      <c r="X949" s="471"/>
      <c r="Y949" s="471"/>
      <c r="Z949" s="471"/>
      <c r="AA949" s="471"/>
      <c r="AB949" s="471"/>
      <c r="AC949" s="471"/>
      <c r="AD949" s="471"/>
      <c r="AE949" s="471"/>
      <c r="AF949" s="471"/>
      <c r="AG949" s="471"/>
      <c r="AH949" s="471"/>
      <c r="AI949" s="471"/>
    </row>
    <row r="950">
      <c r="A950" s="471"/>
      <c r="B950" s="471"/>
      <c r="C950" s="471"/>
      <c r="D950" s="471"/>
      <c r="E950" s="471"/>
      <c r="F950" s="501"/>
      <c r="G950" s="471"/>
      <c r="H950" s="471"/>
      <c r="I950" s="471"/>
      <c r="J950" s="490"/>
      <c r="K950" s="491"/>
      <c r="L950" s="471"/>
      <c r="M950" s="471"/>
      <c r="N950" s="471"/>
      <c r="O950" s="471"/>
      <c r="P950" s="471"/>
      <c r="Q950" s="471"/>
      <c r="R950" s="471"/>
      <c r="S950" s="471"/>
      <c r="T950" s="471"/>
      <c r="U950" s="471"/>
      <c r="V950" s="471"/>
      <c r="W950" s="471"/>
      <c r="X950" s="471"/>
      <c r="Y950" s="471"/>
      <c r="Z950" s="471"/>
      <c r="AA950" s="471"/>
      <c r="AB950" s="471"/>
      <c r="AC950" s="471"/>
      <c r="AD950" s="471"/>
      <c r="AE950" s="471"/>
      <c r="AF950" s="471"/>
      <c r="AG950" s="471"/>
      <c r="AH950" s="471"/>
      <c r="AI950" s="471"/>
    </row>
    <row r="951">
      <c r="A951" s="471"/>
      <c r="B951" s="471"/>
      <c r="C951" s="471"/>
      <c r="D951" s="471"/>
      <c r="E951" s="471"/>
      <c r="F951" s="501"/>
      <c r="G951" s="471"/>
      <c r="H951" s="471"/>
      <c r="I951" s="471"/>
      <c r="J951" s="490"/>
      <c r="K951" s="491"/>
      <c r="L951" s="471"/>
      <c r="M951" s="471"/>
      <c r="N951" s="471"/>
      <c r="O951" s="471"/>
      <c r="P951" s="471"/>
      <c r="Q951" s="471"/>
      <c r="R951" s="471"/>
      <c r="S951" s="471"/>
      <c r="T951" s="471"/>
      <c r="U951" s="471"/>
      <c r="V951" s="471"/>
      <c r="W951" s="471"/>
      <c r="X951" s="471"/>
      <c r="Y951" s="471"/>
      <c r="Z951" s="471"/>
      <c r="AA951" s="471"/>
      <c r="AB951" s="471"/>
      <c r="AC951" s="471"/>
      <c r="AD951" s="471"/>
      <c r="AE951" s="471"/>
      <c r="AF951" s="471"/>
      <c r="AG951" s="471"/>
      <c r="AH951" s="471"/>
      <c r="AI951" s="471"/>
    </row>
    <row r="952">
      <c r="A952" s="471"/>
      <c r="B952" s="471"/>
      <c r="C952" s="471"/>
      <c r="D952" s="471"/>
      <c r="E952" s="471"/>
      <c r="F952" s="501"/>
      <c r="G952" s="471"/>
      <c r="H952" s="471"/>
      <c r="I952" s="471"/>
      <c r="J952" s="490"/>
      <c r="K952" s="491"/>
      <c r="L952" s="471"/>
      <c r="M952" s="471"/>
      <c r="N952" s="471"/>
      <c r="O952" s="471"/>
      <c r="P952" s="471"/>
      <c r="Q952" s="471"/>
      <c r="R952" s="471"/>
      <c r="S952" s="471"/>
      <c r="T952" s="471"/>
      <c r="U952" s="471"/>
      <c r="V952" s="471"/>
      <c r="W952" s="471"/>
      <c r="X952" s="471"/>
      <c r="Y952" s="471"/>
      <c r="Z952" s="471"/>
      <c r="AA952" s="471"/>
      <c r="AB952" s="471"/>
      <c r="AC952" s="471"/>
      <c r="AD952" s="471"/>
      <c r="AE952" s="471"/>
      <c r="AF952" s="471"/>
      <c r="AG952" s="471"/>
      <c r="AH952" s="471"/>
      <c r="AI952" s="471"/>
    </row>
    <row r="953">
      <c r="A953" s="471"/>
      <c r="B953" s="471"/>
      <c r="C953" s="471"/>
      <c r="D953" s="471"/>
      <c r="E953" s="471"/>
      <c r="F953" s="501"/>
      <c r="G953" s="471"/>
      <c r="H953" s="471"/>
      <c r="I953" s="471"/>
      <c r="J953" s="490"/>
      <c r="K953" s="491"/>
      <c r="L953" s="471"/>
      <c r="M953" s="471"/>
      <c r="N953" s="471"/>
      <c r="O953" s="471"/>
      <c r="P953" s="471"/>
      <c r="Q953" s="471"/>
      <c r="R953" s="471"/>
      <c r="S953" s="471"/>
      <c r="T953" s="471"/>
      <c r="U953" s="471"/>
      <c r="V953" s="471"/>
      <c r="W953" s="471"/>
      <c r="X953" s="471"/>
      <c r="Y953" s="471"/>
      <c r="Z953" s="471"/>
      <c r="AA953" s="471"/>
      <c r="AB953" s="471"/>
      <c r="AC953" s="471"/>
      <c r="AD953" s="471"/>
      <c r="AE953" s="471"/>
      <c r="AF953" s="471"/>
      <c r="AG953" s="471"/>
      <c r="AH953" s="471"/>
      <c r="AI953" s="471"/>
    </row>
    <row r="954">
      <c r="A954" s="471"/>
      <c r="B954" s="471"/>
      <c r="C954" s="471"/>
      <c r="D954" s="471"/>
      <c r="E954" s="471"/>
      <c r="F954" s="501"/>
      <c r="G954" s="471"/>
      <c r="H954" s="471"/>
      <c r="I954" s="471"/>
      <c r="J954" s="490"/>
      <c r="K954" s="491"/>
      <c r="L954" s="471"/>
      <c r="M954" s="471"/>
      <c r="N954" s="471"/>
      <c r="O954" s="471"/>
      <c r="P954" s="471"/>
      <c r="Q954" s="471"/>
      <c r="R954" s="471"/>
      <c r="S954" s="471"/>
      <c r="T954" s="471"/>
      <c r="U954" s="471"/>
      <c r="V954" s="471"/>
      <c r="W954" s="471"/>
      <c r="X954" s="471"/>
      <c r="Y954" s="471"/>
      <c r="Z954" s="471"/>
      <c r="AA954" s="471"/>
      <c r="AB954" s="471"/>
      <c r="AC954" s="471"/>
      <c r="AD954" s="471"/>
      <c r="AE954" s="471"/>
      <c r="AF954" s="471"/>
      <c r="AG954" s="471"/>
      <c r="AH954" s="471"/>
      <c r="AI954" s="471"/>
    </row>
    <row r="955">
      <c r="A955" s="471"/>
      <c r="B955" s="471"/>
      <c r="C955" s="471"/>
      <c r="D955" s="471"/>
      <c r="E955" s="471"/>
      <c r="F955" s="501"/>
      <c r="G955" s="471"/>
      <c r="H955" s="471"/>
      <c r="I955" s="471"/>
      <c r="J955" s="490"/>
      <c r="K955" s="491"/>
      <c r="L955" s="471"/>
      <c r="M955" s="471"/>
      <c r="N955" s="471"/>
      <c r="O955" s="471"/>
      <c r="P955" s="471"/>
      <c r="Q955" s="471"/>
      <c r="R955" s="471"/>
      <c r="S955" s="471"/>
      <c r="T955" s="471"/>
      <c r="U955" s="471"/>
      <c r="V955" s="471"/>
      <c r="W955" s="471"/>
      <c r="X955" s="471"/>
      <c r="Y955" s="471"/>
      <c r="Z955" s="471"/>
      <c r="AA955" s="471"/>
      <c r="AB955" s="471"/>
      <c r="AC955" s="471"/>
      <c r="AD955" s="471"/>
      <c r="AE955" s="471"/>
      <c r="AF955" s="471"/>
      <c r="AG955" s="471"/>
      <c r="AH955" s="471"/>
      <c r="AI955" s="471"/>
    </row>
    <row r="956">
      <c r="A956" s="471"/>
      <c r="B956" s="471"/>
      <c r="C956" s="471"/>
      <c r="D956" s="471"/>
      <c r="E956" s="471"/>
      <c r="F956" s="501"/>
      <c r="G956" s="471"/>
      <c r="H956" s="471"/>
      <c r="I956" s="471"/>
      <c r="J956" s="490"/>
      <c r="K956" s="491"/>
      <c r="L956" s="471"/>
      <c r="M956" s="471"/>
      <c r="N956" s="471"/>
      <c r="O956" s="471"/>
      <c r="P956" s="471"/>
      <c r="Q956" s="471"/>
      <c r="R956" s="471"/>
      <c r="S956" s="471"/>
      <c r="T956" s="471"/>
      <c r="U956" s="471"/>
      <c r="V956" s="471"/>
      <c r="W956" s="471"/>
      <c r="X956" s="471"/>
      <c r="Y956" s="471"/>
      <c r="Z956" s="471"/>
      <c r="AA956" s="471"/>
      <c r="AB956" s="471"/>
      <c r="AC956" s="471"/>
      <c r="AD956" s="471"/>
      <c r="AE956" s="471"/>
      <c r="AF956" s="471"/>
      <c r="AG956" s="471"/>
      <c r="AH956" s="471"/>
      <c r="AI956" s="471"/>
    </row>
    <row r="957">
      <c r="A957" s="471"/>
      <c r="B957" s="471"/>
      <c r="C957" s="471"/>
      <c r="D957" s="471"/>
      <c r="E957" s="471"/>
      <c r="F957" s="501"/>
      <c r="G957" s="471"/>
      <c r="H957" s="471"/>
      <c r="I957" s="471"/>
      <c r="J957" s="490"/>
      <c r="K957" s="491"/>
      <c r="L957" s="471"/>
      <c r="M957" s="471"/>
      <c r="N957" s="471"/>
      <c r="O957" s="471"/>
      <c r="P957" s="471"/>
      <c r="Q957" s="471"/>
      <c r="R957" s="471"/>
      <c r="S957" s="471"/>
      <c r="T957" s="471"/>
      <c r="U957" s="471"/>
      <c r="V957" s="471"/>
      <c r="W957" s="471"/>
      <c r="X957" s="471"/>
      <c r="Y957" s="471"/>
      <c r="Z957" s="471"/>
      <c r="AA957" s="471"/>
      <c r="AB957" s="471"/>
      <c r="AC957" s="471"/>
      <c r="AD957" s="471"/>
      <c r="AE957" s="471"/>
      <c r="AF957" s="471"/>
      <c r="AG957" s="471"/>
      <c r="AH957" s="471"/>
      <c r="AI957" s="471"/>
    </row>
    <row r="958">
      <c r="A958" s="471"/>
      <c r="B958" s="471"/>
      <c r="C958" s="471"/>
      <c r="D958" s="471"/>
      <c r="E958" s="471"/>
      <c r="F958" s="501"/>
      <c r="G958" s="471"/>
      <c r="H958" s="471"/>
      <c r="I958" s="471"/>
      <c r="J958" s="490"/>
      <c r="K958" s="491"/>
      <c r="L958" s="471"/>
      <c r="M958" s="471"/>
      <c r="N958" s="471"/>
      <c r="O958" s="471"/>
      <c r="P958" s="471"/>
      <c r="Q958" s="471"/>
      <c r="R958" s="471"/>
      <c r="S958" s="471"/>
      <c r="T958" s="471"/>
      <c r="U958" s="471"/>
      <c r="V958" s="471"/>
      <c r="W958" s="471"/>
      <c r="X958" s="471"/>
      <c r="Y958" s="471"/>
      <c r="Z958" s="471"/>
      <c r="AA958" s="471"/>
      <c r="AB958" s="471"/>
      <c r="AC958" s="471"/>
      <c r="AD958" s="471"/>
      <c r="AE958" s="471"/>
      <c r="AF958" s="471"/>
      <c r="AG958" s="471"/>
      <c r="AH958" s="471"/>
      <c r="AI958" s="471"/>
    </row>
    <row r="959">
      <c r="A959" s="471"/>
      <c r="B959" s="471"/>
      <c r="C959" s="471"/>
      <c r="D959" s="471"/>
      <c r="E959" s="471"/>
      <c r="F959" s="501"/>
      <c r="G959" s="471"/>
      <c r="H959" s="471"/>
      <c r="I959" s="471"/>
      <c r="J959" s="490"/>
      <c r="K959" s="491"/>
      <c r="L959" s="471"/>
      <c r="M959" s="471"/>
      <c r="N959" s="471"/>
      <c r="O959" s="471"/>
      <c r="P959" s="471"/>
      <c r="Q959" s="471"/>
      <c r="R959" s="471"/>
      <c r="S959" s="471"/>
      <c r="T959" s="471"/>
      <c r="U959" s="471"/>
      <c r="V959" s="471"/>
      <c r="W959" s="471"/>
      <c r="X959" s="471"/>
      <c r="Y959" s="471"/>
      <c r="Z959" s="471"/>
      <c r="AA959" s="471"/>
      <c r="AB959" s="471"/>
      <c r="AC959" s="471"/>
      <c r="AD959" s="471"/>
      <c r="AE959" s="471"/>
      <c r="AF959" s="471"/>
      <c r="AG959" s="471"/>
      <c r="AH959" s="471"/>
      <c r="AI959" s="471"/>
    </row>
    <row r="960">
      <c r="A960" s="471"/>
      <c r="B960" s="471"/>
      <c r="C960" s="471"/>
      <c r="D960" s="471"/>
      <c r="E960" s="471"/>
      <c r="F960" s="501"/>
      <c r="G960" s="471"/>
      <c r="H960" s="471"/>
      <c r="I960" s="471"/>
      <c r="J960" s="490"/>
      <c r="K960" s="491"/>
      <c r="L960" s="471"/>
      <c r="M960" s="471"/>
      <c r="N960" s="471"/>
      <c r="O960" s="471"/>
      <c r="P960" s="471"/>
      <c r="Q960" s="471"/>
      <c r="R960" s="471"/>
      <c r="S960" s="471"/>
      <c r="T960" s="471"/>
      <c r="U960" s="471"/>
      <c r="V960" s="471"/>
      <c r="W960" s="471"/>
      <c r="X960" s="471"/>
      <c r="Y960" s="471"/>
      <c r="Z960" s="471"/>
      <c r="AA960" s="471"/>
      <c r="AB960" s="471"/>
      <c r="AC960" s="471"/>
      <c r="AD960" s="471"/>
      <c r="AE960" s="471"/>
      <c r="AF960" s="471"/>
      <c r="AG960" s="471"/>
      <c r="AH960" s="471"/>
      <c r="AI960" s="471"/>
    </row>
    <row r="961">
      <c r="A961" s="471"/>
      <c r="B961" s="471"/>
      <c r="C961" s="471"/>
      <c r="D961" s="471"/>
      <c r="E961" s="471"/>
      <c r="F961" s="501"/>
      <c r="G961" s="471"/>
      <c r="H961" s="471"/>
      <c r="I961" s="471"/>
      <c r="J961" s="490"/>
      <c r="K961" s="491"/>
      <c r="L961" s="471"/>
      <c r="M961" s="471"/>
      <c r="N961" s="471"/>
      <c r="O961" s="471"/>
      <c r="P961" s="471"/>
      <c r="Q961" s="471"/>
      <c r="R961" s="471"/>
      <c r="S961" s="471"/>
      <c r="T961" s="471"/>
      <c r="U961" s="471"/>
      <c r="V961" s="471"/>
      <c r="W961" s="471"/>
      <c r="X961" s="471"/>
      <c r="Y961" s="471"/>
      <c r="Z961" s="471"/>
      <c r="AA961" s="471"/>
      <c r="AB961" s="471"/>
      <c r="AC961" s="471"/>
      <c r="AD961" s="471"/>
      <c r="AE961" s="471"/>
      <c r="AF961" s="471"/>
      <c r="AG961" s="471"/>
      <c r="AH961" s="471"/>
      <c r="AI961" s="471"/>
    </row>
    <row r="962">
      <c r="A962" s="471"/>
      <c r="B962" s="471"/>
      <c r="C962" s="471"/>
      <c r="D962" s="471"/>
      <c r="E962" s="471"/>
      <c r="F962" s="501"/>
      <c r="G962" s="471"/>
      <c r="H962" s="471"/>
      <c r="I962" s="471"/>
      <c r="J962" s="490"/>
      <c r="K962" s="491"/>
      <c r="L962" s="471"/>
      <c r="M962" s="471"/>
      <c r="N962" s="471"/>
      <c r="O962" s="471"/>
      <c r="P962" s="471"/>
      <c r="Q962" s="471"/>
      <c r="R962" s="471"/>
      <c r="S962" s="471"/>
      <c r="T962" s="471"/>
      <c r="U962" s="471"/>
      <c r="V962" s="471"/>
      <c r="W962" s="471"/>
      <c r="X962" s="471"/>
      <c r="Y962" s="471"/>
      <c r="Z962" s="471"/>
      <c r="AA962" s="471"/>
      <c r="AB962" s="471"/>
      <c r="AC962" s="471"/>
      <c r="AD962" s="471"/>
      <c r="AE962" s="471"/>
      <c r="AF962" s="471"/>
      <c r="AG962" s="471"/>
      <c r="AH962" s="471"/>
      <c r="AI962" s="471"/>
    </row>
    <row r="963">
      <c r="A963" s="471"/>
      <c r="B963" s="471"/>
      <c r="C963" s="471"/>
      <c r="D963" s="471"/>
      <c r="E963" s="471"/>
      <c r="F963" s="501"/>
      <c r="G963" s="471"/>
      <c r="H963" s="471"/>
      <c r="I963" s="471"/>
      <c r="J963" s="490"/>
      <c r="K963" s="491"/>
      <c r="L963" s="471"/>
      <c r="M963" s="471"/>
      <c r="N963" s="471"/>
      <c r="O963" s="471"/>
      <c r="P963" s="471"/>
      <c r="Q963" s="471"/>
      <c r="R963" s="471"/>
      <c r="S963" s="471"/>
      <c r="T963" s="471"/>
      <c r="U963" s="471"/>
      <c r="V963" s="471"/>
      <c r="W963" s="471"/>
      <c r="X963" s="471"/>
      <c r="Y963" s="471"/>
      <c r="Z963" s="471"/>
      <c r="AA963" s="471"/>
      <c r="AB963" s="471"/>
      <c r="AC963" s="471"/>
      <c r="AD963" s="471"/>
      <c r="AE963" s="471"/>
      <c r="AF963" s="471"/>
      <c r="AG963" s="471"/>
      <c r="AH963" s="471"/>
      <c r="AI963" s="471"/>
    </row>
    <row r="964">
      <c r="A964" s="471"/>
      <c r="B964" s="471"/>
      <c r="C964" s="471"/>
      <c r="D964" s="471"/>
      <c r="E964" s="471"/>
      <c r="F964" s="501"/>
      <c r="G964" s="471"/>
      <c r="H964" s="471"/>
      <c r="I964" s="471"/>
      <c r="J964" s="490"/>
      <c r="K964" s="491"/>
      <c r="L964" s="471"/>
      <c r="M964" s="471"/>
      <c r="N964" s="471"/>
      <c r="O964" s="471"/>
      <c r="P964" s="471"/>
      <c r="Q964" s="471"/>
      <c r="R964" s="471"/>
      <c r="S964" s="471"/>
      <c r="T964" s="471"/>
      <c r="U964" s="471"/>
      <c r="V964" s="471"/>
      <c r="W964" s="471"/>
      <c r="X964" s="471"/>
      <c r="Y964" s="471"/>
      <c r="Z964" s="471"/>
      <c r="AA964" s="471"/>
      <c r="AB964" s="471"/>
      <c r="AC964" s="471"/>
      <c r="AD964" s="471"/>
      <c r="AE964" s="471"/>
      <c r="AF964" s="471"/>
      <c r="AG964" s="471"/>
      <c r="AH964" s="471"/>
      <c r="AI964" s="471"/>
    </row>
    <row r="965">
      <c r="A965" s="471"/>
      <c r="B965" s="471"/>
      <c r="C965" s="471"/>
      <c r="D965" s="471"/>
      <c r="E965" s="471"/>
      <c r="F965" s="501"/>
      <c r="G965" s="471"/>
      <c r="H965" s="471"/>
      <c r="I965" s="471"/>
      <c r="J965" s="490"/>
      <c r="K965" s="491"/>
      <c r="L965" s="471"/>
      <c r="M965" s="471"/>
      <c r="N965" s="471"/>
      <c r="O965" s="471"/>
      <c r="P965" s="471"/>
      <c r="Q965" s="471"/>
      <c r="R965" s="471"/>
      <c r="S965" s="471"/>
      <c r="T965" s="471"/>
      <c r="U965" s="471"/>
      <c r="V965" s="471"/>
      <c r="W965" s="471"/>
      <c r="X965" s="471"/>
      <c r="Y965" s="471"/>
      <c r="Z965" s="471"/>
      <c r="AA965" s="471"/>
      <c r="AB965" s="471"/>
      <c r="AC965" s="471"/>
      <c r="AD965" s="471"/>
      <c r="AE965" s="471"/>
      <c r="AF965" s="471"/>
      <c r="AG965" s="471"/>
      <c r="AH965" s="471"/>
      <c r="AI965" s="471"/>
    </row>
    <row r="966">
      <c r="A966" s="471"/>
      <c r="B966" s="471"/>
      <c r="C966" s="471"/>
      <c r="D966" s="471"/>
      <c r="E966" s="471"/>
      <c r="F966" s="501"/>
      <c r="G966" s="471"/>
      <c r="H966" s="471"/>
      <c r="I966" s="471"/>
      <c r="J966" s="490"/>
      <c r="K966" s="491"/>
      <c r="L966" s="471"/>
      <c r="M966" s="471"/>
      <c r="N966" s="471"/>
      <c r="O966" s="471"/>
      <c r="P966" s="471"/>
      <c r="Q966" s="471"/>
      <c r="R966" s="471"/>
      <c r="S966" s="471"/>
      <c r="T966" s="471"/>
      <c r="U966" s="471"/>
      <c r="V966" s="471"/>
      <c r="W966" s="471"/>
      <c r="X966" s="471"/>
      <c r="Y966" s="471"/>
      <c r="Z966" s="471"/>
      <c r="AA966" s="471"/>
      <c r="AB966" s="471"/>
      <c r="AC966" s="471"/>
      <c r="AD966" s="471"/>
      <c r="AE966" s="471"/>
      <c r="AF966" s="471"/>
      <c r="AG966" s="471"/>
      <c r="AH966" s="471"/>
      <c r="AI966" s="471"/>
    </row>
    <row r="967">
      <c r="A967" s="471"/>
      <c r="B967" s="471"/>
      <c r="C967" s="471"/>
      <c r="D967" s="471"/>
      <c r="E967" s="471"/>
      <c r="F967" s="501"/>
      <c r="G967" s="471"/>
      <c r="H967" s="471"/>
      <c r="I967" s="471"/>
      <c r="J967" s="490"/>
      <c r="K967" s="491"/>
      <c r="L967" s="471"/>
      <c r="M967" s="471"/>
      <c r="N967" s="471"/>
      <c r="O967" s="471"/>
      <c r="P967" s="471"/>
      <c r="Q967" s="471"/>
      <c r="R967" s="471"/>
      <c r="S967" s="471"/>
      <c r="T967" s="471"/>
      <c r="U967" s="471"/>
      <c r="V967" s="471"/>
      <c r="W967" s="471"/>
      <c r="X967" s="471"/>
      <c r="Y967" s="471"/>
      <c r="Z967" s="471"/>
      <c r="AA967" s="471"/>
      <c r="AB967" s="471"/>
      <c r="AC967" s="471"/>
      <c r="AD967" s="471"/>
      <c r="AE967" s="471"/>
      <c r="AF967" s="471"/>
      <c r="AG967" s="471"/>
      <c r="AH967" s="471"/>
      <c r="AI967" s="471"/>
    </row>
    <row r="968">
      <c r="A968" s="471"/>
      <c r="B968" s="471"/>
      <c r="C968" s="471"/>
      <c r="D968" s="471"/>
      <c r="E968" s="471"/>
      <c r="F968" s="501"/>
      <c r="G968" s="471"/>
      <c r="H968" s="471"/>
      <c r="I968" s="471"/>
      <c r="J968" s="490"/>
      <c r="K968" s="491"/>
      <c r="L968" s="471"/>
      <c r="M968" s="471"/>
      <c r="N968" s="471"/>
      <c r="O968" s="471"/>
      <c r="P968" s="471"/>
      <c r="Q968" s="471"/>
      <c r="R968" s="471"/>
      <c r="S968" s="471"/>
      <c r="T968" s="471"/>
      <c r="U968" s="471"/>
      <c r="V968" s="471"/>
      <c r="W968" s="471"/>
      <c r="X968" s="471"/>
      <c r="Y968" s="471"/>
      <c r="Z968" s="471"/>
      <c r="AA968" s="471"/>
      <c r="AB968" s="471"/>
      <c r="AC968" s="471"/>
      <c r="AD968" s="471"/>
      <c r="AE968" s="471"/>
      <c r="AF968" s="471"/>
      <c r="AG968" s="471"/>
      <c r="AH968" s="471"/>
      <c r="AI968" s="471"/>
    </row>
    <row r="969">
      <c r="A969" s="471"/>
      <c r="B969" s="471"/>
      <c r="C969" s="471"/>
      <c r="D969" s="471"/>
      <c r="E969" s="471"/>
      <c r="F969" s="501"/>
      <c r="G969" s="471"/>
      <c r="H969" s="471"/>
      <c r="I969" s="471"/>
      <c r="J969" s="490"/>
      <c r="K969" s="491"/>
      <c r="L969" s="471"/>
      <c r="M969" s="471"/>
      <c r="N969" s="471"/>
      <c r="O969" s="471"/>
      <c r="P969" s="471"/>
      <c r="Q969" s="471"/>
      <c r="R969" s="471"/>
      <c r="S969" s="471"/>
      <c r="T969" s="471"/>
      <c r="U969" s="471"/>
      <c r="V969" s="471"/>
      <c r="W969" s="471"/>
      <c r="X969" s="471"/>
      <c r="Y969" s="471"/>
      <c r="Z969" s="471"/>
      <c r="AA969" s="471"/>
      <c r="AB969" s="471"/>
      <c r="AC969" s="471"/>
      <c r="AD969" s="471"/>
      <c r="AE969" s="471"/>
      <c r="AF969" s="471"/>
      <c r="AG969" s="471"/>
      <c r="AH969" s="471"/>
      <c r="AI969" s="471"/>
    </row>
    <row r="970">
      <c r="A970" s="471"/>
      <c r="B970" s="471"/>
      <c r="C970" s="471"/>
      <c r="D970" s="471"/>
      <c r="E970" s="471"/>
      <c r="F970" s="501"/>
      <c r="G970" s="471"/>
      <c r="H970" s="471"/>
      <c r="I970" s="471"/>
      <c r="J970" s="490"/>
      <c r="K970" s="491"/>
      <c r="L970" s="471"/>
      <c r="M970" s="471"/>
      <c r="N970" s="471"/>
      <c r="O970" s="471"/>
      <c r="P970" s="471"/>
      <c r="Q970" s="471"/>
      <c r="R970" s="471"/>
      <c r="S970" s="471"/>
      <c r="T970" s="471"/>
      <c r="U970" s="471"/>
      <c r="V970" s="471"/>
      <c r="W970" s="471"/>
      <c r="X970" s="471"/>
      <c r="Y970" s="471"/>
      <c r="Z970" s="471"/>
      <c r="AA970" s="471"/>
      <c r="AB970" s="471"/>
      <c r="AC970" s="471"/>
      <c r="AD970" s="471"/>
      <c r="AE970" s="471"/>
      <c r="AF970" s="471"/>
      <c r="AG970" s="471"/>
      <c r="AH970" s="471"/>
      <c r="AI970" s="471"/>
    </row>
    <row r="971">
      <c r="A971" s="471"/>
      <c r="B971" s="471"/>
      <c r="C971" s="471"/>
      <c r="D971" s="471"/>
      <c r="E971" s="471"/>
      <c r="F971" s="471"/>
      <c r="G971" s="471"/>
      <c r="H971" s="471"/>
      <c r="I971" s="471"/>
      <c r="J971" s="490"/>
      <c r="K971" s="491"/>
      <c r="L971" s="471"/>
      <c r="M971" s="471"/>
      <c r="N971" s="471"/>
      <c r="O971" s="471"/>
      <c r="P971" s="471"/>
      <c r="Q971" s="471"/>
      <c r="R971" s="471"/>
      <c r="S971" s="471"/>
      <c r="T971" s="471"/>
      <c r="U971" s="471"/>
      <c r="V971" s="471"/>
      <c r="W971" s="471"/>
      <c r="X971" s="471"/>
      <c r="Y971" s="471"/>
      <c r="Z971" s="471"/>
      <c r="AA971" s="471"/>
      <c r="AB971" s="471"/>
      <c r="AC971" s="471"/>
      <c r="AD971" s="471"/>
      <c r="AE971" s="471"/>
      <c r="AF971" s="471"/>
      <c r="AG971" s="471"/>
      <c r="AH971" s="471"/>
      <c r="AI971" s="471"/>
    </row>
    <row r="972">
      <c r="A972" s="471"/>
      <c r="B972" s="471"/>
      <c r="C972" s="471"/>
      <c r="D972" s="471"/>
      <c r="E972" s="471"/>
      <c r="F972" s="471"/>
      <c r="G972" s="471"/>
      <c r="H972" s="471"/>
      <c r="I972" s="471"/>
      <c r="J972" s="490"/>
      <c r="K972" s="491"/>
      <c r="L972" s="471"/>
      <c r="M972" s="471"/>
      <c r="N972" s="471"/>
      <c r="O972" s="471"/>
      <c r="P972" s="471"/>
      <c r="Q972" s="471"/>
      <c r="R972" s="471"/>
      <c r="S972" s="471"/>
      <c r="T972" s="471"/>
      <c r="U972" s="471"/>
      <c r="V972" s="471"/>
      <c r="W972" s="471"/>
      <c r="X972" s="471"/>
      <c r="Y972" s="471"/>
      <c r="Z972" s="471"/>
      <c r="AA972" s="471"/>
      <c r="AB972" s="471"/>
      <c r="AC972" s="471"/>
      <c r="AD972" s="471"/>
      <c r="AE972" s="471"/>
      <c r="AF972" s="471"/>
      <c r="AG972" s="471"/>
      <c r="AH972" s="471"/>
      <c r="AI972" s="471"/>
    </row>
    <row r="973">
      <c r="A973" s="471"/>
      <c r="B973" s="471"/>
      <c r="C973" s="471"/>
      <c r="D973" s="471"/>
      <c r="E973" s="471"/>
      <c r="F973" s="471"/>
      <c r="G973" s="471"/>
      <c r="H973" s="471"/>
      <c r="I973" s="471"/>
      <c r="J973" s="490"/>
      <c r="K973" s="491"/>
      <c r="L973" s="471"/>
      <c r="M973" s="471"/>
      <c r="N973" s="471"/>
      <c r="O973" s="471"/>
      <c r="P973" s="471"/>
      <c r="Q973" s="471"/>
      <c r="R973" s="471"/>
      <c r="S973" s="471"/>
      <c r="T973" s="471"/>
      <c r="U973" s="471"/>
      <c r="V973" s="471"/>
      <c r="W973" s="471"/>
      <c r="X973" s="471"/>
      <c r="Y973" s="471"/>
      <c r="Z973" s="471"/>
      <c r="AA973" s="471"/>
      <c r="AB973" s="471"/>
      <c r="AC973" s="471"/>
      <c r="AD973" s="471"/>
      <c r="AE973" s="471"/>
      <c r="AF973" s="471"/>
      <c r="AG973" s="471"/>
      <c r="AH973" s="471"/>
      <c r="AI973" s="471"/>
    </row>
    <row r="974">
      <c r="A974" s="471"/>
      <c r="B974" s="471"/>
      <c r="C974" s="471"/>
      <c r="D974" s="471"/>
      <c r="E974" s="471"/>
      <c r="F974" s="471"/>
      <c r="G974" s="471"/>
      <c r="H974" s="471"/>
      <c r="I974" s="471"/>
      <c r="J974" s="490"/>
      <c r="K974" s="491"/>
      <c r="L974" s="471"/>
      <c r="M974" s="471"/>
      <c r="N974" s="471"/>
      <c r="O974" s="471"/>
      <c r="P974" s="471"/>
      <c r="Q974" s="471"/>
      <c r="R974" s="471"/>
      <c r="S974" s="471"/>
      <c r="T974" s="471"/>
      <c r="U974" s="471"/>
      <c r="V974" s="471"/>
      <c r="W974" s="471"/>
      <c r="X974" s="471"/>
      <c r="Y974" s="471"/>
      <c r="Z974" s="471"/>
      <c r="AA974" s="471"/>
      <c r="AB974" s="471"/>
      <c r="AC974" s="471"/>
      <c r="AD974" s="471"/>
      <c r="AE974" s="471"/>
      <c r="AF974" s="471"/>
      <c r="AG974" s="471"/>
      <c r="AH974" s="471"/>
      <c r="AI974" s="471"/>
    </row>
    <row r="975">
      <c r="A975" s="471"/>
      <c r="B975" s="471"/>
      <c r="C975" s="471"/>
      <c r="D975" s="471"/>
      <c r="E975" s="471"/>
      <c r="F975" s="471"/>
      <c r="G975" s="471"/>
      <c r="H975" s="471"/>
      <c r="I975" s="471"/>
      <c r="J975" s="490"/>
      <c r="K975" s="491"/>
      <c r="L975" s="471"/>
      <c r="M975" s="471"/>
      <c r="N975" s="471"/>
      <c r="O975" s="471"/>
      <c r="P975" s="471"/>
      <c r="Q975" s="471"/>
      <c r="R975" s="471"/>
      <c r="S975" s="471"/>
      <c r="T975" s="471"/>
      <c r="U975" s="471"/>
      <c r="V975" s="471"/>
      <c r="W975" s="471"/>
      <c r="X975" s="471"/>
      <c r="Y975" s="471"/>
      <c r="Z975" s="471"/>
      <c r="AA975" s="471"/>
      <c r="AB975" s="471"/>
      <c r="AC975" s="471"/>
      <c r="AD975" s="471"/>
      <c r="AE975" s="471"/>
      <c r="AF975" s="471"/>
      <c r="AG975" s="471"/>
      <c r="AH975" s="471"/>
      <c r="AI975" s="471"/>
    </row>
    <row r="976">
      <c r="A976" s="471"/>
      <c r="B976" s="471"/>
      <c r="C976" s="471"/>
      <c r="D976" s="471"/>
      <c r="E976" s="471"/>
      <c r="F976" s="471"/>
      <c r="G976" s="471"/>
      <c r="H976" s="471"/>
      <c r="I976" s="471"/>
      <c r="J976" s="490"/>
      <c r="K976" s="491"/>
      <c r="L976" s="471"/>
      <c r="M976" s="471"/>
      <c r="N976" s="471"/>
      <c r="O976" s="471"/>
      <c r="P976" s="471"/>
      <c r="Q976" s="471"/>
      <c r="R976" s="471"/>
      <c r="S976" s="471"/>
      <c r="T976" s="471"/>
      <c r="U976" s="471"/>
      <c r="V976" s="471"/>
      <c r="W976" s="471"/>
      <c r="X976" s="471"/>
      <c r="Y976" s="471"/>
      <c r="Z976" s="471"/>
      <c r="AA976" s="471"/>
      <c r="AB976" s="471"/>
      <c r="AC976" s="471"/>
      <c r="AD976" s="471"/>
      <c r="AE976" s="471"/>
      <c r="AF976" s="471"/>
      <c r="AG976" s="471"/>
      <c r="AH976" s="471"/>
      <c r="AI976" s="471"/>
    </row>
    <row r="977">
      <c r="A977" s="471"/>
      <c r="B977" s="471"/>
      <c r="C977" s="471"/>
      <c r="D977" s="471"/>
      <c r="E977" s="471"/>
      <c r="F977" s="471"/>
      <c r="G977" s="471"/>
      <c r="H977" s="471"/>
      <c r="I977" s="471"/>
      <c r="J977" s="490"/>
      <c r="K977" s="491"/>
      <c r="L977" s="471"/>
      <c r="M977" s="471"/>
      <c r="N977" s="471"/>
      <c r="O977" s="471"/>
      <c r="P977" s="471"/>
      <c r="Q977" s="471"/>
      <c r="R977" s="471"/>
      <c r="S977" s="471"/>
      <c r="T977" s="471"/>
      <c r="U977" s="471"/>
      <c r="V977" s="471"/>
      <c r="W977" s="471"/>
      <c r="X977" s="471"/>
      <c r="Y977" s="471"/>
      <c r="Z977" s="471"/>
      <c r="AA977" s="471"/>
      <c r="AB977" s="471"/>
      <c r="AC977" s="471"/>
      <c r="AD977" s="471"/>
      <c r="AE977" s="471"/>
      <c r="AF977" s="471"/>
      <c r="AG977" s="471"/>
      <c r="AH977" s="471"/>
      <c r="AI977" s="471"/>
    </row>
    <row r="978">
      <c r="A978" s="471"/>
      <c r="B978" s="471"/>
      <c r="C978" s="471"/>
      <c r="D978" s="471"/>
      <c r="E978" s="471"/>
      <c r="F978" s="471"/>
      <c r="G978" s="471"/>
      <c r="H978" s="471"/>
      <c r="I978" s="471"/>
      <c r="J978" s="490"/>
      <c r="K978" s="491"/>
      <c r="L978" s="471"/>
      <c r="M978" s="471"/>
      <c r="N978" s="471"/>
      <c r="O978" s="471"/>
      <c r="P978" s="471"/>
      <c r="Q978" s="471"/>
      <c r="R978" s="471"/>
      <c r="S978" s="471"/>
      <c r="T978" s="471"/>
      <c r="U978" s="471"/>
      <c r="V978" s="471"/>
      <c r="W978" s="471"/>
      <c r="X978" s="471"/>
      <c r="Y978" s="471"/>
      <c r="Z978" s="471"/>
      <c r="AA978" s="471"/>
      <c r="AB978" s="471"/>
      <c r="AC978" s="471"/>
      <c r="AD978" s="471"/>
      <c r="AE978" s="471"/>
      <c r="AF978" s="471"/>
      <c r="AG978" s="471"/>
      <c r="AH978" s="471"/>
      <c r="AI978" s="471"/>
    </row>
    <row r="979">
      <c r="A979" s="471"/>
      <c r="B979" s="471"/>
      <c r="C979" s="471"/>
      <c r="D979" s="471"/>
      <c r="E979" s="471"/>
      <c r="F979" s="471"/>
      <c r="G979" s="471"/>
      <c r="H979" s="471"/>
      <c r="I979" s="471"/>
      <c r="J979" s="490"/>
      <c r="K979" s="491"/>
      <c r="L979" s="471"/>
      <c r="M979" s="471"/>
      <c r="N979" s="471"/>
      <c r="O979" s="471"/>
      <c r="P979" s="471"/>
      <c r="Q979" s="471"/>
      <c r="R979" s="471"/>
      <c r="S979" s="471"/>
      <c r="T979" s="471"/>
      <c r="U979" s="471"/>
      <c r="V979" s="471"/>
      <c r="W979" s="471"/>
      <c r="X979" s="471"/>
      <c r="Y979" s="471"/>
      <c r="Z979" s="471"/>
      <c r="AA979" s="471"/>
      <c r="AB979" s="471"/>
      <c r="AC979" s="471"/>
      <c r="AD979" s="471"/>
      <c r="AE979" s="471"/>
      <c r="AF979" s="471"/>
      <c r="AG979" s="471"/>
      <c r="AH979" s="471"/>
      <c r="AI979" s="471"/>
    </row>
    <row r="980">
      <c r="A980" s="471"/>
      <c r="B980" s="471"/>
      <c r="C980" s="471"/>
      <c r="D980" s="471"/>
      <c r="E980" s="471"/>
      <c r="F980" s="471"/>
      <c r="G980" s="471"/>
      <c r="H980" s="471"/>
      <c r="I980" s="471"/>
      <c r="J980" s="490"/>
      <c r="K980" s="491"/>
      <c r="L980" s="471"/>
      <c r="M980" s="471"/>
      <c r="N980" s="471"/>
      <c r="O980" s="471"/>
      <c r="P980" s="471"/>
      <c r="Q980" s="471"/>
      <c r="R980" s="471"/>
      <c r="S980" s="471"/>
      <c r="T980" s="471"/>
      <c r="U980" s="471"/>
      <c r="V980" s="471"/>
      <c r="W980" s="471"/>
      <c r="X980" s="471"/>
      <c r="Y980" s="471"/>
      <c r="Z980" s="471"/>
      <c r="AA980" s="471"/>
      <c r="AB980" s="471"/>
      <c r="AC980" s="471"/>
      <c r="AD980" s="471"/>
      <c r="AE980" s="471"/>
      <c r="AF980" s="471"/>
      <c r="AG980" s="471"/>
      <c r="AH980" s="471"/>
      <c r="AI980" s="471"/>
    </row>
    <row r="981">
      <c r="A981" s="471"/>
      <c r="B981" s="471"/>
      <c r="C981" s="471"/>
      <c r="D981" s="471"/>
      <c r="E981" s="471"/>
      <c r="F981" s="471"/>
      <c r="G981" s="471"/>
      <c r="H981" s="471"/>
      <c r="I981" s="471"/>
      <c r="J981" s="490"/>
      <c r="K981" s="491"/>
      <c r="L981" s="471"/>
      <c r="M981" s="471"/>
      <c r="N981" s="471"/>
      <c r="O981" s="471"/>
      <c r="P981" s="471"/>
      <c r="Q981" s="471"/>
      <c r="R981" s="471"/>
      <c r="S981" s="471"/>
      <c r="T981" s="471"/>
      <c r="U981" s="471"/>
      <c r="V981" s="471"/>
      <c r="W981" s="471"/>
      <c r="X981" s="471"/>
      <c r="Y981" s="471"/>
      <c r="Z981" s="471"/>
      <c r="AA981" s="471"/>
      <c r="AB981" s="471"/>
      <c r="AC981" s="471"/>
      <c r="AD981" s="471"/>
      <c r="AE981" s="471"/>
      <c r="AF981" s="471"/>
      <c r="AG981" s="471"/>
      <c r="AH981" s="471"/>
      <c r="AI981" s="471"/>
    </row>
    <row r="982">
      <c r="A982" s="471"/>
      <c r="B982" s="471"/>
      <c r="C982" s="471"/>
      <c r="D982" s="471"/>
      <c r="E982" s="471"/>
      <c r="F982" s="471"/>
      <c r="G982" s="471"/>
      <c r="H982" s="471"/>
      <c r="I982" s="471"/>
      <c r="J982" s="490"/>
      <c r="K982" s="491"/>
      <c r="L982" s="471"/>
      <c r="M982" s="471"/>
      <c r="N982" s="471"/>
      <c r="O982" s="471"/>
      <c r="P982" s="471"/>
      <c r="Q982" s="471"/>
      <c r="R982" s="471"/>
      <c r="S982" s="471"/>
      <c r="T982" s="471"/>
      <c r="U982" s="471"/>
      <c r="V982" s="471"/>
      <c r="W982" s="471"/>
      <c r="X982" s="471"/>
      <c r="Y982" s="471"/>
      <c r="Z982" s="471"/>
      <c r="AA982" s="471"/>
      <c r="AB982" s="471"/>
      <c r="AC982" s="471"/>
      <c r="AD982" s="471"/>
      <c r="AE982" s="471"/>
      <c r="AF982" s="471"/>
      <c r="AG982" s="471"/>
      <c r="AH982" s="471"/>
      <c r="AI982" s="471"/>
    </row>
    <row r="983">
      <c r="A983" s="471"/>
      <c r="B983" s="471"/>
      <c r="C983" s="471"/>
      <c r="D983" s="471"/>
      <c r="E983" s="471"/>
      <c r="F983" s="471"/>
      <c r="G983" s="471"/>
      <c r="H983" s="471"/>
      <c r="I983" s="471"/>
      <c r="J983" s="490"/>
      <c r="K983" s="491"/>
      <c r="L983" s="471"/>
      <c r="M983" s="471"/>
      <c r="N983" s="471"/>
      <c r="O983" s="471"/>
      <c r="P983" s="471"/>
      <c r="Q983" s="471"/>
      <c r="R983" s="471"/>
      <c r="S983" s="471"/>
      <c r="T983" s="471"/>
      <c r="U983" s="471"/>
      <c r="V983" s="471"/>
      <c r="W983" s="471"/>
      <c r="X983" s="471"/>
      <c r="Y983" s="471"/>
      <c r="Z983" s="471"/>
      <c r="AA983" s="471"/>
      <c r="AB983" s="471"/>
      <c r="AC983" s="471"/>
      <c r="AD983" s="471"/>
      <c r="AE983" s="471"/>
      <c r="AF983" s="471"/>
      <c r="AG983" s="471"/>
      <c r="AH983" s="471"/>
      <c r="AI983" s="471"/>
    </row>
    <row r="984">
      <c r="A984" s="471"/>
      <c r="B984" s="471"/>
      <c r="C984" s="471"/>
      <c r="D984" s="471"/>
      <c r="E984" s="471"/>
      <c r="F984" s="471"/>
      <c r="G984" s="471"/>
      <c r="H984" s="471"/>
      <c r="I984" s="471"/>
      <c r="J984" s="490"/>
      <c r="K984" s="491"/>
      <c r="L984" s="471"/>
      <c r="M984" s="471"/>
      <c r="N984" s="471"/>
      <c r="O984" s="471"/>
      <c r="P984" s="471"/>
      <c r="Q984" s="471"/>
      <c r="R984" s="471"/>
      <c r="S984" s="471"/>
      <c r="T984" s="471"/>
      <c r="U984" s="471"/>
      <c r="V984" s="471"/>
      <c r="W984" s="471"/>
      <c r="X984" s="471"/>
      <c r="Y984" s="471"/>
      <c r="Z984" s="471"/>
      <c r="AA984" s="471"/>
      <c r="AB984" s="471"/>
      <c r="AC984" s="471"/>
      <c r="AD984" s="471"/>
      <c r="AE984" s="471"/>
      <c r="AF984" s="471"/>
      <c r="AG984" s="471"/>
      <c r="AH984" s="471"/>
      <c r="AI984" s="471"/>
    </row>
    <row r="985">
      <c r="A985" s="471"/>
      <c r="B985" s="471"/>
      <c r="C985" s="471"/>
      <c r="D985" s="471"/>
      <c r="E985" s="471"/>
      <c r="F985" s="471"/>
      <c r="G985" s="471"/>
      <c r="H985" s="471"/>
      <c r="I985" s="471"/>
      <c r="J985" s="490"/>
      <c r="K985" s="491"/>
      <c r="L985" s="471"/>
      <c r="M985" s="471"/>
      <c r="N985" s="471"/>
      <c r="O985" s="471"/>
      <c r="P985" s="471"/>
      <c r="Q985" s="471"/>
      <c r="R985" s="471"/>
      <c r="S985" s="471"/>
      <c r="T985" s="471"/>
      <c r="U985" s="471"/>
      <c r="V985" s="471"/>
      <c r="W985" s="471"/>
      <c r="X985" s="471"/>
      <c r="Y985" s="471"/>
      <c r="Z985" s="471"/>
      <c r="AA985" s="471"/>
      <c r="AB985" s="471"/>
      <c r="AC985" s="471"/>
      <c r="AD985" s="471"/>
      <c r="AE985" s="471"/>
      <c r="AF985" s="471"/>
      <c r="AG985" s="471"/>
      <c r="AH985" s="471"/>
      <c r="AI985" s="471"/>
    </row>
    <row r="986">
      <c r="A986" s="471"/>
      <c r="B986" s="471"/>
      <c r="C986" s="471"/>
      <c r="D986" s="471"/>
      <c r="E986" s="471"/>
      <c r="F986" s="471"/>
      <c r="G986" s="471"/>
      <c r="H986" s="471"/>
      <c r="I986" s="471"/>
      <c r="J986" s="490"/>
      <c r="K986" s="491"/>
      <c r="L986" s="471"/>
      <c r="M986" s="471"/>
      <c r="N986" s="471"/>
      <c r="O986" s="471"/>
      <c r="P986" s="471"/>
      <c r="Q986" s="471"/>
      <c r="R986" s="471"/>
      <c r="S986" s="471"/>
      <c r="T986" s="471"/>
      <c r="U986" s="471"/>
      <c r="V986" s="471"/>
      <c r="W986" s="471"/>
      <c r="X986" s="471"/>
      <c r="Y986" s="471"/>
      <c r="Z986" s="471"/>
      <c r="AA986" s="471"/>
      <c r="AB986" s="471"/>
      <c r="AC986" s="471"/>
      <c r="AD986" s="471"/>
      <c r="AE986" s="471"/>
      <c r="AF986" s="471"/>
      <c r="AG986" s="471"/>
      <c r="AH986" s="471"/>
      <c r="AI986" s="471"/>
    </row>
    <row r="987">
      <c r="A987" s="471"/>
      <c r="B987" s="471"/>
      <c r="C987" s="471"/>
      <c r="D987" s="471"/>
      <c r="E987" s="471"/>
      <c r="F987" s="471"/>
      <c r="G987" s="471"/>
      <c r="H987" s="471"/>
      <c r="I987" s="471"/>
      <c r="J987" s="490"/>
      <c r="K987" s="491"/>
      <c r="L987" s="471"/>
      <c r="M987" s="471"/>
      <c r="N987" s="471"/>
      <c r="O987" s="471"/>
      <c r="P987" s="471"/>
      <c r="Q987" s="471"/>
      <c r="R987" s="471"/>
      <c r="S987" s="471"/>
      <c r="T987" s="471"/>
      <c r="U987" s="471"/>
      <c r="V987" s="471"/>
      <c r="W987" s="471"/>
      <c r="X987" s="471"/>
      <c r="Y987" s="471"/>
      <c r="Z987" s="471"/>
      <c r="AA987" s="471"/>
      <c r="AB987" s="471"/>
      <c r="AC987" s="471"/>
      <c r="AD987" s="471"/>
      <c r="AE987" s="471"/>
      <c r="AF987" s="471"/>
      <c r="AG987" s="471"/>
      <c r="AH987" s="471"/>
      <c r="AI987" s="471"/>
    </row>
  </sheetData>
  <dataValidations>
    <dataValidation type="list" allowBlank="1" sqref="C36:C543">
      <formula1>#REF!</formula1>
    </dataValidation>
    <dataValidation type="list" allowBlank="1" showErrorMessage="1" sqref="G36:G543">
      <formula1>"Оклад Аванс,Оклад Доплата,Премия,Бонус"</formula1>
    </dataValidation>
    <dataValidation type="list" allowBlank="1" sqref="D36:D543">
      <formula1>#REF!</formula1>
    </dataValidation>
    <dataValidation type="custom" allowBlank="1" showDropDown="1" sqref="E36:E543">
      <formula1>OR(NOT(ISERROR(DATEVALUE(E36))), AND(ISNUMBER(E36), LEFT(CELL("format", E36))="D"))</formula1>
    </dataValidation>
    <dataValidation type="custom" allowBlank="1" showDropDown="1" sqref="F36:F543">
      <formula1>AND(ISNUMBER(F36),(NOT(OR(NOT(ISERROR(DATEVALUE(F36))), AND(ISNUMBER(F36), LEFT(CELL("format", F36))="D")))))</formula1>
    </dataValidation>
    <dataValidation type="list" allowBlank="1" showErrorMessage="1" sqref="G36:G201">
      <formula1>"Оклад Аванс,Оклад Доплата,Премия,Бонус"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71"/>
    <col customWidth="1" min="2" max="2" width="19.0"/>
  </cols>
  <sheetData>
    <row r="1">
      <c r="A1" s="547" t="s">
        <v>2102</v>
      </c>
      <c r="B1" s="547" t="s">
        <v>2103</v>
      </c>
      <c r="C1" s="547" t="s">
        <v>2035</v>
      </c>
      <c r="D1" s="547" t="s">
        <v>2036</v>
      </c>
      <c r="E1" s="547" t="s">
        <v>2037</v>
      </c>
      <c r="F1" s="548" t="s">
        <v>2038</v>
      </c>
      <c r="G1" s="547" t="s">
        <v>2039</v>
      </c>
      <c r="H1" s="547" t="s">
        <v>2184</v>
      </c>
      <c r="I1" s="547" t="s">
        <v>2030</v>
      </c>
      <c r="J1" s="547" t="s">
        <v>2031</v>
      </c>
      <c r="K1" s="547" t="s">
        <v>2032</v>
      </c>
      <c r="L1" s="547" t="s">
        <v>2033</v>
      </c>
      <c r="M1" s="547" t="s">
        <v>565</v>
      </c>
      <c r="N1" s="547" t="s">
        <v>2034</v>
      </c>
      <c r="O1" s="547" t="s">
        <v>2185</v>
      </c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</row>
    <row r="2">
      <c r="A2" s="550" t="s">
        <v>2186</v>
      </c>
      <c r="B2" s="551" t="s">
        <v>2187</v>
      </c>
      <c r="C2" s="552"/>
      <c r="D2" s="551"/>
      <c r="E2" s="551"/>
      <c r="F2" s="553"/>
      <c r="G2" s="551"/>
      <c r="H2" s="551"/>
      <c r="I2" s="551">
        <v>175000.0</v>
      </c>
      <c r="J2" s="551">
        <v>175000.0</v>
      </c>
      <c r="K2" s="551">
        <v>175000.0</v>
      </c>
      <c r="L2" s="551">
        <v>175000.0</v>
      </c>
      <c r="M2" s="551">
        <v>175000.0</v>
      </c>
      <c r="N2" s="551">
        <v>175000.0</v>
      </c>
      <c r="O2" s="552">
        <f t="shared" ref="O2:O5" si="1">SUM(C2:N2)</f>
        <v>1050000</v>
      </c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  <c r="AC2" s="554"/>
      <c r="AD2" s="554"/>
      <c r="AE2" s="554"/>
      <c r="AF2" s="554"/>
      <c r="AG2" s="554"/>
    </row>
    <row r="3">
      <c r="A3" s="555" t="s">
        <v>2188</v>
      </c>
      <c r="B3" s="556"/>
      <c r="C3" s="551"/>
      <c r="D3" s="551"/>
      <c r="E3" s="552"/>
      <c r="F3" s="553">
        <v>50000.0</v>
      </c>
      <c r="G3" s="551">
        <v>50000.0</v>
      </c>
      <c r="H3" s="551">
        <v>50000.0</v>
      </c>
      <c r="I3" s="551"/>
      <c r="J3" s="551"/>
      <c r="K3" s="551"/>
      <c r="L3" s="551"/>
      <c r="M3" s="551"/>
      <c r="N3" s="551"/>
      <c r="O3" s="552">
        <f t="shared" si="1"/>
        <v>150000</v>
      </c>
      <c r="P3" s="554"/>
      <c r="Q3" s="554"/>
      <c r="R3" s="554"/>
      <c r="S3" s="554"/>
      <c r="T3" s="554"/>
      <c r="U3" s="554"/>
      <c r="V3" s="554"/>
      <c r="W3" s="554"/>
      <c r="X3" s="554"/>
      <c r="Y3" s="554"/>
      <c r="Z3" s="554"/>
      <c r="AA3" s="554"/>
      <c r="AB3" s="554"/>
      <c r="AC3" s="554"/>
      <c r="AD3" s="554"/>
      <c r="AE3" s="554"/>
      <c r="AF3" s="554"/>
      <c r="AG3" s="554"/>
    </row>
    <row r="4">
      <c r="A4" s="555" t="s">
        <v>2188</v>
      </c>
      <c r="B4" s="556" t="s">
        <v>2189</v>
      </c>
      <c r="C4" s="551"/>
      <c r="D4" s="551"/>
      <c r="E4" s="552"/>
      <c r="F4" s="553"/>
      <c r="G4" s="551">
        <v>100000.0</v>
      </c>
      <c r="H4" s="551">
        <v>100000.0</v>
      </c>
      <c r="I4" s="551">
        <v>100000.0</v>
      </c>
      <c r="J4" s="551">
        <v>100000.0</v>
      </c>
      <c r="K4" s="551">
        <v>100000.0</v>
      </c>
      <c r="L4" s="551">
        <v>100000.0</v>
      </c>
      <c r="M4" s="551">
        <v>100000.0</v>
      </c>
      <c r="N4" s="551">
        <v>100000.0</v>
      </c>
      <c r="O4" s="552">
        <f t="shared" si="1"/>
        <v>800000</v>
      </c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</row>
    <row r="5">
      <c r="A5" s="550" t="s">
        <v>2190</v>
      </c>
      <c r="B5" s="551" t="s">
        <v>124</v>
      </c>
      <c r="C5" s="552">
        <v>130000.0</v>
      </c>
      <c r="D5" s="552">
        <v>130000.0</v>
      </c>
      <c r="E5" s="552">
        <v>130000.0</v>
      </c>
      <c r="F5" s="557">
        <v>130000.0</v>
      </c>
      <c r="G5" s="552">
        <v>130000.0</v>
      </c>
      <c r="H5" s="552">
        <v>130000.0</v>
      </c>
      <c r="I5" s="551">
        <v>200000.0</v>
      </c>
      <c r="J5" s="551">
        <v>200000.0</v>
      </c>
      <c r="K5" s="551">
        <v>200000.0</v>
      </c>
      <c r="L5" s="551">
        <v>200000.0</v>
      </c>
      <c r="M5" s="551">
        <v>200000.0</v>
      </c>
      <c r="N5" s="551">
        <v>200000.0</v>
      </c>
      <c r="O5" s="552">
        <f t="shared" si="1"/>
        <v>1980000</v>
      </c>
      <c r="P5" s="554"/>
      <c r="Q5" s="554"/>
      <c r="R5" s="554"/>
      <c r="S5" s="554"/>
      <c r="T5" s="554"/>
      <c r="U5" s="554"/>
      <c r="V5" s="554"/>
      <c r="W5" s="554"/>
      <c r="X5" s="554"/>
      <c r="Y5" s="554"/>
      <c r="Z5" s="554"/>
      <c r="AA5" s="554"/>
      <c r="AB5" s="554"/>
      <c r="AC5" s="554"/>
      <c r="AD5" s="554"/>
      <c r="AE5" s="554"/>
      <c r="AF5" s="554"/>
      <c r="AG5" s="554"/>
    </row>
    <row r="6">
      <c r="A6" s="547" t="s">
        <v>2191</v>
      </c>
      <c r="B6" s="551"/>
      <c r="C6" s="552"/>
      <c r="D6" s="552"/>
      <c r="E6" s="552"/>
      <c r="F6" s="553">
        <v>100000.0</v>
      </c>
      <c r="G6" s="552"/>
      <c r="H6" s="552"/>
      <c r="I6" s="552"/>
      <c r="J6" s="552"/>
      <c r="K6" s="552"/>
      <c r="L6" s="552"/>
      <c r="M6" s="552"/>
      <c r="N6" s="552"/>
      <c r="O6" s="552"/>
      <c r="P6" s="554"/>
      <c r="Q6" s="554"/>
      <c r="R6" s="554"/>
      <c r="S6" s="554"/>
      <c r="T6" s="554"/>
      <c r="U6" s="554"/>
      <c r="V6" s="554"/>
      <c r="W6" s="554"/>
      <c r="X6" s="554"/>
      <c r="Y6" s="554"/>
      <c r="Z6" s="554"/>
      <c r="AA6" s="554"/>
      <c r="AB6" s="554"/>
      <c r="AC6" s="554"/>
      <c r="AD6" s="554"/>
      <c r="AE6" s="554"/>
      <c r="AF6" s="554"/>
      <c r="AG6" s="554"/>
    </row>
    <row r="7">
      <c r="A7" s="550" t="s">
        <v>2192</v>
      </c>
      <c r="B7" s="558" t="s">
        <v>2156</v>
      </c>
      <c r="C7" s="552"/>
      <c r="D7" s="552"/>
      <c r="E7" s="552"/>
      <c r="F7" s="557"/>
      <c r="G7" s="552"/>
      <c r="H7" s="552"/>
      <c r="I7" s="552"/>
      <c r="J7" s="552"/>
      <c r="K7" s="551">
        <v>250000.0</v>
      </c>
      <c r="L7" s="551">
        <v>250000.0</v>
      </c>
      <c r="M7" s="551">
        <v>250000.0</v>
      </c>
      <c r="N7" s="551">
        <v>250000.0</v>
      </c>
      <c r="O7" s="552">
        <f t="shared" ref="O7:O15" si="2">SUM(C7:N7)</f>
        <v>1000000</v>
      </c>
      <c r="P7" s="554"/>
      <c r="Q7" s="554"/>
      <c r="R7" s="554"/>
      <c r="S7" s="554"/>
      <c r="T7" s="554"/>
      <c r="U7" s="554"/>
      <c r="V7" s="554"/>
      <c r="W7" s="554"/>
      <c r="X7" s="554"/>
      <c r="Y7" s="554"/>
      <c r="Z7" s="554"/>
      <c r="AA7" s="554"/>
      <c r="AB7" s="554"/>
      <c r="AC7" s="554"/>
      <c r="AD7" s="554"/>
      <c r="AE7" s="554"/>
      <c r="AF7" s="554"/>
      <c r="AG7" s="554"/>
    </row>
    <row r="8">
      <c r="A8" s="550" t="s">
        <v>2193</v>
      </c>
      <c r="B8" s="551" t="s">
        <v>2194</v>
      </c>
      <c r="C8" s="551">
        <v>100000.0</v>
      </c>
      <c r="D8" s="551">
        <v>300000.0</v>
      </c>
      <c r="E8" s="551">
        <v>300000.0</v>
      </c>
      <c r="F8" s="553">
        <v>300000.0</v>
      </c>
      <c r="G8" s="551">
        <v>300000.0</v>
      </c>
      <c r="H8" s="551">
        <v>300000.0</v>
      </c>
      <c r="I8" s="551">
        <v>300000.0</v>
      </c>
      <c r="J8" s="551">
        <v>300000.0</v>
      </c>
      <c r="K8" s="551">
        <v>300000.0</v>
      </c>
      <c r="L8" s="551">
        <v>300000.0</v>
      </c>
      <c r="M8" s="551">
        <v>300000.0</v>
      </c>
      <c r="N8" s="551">
        <v>300000.0</v>
      </c>
      <c r="O8" s="552">
        <f t="shared" si="2"/>
        <v>3400000</v>
      </c>
      <c r="P8" s="554"/>
      <c r="Q8" s="554"/>
      <c r="R8" s="554"/>
      <c r="S8" s="554"/>
      <c r="T8" s="554"/>
      <c r="U8" s="554"/>
      <c r="V8" s="554"/>
      <c r="W8" s="554"/>
      <c r="X8" s="554"/>
      <c r="Y8" s="554"/>
      <c r="Z8" s="554"/>
      <c r="AA8" s="554"/>
      <c r="AB8" s="554"/>
      <c r="AC8" s="554"/>
      <c r="AD8" s="554"/>
      <c r="AE8" s="554"/>
      <c r="AF8" s="554"/>
      <c r="AG8" s="554"/>
    </row>
    <row r="9">
      <c r="A9" s="550" t="s">
        <v>2195</v>
      </c>
      <c r="B9" s="552"/>
      <c r="C9" s="552"/>
      <c r="D9" s="552"/>
      <c r="E9" s="552"/>
      <c r="F9" s="557"/>
      <c r="G9" s="552"/>
      <c r="H9" s="552"/>
      <c r="I9" s="552"/>
      <c r="J9" s="552"/>
      <c r="K9" s="552"/>
      <c r="L9" s="552"/>
      <c r="M9" s="552"/>
      <c r="N9" s="552"/>
      <c r="O9" s="552">
        <f t="shared" si="2"/>
        <v>0</v>
      </c>
      <c r="P9" s="554"/>
      <c r="Q9" s="554"/>
      <c r="R9" s="554"/>
      <c r="S9" s="554"/>
      <c r="T9" s="554"/>
      <c r="U9" s="554"/>
      <c r="V9" s="554"/>
      <c r="W9" s="554"/>
      <c r="X9" s="554"/>
      <c r="Y9" s="554"/>
      <c r="Z9" s="554"/>
      <c r="AA9" s="554"/>
      <c r="AB9" s="554"/>
      <c r="AC9" s="554"/>
      <c r="AD9" s="554"/>
      <c r="AE9" s="554"/>
      <c r="AF9" s="554"/>
      <c r="AG9" s="554"/>
    </row>
    <row r="10">
      <c r="A10" s="550" t="s">
        <v>2065</v>
      </c>
      <c r="B10" s="551" t="s">
        <v>2137</v>
      </c>
      <c r="C10" s="551">
        <v>170000.0</v>
      </c>
      <c r="D10" s="551">
        <v>170000.0</v>
      </c>
      <c r="E10" s="551">
        <v>170000.0</v>
      </c>
      <c r="F10" s="553">
        <v>170000.0</v>
      </c>
      <c r="G10" s="551">
        <v>170000.0</v>
      </c>
      <c r="H10" s="553">
        <v>100000.0</v>
      </c>
      <c r="I10" s="553">
        <v>170000.0</v>
      </c>
      <c r="J10" s="553">
        <v>170000.0</v>
      </c>
      <c r="K10" s="553">
        <v>170000.0</v>
      </c>
      <c r="L10" s="553">
        <v>170000.0</v>
      </c>
      <c r="M10" s="553">
        <v>170000.0</v>
      </c>
      <c r="N10" s="553">
        <v>170000.0</v>
      </c>
      <c r="O10" s="552">
        <f t="shared" si="2"/>
        <v>1970000</v>
      </c>
      <c r="P10" s="554"/>
      <c r="Q10" s="554"/>
      <c r="R10" s="554"/>
      <c r="S10" s="554"/>
      <c r="T10" s="554"/>
      <c r="U10" s="554"/>
      <c r="V10" s="554"/>
      <c r="W10" s="554"/>
      <c r="X10" s="554"/>
      <c r="Y10" s="554"/>
      <c r="Z10" s="554"/>
      <c r="AA10" s="554"/>
      <c r="AB10" s="554"/>
      <c r="AC10" s="554"/>
      <c r="AD10" s="554"/>
      <c r="AE10" s="554"/>
      <c r="AF10" s="554"/>
      <c r="AG10" s="554"/>
    </row>
    <row r="11">
      <c r="A11" s="550" t="s">
        <v>2196</v>
      </c>
      <c r="B11" s="551" t="s">
        <v>2197</v>
      </c>
      <c r="C11" s="552"/>
      <c r="D11" s="552"/>
      <c r="E11" s="552"/>
      <c r="F11" s="553">
        <v>70000.0</v>
      </c>
      <c r="G11" s="551">
        <v>70000.0</v>
      </c>
      <c r="H11" s="551">
        <v>70000.0</v>
      </c>
      <c r="I11" s="551">
        <v>70000.0</v>
      </c>
      <c r="J11" s="551"/>
      <c r="K11" s="551"/>
      <c r="L11" s="551"/>
      <c r="M11" s="551"/>
      <c r="N11" s="551"/>
      <c r="O11" s="552">
        <f t="shared" si="2"/>
        <v>280000</v>
      </c>
      <c r="P11" s="554"/>
      <c r="Q11" s="554"/>
      <c r="R11" s="554"/>
      <c r="S11" s="554"/>
      <c r="T11" s="554"/>
      <c r="U11" s="554"/>
      <c r="V11" s="554"/>
      <c r="W11" s="554"/>
      <c r="X11" s="554"/>
      <c r="Y11" s="554"/>
      <c r="Z11" s="554"/>
      <c r="AA11" s="554"/>
      <c r="AB11" s="554"/>
      <c r="AC11" s="554"/>
      <c r="AD11" s="554"/>
      <c r="AE11" s="554"/>
      <c r="AF11" s="554"/>
      <c r="AG11" s="554"/>
    </row>
    <row r="12">
      <c r="A12" s="550" t="s">
        <v>2196</v>
      </c>
      <c r="B12" s="552"/>
      <c r="C12" s="552"/>
      <c r="D12" s="552"/>
      <c r="E12" s="552"/>
      <c r="F12" s="557"/>
      <c r="G12" s="552"/>
      <c r="H12" s="552"/>
      <c r="I12" s="552"/>
      <c r="J12" s="552"/>
      <c r="K12" s="552"/>
      <c r="L12" s="552"/>
      <c r="M12" s="552"/>
      <c r="N12" s="552"/>
      <c r="O12" s="552">
        <f t="shared" si="2"/>
        <v>0</v>
      </c>
      <c r="P12" s="554"/>
      <c r="Q12" s="554"/>
      <c r="R12" s="554"/>
      <c r="S12" s="554"/>
      <c r="T12" s="554"/>
      <c r="U12" s="554"/>
      <c r="V12" s="554"/>
      <c r="W12" s="554"/>
      <c r="X12" s="554"/>
      <c r="Y12" s="554"/>
      <c r="Z12" s="554"/>
      <c r="AA12" s="554"/>
      <c r="AB12" s="554"/>
      <c r="AC12" s="554"/>
      <c r="AD12" s="554"/>
      <c r="AE12" s="554"/>
      <c r="AF12" s="554"/>
      <c r="AG12" s="554"/>
    </row>
    <row r="13">
      <c r="A13" s="550" t="s">
        <v>2196</v>
      </c>
      <c r="B13" s="552"/>
      <c r="C13" s="552"/>
      <c r="D13" s="552"/>
      <c r="E13" s="552"/>
      <c r="F13" s="557"/>
      <c r="G13" s="552"/>
      <c r="H13" s="552"/>
      <c r="I13" s="552"/>
      <c r="J13" s="552"/>
      <c r="K13" s="552"/>
      <c r="L13" s="552"/>
      <c r="M13" s="552"/>
      <c r="N13" s="552"/>
      <c r="O13" s="552">
        <f t="shared" si="2"/>
        <v>0</v>
      </c>
      <c r="P13" s="554"/>
      <c r="Q13" s="554"/>
      <c r="R13" s="554"/>
      <c r="S13" s="554"/>
      <c r="T13" s="554"/>
      <c r="U13" s="554"/>
      <c r="V13" s="554"/>
      <c r="W13" s="554"/>
      <c r="X13" s="554"/>
      <c r="Y13" s="554"/>
      <c r="Z13" s="554"/>
      <c r="AA13" s="554"/>
      <c r="AB13" s="554"/>
      <c r="AC13" s="554"/>
      <c r="AD13" s="554"/>
      <c r="AE13" s="554"/>
      <c r="AF13" s="554"/>
      <c r="AG13" s="554"/>
    </row>
    <row r="14">
      <c r="A14" s="550" t="s">
        <v>2198</v>
      </c>
      <c r="B14" s="552"/>
      <c r="C14" s="552"/>
      <c r="D14" s="552"/>
      <c r="E14" s="552"/>
      <c r="F14" s="557"/>
      <c r="G14" s="552"/>
      <c r="H14" s="552"/>
      <c r="I14" s="552"/>
      <c r="J14" s="552"/>
      <c r="K14" s="552"/>
      <c r="L14" s="552"/>
      <c r="M14" s="552"/>
      <c r="N14" s="552"/>
      <c r="O14" s="552">
        <f t="shared" si="2"/>
        <v>0</v>
      </c>
      <c r="P14" s="554"/>
      <c r="Q14" s="554"/>
      <c r="R14" s="554"/>
      <c r="S14" s="554"/>
      <c r="T14" s="554"/>
      <c r="U14" s="554"/>
      <c r="V14" s="554"/>
      <c r="W14" s="554"/>
      <c r="X14" s="554"/>
      <c r="Y14" s="554"/>
      <c r="Z14" s="554"/>
      <c r="AA14" s="554"/>
      <c r="AB14" s="554"/>
      <c r="AC14" s="554"/>
      <c r="AD14" s="554"/>
      <c r="AE14" s="554"/>
      <c r="AF14" s="554"/>
      <c r="AG14" s="554"/>
    </row>
    <row r="15">
      <c r="A15" s="550" t="s">
        <v>2199</v>
      </c>
      <c r="B15" s="551" t="s">
        <v>2200</v>
      </c>
      <c r="C15" s="552"/>
      <c r="D15" s="551">
        <v>40000.0</v>
      </c>
      <c r="E15" s="551">
        <v>40000.0</v>
      </c>
      <c r="F15" s="553">
        <v>120000.0</v>
      </c>
      <c r="G15" s="551">
        <v>120000.0</v>
      </c>
      <c r="H15" s="551">
        <v>120000.0</v>
      </c>
      <c r="I15" s="551">
        <v>120000.0</v>
      </c>
      <c r="J15" s="551">
        <v>120000.0</v>
      </c>
      <c r="K15" s="551">
        <v>120000.0</v>
      </c>
      <c r="L15" s="551">
        <v>120000.0</v>
      </c>
      <c r="M15" s="551">
        <v>120000.0</v>
      </c>
      <c r="N15" s="551">
        <v>120000.0</v>
      </c>
      <c r="O15" s="552">
        <f t="shared" si="2"/>
        <v>1160000</v>
      </c>
      <c r="P15" s="554"/>
      <c r="Q15" s="554"/>
      <c r="R15" s="554"/>
      <c r="S15" s="554"/>
      <c r="T15" s="554"/>
      <c r="U15" s="554"/>
      <c r="V15" s="554"/>
      <c r="W15" s="554"/>
      <c r="X15" s="554"/>
      <c r="Y15" s="554"/>
      <c r="Z15" s="554"/>
      <c r="AA15" s="554"/>
      <c r="AB15" s="554"/>
      <c r="AC15" s="554"/>
      <c r="AD15" s="554"/>
      <c r="AE15" s="554"/>
      <c r="AF15" s="554"/>
      <c r="AG15" s="554"/>
    </row>
    <row r="16">
      <c r="A16" s="550" t="s">
        <v>2199</v>
      </c>
      <c r="B16" s="552"/>
      <c r="C16" s="552"/>
      <c r="D16" s="552"/>
      <c r="E16" s="552"/>
      <c r="F16" s="557"/>
      <c r="G16" s="552"/>
      <c r="H16" s="552"/>
      <c r="I16" s="551">
        <v>140000.0</v>
      </c>
      <c r="J16" s="552"/>
      <c r="K16" s="552"/>
      <c r="L16" s="552"/>
      <c r="M16" s="552"/>
      <c r="N16" s="552"/>
      <c r="O16" s="552"/>
      <c r="P16" s="554"/>
      <c r="Q16" s="554"/>
      <c r="R16" s="554"/>
      <c r="S16" s="554"/>
      <c r="T16" s="554"/>
      <c r="U16" s="554"/>
      <c r="V16" s="554"/>
      <c r="W16" s="554"/>
      <c r="X16" s="554"/>
      <c r="Y16" s="554"/>
      <c r="Z16" s="554"/>
      <c r="AA16" s="554"/>
      <c r="AB16" s="554"/>
      <c r="AC16" s="554"/>
      <c r="AD16" s="554"/>
      <c r="AE16" s="554"/>
      <c r="AF16" s="554"/>
      <c r="AG16" s="554"/>
    </row>
    <row r="17">
      <c r="A17" s="550" t="s">
        <v>2201</v>
      </c>
      <c r="B17" s="552"/>
      <c r="C17" s="552"/>
      <c r="D17" s="552"/>
      <c r="E17" s="552"/>
      <c r="F17" s="557"/>
      <c r="G17" s="552"/>
      <c r="H17" s="552"/>
      <c r="I17" s="552"/>
      <c r="J17" s="552"/>
      <c r="K17" s="552"/>
      <c r="L17" s="552"/>
      <c r="M17" s="552"/>
      <c r="N17" s="552"/>
      <c r="O17" s="552">
        <f t="shared" ref="O17:O28" si="3">SUM(C17:N17)</f>
        <v>0</v>
      </c>
      <c r="P17" s="554"/>
      <c r="Q17" s="554"/>
      <c r="R17" s="554"/>
      <c r="S17" s="554"/>
      <c r="T17" s="554"/>
      <c r="U17" s="554"/>
      <c r="V17" s="554"/>
      <c r="W17" s="554"/>
      <c r="X17" s="554"/>
      <c r="Y17" s="554"/>
      <c r="Z17" s="554"/>
      <c r="AA17" s="554"/>
      <c r="AB17" s="554"/>
      <c r="AC17" s="554"/>
      <c r="AD17" s="554"/>
      <c r="AE17" s="554"/>
      <c r="AF17" s="554"/>
      <c r="AG17" s="554"/>
    </row>
    <row r="18">
      <c r="A18" s="550" t="s">
        <v>2202</v>
      </c>
      <c r="B18" s="552"/>
      <c r="C18" s="552"/>
      <c r="D18" s="552"/>
      <c r="E18" s="552"/>
      <c r="F18" s="557"/>
      <c r="G18" s="552"/>
      <c r="H18" s="552"/>
      <c r="I18" s="551">
        <v>50000.0</v>
      </c>
      <c r="J18" s="552"/>
      <c r="K18" s="552"/>
      <c r="L18" s="552"/>
      <c r="M18" s="552"/>
      <c r="N18" s="552"/>
      <c r="O18" s="552">
        <f t="shared" si="3"/>
        <v>50000</v>
      </c>
      <c r="P18" s="554"/>
      <c r="Q18" s="554"/>
      <c r="R18" s="554"/>
      <c r="S18" s="554"/>
      <c r="T18" s="554"/>
      <c r="U18" s="554"/>
      <c r="V18" s="554"/>
      <c r="W18" s="554"/>
      <c r="X18" s="554"/>
      <c r="Y18" s="554"/>
      <c r="Z18" s="554"/>
      <c r="AA18" s="554"/>
      <c r="AB18" s="554"/>
      <c r="AC18" s="554"/>
      <c r="AD18" s="554"/>
      <c r="AE18" s="554"/>
      <c r="AF18" s="554"/>
      <c r="AG18" s="554"/>
    </row>
    <row r="19">
      <c r="A19" s="550" t="s">
        <v>2203</v>
      </c>
      <c r="B19" s="552"/>
      <c r="C19" s="552"/>
      <c r="D19" s="552"/>
      <c r="E19" s="552"/>
      <c r="F19" s="557"/>
      <c r="G19" s="552"/>
      <c r="H19" s="552"/>
      <c r="I19" s="552"/>
      <c r="J19" s="552"/>
      <c r="K19" s="552"/>
      <c r="L19" s="552"/>
      <c r="M19" s="552"/>
      <c r="N19" s="552"/>
      <c r="O19" s="552">
        <f t="shared" si="3"/>
        <v>0</v>
      </c>
      <c r="P19" s="554"/>
      <c r="Q19" s="554"/>
      <c r="R19" s="554"/>
      <c r="S19" s="554"/>
      <c r="T19" s="554"/>
      <c r="U19" s="554"/>
      <c r="V19" s="554"/>
      <c r="W19" s="554"/>
      <c r="X19" s="554"/>
      <c r="Y19" s="554"/>
      <c r="Z19" s="554"/>
      <c r="AA19" s="554"/>
      <c r="AB19" s="554"/>
      <c r="AC19" s="554"/>
      <c r="AD19" s="554"/>
      <c r="AE19" s="554"/>
      <c r="AF19" s="554"/>
      <c r="AG19" s="554"/>
    </row>
    <row r="20">
      <c r="A20" s="550" t="s">
        <v>2204</v>
      </c>
      <c r="B20" s="552"/>
      <c r="C20" s="552"/>
      <c r="D20" s="552"/>
      <c r="E20" s="552"/>
      <c r="F20" s="557"/>
      <c r="G20" s="552"/>
      <c r="H20" s="552"/>
      <c r="I20" s="552"/>
      <c r="J20" s="552"/>
      <c r="K20" s="552"/>
      <c r="L20" s="552"/>
      <c r="M20" s="552"/>
      <c r="N20" s="552"/>
      <c r="O20" s="552">
        <f t="shared" si="3"/>
        <v>0</v>
      </c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54"/>
      <c r="AB20" s="554"/>
      <c r="AC20" s="554"/>
      <c r="AD20" s="554"/>
      <c r="AE20" s="554"/>
      <c r="AF20" s="554"/>
      <c r="AG20" s="554"/>
    </row>
    <row r="21">
      <c r="A21" s="550" t="s">
        <v>2205</v>
      </c>
      <c r="B21" s="552"/>
      <c r="C21" s="552"/>
      <c r="D21" s="552"/>
      <c r="E21" s="552"/>
      <c r="F21" s="557"/>
      <c r="G21" s="552"/>
      <c r="H21" s="552"/>
      <c r="I21" s="552"/>
      <c r="J21" s="552"/>
      <c r="K21" s="552"/>
      <c r="L21" s="552"/>
      <c r="M21" s="552"/>
      <c r="N21" s="552"/>
      <c r="O21" s="552">
        <f t="shared" si="3"/>
        <v>0</v>
      </c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54"/>
      <c r="AB21" s="554"/>
      <c r="AC21" s="554"/>
      <c r="AD21" s="554"/>
      <c r="AE21" s="554"/>
      <c r="AF21" s="554"/>
      <c r="AG21" s="554"/>
    </row>
    <row r="22">
      <c r="A22" s="550" t="s">
        <v>2206</v>
      </c>
      <c r="B22" s="552"/>
      <c r="C22" s="552"/>
      <c r="D22" s="552"/>
      <c r="E22" s="552"/>
      <c r="F22" s="557"/>
      <c r="G22" s="552"/>
      <c r="H22" s="552"/>
      <c r="I22" s="552"/>
      <c r="J22" s="552"/>
      <c r="K22" s="552"/>
      <c r="L22" s="552"/>
      <c r="M22" s="552"/>
      <c r="N22" s="552"/>
      <c r="O22" s="552">
        <f t="shared" si="3"/>
        <v>0</v>
      </c>
      <c r="P22" s="554"/>
      <c r="Q22" s="554"/>
      <c r="R22" s="554"/>
      <c r="S22" s="554"/>
      <c r="T22" s="554"/>
      <c r="U22" s="554"/>
      <c r="V22" s="554"/>
      <c r="W22" s="554"/>
      <c r="X22" s="554"/>
      <c r="Y22" s="554"/>
      <c r="Z22" s="554"/>
      <c r="AA22" s="554"/>
      <c r="AB22" s="554"/>
      <c r="AC22" s="554"/>
      <c r="AD22" s="554"/>
      <c r="AE22" s="554"/>
      <c r="AF22" s="554"/>
      <c r="AG22" s="554"/>
    </row>
    <row r="23">
      <c r="A23" s="550" t="s">
        <v>2207</v>
      </c>
      <c r="B23" s="552"/>
      <c r="C23" s="552"/>
      <c r="D23" s="552"/>
      <c r="E23" s="552"/>
      <c r="F23" s="557"/>
      <c r="G23" s="552"/>
      <c r="H23" s="552"/>
      <c r="I23" s="552"/>
      <c r="J23" s="552"/>
      <c r="K23" s="552"/>
      <c r="L23" s="552"/>
      <c r="M23" s="552"/>
      <c r="N23" s="552"/>
      <c r="O23" s="552">
        <f t="shared" si="3"/>
        <v>0</v>
      </c>
      <c r="P23" s="554"/>
      <c r="Q23" s="554"/>
      <c r="R23" s="554"/>
      <c r="S23" s="554"/>
      <c r="T23" s="554"/>
      <c r="U23" s="554"/>
      <c r="V23" s="554"/>
      <c r="W23" s="554"/>
      <c r="X23" s="554"/>
      <c r="Y23" s="554"/>
      <c r="Z23" s="554"/>
      <c r="AA23" s="554"/>
      <c r="AB23" s="554"/>
      <c r="AC23" s="554"/>
      <c r="AD23" s="554"/>
      <c r="AE23" s="554"/>
      <c r="AF23" s="554"/>
      <c r="AG23" s="554"/>
    </row>
    <row r="24">
      <c r="A24" s="550" t="s">
        <v>2208</v>
      </c>
      <c r="B24" s="551" t="s">
        <v>2133</v>
      </c>
      <c r="C24" s="551">
        <v>25000.0</v>
      </c>
      <c r="D24" s="551">
        <v>25000.0</v>
      </c>
      <c r="E24" s="551">
        <v>35000.0</v>
      </c>
      <c r="F24" s="553">
        <v>35000.0</v>
      </c>
      <c r="G24" s="551">
        <v>35000.0</v>
      </c>
      <c r="H24" s="551">
        <v>35000.0</v>
      </c>
      <c r="I24" s="551">
        <v>35000.0</v>
      </c>
      <c r="J24" s="551">
        <v>35000.0</v>
      </c>
      <c r="K24" s="551">
        <v>35000.0</v>
      </c>
      <c r="L24" s="551">
        <v>35000.0</v>
      </c>
      <c r="M24" s="551">
        <v>35000.0</v>
      </c>
      <c r="N24" s="551">
        <v>35000.0</v>
      </c>
      <c r="O24" s="552">
        <f t="shared" si="3"/>
        <v>400000</v>
      </c>
      <c r="P24" s="554"/>
      <c r="Q24" s="554"/>
      <c r="R24" s="554"/>
      <c r="S24" s="554"/>
      <c r="T24" s="554"/>
      <c r="U24" s="554"/>
      <c r="V24" s="554"/>
      <c r="W24" s="554"/>
      <c r="X24" s="554"/>
      <c r="Y24" s="554"/>
      <c r="Z24" s="554"/>
      <c r="AA24" s="554"/>
      <c r="AB24" s="554"/>
      <c r="AC24" s="554"/>
      <c r="AD24" s="554"/>
      <c r="AE24" s="554"/>
      <c r="AF24" s="554"/>
      <c r="AG24" s="554"/>
    </row>
    <row r="25">
      <c r="A25" s="550" t="s">
        <v>2209</v>
      </c>
      <c r="B25" s="552"/>
      <c r="C25" s="552"/>
      <c r="D25" s="552"/>
      <c r="E25" s="552"/>
      <c r="F25" s="557"/>
      <c r="G25" s="552"/>
      <c r="H25" s="552"/>
      <c r="I25" s="552"/>
      <c r="J25" s="552"/>
      <c r="K25" s="552"/>
      <c r="L25" s="552"/>
      <c r="M25" s="552"/>
      <c r="N25" s="552"/>
      <c r="O25" s="552">
        <f t="shared" si="3"/>
        <v>0</v>
      </c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54"/>
      <c r="AB25" s="554"/>
      <c r="AC25" s="554"/>
      <c r="AD25" s="554"/>
      <c r="AE25" s="554"/>
      <c r="AF25" s="554"/>
      <c r="AG25" s="554"/>
    </row>
    <row r="26">
      <c r="A26" s="547" t="s">
        <v>2210</v>
      </c>
      <c r="B26" s="552"/>
      <c r="C26" s="552">
        <f t="shared" ref="C26:N26" si="4">SUM(C2:C25)</f>
        <v>425000</v>
      </c>
      <c r="D26" s="552">
        <f t="shared" si="4"/>
        <v>665000</v>
      </c>
      <c r="E26" s="552">
        <f t="shared" si="4"/>
        <v>675000</v>
      </c>
      <c r="F26" s="557">
        <f t="shared" si="4"/>
        <v>975000</v>
      </c>
      <c r="G26" s="552">
        <f t="shared" si="4"/>
        <v>975000</v>
      </c>
      <c r="H26" s="552">
        <f t="shared" si="4"/>
        <v>905000</v>
      </c>
      <c r="I26" s="552">
        <f t="shared" si="4"/>
        <v>1360000</v>
      </c>
      <c r="J26" s="552">
        <f t="shared" si="4"/>
        <v>1100000</v>
      </c>
      <c r="K26" s="552">
        <f t="shared" si="4"/>
        <v>1350000</v>
      </c>
      <c r="L26" s="552">
        <f t="shared" si="4"/>
        <v>1350000</v>
      </c>
      <c r="M26" s="552">
        <f t="shared" si="4"/>
        <v>1350000</v>
      </c>
      <c r="N26" s="552">
        <f t="shared" si="4"/>
        <v>1350000</v>
      </c>
      <c r="O26" s="552">
        <f t="shared" si="3"/>
        <v>12480000</v>
      </c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554"/>
      <c r="AB26" s="554"/>
      <c r="AC26" s="554"/>
      <c r="AD26" s="554"/>
      <c r="AE26" s="554"/>
      <c r="AF26" s="554"/>
      <c r="AG26" s="554"/>
    </row>
    <row r="27">
      <c r="A27" s="550" t="s">
        <v>2211</v>
      </c>
      <c r="B27" s="552"/>
      <c r="C27" s="552">
        <f>SUM(C2:C24)/0.72-SUM(C2:C24)</f>
        <v>165277.7778</v>
      </c>
      <c r="D27" s="552">
        <f t="shared" ref="D27:F27" si="5">SUM(D2:D24)*0.48</f>
        <v>319200</v>
      </c>
      <c r="E27" s="552">
        <f t="shared" si="5"/>
        <v>324000</v>
      </c>
      <c r="F27" s="557">
        <f t="shared" si="5"/>
        <v>468000</v>
      </c>
      <c r="G27" s="552">
        <f t="shared" ref="G27:N27" si="6">SUM(G2:G25)*0.48</f>
        <v>468000</v>
      </c>
      <c r="H27" s="552">
        <f t="shared" si="6"/>
        <v>434400</v>
      </c>
      <c r="I27" s="552">
        <f t="shared" si="6"/>
        <v>652800</v>
      </c>
      <c r="J27" s="552">
        <f t="shared" si="6"/>
        <v>528000</v>
      </c>
      <c r="K27" s="552">
        <f t="shared" si="6"/>
        <v>648000</v>
      </c>
      <c r="L27" s="552">
        <f t="shared" si="6"/>
        <v>648000</v>
      </c>
      <c r="M27" s="552">
        <f t="shared" si="6"/>
        <v>648000</v>
      </c>
      <c r="N27" s="552">
        <f t="shared" si="6"/>
        <v>648000</v>
      </c>
      <c r="O27" s="552">
        <f t="shared" si="3"/>
        <v>5951677.778</v>
      </c>
      <c r="P27" s="554"/>
      <c r="Q27" s="554"/>
      <c r="R27" s="554"/>
      <c r="S27" s="554"/>
      <c r="T27" s="554"/>
      <c r="U27" s="554"/>
      <c r="V27" s="554"/>
      <c r="W27" s="554"/>
      <c r="X27" s="554"/>
      <c r="Y27" s="554"/>
      <c r="Z27" s="554"/>
      <c r="AA27" s="554"/>
      <c r="AB27" s="554"/>
      <c r="AC27" s="554"/>
      <c r="AD27" s="554"/>
      <c r="AE27" s="554"/>
      <c r="AF27" s="554"/>
      <c r="AG27" s="554"/>
    </row>
    <row r="28">
      <c r="A28" s="550" t="s">
        <v>2212</v>
      </c>
      <c r="B28" s="552"/>
      <c r="C28" s="552">
        <f t="shared" ref="C28:N28" si="7">C26+C27</f>
        <v>590277.7778</v>
      </c>
      <c r="D28" s="552">
        <f t="shared" si="7"/>
        <v>984200</v>
      </c>
      <c r="E28" s="552">
        <f t="shared" si="7"/>
        <v>999000</v>
      </c>
      <c r="F28" s="557">
        <f t="shared" si="7"/>
        <v>1443000</v>
      </c>
      <c r="G28" s="552">
        <f t="shared" si="7"/>
        <v>1443000</v>
      </c>
      <c r="H28" s="552">
        <f t="shared" si="7"/>
        <v>1339400</v>
      </c>
      <c r="I28" s="552">
        <f t="shared" si="7"/>
        <v>2012800</v>
      </c>
      <c r="J28" s="552">
        <f t="shared" si="7"/>
        <v>1628000</v>
      </c>
      <c r="K28" s="552">
        <f t="shared" si="7"/>
        <v>1998000</v>
      </c>
      <c r="L28" s="552">
        <f t="shared" si="7"/>
        <v>1998000</v>
      </c>
      <c r="M28" s="552">
        <f t="shared" si="7"/>
        <v>1998000</v>
      </c>
      <c r="N28" s="552">
        <f t="shared" si="7"/>
        <v>1998000</v>
      </c>
      <c r="O28" s="552">
        <f t="shared" si="3"/>
        <v>18431677.78</v>
      </c>
      <c r="P28" s="554"/>
      <c r="Q28" s="554"/>
      <c r="R28" s="554"/>
      <c r="S28" s="554"/>
      <c r="T28" s="554"/>
      <c r="U28" s="554"/>
      <c r="V28" s="554"/>
      <c r="W28" s="554"/>
      <c r="X28" s="554"/>
      <c r="Y28" s="554"/>
      <c r="Z28" s="554"/>
      <c r="AA28" s="554"/>
      <c r="AB28" s="554"/>
      <c r="AC28" s="554"/>
      <c r="AD28" s="554"/>
      <c r="AE28" s="554"/>
      <c r="AF28" s="554"/>
      <c r="AG28" s="554"/>
    </row>
    <row r="29">
      <c r="A29" s="550"/>
      <c r="B29" s="559"/>
      <c r="C29" s="559">
        <f t="shared" ref="C29:O29" si="8">C27/C28</f>
        <v>0.28</v>
      </c>
      <c r="D29" s="559">
        <f t="shared" si="8"/>
        <v>0.3243243243</v>
      </c>
      <c r="E29" s="559">
        <f t="shared" si="8"/>
        <v>0.3243243243</v>
      </c>
      <c r="F29" s="560">
        <f t="shared" si="8"/>
        <v>0.3243243243</v>
      </c>
      <c r="G29" s="559">
        <f t="shared" si="8"/>
        <v>0.3243243243</v>
      </c>
      <c r="H29" s="559">
        <f t="shared" si="8"/>
        <v>0.3243243243</v>
      </c>
      <c r="I29" s="559">
        <f t="shared" si="8"/>
        <v>0.3243243243</v>
      </c>
      <c r="J29" s="559">
        <f t="shared" si="8"/>
        <v>0.3243243243</v>
      </c>
      <c r="K29" s="559">
        <f t="shared" si="8"/>
        <v>0.3243243243</v>
      </c>
      <c r="L29" s="559">
        <f t="shared" si="8"/>
        <v>0.3243243243</v>
      </c>
      <c r="M29" s="559">
        <f t="shared" si="8"/>
        <v>0.3243243243</v>
      </c>
      <c r="N29" s="559">
        <f t="shared" si="8"/>
        <v>0.3243243243</v>
      </c>
      <c r="O29" s="559">
        <f t="shared" si="8"/>
        <v>0.3229048299</v>
      </c>
      <c r="P29" s="554"/>
      <c r="Q29" s="554"/>
      <c r="R29" s="554"/>
      <c r="S29" s="554"/>
      <c r="T29" s="554"/>
      <c r="U29" s="554"/>
      <c r="V29" s="554"/>
      <c r="W29" s="554"/>
      <c r="X29" s="554"/>
      <c r="Y29" s="554"/>
      <c r="Z29" s="554"/>
      <c r="AA29" s="554"/>
      <c r="AB29" s="554"/>
      <c r="AC29" s="554"/>
      <c r="AD29" s="554"/>
      <c r="AE29" s="554"/>
      <c r="AF29" s="554"/>
      <c r="AG29" s="554"/>
    </row>
    <row r="30">
      <c r="A30" s="550"/>
      <c r="B30" s="559"/>
      <c r="C30" s="559"/>
      <c r="D30" s="559"/>
      <c r="E30" s="559"/>
      <c r="F30" s="560"/>
      <c r="G30" s="559"/>
      <c r="H30" s="559"/>
      <c r="I30" s="559"/>
      <c r="J30" s="559"/>
      <c r="K30" s="559"/>
      <c r="L30" s="559"/>
      <c r="M30" s="559"/>
      <c r="N30" s="559"/>
      <c r="O30" s="559"/>
      <c r="P30" s="554"/>
      <c r="Q30" s="554"/>
      <c r="R30" s="554"/>
      <c r="S30" s="554"/>
      <c r="T30" s="554"/>
      <c r="U30" s="554"/>
      <c r="V30" s="554"/>
      <c r="W30" s="554"/>
      <c r="X30" s="554"/>
      <c r="Y30" s="554"/>
      <c r="Z30" s="554"/>
      <c r="AA30" s="554"/>
      <c r="AB30" s="554"/>
      <c r="AC30" s="554"/>
      <c r="AD30" s="554"/>
      <c r="AE30" s="554"/>
      <c r="AF30" s="554"/>
      <c r="AG30" s="554"/>
    </row>
    <row r="31">
      <c r="A31" s="549"/>
      <c r="B31" s="554"/>
      <c r="C31" s="554"/>
      <c r="D31" s="554"/>
      <c r="E31" s="554"/>
      <c r="F31" s="561"/>
      <c r="G31" s="554"/>
      <c r="H31" s="554"/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Y31" s="554"/>
      <c r="Z31" s="554"/>
      <c r="AA31" s="554"/>
      <c r="AB31" s="554"/>
      <c r="AC31" s="554"/>
      <c r="AD31" s="554"/>
      <c r="AE31" s="554"/>
      <c r="AF31" s="554"/>
      <c r="AG31" s="554"/>
    </row>
    <row r="32">
      <c r="A32" s="549"/>
      <c r="B32" s="554"/>
      <c r="C32" s="554"/>
      <c r="D32" s="554"/>
      <c r="E32" s="554"/>
      <c r="F32" s="561"/>
      <c r="G32" s="554"/>
      <c r="H32" s="554"/>
      <c r="I32" s="554"/>
      <c r="J32" s="554"/>
      <c r="K32" s="554"/>
      <c r="L32" s="554"/>
      <c r="M32" s="554"/>
      <c r="N32" s="554"/>
      <c r="O32" s="554"/>
      <c r="P32" s="554"/>
      <c r="Q32" s="554"/>
      <c r="R32" s="554"/>
      <c r="S32" s="554"/>
      <c r="T32" s="554"/>
      <c r="U32" s="554"/>
      <c r="V32" s="554"/>
      <c r="W32" s="554"/>
      <c r="X32" s="554"/>
      <c r="Y32" s="554"/>
      <c r="Z32" s="554"/>
      <c r="AA32" s="554"/>
      <c r="AB32" s="554"/>
      <c r="AC32" s="554"/>
      <c r="AD32" s="554"/>
      <c r="AE32" s="554"/>
      <c r="AF32" s="554"/>
      <c r="AG32" s="554"/>
    </row>
    <row r="33">
      <c r="A33" s="549"/>
      <c r="B33" s="554"/>
      <c r="C33" s="554"/>
      <c r="D33" s="554"/>
      <c r="E33" s="554"/>
      <c r="F33" s="561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54"/>
      <c r="AB33" s="554"/>
      <c r="AC33" s="554"/>
      <c r="AD33" s="554"/>
      <c r="AE33" s="554"/>
      <c r="AF33" s="554"/>
      <c r="AG33" s="554"/>
    </row>
    <row r="34">
      <c r="A34" s="549"/>
      <c r="B34" s="554"/>
      <c r="C34" s="554"/>
      <c r="D34" s="554"/>
      <c r="E34" s="554"/>
      <c r="F34" s="561"/>
      <c r="G34" s="554"/>
      <c r="H34" s="554"/>
      <c r="I34" s="554"/>
      <c r="J34" s="554"/>
      <c r="K34" s="554"/>
      <c r="L34" s="554"/>
      <c r="M34" s="554"/>
      <c r="N34" s="554"/>
      <c r="O34" s="554"/>
      <c r="P34" s="554"/>
      <c r="Q34" s="554"/>
      <c r="R34" s="554"/>
      <c r="S34" s="554"/>
      <c r="T34" s="554"/>
      <c r="U34" s="554"/>
      <c r="V34" s="554"/>
      <c r="W34" s="554"/>
      <c r="X34" s="554"/>
      <c r="Y34" s="554"/>
      <c r="Z34" s="554"/>
      <c r="AA34" s="554"/>
      <c r="AB34" s="554"/>
      <c r="AC34" s="554"/>
      <c r="AD34" s="554"/>
      <c r="AE34" s="554"/>
      <c r="AF34" s="554"/>
      <c r="AG34" s="554"/>
    </row>
    <row r="35">
      <c r="A35" s="549"/>
      <c r="B35" s="554"/>
      <c r="C35" s="554"/>
      <c r="D35" s="554"/>
      <c r="E35" s="554"/>
      <c r="F35" s="561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554"/>
      <c r="AB35" s="554"/>
      <c r="AC35" s="554"/>
      <c r="AD35" s="554"/>
      <c r="AE35" s="554"/>
      <c r="AF35" s="554"/>
      <c r="AG35" s="554"/>
    </row>
    <row r="36">
      <c r="A36" s="549"/>
      <c r="B36" s="554"/>
      <c r="C36" s="554"/>
      <c r="D36" s="554"/>
      <c r="E36" s="554"/>
      <c r="F36" s="561"/>
      <c r="G36" s="554"/>
      <c r="H36" s="554"/>
      <c r="I36" s="554"/>
      <c r="J36" s="554"/>
      <c r="K36" s="554"/>
      <c r="L36" s="554"/>
      <c r="M36" s="554"/>
      <c r="N36" s="554"/>
      <c r="O36" s="554"/>
      <c r="P36" s="554"/>
      <c r="Q36" s="554"/>
      <c r="R36" s="554"/>
      <c r="S36" s="554"/>
      <c r="T36" s="554"/>
      <c r="U36" s="554"/>
      <c r="V36" s="554"/>
      <c r="W36" s="554"/>
      <c r="X36" s="554"/>
      <c r="Y36" s="554"/>
      <c r="Z36" s="554"/>
      <c r="AA36" s="554"/>
      <c r="AB36" s="554"/>
      <c r="AC36" s="554"/>
      <c r="AD36" s="554"/>
      <c r="AE36" s="554"/>
      <c r="AF36" s="554"/>
      <c r="AG36" s="554"/>
    </row>
    <row r="37">
      <c r="A37" s="549"/>
      <c r="B37" s="554"/>
      <c r="C37" s="554"/>
      <c r="D37" s="554"/>
      <c r="E37" s="554"/>
      <c r="F37" s="561"/>
      <c r="G37" s="554"/>
      <c r="H37" s="554"/>
      <c r="I37" s="554"/>
      <c r="J37" s="554"/>
      <c r="K37" s="554"/>
      <c r="L37" s="554"/>
      <c r="M37" s="554"/>
      <c r="N37" s="554"/>
      <c r="O37" s="554"/>
      <c r="P37" s="554"/>
      <c r="Q37" s="554"/>
      <c r="R37" s="554"/>
      <c r="S37" s="554"/>
      <c r="T37" s="554"/>
      <c r="U37" s="554"/>
      <c r="V37" s="554"/>
      <c r="W37" s="554"/>
      <c r="X37" s="554"/>
      <c r="Y37" s="554"/>
      <c r="Z37" s="554"/>
      <c r="AA37" s="554"/>
      <c r="AB37" s="554"/>
      <c r="AC37" s="554"/>
      <c r="AD37" s="554"/>
      <c r="AE37" s="554"/>
      <c r="AF37" s="554"/>
      <c r="AG37" s="554"/>
    </row>
    <row r="38">
      <c r="A38" s="549"/>
      <c r="B38" s="554"/>
      <c r="C38" s="554"/>
      <c r="D38" s="554"/>
      <c r="E38" s="554"/>
      <c r="F38" s="561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54"/>
      <c r="AB38" s="554"/>
      <c r="AC38" s="554"/>
      <c r="AD38" s="554"/>
      <c r="AE38" s="554"/>
      <c r="AF38" s="554"/>
      <c r="AG38" s="554"/>
    </row>
    <row r="39">
      <c r="A39" s="549"/>
      <c r="B39" s="554"/>
      <c r="C39" s="554"/>
      <c r="D39" s="554"/>
      <c r="E39" s="554"/>
      <c r="F39" s="561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54"/>
      <c r="AB39" s="554"/>
      <c r="AC39" s="554"/>
      <c r="AD39" s="554"/>
      <c r="AE39" s="554"/>
      <c r="AF39" s="554"/>
      <c r="AG39" s="554"/>
    </row>
    <row r="40">
      <c r="A40" s="549"/>
      <c r="B40" s="554"/>
      <c r="C40" s="554"/>
      <c r="D40" s="554"/>
      <c r="E40" s="554"/>
      <c r="F40" s="561"/>
      <c r="G40" s="554"/>
      <c r="H40" s="554"/>
      <c r="I40" s="554"/>
      <c r="J40" s="554"/>
      <c r="K40" s="554"/>
      <c r="L40" s="554"/>
      <c r="M40" s="554"/>
      <c r="N40" s="554"/>
      <c r="O40" s="554"/>
      <c r="P40" s="554"/>
      <c r="Q40" s="554"/>
      <c r="R40" s="554"/>
      <c r="S40" s="554"/>
      <c r="T40" s="554"/>
      <c r="U40" s="554"/>
      <c r="V40" s="554"/>
      <c r="W40" s="554"/>
      <c r="X40" s="554"/>
      <c r="Y40" s="554"/>
      <c r="Z40" s="554"/>
      <c r="AA40" s="554"/>
      <c r="AB40" s="554"/>
      <c r="AC40" s="554"/>
      <c r="AD40" s="554"/>
      <c r="AE40" s="554"/>
      <c r="AF40" s="554"/>
      <c r="AG40" s="554"/>
    </row>
    <row r="41">
      <c r="A41" s="549"/>
      <c r="B41" s="554"/>
      <c r="C41" s="554"/>
      <c r="D41" s="554"/>
      <c r="E41" s="554"/>
      <c r="F41" s="561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554"/>
      <c r="AB41" s="554"/>
      <c r="AC41" s="554"/>
      <c r="AD41" s="554"/>
      <c r="AE41" s="554"/>
      <c r="AF41" s="554"/>
      <c r="AG41" s="554"/>
    </row>
    <row r="42">
      <c r="A42" s="549"/>
      <c r="B42" s="554"/>
      <c r="C42" s="554"/>
      <c r="D42" s="554"/>
      <c r="E42" s="554"/>
      <c r="F42" s="561"/>
      <c r="G42" s="554"/>
      <c r="H42" s="554"/>
      <c r="I42" s="554"/>
      <c r="J42" s="554"/>
      <c r="K42" s="554"/>
      <c r="L42" s="554"/>
      <c r="M42" s="554"/>
      <c r="N42" s="554"/>
      <c r="O42" s="554"/>
      <c r="P42" s="554"/>
      <c r="Q42" s="554"/>
      <c r="R42" s="554"/>
      <c r="S42" s="554"/>
      <c r="T42" s="554"/>
      <c r="U42" s="554"/>
      <c r="V42" s="554"/>
      <c r="W42" s="554"/>
      <c r="X42" s="554"/>
      <c r="Y42" s="554"/>
      <c r="Z42" s="554"/>
      <c r="AA42" s="554"/>
      <c r="AB42" s="554"/>
      <c r="AC42" s="554"/>
      <c r="AD42" s="554"/>
      <c r="AE42" s="554"/>
      <c r="AF42" s="554"/>
      <c r="AG42" s="554"/>
    </row>
    <row r="43">
      <c r="A43" s="549"/>
      <c r="B43" s="554"/>
      <c r="C43" s="554"/>
      <c r="D43" s="554"/>
      <c r="E43" s="554"/>
      <c r="F43" s="561"/>
      <c r="G43" s="554"/>
      <c r="H43" s="554"/>
      <c r="I43" s="554"/>
      <c r="J43" s="554"/>
      <c r="K43" s="554"/>
      <c r="L43" s="554"/>
      <c r="M43" s="554"/>
      <c r="N43" s="554"/>
      <c r="O43" s="554"/>
      <c r="P43" s="554"/>
      <c r="Q43" s="554"/>
      <c r="R43" s="554"/>
      <c r="S43" s="554"/>
      <c r="T43" s="554"/>
      <c r="U43" s="554"/>
      <c r="V43" s="554"/>
      <c r="W43" s="554"/>
      <c r="X43" s="554"/>
      <c r="Y43" s="554"/>
      <c r="Z43" s="554"/>
      <c r="AA43" s="554"/>
      <c r="AB43" s="554"/>
      <c r="AC43" s="554"/>
      <c r="AD43" s="554"/>
      <c r="AE43" s="554"/>
      <c r="AF43" s="554"/>
      <c r="AG43" s="554"/>
    </row>
    <row r="44">
      <c r="A44" s="549"/>
      <c r="B44" s="554"/>
      <c r="C44" s="554"/>
      <c r="D44" s="554"/>
      <c r="E44" s="554"/>
      <c r="F44" s="561"/>
      <c r="G44" s="554"/>
      <c r="H44" s="554"/>
      <c r="I44" s="554"/>
      <c r="J44" s="554"/>
      <c r="K44" s="554"/>
      <c r="L44" s="554"/>
      <c r="M44" s="554"/>
      <c r="N44" s="554"/>
      <c r="O44" s="554"/>
      <c r="P44" s="554"/>
      <c r="Q44" s="554"/>
      <c r="R44" s="554"/>
      <c r="S44" s="554"/>
      <c r="T44" s="554"/>
      <c r="U44" s="554"/>
      <c r="V44" s="554"/>
      <c r="W44" s="554"/>
      <c r="X44" s="554"/>
      <c r="Y44" s="554"/>
      <c r="Z44" s="554"/>
      <c r="AA44" s="554"/>
      <c r="AB44" s="554"/>
      <c r="AC44" s="554"/>
      <c r="AD44" s="554"/>
      <c r="AE44" s="554"/>
      <c r="AF44" s="554"/>
      <c r="AG44" s="554"/>
    </row>
    <row r="45">
      <c r="A45" s="549"/>
      <c r="B45" s="554"/>
      <c r="C45" s="554"/>
      <c r="D45" s="554"/>
      <c r="E45" s="554"/>
      <c r="F45" s="561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54"/>
      <c r="AB45" s="554"/>
      <c r="AC45" s="554"/>
      <c r="AD45" s="554"/>
      <c r="AE45" s="554"/>
      <c r="AF45" s="554"/>
      <c r="AG45" s="554"/>
    </row>
    <row r="46">
      <c r="A46" s="549"/>
      <c r="B46" s="554"/>
      <c r="C46" s="554"/>
      <c r="D46" s="554"/>
      <c r="E46" s="554"/>
      <c r="F46" s="561"/>
      <c r="G46" s="554"/>
      <c r="H46" s="554"/>
      <c r="I46" s="554"/>
      <c r="J46" s="554"/>
      <c r="K46" s="554"/>
      <c r="L46" s="554"/>
      <c r="M46" s="554"/>
      <c r="N46" s="554"/>
      <c r="O46" s="554"/>
      <c r="P46" s="554"/>
      <c r="Q46" s="554"/>
      <c r="R46" s="554"/>
      <c r="S46" s="554"/>
      <c r="T46" s="554"/>
      <c r="U46" s="554"/>
      <c r="V46" s="554"/>
      <c r="W46" s="554"/>
      <c r="X46" s="554"/>
      <c r="Y46" s="554"/>
      <c r="Z46" s="554"/>
      <c r="AA46" s="554"/>
      <c r="AB46" s="554"/>
      <c r="AC46" s="554"/>
      <c r="AD46" s="554"/>
      <c r="AE46" s="554"/>
      <c r="AF46" s="554"/>
      <c r="AG46" s="554"/>
    </row>
    <row r="47">
      <c r="A47" s="549"/>
      <c r="B47" s="554"/>
      <c r="C47" s="554"/>
      <c r="D47" s="554"/>
      <c r="E47" s="554"/>
      <c r="F47" s="561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554"/>
      <c r="AB47" s="554"/>
      <c r="AC47" s="554"/>
      <c r="AD47" s="554"/>
      <c r="AE47" s="554"/>
      <c r="AF47" s="554"/>
      <c r="AG47" s="554"/>
    </row>
    <row r="48">
      <c r="A48" s="549"/>
      <c r="B48" s="554"/>
      <c r="C48" s="554"/>
      <c r="D48" s="554"/>
      <c r="E48" s="554"/>
      <c r="F48" s="561"/>
      <c r="G48" s="554"/>
      <c r="H48" s="554"/>
      <c r="I48" s="554"/>
      <c r="J48" s="554"/>
      <c r="K48" s="554"/>
      <c r="L48" s="554"/>
      <c r="M48" s="554"/>
      <c r="N48" s="554"/>
      <c r="O48" s="554"/>
      <c r="P48" s="554"/>
      <c r="Q48" s="554"/>
      <c r="R48" s="554"/>
      <c r="S48" s="554"/>
      <c r="T48" s="554"/>
      <c r="U48" s="554"/>
      <c r="V48" s="554"/>
      <c r="W48" s="554"/>
      <c r="X48" s="554"/>
      <c r="Y48" s="554"/>
      <c r="Z48" s="554"/>
      <c r="AA48" s="554"/>
      <c r="AB48" s="554"/>
      <c r="AC48" s="554"/>
      <c r="AD48" s="554"/>
      <c r="AE48" s="554"/>
      <c r="AF48" s="554"/>
      <c r="AG48" s="554"/>
    </row>
    <row r="49">
      <c r="A49" s="549"/>
      <c r="B49" s="554"/>
      <c r="C49" s="554"/>
      <c r="D49" s="554"/>
      <c r="E49" s="554"/>
      <c r="F49" s="561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54"/>
      <c r="AB49" s="554"/>
      <c r="AC49" s="554"/>
      <c r="AD49" s="554"/>
      <c r="AE49" s="554"/>
      <c r="AF49" s="554"/>
      <c r="AG49" s="554"/>
    </row>
    <row r="50">
      <c r="A50" s="549"/>
      <c r="B50" s="554"/>
      <c r="C50" s="554"/>
      <c r="D50" s="554"/>
      <c r="E50" s="554"/>
      <c r="F50" s="561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54"/>
      <c r="AB50" s="554"/>
      <c r="AC50" s="554"/>
      <c r="AD50" s="554"/>
      <c r="AE50" s="554"/>
      <c r="AF50" s="554"/>
      <c r="AG50" s="554"/>
    </row>
    <row r="51">
      <c r="A51" s="549"/>
      <c r="B51" s="554"/>
      <c r="C51" s="554"/>
      <c r="D51" s="554"/>
      <c r="E51" s="554"/>
      <c r="F51" s="561"/>
      <c r="G51" s="554"/>
      <c r="H51" s="554"/>
      <c r="I51" s="554"/>
      <c r="J51" s="554"/>
      <c r="K51" s="554"/>
      <c r="L51" s="554"/>
      <c r="M51" s="554"/>
      <c r="N51" s="554"/>
      <c r="O51" s="554"/>
      <c r="P51" s="554"/>
      <c r="Q51" s="554"/>
      <c r="R51" s="554"/>
      <c r="S51" s="554"/>
      <c r="T51" s="554"/>
      <c r="U51" s="554"/>
      <c r="V51" s="554"/>
      <c r="W51" s="554"/>
      <c r="X51" s="554"/>
      <c r="Y51" s="554"/>
      <c r="Z51" s="554"/>
      <c r="AA51" s="554"/>
      <c r="AB51" s="554"/>
      <c r="AC51" s="554"/>
      <c r="AD51" s="554"/>
      <c r="AE51" s="554"/>
      <c r="AF51" s="554"/>
      <c r="AG51" s="554"/>
    </row>
    <row r="52">
      <c r="A52" s="549"/>
      <c r="B52" s="554"/>
      <c r="C52" s="554"/>
      <c r="D52" s="554"/>
      <c r="E52" s="554"/>
      <c r="F52" s="561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554"/>
      <c r="AB52" s="554"/>
      <c r="AC52" s="554"/>
      <c r="AD52" s="554"/>
      <c r="AE52" s="554"/>
      <c r="AF52" s="554"/>
      <c r="AG52" s="554"/>
    </row>
    <row r="53">
      <c r="A53" s="549"/>
      <c r="B53" s="554"/>
      <c r="C53" s="554"/>
      <c r="D53" s="554"/>
      <c r="E53" s="554"/>
      <c r="F53" s="561"/>
      <c r="G53" s="554"/>
      <c r="H53" s="554"/>
      <c r="I53" s="554"/>
      <c r="J53" s="554"/>
      <c r="K53" s="554"/>
      <c r="L53" s="554"/>
      <c r="M53" s="554"/>
      <c r="N53" s="554"/>
      <c r="O53" s="554"/>
      <c r="P53" s="554"/>
      <c r="Q53" s="554"/>
      <c r="R53" s="554"/>
      <c r="S53" s="554"/>
      <c r="T53" s="554"/>
      <c r="U53" s="554"/>
      <c r="V53" s="554"/>
      <c r="W53" s="554"/>
      <c r="X53" s="554"/>
      <c r="Y53" s="554"/>
      <c r="Z53" s="554"/>
      <c r="AA53" s="554"/>
      <c r="AB53" s="554"/>
      <c r="AC53" s="554"/>
      <c r="AD53" s="554"/>
      <c r="AE53" s="554"/>
      <c r="AF53" s="554"/>
      <c r="AG53" s="554"/>
    </row>
    <row r="54">
      <c r="A54" s="549"/>
      <c r="B54" s="554"/>
      <c r="C54" s="554"/>
      <c r="D54" s="554"/>
      <c r="E54" s="554"/>
      <c r="F54" s="561"/>
      <c r="G54" s="554"/>
      <c r="H54" s="554"/>
      <c r="I54" s="554"/>
      <c r="J54" s="554"/>
      <c r="K54" s="554"/>
      <c r="L54" s="554"/>
      <c r="M54" s="554"/>
      <c r="N54" s="554"/>
      <c r="O54" s="554"/>
      <c r="P54" s="554"/>
      <c r="Q54" s="554"/>
      <c r="R54" s="554"/>
      <c r="S54" s="554"/>
      <c r="T54" s="554"/>
      <c r="U54" s="554"/>
      <c r="V54" s="554"/>
      <c r="W54" s="554"/>
      <c r="X54" s="554"/>
      <c r="Y54" s="554"/>
      <c r="Z54" s="554"/>
      <c r="AA54" s="554"/>
      <c r="AB54" s="554"/>
      <c r="AC54" s="554"/>
      <c r="AD54" s="554"/>
      <c r="AE54" s="554"/>
      <c r="AF54" s="554"/>
      <c r="AG54" s="554"/>
    </row>
    <row r="55">
      <c r="A55" s="549"/>
      <c r="B55" s="554"/>
      <c r="C55" s="554"/>
      <c r="D55" s="554"/>
      <c r="E55" s="554"/>
      <c r="F55" s="561"/>
      <c r="G55" s="554"/>
      <c r="H55" s="554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4"/>
      <c r="T55" s="554"/>
      <c r="U55" s="554"/>
      <c r="V55" s="554"/>
      <c r="W55" s="554"/>
      <c r="X55" s="554"/>
      <c r="Y55" s="554"/>
      <c r="Z55" s="554"/>
      <c r="AA55" s="554"/>
      <c r="AB55" s="554"/>
      <c r="AC55" s="554"/>
      <c r="AD55" s="554"/>
      <c r="AE55" s="554"/>
      <c r="AF55" s="554"/>
      <c r="AG55" s="554"/>
    </row>
    <row r="56">
      <c r="A56" s="549"/>
      <c r="B56" s="554"/>
      <c r="C56" s="554"/>
      <c r="D56" s="554"/>
      <c r="E56" s="554"/>
      <c r="F56" s="561"/>
      <c r="G56" s="554"/>
      <c r="H56" s="554"/>
      <c r="I56" s="554"/>
      <c r="J56" s="554"/>
      <c r="K56" s="554"/>
      <c r="L56" s="554"/>
      <c r="M56" s="554"/>
      <c r="N56" s="554"/>
      <c r="O56" s="554"/>
      <c r="P56" s="554"/>
      <c r="Q56" s="554"/>
      <c r="R56" s="554"/>
      <c r="S56" s="554"/>
      <c r="T56" s="554"/>
      <c r="U56" s="554"/>
      <c r="V56" s="554"/>
      <c r="W56" s="554"/>
      <c r="X56" s="554"/>
      <c r="Y56" s="554"/>
      <c r="Z56" s="554"/>
      <c r="AA56" s="554"/>
      <c r="AB56" s="554"/>
      <c r="AC56" s="554"/>
      <c r="AD56" s="554"/>
      <c r="AE56" s="554"/>
      <c r="AF56" s="554"/>
      <c r="AG56" s="554"/>
    </row>
    <row r="57">
      <c r="A57" s="549"/>
      <c r="B57" s="554"/>
      <c r="C57" s="554"/>
      <c r="D57" s="554"/>
      <c r="E57" s="554"/>
      <c r="F57" s="561"/>
      <c r="G57" s="554"/>
      <c r="H57" s="554"/>
      <c r="I57" s="554"/>
      <c r="J57" s="554"/>
      <c r="K57" s="554"/>
      <c r="L57" s="554"/>
      <c r="M57" s="554"/>
      <c r="N57" s="554"/>
      <c r="O57" s="554"/>
      <c r="P57" s="554"/>
      <c r="Q57" s="554"/>
      <c r="R57" s="554"/>
      <c r="S57" s="554"/>
      <c r="T57" s="554"/>
      <c r="U57" s="554"/>
      <c r="V57" s="554"/>
      <c r="W57" s="554"/>
      <c r="X57" s="554"/>
      <c r="Y57" s="554"/>
      <c r="Z57" s="554"/>
      <c r="AA57" s="554"/>
      <c r="AB57" s="554"/>
      <c r="AC57" s="554"/>
      <c r="AD57" s="554"/>
      <c r="AE57" s="554"/>
      <c r="AF57" s="554"/>
      <c r="AG57" s="554"/>
    </row>
    <row r="58">
      <c r="A58" s="549"/>
      <c r="B58" s="554"/>
      <c r="C58" s="554"/>
      <c r="D58" s="554"/>
      <c r="E58" s="554"/>
      <c r="F58" s="561"/>
      <c r="G58" s="554"/>
      <c r="H58" s="554"/>
      <c r="I58" s="554"/>
      <c r="J58" s="554"/>
      <c r="K58" s="554"/>
      <c r="L58" s="554"/>
      <c r="M58" s="554"/>
      <c r="N58" s="554"/>
      <c r="O58" s="554"/>
      <c r="P58" s="554"/>
      <c r="Q58" s="554"/>
      <c r="R58" s="554"/>
      <c r="S58" s="554"/>
      <c r="T58" s="554"/>
      <c r="U58" s="554"/>
      <c r="V58" s="554"/>
      <c r="W58" s="554"/>
      <c r="X58" s="554"/>
      <c r="Y58" s="554"/>
      <c r="Z58" s="554"/>
      <c r="AA58" s="554"/>
      <c r="AB58" s="554"/>
      <c r="AC58" s="554"/>
      <c r="AD58" s="554"/>
      <c r="AE58" s="554"/>
      <c r="AF58" s="554"/>
      <c r="AG58" s="554"/>
    </row>
    <row r="59">
      <c r="A59" s="549"/>
      <c r="B59" s="554"/>
      <c r="C59" s="554"/>
      <c r="D59" s="554"/>
      <c r="E59" s="554"/>
      <c r="F59" s="561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54"/>
      <c r="AB59" s="554"/>
      <c r="AC59" s="554"/>
      <c r="AD59" s="554"/>
      <c r="AE59" s="554"/>
      <c r="AF59" s="554"/>
      <c r="AG59" s="554"/>
    </row>
    <row r="60">
      <c r="A60" s="549"/>
      <c r="B60" s="554"/>
      <c r="C60" s="554"/>
      <c r="D60" s="554"/>
      <c r="E60" s="554"/>
      <c r="F60" s="561"/>
      <c r="G60" s="554"/>
      <c r="H60" s="554"/>
      <c r="I60" s="554"/>
      <c r="J60" s="554"/>
      <c r="K60" s="554"/>
      <c r="L60" s="554"/>
      <c r="M60" s="554"/>
      <c r="N60" s="554"/>
      <c r="O60" s="554"/>
      <c r="P60" s="554"/>
      <c r="Q60" s="554"/>
      <c r="R60" s="554"/>
      <c r="S60" s="554"/>
      <c r="T60" s="554"/>
      <c r="U60" s="554"/>
      <c r="V60" s="554"/>
      <c r="W60" s="554"/>
      <c r="X60" s="554"/>
      <c r="Y60" s="554"/>
      <c r="Z60" s="554"/>
      <c r="AA60" s="554"/>
      <c r="AB60" s="554"/>
      <c r="AC60" s="554"/>
      <c r="AD60" s="554"/>
      <c r="AE60" s="554"/>
      <c r="AF60" s="554"/>
      <c r="AG60" s="554"/>
    </row>
    <row r="61">
      <c r="A61" s="549"/>
      <c r="B61" s="554"/>
      <c r="C61" s="554"/>
      <c r="D61" s="554"/>
      <c r="E61" s="554"/>
      <c r="F61" s="561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554"/>
      <c r="AB61" s="554"/>
      <c r="AC61" s="554"/>
      <c r="AD61" s="554"/>
      <c r="AE61" s="554"/>
      <c r="AF61" s="554"/>
      <c r="AG61" s="554"/>
    </row>
    <row r="62">
      <c r="A62" s="549"/>
      <c r="B62" s="554"/>
      <c r="C62" s="554"/>
      <c r="D62" s="554"/>
      <c r="E62" s="554"/>
      <c r="F62" s="561"/>
      <c r="G62" s="554"/>
      <c r="H62" s="554"/>
      <c r="I62" s="554"/>
      <c r="J62" s="554"/>
      <c r="K62" s="554"/>
      <c r="L62" s="554"/>
      <c r="M62" s="554"/>
      <c r="N62" s="554"/>
      <c r="O62" s="554"/>
      <c r="P62" s="554"/>
      <c r="Q62" s="554"/>
      <c r="R62" s="554"/>
      <c r="S62" s="554"/>
      <c r="T62" s="554"/>
      <c r="U62" s="554"/>
      <c r="V62" s="554"/>
      <c r="W62" s="554"/>
      <c r="X62" s="554"/>
      <c r="Y62" s="554"/>
      <c r="Z62" s="554"/>
      <c r="AA62" s="554"/>
      <c r="AB62" s="554"/>
      <c r="AC62" s="554"/>
      <c r="AD62" s="554"/>
      <c r="AE62" s="554"/>
      <c r="AF62" s="554"/>
      <c r="AG62" s="554"/>
    </row>
    <row r="63">
      <c r="A63" s="549"/>
      <c r="B63" s="554"/>
      <c r="C63" s="554"/>
      <c r="D63" s="554"/>
      <c r="E63" s="554"/>
      <c r="F63" s="561"/>
      <c r="G63" s="554"/>
      <c r="H63" s="554"/>
      <c r="I63" s="554"/>
      <c r="J63" s="554"/>
      <c r="K63" s="554"/>
      <c r="L63" s="554"/>
      <c r="M63" s="554"/>
      <c r="N63" s="554"/>
      <c r="O63" s="554"/>
      <c r="P63" s="554"/>
      <c r="Q63" s="554"/>
      <c r="R63" s="554"/>
      <c r="S63" s="554"/>
      <c r="T63" s="554"/>
      <c r="U63" s="554"/>
      <c r="V63" s="554"/>
      <c r="W63" s="554"/>
      <c r="X63" s="554"/>
      <c r="Y63" s="554"/>
      <c r="Z63" s="554"/>
      <c r="AA63" s="554"/>
      <c r="AB63" s="554"/>
      <c r="AC63" s="554"/>
      <c r="AD63" s="554"/>
      <c r="AE63" s="554"/>
      <c r="AF63" s="554"/>
      <c r="AG63" s="554"/>
    </row>
    <row r="64">
      <c r="A64" s="549"/>
      <c r="B64" s="554"/>
      <c r="C64" s="554"/>
      <c r="D64" s="554"/>
      <c r="E64" s="554"/>
      <c r="F64" s="561"/>
      <c r="G64" s="554"/>
      <c r="H64" s="554"/>
      <c r="I64" s="554"/>
      <c r="J64" s="554"/>
      <c r="K64" s="554"/>
      <c r="L64" s="554"/>
      <c r="M64" s="554"/>
      <c r="N64" s="554"/>
      <c r="O64" s="554"/>
      <c r="P64" s="554"/>
      <c r="Q64" s="554"/>
      <c r="R64" s="554"/>
      <c r="S64" s="554"/>
      <c r="T64" s="554"/>
      <c r="U64" s="554"/>
      <c r="V64" s="554"/>
      <c r="W64" s="554"/>
      <c r="X64" s="554"/>
      <c r="Y64" s="554"/>
      <c r="Z64" s="554"/>
      <c r="AA64" s="554"/>
      <c r="AB64" s="554"/>
      <c r="AC64" s="554"/>
      <c r="AD64" s="554"/>
      <c r="AE64" s="554"/>
      <c r="AF64" s="554"/>
      <c r="AG64" s="554"/>
    </row>
    <row r="65">
      <c r="A65" s="549"/>
      <c r="B65" s="554"/>
      <c r="C65" s="554"/>
      <c r="D65" s="554"/>
      <c r="E65" s="554"/>
      <c r="F65" s="561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54"/>
      <c r="AB65" s="554"/>
      <c r="AC65" s="554"/>
      <c r="AD65" s="554"/>
      <c r="AE65" s="554"/>
      <c r="AF65" s="554"/>
      <c r="AG65" s="554"/>
    </row>
    <row r="66">
      <c r="A66" s="549"/>
      <c r="B66" s="554"/>
      <c r="C66" s="554"/>
      <c r="D66" s="554"/>
      <c r="E66" s="554"/>
      <c r="F66" s="561"/>
      <c r="G66" s="554"/>
      <c r="H66" s="554"/>
      <c r="I66" s="554"/>
      <c r="J66" s="554"/>
      <c r="K66" s="554"/>
      <c r="L66" s="554"/>
      <c r="M66" s="554"/>
      <c r="N66" s="554"/>
      <c r="O66" s="554"/>
      <c r="P66" s="554"/>
      <c r="Q66" s="554"/>
      <c r="R66" s="554"/>
      <c r="S66" s="554"/>
      <c r="T66" s="554"/>
      <c r="U66" s="554"/>
      <c r="V66" s="554"/>
      <c r="W66" s="554"/>
      <c r="X66" s="554"/>
      <c r="Y66" s="554"/>
      <c r="Z66" s="554"/>
      <c r="AA66" s="554"/>
      <c r="AB66" s="554"/>
      <c r="AC66" s="554"/>
      <c r="AD66" s="554"/>
      <c r="AE66" s="554"/>
      <c r="AF66" s="554"/>
      <c r="AG66" s="554"/>
    </row>
    <row r="67">
      <c r="A67" s="549"/>
      <c r="B67" s="554"/>
      <c r="C67" s="554"/>
      <c r="D67" s="554"/>
      <c r="E67" s="554"/>
      <c r="F67" s="561"/>
      <c r="G67" s="554"/>
      <c r="H67" s="554"/>
      <c r="I67" s="554"/>
      <c r="J67" s="554"/>
      <c r="K67" s="554"/>
      <c r="L67" s="554"/>
      <c r="M67" s="554"/>
      <c r="N67" s="554"/>
      <c r="O67" s="554"/>
      <c r="P67" s="554"/>
      <c r="Q67" s="554"/>
      <c r="R67" s="554"/>
      <c r="S67" s="554"/>
      <c r="T67" s="554"/>
      <c r="U67" s="554"/>
      <c r="V67" s="554"/>
      <c r="W67" s="554"/>
      <c r="X67" s="554"/>
      <c r="Y67" s="554"/>
      <c r="Z67" s="554"/>
      <c r="AA67" s="554"/>
      <c r="AB67" s="554"/>
      <c r="AC67" s="554"/>
      <c r="AD67" s="554"/>
      <c r="AE67" s="554"/>
      <c r="AF67" s="554"/>
      <c r="AG67" s="554"/>
    </row>
    <row r="68">
      <c r="A68" s="549"/>
      <c r="B68" s="554"/>
      <c r="C68" s="554"/>
      <c r="D68" s="554"/>
      <c r="E68" s="554"/>
      <c r="F68" s="561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554"/>
      <c r="AB68" s="554"/>
      <c r="AC68" s="554"/>
      <c r="AD68" s="554"/>
      <c r="AE68" s="554"/>
      <c r="AF68" s="554"/>
      <c r="AG68" s="554"/>
    </row>
    <row r="69">
      <c r="A69" s="549"/>
      <c r="B69" s="554"/>
      <c r="C69" s="554"/>
      <c r="D69" s="554"/>
      <c r="E69" s="554"/>
      <c r="F69" s="561"/>
      <c r="G69" s="554"/>
      <c r="H69" s="554"/>
      <c r="I69" s="554"/>
      <c r="J69" s="554"/>
      <c r="K69" s="554"/>
      <c r="L69" s="554"/>
      <c r="M69" s="554"/>
      <c r="N69" s="554"/>
      <c r="O69" s="554"/>
      <c r="P69" s="554"/>
      <c r="Q69" s="554"/>
      <c r="R69" s="554"/>
      <c r="S69" s="554"/>
      <c r="T69" s="554"/>
      <c r="U69" s="554"/>
      <c r="V69" s="554"/>
      <c r="W69" s="554"/>
      <c r="X69" s="554"/>
      <c r="Y69" s="554"/>
      <c r="Z69" s="554"/>
      <c r="AA69" s="554"/>
      <c r="AB69" s="554"/>
      <c r="AC69" s="554"/>
      <c r="AD69" s="554"/>
      <c r="AE69" s="554"/>
      <c r="AF69" s="554"/>
      <c r="AG69" s="554"/>
    </row>
    <row r="70">
      <c r="A70" s="549"/>
      <c r="B70" s="554"/>
      <c r="C70" s="554"/>
      <c r="D70" s="554"/>
      <c r="E70" s="554"/>
      <c r="F70" s="561"/>
      <c r="G70" s="554"/>
      <c r="H70" s="554"/>
      <c r="I70" s="554"/>
      <c r="J70" s="554"/>
      <c r="K70" s="554"/>
      <c r="L70" s="554"/>
      <c r="M70" s="554"/>
      <c r="N70" s="554"/>
      <c r="O70" s="554"/>
      <c r="P70" s="554"/>
      <c r="Q70" s="554"/>
      <c r="R70" s="554"/>
      <c r="S70" s="554"/>
      <c r="T70" s="554"/>
      <c r="U70" s="554"/>
      <c r="V70" s="554"/>
      <c r="W70" s="554"/>
      <c r="X70" s="554"/>
      <c r="Y70" s="554"/>
      <c r="Z70" s="554"/>
      <c r="AA70" s="554"/>
      <c r="AB70" s="554"/>
      <c r="AC70" s="554"/>
      <c r="AD70" s="554"/>
      <c r="AE70" s="554"/>
      <c r="AF70" s="554"/>
      <c r="AG70" s="554"/>
    </row>
    <row r="71">
      <c r="A71" s="549"/>
      <c r="B71" s="554"/>
      <c r="C71" s="554"/>
      <c r="D71" s="554"/>
      <c r="E71" s="554"/>
      <c r="F71" s="561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54"/>
      <c r="AB71" s="554"/>
      <c r="AC71" s="554"/>
      <c r="AD71" s="554"/>
      <c r="AE71" s="554"/>
      <c r="AF71" s="554"/>
      <c r="AG71" s="554"/>
    </row>
    <row r="72">
      <c r="A72" s="549"/>
      <c r="B72" s="554"/>
      <c r="C72" s="554"/>
      <c r="D72" s="554"/>
      <c r="E72" s="554"/>
      <c r="F72" s="561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554"/>
      <c r="AB72" s="554"/>
      <c r="AC72" s="554"/>
      <c r="AD72" s="554"/>
      <c r="AE72" s="554"/>
      <c r="AF72" s="554"/>
      <c r="AG72" s="554"/>
    </row>
    <row r="73">
      <c r="A73" s="549"/>
      <c r="B73" s="554"/>
      <c r="C73" s="554"/>
      <c r="D73" s="554"/>
      <c r="E73" s="554"/>
      <c r="F73" s="561"/>
      <c r="G73" s="554"/>
      <c r="H73" s="554"/>
      <c r="I73" s="554"/>
      <c r="J73" s="554"/>
      <c r="K73" s="554"/>
      <c r="L73" s="554"/>
      <c r="M73" s="554"/>
      <c r="N73" s="554"/>
      <c r="O73" s="554"/>
      <c r="P73" s="554"/>
      <c r="Q73" s="554"/>
      <c r="R73" s="554"/>
      <c r="S73" s="554"/>
      <c r="T73" s="554"/>
      <c r="U73" s="554"/>
      <c r="V73" s="554"/>
      <c r="W73" s="554"/>
      <c r="X73" s="554"/>
      <c r="Y73" s="554"/>
      <c r="Z73" s="554"/>
      <c r="AA73" s="554"/>
      <c r="AB73" s="554"/>
      <c r="AC73" s="554"/>
      <c r="AD73" s="554"/>
      <c r="AE73" s="554"/>
      <c r="AF73" s="554"/>
      <c r="AG73" s="554"/>
    </row>
    <row r="74">
      <c r="A74" s="549"/>
      <c r="B74" s="554"/>
      <c r="C74" s="554"/>
      <c r="D74" s="554"/>
      <c r="E74" s="554"/>
      <c r="F74" s="561"/>
      <c r="G74" s="554"/>
      <c r="H74" s="554"/>
      <c r="I74" s="554"/>
      <c r="J74" s="554"/>
      <c r="K74" s="554"/>
      <c r="L74" s="554"/>
      <c r="M74" s="554"/>
      <c r="N74" s="554"/>
      <c r="O74" s="554"/>
      <c r="P74" s="554"/>
      <c r="Q74" s="554"/>
      <c r="R74" s="554"/>
      <c r="S74" s="554"/>
      <c r="T74" s="554"/>
      <c r="U74" s="554"/>
      <c r="V74" s="554"/>
      <c r="W74" s="554"/>
      <c r="X74" s="554"/>
      <c r="Y74" s="554"/>
      <c r="Z74" s="554"/>
      <c r="AA74" s="554"/>
      <c r="AB74" s="554"/>
      <c r="AC74" s="554"/>
      <c r="AD74" s="554"/>
      <c r="AE74" s="554"/>
      <c r="AF74" s="554"/>
      <c r="AG74" s="554"/>
    </row>
    <row r="75">
      <c r="A75" s="549"/>
      <c r="B75" s="554"/>
      <c r="C75" s="554"/>
      <c r="D75" s="554"/>
      <c r="E75" s="554"/>
      <c r="F75" s="561"/>
      <c r="G75" s="554"/>
      <c r="H75" s="554"/>
      <c r="I75" s="554"/>
      <c r="J75" s="554"/>
      <c r="K75" s="554"/>
      <c r="L75" s="554"/>
      <c r="M75" s="554"/>
      <c r="N75" s="554"/>
      <c r="O75" s="554"/>
      <c r="P75" s="554"/>
      <c r="Q75" s="554"/>
      <c r="R75" s="554"/>
      <c r="S75" s="554"/>
      <c r="T75" s="554"/>
      <c r="U75" s="554"/>
      <c r="V75" s="554"/>
      <c r="W75" s="554"/>
      <c r="X75" s="554"/>
      <c r="Y75" s="554"/>
      <c r="Z75" s="554"/>
      <c r="AA75" s="554"/>
      <c r="AB75" s="554"/>
      <c r="AC75" s="554"/>
      <c r="AD75" s="554"/>
      <c r="AE75" s="554"/>
      <c r="AF75" s="554"/>
      <c r="AG75" s="554"/>
    </row>
    <row r="76">
      <c r="A76" s="549"/>
      <c r="B76" s="554"/>
      <c r="C76" s="554"/>
      <c r="D76" s="554"/>
      <c r="E76" s="554"/>
      <c r="F76" s="561"/>
      <c r="G76" s="554"/>
      <c r="H76" s="554"/>
      <c r="I76" s="554"/>
      <c r="J76" s="554"/>
      <c r="K76" s="554"/>
      <c r="L76" s="554"/>
      <c r="M76" s="554"/>
      <c r="N76" s="554"/>
      <c r="O76" s="554"/>
      <c r="P76" s="554"/>
      <c r="Q76" s="554"/>
      <c r="R76" s="554"/>
      <c r="S76" s="554"/>
      <c r="T76" s="554"/>
      <c r="U76" s="554"/>
      <c r="V76" s="554"/>
      <c r="W76" s="554"/>
      <c r="X76" s="554"/>
      <c r="Y76" s="554"/>
      <c r="Z76" s="554"/>
      <c r="AA76" s="554"/>
      <c r="AB76" s="554"/>
      <c r="AC76" s="554"/>
      <c r="AD76" s="554"/>
      <c r="AE76" s="554"/>
      <c r="AF76" s="554"/>
      <c r="AG76" s="554"/>
    </row>
    <row r="77">
      <c r="A77" s="549"/>
      <c r="B77" s="554"/>
      <c r="C77" s="554"/>
      <c r="D77" s="554"/>
      <c r="E77" s="554"/>
      <c r="F77" s="561"/>
      <c r="G77" s="554"/>
      <c r="H77" s="554"/>
      <c r="I77" s="554"/>
      <c r="J77" s="554"/>
      <c r="K77" s="554"/>
      <c r="L77" s="554"/>
      <c r="M77" s="554"/>
      <c r="N77" s="554"/>
      <c r="O77" s="554"/>
      <c r="P77" s="554"/>
      <c r="Q77" s="554"/>
      <c r="R77" s="554"/>
      <c r="S77" s="554"/>
      <c r="T77" s="554"/>
      <c r="U77" s="554"/>
      <c r="V77" s="554"/>
      <c r="W77" s="554"/>
      <c r="X77" s="554"/>
      <c r="Y77" s="554"/>
      <c r="Z77" s="554"/>
      <c r="AA77" s="554"/>
      <c r="AB77" s="554"/>
      <c r="AC77" s="554"/>
      <c r="AD77" s="554"/>
      <c r="AE77" s="554"/>
      <c r="AF77" s="554"/>
      <c r="AG77" s="554"/>
    </row>
    <row r="78">
      <c r="A78" s="549"/>
      <c r="B78" s="554"/>
      <c r="C78" s="554"/>
      <c r="D78" s="554"/>
      <c r="E78" s="554"/>
      <c r="F78" s="561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54"/>
      <c r="AB78" s="554"/>
      <c r="AC78" s="554"/>
      <c r="AD78" s="554"/>
      <c r="AE78" s="554"/>
      <c r="AF78" s="554"/>
      <c r="AG78" s="554"/>
    </row>
    <row r="79">
      <c r="A79" s="549"/>
      <c r="B79" s="554"/>
      <c r="C79" s="554"/>
      <c r="D79" s="554"/>
      <c r="E79" s="554"/>
      <c r="F79" s="561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54"/>
      <c r="AB79" s="554"/>
      <c r="AC79" s="554"/>
      <c r="AD79" s="554"/>
      <c r="AE79" s="554"/>
      <c r="AF79" s="554"/>
      <c r="AG79" s="554"/>
    </row>
    <row r="80">
      <c r="A80" s="549"/>
      <c r="B80" s="554"/>
      <c r="C80" s="554"/>
      <c r="D80" s="554"/>
      <c r="E80" s="554"/>
      <c r="F80" s="561"/>
      <c r="G80" s="554"/>
      <c r="H80" s="554"/>
      <c r="I80" s="554"/>
      <c r="J80" s="554"/>
      <c r="K80" s="554"/>
      <c r="L80" s="554"/>
      <c r="M80" s="554"/>
      <c r="N80" s="554"/>
      <c r="O80" s="554"/>
      <c r="P80" s="554"/>
      <c r="Q80" s="554"/>
      <c r="R80" s="554"/>
      <c r="S80" s="554"/>
      <c r="T80" s="554"/>
      <c r="U80" s="554"/>
      <c r="V80" s="554"/>
      <c r="W80" s="554"/>
      <c r="X80" s="554"/>
      <c r="Y80" s="554"/>
      <c r="Z80" s="554"/>
      <c r="AA80" s="554"/>
      <c r="AB80" s="554"/>
      <c r="AC80" s="554"/>
      <c r="AD80" s="554"/>
      <c r="AE80" s="554"/>
      <c r="AF80" s="554"/>
      <c r="AG80" s="554"/>
    </row>
    <row r="81">
      <c r="A81" s="549"/>
      <c r="B81" s="554"/>
      <c r="C81" s="554"/>
      <c r="D81" s="554"/>
      <c r="E81" s="554"/>
      <c r="F81" s="561"/>
      <c r="G81" s="554"/>
      <c r="H81" s="554"/>
      <c r="I81" s="554"/>
      <c r="J81" s="554"/>
      <c r="K81" s="554"/>
      <c r="L81" s="554"/>
      <c r="M81" s="554"/>
      <c r="N81" s="554"/>
      <c r="O81" s="554"/>
      <c r="P81" s="554"/>
      <c r="Q81" s="554"/>
      <c r="R81" s="554"/>
      <c r="S81" s="554"/>
      <c r="T81" s="554"/>
      <c r="U81" s="554"/>
      <c r="V81" s="554"/>
      <c r="W81" s="554"/>
      <c r="X81" s="554"/>
      <c r="Y81" s="554"/>
      <c r="Z81" s="554"/>
      <c r="AA81" s="554"/>
      <c r="AB81" s="554"/>
      <c r="AC81" s="554"/>
      <c r="AD81" s="554"/>
      <c r="AE81" s="554"/>
      <c r="AF81" s="554"/>
      <c r="AG81" s="554"/>
    </row>
    <row r="82">
      <c r="A82" s="549"/>
      <c r="B82" s="554"/>
      <c r="C82" s="554"/>
      <c r="D82" s="554"/>
      <c r="E82" s="554"/>
      <c r="F82" s="561"/>
      <c r="G82" s="554"/>
      <c r="H82" s="554"/>
      <c r="I82" s="554"/>
      <c r="J82" s="554"/>
      <c r="K82" s="554"/>
      <c r="L82" s="554"/>
      <c r="M82" s="554"/>
      <c r="N82" s="554"/>
      <c r="O82" s="554"/>
      <c r="P82" s="554"/>
      <c r="Q82" s="554"/>
      <c r="R82" s="554"/>
      <c r="S82" s="554"/>
      <c r="T82" s="554"/>
      <c r="U82" s="554"/>
      <c r="V82" s="554"/>
      <c r="W82" s="554"/>
      <c r="X82" s="554"/>
      <c r="Y82" s="554"/>
      <c r="Z82" s="554"/>
      <c r="AA82" s="554"/>
      <c r="AB82" s="554"/>
      <c r="AC82" s="554"/>
      <c r="AD82" s="554"/>
      <c r="AE82" s="554"/>
      <c r="AF82" s="554"/>
      <c r="AG82" s="554"/>
    </row>
    <row r="83">
      <c r="A83" s="549"/>
      <c r="B83" s="554"/>
      <c r="C83" s="554"/>
      <c r="D83" s="554"/>
      <c r="E83" s="554"/>
      <c r="F83" s="561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54"/>
      <c r="AB83" s="554"/>
      <c r="AC83" s="554"/>
      <c r="AD83" s="554"/>
      <c r="AE83" s="554"/>
      <c r="AF83" s="554"/>
      <c r="AG83" s="554"/>
    </row>
    <row r="84">
      <c r="A84" s="549"/>
      <c r="B84" s="554"/>
      <c r="C84" s="554"/>
      <c r="D84" s="554"/>
      <c r="E84" s="554"/>
      <c r="F84" s="561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54"/>
      <c r="AB84" s="554"/>
      <c r="AC84" s="554"/>
      <c r="AD84" s="554"/>
      <c r="AE84" s="554"/>
      <c r="AF84" s="554"/>
      <c r="AG84" s="554"/>
    </row>
    <row r="85">
      <c r="A85" s="549"/>
      <c r="B85" s="554"/>
      <c r="C85" s="554"/>
      <c r="D85" s="554"/>
      <c r="E85" s="554"/>
      <c r="F85" s="561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54"/>
      <c r="AB85" s="554"/>
      <c r="AC85" s="554"/>
      <c r="AD85" s="554"/>
      <c r="AE85" s="554"/>
      <c r="AF85" s="554"/>
      <c r="AG85" s="554"/>
    </row>
    <row r="86">
      <c r="A86" s="549"/>
      <c r="B86" s="554"/>
      <c r="C86" s="554"/>
      <c r="D86" s="554"/>
      <c r="E86" s="554"/>
      <c r="F86" s="561"/>
      <c r="G86" s="554"/>
      <c r="H86" s="554"/>
      <c r="I86" s="554"/>
      <c r="J86" s="554"/>
      <c r="K86" s="554"/>
      <c r="L86" s="554"/>
      <c r="M86" s="554"/>
      <c r="N86" s="554"/>
      <c r="O86" s="554"/>
      <c r="P86" s="554"/>
      <c r="Q86" s="554"/>
      <c r="R86" s="554"/>
      <c r="S86" s="554"/>
      <c r="T86" s="554"/>
      <c r="U86" s="554"/>
      <c r="V86" s="554"/>
      <c r="W86" s="554"/>
      <c r="X86" s="554"/>
      <c r="Y86" s="554"/>
      <c r="Z86" s="554"/>
      <c r="AA86" s="554"/>
      <c r="AB86" s="554"/>
      <c r="AC86" s="554"/>
      <c r="AD86" s="554"/>
      <c r="AE86" s="554"/>
      <c r="AF86" s="554"/>
      <c r="AG86" s="554"/>
    </row>
    <row r="87">
      <c r="A87" s="549"/>
      <c r="B87" s="554"/>
      <c r="C87" s="554"/>
      <c r="D87" s="554"/>
      <c r="E87" s="554"/>
      <c r="F87" s="561"/>
      <c r="G87" s="554"/>
      <c r="H87" s="554"/>
      <c r="I87" s="554"/>
      <c r="J87" s="554"/>
      <c r="K87" s="554"/>
      <c r="L87" s="554"/>
      <c r="M87" s="554"/>
      <c r="N87" s="554"/>
      <c r="O87" s="554"/>
      <c r="P87" s="554"/>
      <c r="Q87" s="554"/>
      <c r="R87" s="554"/>
      <c r="S87" s="554"/>
      <c r="T87" s="554"/>
      <c r="U87" s="554"/>
      <c r="V87" s="554"/>
      <c r="W87" s="554"/>
      <c r="X87" s="554"/>
      <c r="Y87" s="554"/>
      <c r="Z87" s="554"/>
      <c r="AA87" s="554"/>
      <c r="AB87" s="554"/>
      <c r="AC87" s="554"/>
      <c r="AD87" s="554"/>
      <c r="AE87" s="554"/>
      <c r="AF87" s="554"/>
      <c r="AG87" s="554"/>
    </row>
    <row r="88">
      <c r="A88" s="549"/>
      <c r="B88" s="554"/>
      <c r="C88" s="554"/>
      <c r="D88" s="554"/>
      <c r="E88" s="554"/>
      <c r="F88" s="561"/>
      <c r="G88" s="554"/>
      <c r="H88" s="554"/>
      <c r="I88" s="554"/>
      <c r="J88" s="554"/>
      <c r="K88" s="554"/>
      <c r="L88" s="554"/>
      <c r="M88" s="554"/>
      <c r="N88" s="554"/>
      <c r="O88" s="554"/>
      <c r="P88" s="554"/>
      <c r="Q88" s="554"/>
      <c r="R88" s="554"/>
      <c r="S88" s="554"/>
      <c r="T88" s="554"/>
      <c r="U88" s="554"/>
      <c r="V88" s="554"/>
      <c r="W88" s="554"/>
      <c r="X88" s="554"/>
      <c r="Y88" s="554"/>
      <c r="Z88" s="554"/>
      <c r="AA88" s="554"/>
      <c r="AB88" s="554"/>
      <c r="AC88" s="554"/>
      <c r="AD88" s="554"/>
      <c r="AE88" s="554"/>
      <c r="AF88" s="554"/>
      <c r="AG88" s="554"/>
    </row>
    <row r="89">
      <c r="A89" s="549"/>
      <c r="B89" s="554"/>
      <c r="C89" s="554"/>
      <c r="D89" s="554"/>
      <c r="E89" s="554"/>
      <c r="F89" s="561"/>
      <c r="G89" s="554"/>
      <c r="H89" s="554"/>
      <c r="I89" s="554"/>
      <c r="J89" s="554"/>
      <c r="K89" s="554"/>
      <c r="L89" s="554"/>
      <c r="M89" s="554"/>
      <c r="N89" s="554"/>
      <c r="O89" s="554"/>
      <c r="P89" s="554"/>
      <c r="Q89" s="554"/>
      <c r="R89" s="554"/>
      <c r="S89" s="554"/>
      <c r="T89" s="554"/>
      <c r="U89" s="554"/>
      <c r="V89" s="554"/>
      <c r="W89" s="554"/>
      <c r="X89" s="554"/>
      <c r="Y89" s="554"/>
      <c r="Z89" s="554"/>
      <c r="AA89" s="554"/>
      <c r="AB89" s="554"/>
      <c r="AC89" s="554"/>
      <c r="AD89" s="554"/>
      <c r="AE89" s="554"/>
      <c r="AF89" s="554"/>
      <c r="AG89" s="554"/>
    </row>
    <row r="90">
      <c r="A90" s="549"/>
      <c r="B90" s="554"/>
      <c r="C90" s="554"/>
      <c r="D90" s="554"/>
      <c r="E90" s="554"/>
      <c r="F90" s="561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54"/>
      <c r="AB90" s="554"/>
      <c r="AC90" s="554"/>
      <c r="AD90" s="554"/>
      <c r="AE90" s="554"/>
      <c r="AF90" s="554"/>
      <c r="AG90" s="554"/>
    </row>
    <row r="91">
      <c r="A91" s="549"/>
      <c r="B91" s="554"/>
      <c r="C91" s="554"/>
      <c r="D91" s="554"/>
      <c r="E91" s="554"/>
      <c r="F91" s="561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54"/>
      <c r="AB91" s="554"/>
      <c r="AC91" s="554"/>
      <c r="AD91" s="554"/>
      <c r="AE91" s="554"/>
      <c r="AF91" s="554"/>
      <c r="AG91" s="554"/>
    </row>
    <row r="92">
      <c r="A92" s="549"/>
      <c r="B92" s="554"/>
      <c r="C92" s="554"/>
      <c r="D92" s="554"/>
      <c r="E92" s="554"/>
      <c r="F92" s="561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554"/>
      <c r="AB92" s="554"/>
      <c r="AC92" s="554"/>
      <c r="AD92" s="554"/>
      <c r="AE92" s="554"/>
      <c r="AF92" s="554"/>
      <c r="AG92" s="554"/>
    </row>
    <row r="93">
      <c r="A93" s="549"/>
      <c r="B93" s="554"/>
      <c r="C93" s="554"/>
      <c r="D93" s="554"/>
      <c r="E93" s="554"/>
      <c r="F93" s="561"/>
      <c r="G93" s="554"/>
      <c r="H93" s="554"/>
      <c r="I93" s="554"/>
      <c r="J93" s="554"/>
      <c r="K93" s="554"/>
      <c r="L93" s="554"/>
      <c r="M93" s="554"/>
      <c r="N93" s="554"/>
      <c r="O93" s="554"/>
      <c r="P93" s="554"/>
      <c r="Q93" s="554"/>
      <c r="R93" s="554"/>
      <c r="S93" s="554"/>
      <c r="T93" s="554"/>
      <c r="U93" s="554"/>
      <c r="V93" s="554"/>
      <c r="W93" s="554"/>
      <c r="X93" s="554"/>
      <c r="Y93" s="554"/>
      <c r="Z93" s="554"/>
      <c r="AA93" s="554"/>
      <c r="AB93" s="554"/>
      <c r="AC93" s="554"/>
      <c r="AD93" s="554"/>
      <c r="AE93" s="554"/>
      <c r="AF93" s="554"/>
      <c r="AG93" s="554"/>
    </row>
    <row r="94">
      <c r="A94" s="549"/>
      <c r="B94" s="554"/>
      <c r="C94" s="554"/>
      <c r="D94" s="554"/>
      <c r="E94" s="554"/>
      <c r="F94" s="561"/>
      <c r="G94" s="554"/>
      <c r="H94" s="554"/>
      <c r="I94" s="554"/>
      <c r="J94" s="554"/>
      <c r="K94" s="554"/>
      <c r="L94" s="554"/>
      <c r="M94" s="554"/>
      <c r="N94" s="554"/>
      <c r="O94" s="554"/>
      <c r="P94" s="554"/>
      <c r="Q94" s="554"/>
      <c r="R94" s="554"/>
      <c r="S94" s="554"/>
      <c r="T94" s="554"/>
      <c r="U94" s="554"/>
      <c r="V94" s="554"/>
      <c r="W94" s="554"/>
      <c r="X94" s="554"/>
      <c r="Y94" s="554"/>
      <c r="Z94" s="554"/>
      <c r="AA94" s="554"/>
      <c r="AB94" s="554"/>
      <c r="AC94" s="554"/>
      <c r="AD94" s="554"/>
      <c r="AE94" s="554"/>
      <c r="AF94" s="554"/>
      <c r="AG94" s="554"/>
    </row>
    <row r="95">
      <c r="A95" s="549"/>
      <c r="B95" s="554"/>
      <c r="C95" s="554"/>
      <c r="D95" s="554"/>
      <c r="E95" s="554"/>
      <c r="F95" s="561"/>
      <c r="G95" s="554"/>
      <c r="H95" s="554"/>
      <c r="I95" s="554"/>
      <c r="J95" s="554"/>
      <c r="K95" s="554"/>
      <c r="L95" s="554"/>
      <c r="M95" s="554"/>
      <c r="N95" s="554"/>
      <c r="O95" s="554"/>
      <c r="P95" s="554"/>
      <c r="Q95" s="554"/>
      <c r="R95" s="554"/>
      <c r="S95" s="554"/>
      <c r="T95" s="554"/>
      <c r="U95" s="554"/>
      <c r="V95" s="554"/>
      <c r="W95" s="554"/>
      <c r="X95" s="554"/>
      <c r="Y95" s="554"/>
      <c r="Z95" s="554"/>
      <c r="AA95" s="554"/>
      <c r="AB95" s="554"/>
      <c r="AC95" s="554"/>
      <c r="AD95" s="554"/>
      <c r="AE95" s="554"/>
      <c r="AF95" s="554"/>
      <c r="AG95" s="554"/>
    </row>
    <row r="96">
      <c r="A96" s="549"/>
      <c r="B96" s="554"/>
      <c r="C96" s="554"/>
      <c r="D96" s="554"/>
      <c r="E96" s="554"/>
      <c r="F96" s="561"/>
      <c r="G96" s="554"/>
      <c r="H96" s="554"/>
      <c r="I96" s="554"/>
      <c r="J96" s="554"/>
      <c r="K96" s="554"/>
      <c r="L96" s="554"/>
      <c r="M96" s="554"/>
      <c r="N96" s="554"/>
      <c r="O96" s="554"/>
      <c r="P96" s="554"/>
      <c r="Q96" s="554"/>
      <c r="R96" s="554"/>
      <c r="S96" s="554"/>
      <c r="T96" s="554"/>
      <c r="U96" s="554"/>
      <c r="V96" s="554"/>
      <c r="W96" s="554"/>
      <c r="X96" s="554"/>
      <c r="Y96" s="554"/>
      <c r="Z96" s="554"/>
      <c r="AA96" s="554"/>
      <c r="AB96" s="554"/>
      <c r="AC96" s="554"/>
      <c r="AD96" s="554"/>
      <c r="AE96" s="554"/>
      <c r="AF96" s="554"/>
      <c r="AG96" s="554"/>
    </row>
    <row r="97">
      <c r="A97" s="549"/>
      <c r="B97" s="554"/>
      <c r="C97" s="554"/>
      <c r="D97" s="554"/>
      <c r="E97" s="554"/>
      <c r="F97" s="561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54"/>
      <c r="AB97" s="554"/>
      <c r="AC97" s="554"/>
      <c r="AD97" s="554"/>
      <c r="AE97" s="554"/>
      <c r="AF97" s="554"/>
      <c r="AG97" s="554"/>
    </row>
    <row r="98">
      <c r="A98" s="549"/>
      <c r="B98" s="554"/>
      <c r="C98" s="554"/>
      <c r="D98" s="554"/>
      <c r="E98" s="554"/>
      <c r="F98" s="561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54"/>
      <c r="AB98" s="554"/>
      <c r="AC98" s="554"/>
      <c r="AD98" s="554"/>
      <c r="AE98" s="554"/>
      <c r="AF98" s="554"/>
      <c r="AG98" s="554"/>
    </row>
    <row r="99">
      <c r="A99" s="549"/>
      <c r="B99" s="554"/>
      <c r="C99" s="554"/>
      <c r="D99" s="554"/>
      <c r="E99" s="554"/>
      <c r="F99" s="561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54"/>
      <c r="AB99" s="554"/>
      <c r="AC99" s="554"/>
      <c r="AD99" s="554"/>
      <c r="AE99" s="554"/>
      <c r="AF99" s="554"/>
      <c r="AG99" s="554"/>
    </row>
    <row r="100">
      <c r="A100" s="549"/>
      <c r="B100" s="554"/>
      <c r="C100" s="554"/>
      <c r="D100" s="554"/>
      <c r="E100" s="554"/>
      <c r="F100" s="561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554"/>
      <c r="AB100" s="554"/>
      <c r="AC100" s="554"/>
      <c r="AD100" s="554"/>
      <c r="AE100" s="554"/>
      <c r="AF100" s="554"/>
      <c r="AG100" s="554"/>
    </row>
    <row r="101">
      <c r="A101" s="549"/>
      <c r="B101" s="554"/>
      <c r="C101" s="554"/>
      <c r="D101" s="554"/>
      <c r="E101" s="554"/>
      <c r="F101" s="561"/>
      <c r="G101" s="554"/>
      <c r="H101" s="554"/>
      <c r="I101" s="554"/>
      <c r="J101" s="554"/>
      <c r="K101" s="554"/>
      <c r="L101" s="554"/>
      <c r="M101" s="554"/>
      <c r="N101" s="554"/>
      <c r="O101" s="554"/>
      <c r="P101" s="554"/>
      <c r="Q101" s="554"/>
      <c r="R101" s="554"/>
      <c r="S101" s="554"/>
      <c r="T101" s="554"/>
      <c r="U101" s="554"/>
      <c r="V101" s="554"/>
      <c r="W101" s="554"/>
      <c r="X101" s="554"/>
      <c r="Y101" s="554"/>
      <c r="Z101" s="554"/>
      <c r="AA101" s="554"/>
      <c r="AB101" s="554"/>
      <c r="AC101" s="554"/>
      <c r="AD101" s="554"/>
      <c r="AE101" s="554"/>
      <c r="AF101" s="554"/>
      <c r="AG101" s="554"/>
    </row>
    <row r="102">
      <c r="A102" s="549"/>
      <c r="B102" s="554"/>
      <c r="C102" s="554"/>
      <c r="D102" s="554"/>
      <c r="E102" s="554"/>
      <c r="F102" s="561"/>
      <c r="G102" s="554"/>
      <c r="H102" s="554"/>
      <c r="I102" s="554"/>
      <c r="J102" s="554"/>
      <c r="K102" s="554"/>
      <c r="L102" s="554"/>
      <c r="M102" s="554"/>
      <c r="N102" s="554"/>
      <c r="O102" s="554"/>
      <c r="P102" s="554"/>
      <c r="Q102" s="554"/>
      <c r="R102" s="554"/>
      <c r="S102" s="554"/>
      <c r="T102" s="554"/>
      <c r="U102" s="554"/>
      <c r="V102" s="554"/>
      <c r="W102" s="554"/>
      <c r="X102" s="554"/>
      <c r="Y102" s="554"/>
      <c r="Z102" s="554"/>
      <c r="AA102" s="554"/>
      <c r="AB102" s="554"/>
      <c r="AC102" s="554"/>
      <c r="AD102" s="554"/>
      <c r="AE102" s="554"/>
      <c r="AF102" s="554"/>
      <c r="AG102" s="554"/>
    </row>
    <row r="103">
      <c r="A103" s="549"/>
      <c r="B103" s="554"/>
      <c r="C103" s="554"/>
      <c r="D103" s="554"/>
      <c r="E103" s="554"/>
      <c r="F103" s="561"/>
      <c r="G103" s="554"/>
      <c r="H103" s="554"/>
      <c r="I103" s="554"/>
      <c r="J103" s="554"/>
      <c r="K103" s="554"/>
      <c r="L103" s="554"/>
      <c r="M103" s="554"/>
      <c r="N103" s="554"/>
      <c r="O103" s="554"/>
      <c r="P103" s="554"/>
      <c r="Q103" s="554"/>
      <c r="R103" s="554"/>
      <c r="S103" s="554"/>
      <c r="T103" s="554"/>
      <c r="U103" s="554"/>
      <c r="V103" s="554"/>
      <c r="W103" s="554"/>
      <c r="X103" s="554"/>
      <c r="Y103" s="554"/>
      <c r="Z103" s="554"/>
      <c r="AA103" s="554"/>
      <c r="AB103" s="554"/>
      <c r="AC103" s="554"/>
      <c r="AD103" s="554"/>
      <c r="AE103" s="554"/>
      <c r="AF103" s="554"/>
      <c r="AG103" s="554"/>
    </row>
    <row r="104">
      <c r="A104" s="549"/>
      <c r="B104" s="554"/>
      <c r="C104" s="554"/>
      <c r="D104" s="554"/>
      <c r="E104" s="554"/>
      <c r="F104" s="561"/>
      <c r="G104" s="554"/>
      <c r="H104" s="554"/>
      <c r="I104" s="554"/>
      <c r="J104" s="554"/>
      <c r="K104" s="554"/>
      <c r="L104" s="554"/>
      <c r="M104" s="554"/>
      <c r="N104" s="554"/>
      <c r="O104" s="554"/>
      <c r="P104" s="554"/>
      <c r="Q104" s="554"/>
      <c r="R104" s="554"/>
      <c r="S104" s="554"/>
      <c r="T104" s="554"/>
      <c r="U104" s="554"/>
      <c r="V104" s="554"/>
      <c r="W104" s="554"/>
      <c r="X104" s="554"/>
      <c r="Y104" s="554"/>
      <c r="Z104" s="554"/>
      <c r="AA104" s="554"/>
      <c r="AB104" s="554"/>
      <c r="AC104" s="554"/>
      <c r="AD104" s="554"/>
      <c r="AE104" s="554"/>
      <c r="AF104" s="554"/>
      <c r="AG104" s="554"/>
    </row>
    <row r="105">
      <c r="A105" s="549"/>
      <c r="B105" s="554"/>
      <c r="C105" s="554"/>
      <c r="D105" s="554"/>
      <c r="E105" s="554"/>
      <c r="F105" s="561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54"/>
      <c r="AB105" s="554"/>
      <c r="AC105" s="554"/>
      <c r="AD105" s="554"/>
      <c r="AE105" s="554"/>
      <c r="AF105" s="554"/>
      <c r="AG105" s="554"/>
    </row>
    <row r="106">
      <c r="A106" s="549"/>
      <c r="B106" s="554"/>
      <c r="C106" s="554"/>
      <c r="D106" s="554"/>
      <c r="E106" s="554"/>
      <c r="F106" s="561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54"/>
      <c r="AB106" s="554"/>
      <c r="AC106" s="554"/>
      <c r="AD106" s="554"/>
      <c r="AE106" s="554"/>
      <c r="AF106" s="554"/>
      <c r="AG106" s="554"/>
    </row>
    <row r="107">
      <c r="A107" s="549"/>
      <c r="B107" s="554"/>
      <c r="C107" s="554"/>
      <c r="D107" s="554"/>
      <c r="E107" s="554"/>
      <c r="F107" s="561"/>
      <c r="G107" s="554"/>
      <c r="H107" s="554"/>
      <c r="I107" s="554"/>
      <c r="J107" s="554"/>
      <c r="K107" s="554"/>
      <c r="L107" s="554"/>
      <c r="M107" s="554"/>
      <c r="N107" s="554"/>
      <c r="O107" s="554"/>
      <c r="P107" s="554"/>
      <c r="Q107" s="554"/>
      <c r="R107" s="554"/>
      <c r="S107" s="554"/>
      <c r="T107" s="554"/>
      <c r="U107" s="554"/>
      <c r="V107" s="554"/>
      <c r="W107" s="554"/>
      <c r="X107" s="554"/>
      <c r="Y107" s="554"/>
      <c r="Z107" s="554"/>
      <c r="AA107" s="554"/>
      <c r="AB107" s="554"/>
      <c r="AC107" s="554"/>
      <c r="AD107" s="554"/>
      <c r="AE107" s="554"/>
      <c r="AF107" s="554"/>
      <c r="AG107" s="554"/>
    </row>
    <row r="108">
      <c r="A108" s="549"/>
      <c r="B108" s="554"/>
      <c r="C108" s="554"/>
      <c r="D108" s="554"/>
      <c r="E108" s="554"/>
      <c r="F108" s="561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554"/>
      <c r="AB108" s="554"/>
      <c r="AC108" s="554"/>
      <c r="AD108" s="554"/>
      <c r="AE108" s="554"/>
      <c r="AF108" s="554"/>
      <c r="AG108" s="554"/>
    </row>
    <row r="109">
      <c r="A109" s="549"/>
      <c r="B109" s="554"/>
      <c r="C109" s="554"/>
      <c r="D109" s="554"/>
      <c r="E109" s="554"/>
      <c r="F109" s="561"/>
      <c r="G109" s="554"/>
      <c r="H109" s="554"/>
      <c r="I109" s="554"/>
      <c r="J109" s="554"/>
      <c r="K109" s="554"/>
      <c r="L109" s="554"/>
      <c r="M109" s="554"/>
      <c r="N109" s="554"/>
      <c r="O109" s="554"/>
      <c r="P109" s="554"/>
      <c r="Q109" s="554"/>
      <c r="R109" s="554"/>
      <c r="S109" s="554"/>
      <c r="T109" s="554"/>
      <c r="U109" s="554"/>
      <c r="V109" s="554"/>
      <c r="W109" s="554"/>
      <c r="X109" s="554"/>
      <c r="Y109" s="554"/>
      <c r="Z109" s="554"/>
      <c r="AA109" s="554"/>
      <c r="AB109" s="554"/>
      <c r="AC109" s="554"/>
      <c r="AD109" s="554"/>
      <c r="AE109" s="554"/>
      <c r="AF109" s="554"/>
      <c r="AG109" s="554"/>
    </row>
    <row r="110">
      <c r="A110" s="549"/>
      <c r="B110" s="554"/>
      <c r="C110" s="554"/>
      <c r="D110" s="554"/>
      <c r="E110" s="554"/>
      <c r="F110" s="561"/>
      <c r="G110" s="554"/>
      <c r="H110" s="554"/>
      <c r="I110" s="554"/>
      <c r="J110" s="554"/>
      <c r="K110" s="554"/>
      <c r="L110" s="554"/>
      <c r="M110" s="554"/>
      <c r="N110" s="554"/>
      <c r="O110" s="554"/>
      <c r="P110" s="554"/>
      <c r="Q110" s="554"/>
      <c r="R110" s="554"/>
      <c r="S110" s="554"/>
      <c r="T110" s="554"/>
      <c r="U110" s="554"/>
      <c r="V110" s="554"/>
      <c r="W110" s="554"/>
      <c r="X110" s="554"/>
      <c r="Y110" s="554"/>
      <c r="Z110" s="554"/>
      <c r="AA110" s="554"/>
      <c r="AB110" s="554"/>
      <c r="AC110" s="554"/>
      <c r="AD110" s="554"/>
      <c r="AE110" s="554"/>
      <c r="AF110" s="554"/>
      <c r="AG110" s="554"/>
    </row>
    <row r="111">
      <c r="A111" s="549"/>
      <c r="B111" s="554"/>
      <c r="C111" s="554"/>
      <c r="D111" s="554"/>
      <c r="E111" s="554"/>
      <c r="F111" s="561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54"/>
      <c r="AB111" s="554"/>
      <c r="AC111" s="554"/>
      <c r="AD111" s="554"/>
      <c r="AE111" s="554"/>
      <c r="AF111" s="554"/>
      <c r="AG111" s="554"/>
    </row>
    <row r="112">
      <c r="A112" s="549"/>
      <c r="B112" s="554"/>
      <c r="C112" s="554"/>
      <c r="D112" s="554"/>
      <c r="E112" s="554"/>
      <c r="F112" s="561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54"/>
      <c r="AB112" s="554"/>
      <c r="AC112" s="554"/>
      <c r="AD112" s="554"/>
      <c r="AE112" s="554"/>
      <c r="AF112" s="554"/>
      <c r="AG112" s="554"/>
    </row>
    <row r="113">
      <c r="A113" s="549"/>
      <c r="B113" s="554"/>
      <c r="C113" s="554"/>
      <c r="D113" s="554"/>
      <c r="E113" s="554"/>
      <c r="F113" s="561"/>
      <c r="G113" s="554"/>
      <c r="H113" s="554"/>
      <c r="I113" s="554"/>
      <c r="J113" s="554"/>
      <c r="K113" s="554"/>
      <c r="L113" s="554"/>
      <c r="M113" s="554"/>
      <c r="N113" s="554"/>
      <c r="O113" s="554"/>
      <c r="P113" s="554"/>
      <c r="Q113" s="554"/>
      <c r="R113" s="554"/>
      <c r="S113" s="554"/>
      <c r="T113" s="554"/>
      <c r="U113" s="554"/>
      <c r="V113" s="554"/>
      <c r="W113" s="554"/>
      <c r="X113" s="554"/>
      <c r="Y113" s="554"/>
      <c r="Z113" s="554"/>
      <c r="AA113" s="554"/>
      <c r="AB113" s="554"/>
      <c r="AC113" s="554"/>
      <c r="AD113" s="554"/>
      <c r="AE113" s="554"/>
      <c r="AF113" s="554"/>
      <c r="AG113" s="554"/>
    </row>
    <row r="114">
      <c r="A114" s="549"/>
      <c r="B114" s="554"/>
      <c r="C114" s="554"/>
      <c r="D114" s="554"/>
      <c r="E114" s="554"/>
      <c r="F114" s="561"/>
      <c r="G114" s="554"/>
      <c r="H114" s="554"/>
      <c r="I114" s="554"/>
      <c r="J114" s="554"/>
      <c r="K114" s="554"/>
      <c r="L114" s="554"/>
      <c r="M114" s="554"/>
      <c r="N114" s="554"/>
      <c r="O114" s="554"/>
      <c r="P114" s="554"/>
      <c r="Q114" s="554"/>
      <c r="R114" s="554"/>
      <c r="S114" s="554"/>
      <c r="T114" s="554"/>
      <c r="U114" s="554"/>
      <c r="V114" s="554"/>
      <c r="W114" s="554"/>
      <c r="X114" s="554"/>
      <c r="Y114" s="554"/>
      <c r="Z114" s="554"/>
      <c r="AA114" s="554"/>
      <c r="AB114" s="554"/>
      <c r="AC114" s="554"/>
      <c r="AD114" s="554"/>
      <c r="AE114" s="554"/>
      <c r="AF114" s="554"/>
      <c r="AG114" s="554"/>
    </row>
    <row r="115">
      <c r="A115" s="549"/>
      <c r="B115" s="554"/>
      <c r="C115" s="554"/>
      <c r="D115" s="554"/>
      <c r="E115" s="554"/>
      <c r="F115" s="561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554"/>
      <c r="AB115" s="554"/>
      <c r="AC115" s="554"/>
      <c r="AD115" s="554"/>
      <c r="AE115" s="554"/>
      <c r="AF115" s="554"/>
      <c r="AG115" s="554"/>
    </row>
    <row r="116">
      <c r="A116" s="549"/>
      <c r="B116" s="554"/>
      <c r="C116" s="554"/>
      <c r="D116" s="554"/>
      <c r="E116" s="554"/>
      <c r="F116" s="561"/>
      <c r="G116" s="554"/>
      <c r="H116" s="554"/>
      <c r="I116" s="554"/>
      <c r="J116" s="554"/>
      <c r="K116" s="554"/>
      <c r="L116" s="554"/>
      <c r="M116" s="554"/>
      <c r="N116" s="554"/>
      <c r="O116" s="554"/>
      <c r="P116" s="554"/>
      <c r="Q116" s="554"/>
      <c r="R116" s="554"/>
      <c r="S116" s="554"/>
      <c r="T116" s="554"/>
      <c r="U116" s="554"/>
      <c r="V116" s="554"/>
      <c r="W116" s="554"/>
      <c r="X116" s="554"/>
      <c r="Y116" s="554"/>
      <c r="Z116" s="554"/>
      <c r="AA116" s="554"/>
      <c r="AB116" s="554"/>
      <c r="AC116" s="554"/>
      <c r="AD116" s="554"/>
      <c r="AE116" s="554"/>
      <c r="AF116" s="554"/>
      <c r="AG116" s="554"/>
    </row>
    <row r="117">
      <c r="A117" s="549"/>
      <c r="B117" s="554"/>
      <c r="C117" s="554"/>
      <c r="D117" s="554"/>
      <c r="E117" s="554"/>
      <c r="F117" s="561"/>
      <c r="G117" s="554"/>
      <c r="H117" s="554"/>
      <c r="I117" s="554"/>
      <c r="J117" s="554"/>
      <c r="K117" s="554"/>
      <c r="L117" s="554"/>
      <c r="M117" s="554"/>
      <c r="N117" s="554"/>
      <c r="O117" s="554"/>
      <c r="P117" s="554"/>
      <c r="Q117" s="554"/>
      <c r="R117" s="554"/>
      <c r="S117" s="554"/>
      <c r="T117" s="554"/>
      <c r="U117" s="554"/>
      <c r="V117" s="554"/>
      <c r="W117" s="554"/>
      <c r="X117" s="554"/>
      <c r="Y117" s="554"/>
      <c r="Z117" s="554"/>
      <c r="AA117" s="554"/>
      <c r="AB117" s="554"/>
      <c r="AC117" s="554"/>
      <c r="AD117" s="554"/>
      <c r="AE117" s="554"/>
      <c r="AF117" s="554"/>
      <c r="AG117" s="554"/>
    </row>
    <row r="118">
      <c r="A118" s="549"/>
      <c r="B118" s="554"/>
      <c r="C118" s="554"/>
      <c r="D118" s="554"/>
      <c r="E118" s="554"/>
      <c r="F118" s="561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54"/>
      <c r="AB118" s="554"/>
      <c r="AC118" s="554"/>
      <c r="AD118" s="554"/>
      <c r="AE118" s="554"/>
      <c r="AF118" s="554"/>
      <c r="AG118" s="554"/>
    </row>
    <row r="119">
      <c r="A119" s="549"/>
      <c r="B119" s="554"/>
      <c r="C119" s="554"/>
      <c r="D119" s="554"/>
      <c r="E119" s="554"/>
      <c r="F119" s="561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54"/>
      <c r="AB119" s="554"/>
      <c r="AC119" s="554"/>
      <c r="AD119" s="554"/>
      <c r="AE119" s="554"/>
      <c r="AF119" s="554"/>
      <c r="AG119" s="554"/>
    </row>
    <row r="120">
      <c r="A120" s="549"/>
      <c r="B120" s="554"/>
      <c r="C120" s="554"/>
      <c r="D120" s="554"/>
      <c r="E120" s="554"/>
      <c r="F120" s="561"/>
      <c r="G120" s="554"/>
      <c r="H120" s="554"/>
      <c r="I120" s="554"/>
      <c r="J120" s="554"/>
      <c r="K120" s="554"/>
      <c r="L120" s="554"/>
      <c r="M120" s="554"/>
      <c r="N120" s="554"/>
      <c r="O120" s="554"/>
      <c r="P120" s="554"/>
      <c r="Q120" s="554"/>
      <c r="R120" s="554"/>
      <c r="S120" s="554"/>
      <c r="T120" s="554"/>
      <c r="U120" s="554"/>
      <c r="V120" s="554"/>
      <c r="W120" s="554"/>
      <c r="X120" s="554"/>
      <c r="Y120" s="554"/>
      <c r="Z120" s="554"/>
      <c r="AA120" s="554"/>
      <c r="AB120" s="554"/>
      <c r="AC120" s="554"/>
      <c r="AD120" s="554"/>
      <c r="AE120" s="554"/>
      <c r="AF120" s="554"/>
      <c r="AG120" s="554"/>
    </row>
    <row r="121">
      <c r="A121" s="549"/>
      <c r="B121" s="554"/>
      <c r="C121" s="554"/>
      <c r="D121" s="554"/>
      <c r="E121" s="554"/>
      <c r="F121" s="561"/>
      <c r="G121" s="554"/>
      <c r="H121" s="554"/>
      <c r="I121" s="554"/>
      <c r="J121" s="554"/>
      <c r="K121" s="554"/>
      <c r="L121" s="554"/>
      <c r="M121" s="554"/>
      <c r="N121" s="554"/>
      <c r="O121" s="554"/>
      <c r="P121" s="554"/>
      <c r="Q121" s="554"/>
      <c r="R121" s="554"/>
      <c r="S121" s="554"/>
      <c r="T121" s="554"/>
      <c r="U121" s="554"/>
      <c r="V121" s="554"/>
      <c r="W121" s="554"/>
      <c r="X121" s="554"/>
      <c r="Y121" s="554"/>
      <c r="Z121" s="554"/>
      <c r="AA121" s="554"/>
      <c r="AB121" s="554"/>
      <c r="AC121" s="554"/>
      <c r="AD121" s="554"/>
      <c r="AE121" s="554"/>
      <c r="AF121" s="554"/>
      <c r="AG121" s="554"/>
    </row>
    <row r="122">
      <c r="A122" s="549"/>
      <c r="B122" s="554"/>
      <c r="C122" s="554"/>
      <c r="D122" s="554"/>
      <c r="E122" s="554"/>
      <c r="F122" s="561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54"/>
      <c r="AB122" s="554"/>
      <c r="AC122" s="554"/>
      <c r="AD122" s="554"/>
      <c r="AE122" s="554"/>
      <c r="AF122" s="554"/>
      <c r="AG122" s="554"/>
    </row>
    <row r="123">
      <c r="A123" s="549"/>
      <c r="B123" s="554"/>
      <c r="C123" s="554"/>
      <c r="D123" s="554"/>
      <c r="E123" s="554"/>
      <c r="F123" s="561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54"/>
      <c r="AB123" s="554"/>
      <c r="AC123" s="554"/>
      <c r="AD123" s="554"/>
      <c r="AE123" s="554"/>
      <c r="AF123" s="554"/>
      <c r="AG123" s="554"/>
    </row>
    <row r="124">
      <c r="A124" s="549"/>
      <c r="B124" s="554"/>
      <c r="C124" s="554"/>
      <c r="D124" s="554"/>
      <c r="E124" s="554"/>
      <c r="F124" s="561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54"/>
      <c r="AB124" s="554"/>
      <c r="AC124" s="554"/>
      <c r="AD124" s="554"/>
      <c r="AE124" s="554"/>
      <c r="AF124" s="554"/>
      <c r="AG124" s="554"/>
    </row>
    <row r="125">
      <c r="A125" s="549"/>
      <c r="B125" s="554"/>
      <c r="C125" s="554"/>
      <c r="D125" s="554"/>
      <c r="E125" s="554"/>
      <c r="F125" s="561"/>
      <c r="G125" s="554"/>
      <c r="H125" s="554"/>
      <c r="I125" s="554"/>
      <c r="J125" s="554"/>
      <c r="K125" s="554"/>
      <c r="L125" s="554"/>
      <c r="M125" s="554"/>
      <c r="N125" s="554"/>
      <c r="O125" s="554"/>
      <c r="P125" s="554"/>
      <c r="Q125" s="554"/>
      <c r="R125" s="554"/>
      <c r="S125" s="554"/>
      <c r="T125" s="554"/>
      <c r="U125" s="554"/>
      <c r="V125" s="554"/>
      <c r="W125" s="554"/>
      <c r="X125" s="554"/>
      <c r="Y125" s="554"/>
      <c r="Z125" s="554"/>
      <c r="AA125" s="554"/>
      <c r="AB125" s="554"/>
      <c r="AC125" s="554"/>
      <c r="AD125" s="554"/>
      <c r="AE125" s="554"/>
      <c r="AF125" s="554"/>
      <c r="AG125" s="554"/>
    </row>
    <row r="126">
      <c r="A126" s="549"/>
      <c r="B126" s="554"/>
      <c r="C126" s="554"/>
      <c r="D126" s="554"/>
      <c r="E126" s="554"/>
      <c r="F126" s="561"/>
      <c r="G126" s="554"/>
      <c r="H126" s="554"/>
      <c r="I126" s="554"/>
      <c r="J126" s="554"/>
      <c r="K126" s="554"/>
      <c r="L126" s="554"/>
      <c r="M126" s="554"/>
      <c r="N126" s="554"/>
      <c r="O126" s="554"/>
      <c r="P126" s="554"/>
      <c r="Q126" s="554"/>
      <c r="R126" s="554"/>
      <c r="S126" s="554"/>
      <c r="T126" s="554"/>
      <c r="U126" s="554"/>
      <c r="V126" s="554"/>
      <c r="W126" s="554"/>
      <c r="X126" s="554"/>
      <c r="Y126" s="554"/>
      <c r="Z126" s="554"/>
      <c r="AA126" s="554"/>
      <c r="AB126" s="554"/>
      <c r="AC126" s="554"/>
      <c r="AD126" s="554"/>
      <c r="AE126" s="554"/>
      <c r="AF126" s="554"/>
      <c r="AG126" s="554"/>
    </row>
    <row r="127">
      <c r="A127" s="549"/>
      <c r="B127" s="554"/>
      <c r="C127" s="554"/>
      <c r="D127" s="554"/>
      <c r="E127" s="554"/>
      <c r="F127" s="561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554"/>
      <c r="AB127" s="554"/>
      <c r="AC127" s="554"/>
      <c r="AD127" s="554"/>
      <c r="AE127" s="554"/>
      <c r="AF127" s="554"/>
      <c r="AG127" s="554"/>
    </row>
    <row r="128">
      <c r="A128" s="549"/>
      <c r="B128" s="554"/>
      <c r="C128" s="554"/>
      <c r="D128" s="554"/>
      <c r="E128" s="554"/>
      <c r="F128" s="561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54"/>
      <c r="AB128" s="554"/>
      <c r="AC128" s="554"/>
      <c r="AD128" s="554"/>
      <c r="AE128" s="554"/>
      <c r="AF128" s="554"/>
      <c r="AG128" s="554"/>
    </row>
    <row r="129">
      <c r="A129" s="549"/>
      <c r="B129" s="554"/>
      <c r="C129" s="554"/>
      <c r="D129" s="554"/>
      <c r="E129" s="554"/>
      <c r="F129" s="561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54"/>
      <c r="AB129" s="554"/>
      <c r="AC129" s="554"/>
      <c r="AD129" s="554"/>
      <c r="AE129" s="554"/>
      <c r="AF129" s="554"/>
      <c r="AG129" s="554"/>
    </row>
    <row r="130">
      <c r="A130" s="549"/>
      <c r="B130" s="554"/>
      <c r="C130" s="554"/>
      <c r="D130" s="554"/>
      <c r="E130" s="554"/>
      <c r="F130" s="561"/>
      <c r="G130" s="554"/>
      <c r="H130" s="554"/>
      <c r="I130" s="554"/>
      <c r="J130" s="554"/>
      <c r="K130" s="554"/>
      <c r="L130" s="554"/>
      <c r="M130" s="554"/>
      <c r="N130" s="554"/>
      <c r="O130" s="554"/>
      <c r="P130" s="554"/>
      <c r="Q130" s="554"/>
      <c r="R130" s="554"/>
      <c r="S130" s="554"/>
      <c r="T130" s="554"/>
      <c r="U130" s="554"/>
      <c r="V130" s="554"/>
      <c r="W130" s="554"/>
      <c r="X130" s="554"/>
      <c r="Y130" s="554"/>
      <c r="Z130" s="554"/>
      <c r="AA130" s="554"/>
      <c r="AB130" s="554"/>
      <c r="AC130" s="554"/>
      <c r="AD130" s="554"/>
      <c r="AE130" s="554"/>
      <c r="AF130" s="554"/>
      <c r="AG130" s="554"/>
    </row>
    <row r="131">
      <c r="A131" s="549"/>
      <c r="B131" s="554"/>
      <c r="C131" s="554"/>
      <c r="D131" s="554"/>
      <c r="E131" s="554"/>
      <c r="F131" s="561"/>
      <c r="G131" s="554"/>
      <c r="H131" s="554"/>
      <c r="I131" s="554"/>
      <c r="J131" s="554"/>
      <c r="K131" s="554"/>
      <c r="L131" s="554"/>
      <c r="M131" s="554"/>
      <c r="N131" s="554"/>
      <c r="O131" s="554"/>
      <c r="P131" s="554"/>
      <c r="Q131" s="554"/>
      <c r="R131" s="554"/>
      <c r="S131" s="554"/>
      <c r="T131" s="554"/>
      <c r="U131" s="554"/>
      <c r="V131" s="554"/>
      <c r="W131" s="554"/>
      <c r="X131" s="554"/>
      <c r="Y131" s="554"/>
      <c r="Z131" s="554"/>
      <c r="AA131" s="554"/>
      <c r="AB131" s="554"/>
      <c r="AC131" s="554"/>
      <c r="AD131" s="554"/>
      <c r="AE131" s="554"/>
      <c r="AF131" s="554"/>
      <c r="AG131" s="554"/>
    </row>
    <row r="132">
      <c r="A132" s="549"/>
      <c r="B132" s="554"/>
      <c r="C132" s="554"/>
      <c r="D132" s="554"/>
      <c r="E132" s="554"/>
      <c r="F132" s="561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554"/>
      <c r="AB132" s="554"/>
      <c r="AC132" s="554"/>
      <c r="AD132" s="554"/>
      <c r="AE132" s="554"/>
      <c r="AF132" s="554"/>
      <c r="AG132" s="554"/>
    </row>
    <row r="133">
      <c r="A133" s="549"/>
      <c r="B133" s="554"/>
      <c r="C133" s="554"/>
      <c r="D133" s="554"/>
      <c r="E133" s="554"/>
      <c r="F133" s="561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54"/>
      <c r="AB133" s="554"/>
      <c r="AC133" s="554"/>
      <c r="AD133" s="554"/>
      <c r="AE133" s="554"/>
      <c r="AF133" s="554"/>
      <c r="AG133" s="554"/>
    </row>
    <row r="134">
      <c r="A134" s="549"/>
      <c r="B134" s="554"/>
      <c r="C134" s="554"/>
      <c r="D134" s="554"/>
      <c r="E134" s="554"/>
      <c r="F134" s="561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54"/>
      <c r="AB134" s="554"/>
      <c r="AC134" s="554"/>
      <c r="AD134" s="554"/>
      <c r="AE134" s="554"/>
      <c r="AF134" s="554"/>
      <c r="AG134" s="554"/>
    </row>
    <row r="135">
      <c r="A135" s="549"/>
      <c r="B135" s="554"/>
      <c r="C135" s="554"/>
      <c r="D135" s="554"/>
      <c r="E135" s="554"/>
      <c r="F135" s="561"/>
      <c r="G135" s="554"/>
      <c r="H135" s="554"/>
      <c r="I135" s="554"/>
      <c r="J135" s="554"/>
      <c r="K135" s="554"/>
      <c r="L135" s="554"/>
      <c r="M135" s="554"/>
      <c r="N135" s="554"/>
      <c r="O135" s="554"/>
      <c r="P135" s="554"/>
      <c r="Q135" s="554"/>
      <c r="R135" s="554"/>
      <c r="S135" s="554"/>
      <c r="T135" s="554"/>
      <c r="U135" s="554"/>
      <c r="V135" s="554"/>
      <c r="W135" s="554"/>
      <c r="X135" s="554"/>
      <c r="Y135" s="554"/>
      <c r="Z135" s="554"/>
      <c r="AA135" s="554"/>
      <c r="AB135" s="554"/>
      <c r="AC135" s="554"/>
      <c r="AD135" s="554"/>
      <c r="AE135" s="554"/>
      <c r="AF135" s="554"/>
      <c r="AG135" s="554"/>
    </row>
    <row r="136">
      <c r="A136" s="549"/>
      <c r="B136" s="554"/>
      <c r="C136" s="554"/>
      <c r="D136" s="554"/>
      <c r="E136" s="554"/>
      <c r="F136" s="561"/>
      <c r="G136" s="554"/>
      <c r="H136" s="554"/>
      <c r="I136" s="554"/>
      <c r="J136" s="554"/>
      <c r="K136" s="554"/>
      <c r="L136" s="554"/>
      <c r="M136" s="554"/>
      <c r="N136" s="554"/>
      <c r="O136" s="554"/>
      <c r="P136" s="554"/>
      <c r="Q136" s="554"/>
      <c r="R136" s="554"/>
      <c r="S136" s="554"/>
      <c r="T136" s="554"/>
      <c r="U136" s="554"/>
      <c r="V136" s="554"/>
      <c r="W136" s="554"/>
      <c r="X136" s="554"/>
      <c r="Y136" s="554"/>
      <c r="Z136" s="554"/>
      <c r="AA136" s="554"/>
      <c r="AB136" s="554"/>
      <c r="AC136" s="554"/>
      <c r="AD136" s="554"/>
      <c r="AE136" s="554"/>
      <c r="AF136" s="554"/>
      <c r="AG136" s="554"/>
    </row>
    <row r="137">
      <c r="A137" s="549"/>
      <c r="B137" s="554"/>
      <c r="C137" s="554"/>
      <c r="D137" s="554"/>
      <c r="E137" s="554"/>
      <c r="F137" s="561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554"/>
      <c r="AB137" s="554"/>
      <c r="AC137" s="554"/>
      <c r="AD137" s="554"/>
      <c r="AE137" s="554"/>
      <c r="AF137" s="554"/>
      <c r="AG137" s="554"/>
    </row>
    <row r="138">
      <c r="A138" s="549"/>
      <c r="B138" s="554"/>
      <c r="C138" s="554"/>
      <c r="D138" s="554"/>
      <c r="E138" s="554"/>
      <c r="F138" s="561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54"/>
      <c r="AB138" s="554"/>
      <c r="AC138" s="554"/>
      <c r="AD138" s="554"/>
      <c r="AE138" s="554"/>
      <c r="AF138" s="554"/>
      <c r="AG138" s="554"/>
    </row>
    <row r="139">
      <c r="A139" s="549"/>
      <c r="B139" s="554"/>
      <c r="C139" s="554"/>
      <c r="D139" s="554"/>
      <c r="E139" s="554"/>
      <c r="F139" s="561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54"/>
      <c r="AB139" s="554"/>
      <c r="AC139" s="554"/>
      <c r="AD139" s="554"/>
      <c r="AE139" s="554"/>
      <c r="AF139" s="554"/>
      <c r="AG139" s="554"/>
    </row>
    <row r="140">
      <c r="A140" s="549"/>
      <c r="B140" s="554"/>
      <c r="C140" s="554"/>
      <c r="D140" s="554"/>
      <c r="E140" s="554"/>
      <c r="F140" s="561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54"/>
      <c r="AB140" s="554"/>
      <c r="AC140" s="554"/>
      <c r="AD140" s="554"/>
      <c r="AE140" s="554"/>
      <c r="AF140" s="554"/>
      <c r="AG140" s="554"/>
    </row>
    <row r="141">
      <c r="A141" s="549"/>
      <c r="B141" s="554"/>
      <c r="C141" s="554"/>
      <c r="D141" s="554"/>
      <c r="E141" s="554"/>
      <c r="F141" s="561"/>
      <c r="G141" s="554"/>
      <c r="H141" s="554"/>
      <c r="I141" s="554"/>
      <c r="J141" s="554"/>
      <c r="K141" s="554"/>
      <c r="L141" s="554"/>
      <c r="M141" s="554"/>
      <c r="N141" s="554"/>
      <c r="O141" s="554"/>
      <c r="P141" s="554"/>
      <c r="Q141" s="554"/>
      <c r="R141" s="554"/>
      <c r="S141" s="554"/>
      <c r="T141" s="554"/>
      <c r="U141" s="554"/>
      <c r="V141" s="554"/>
      <c r="W141" s="554"/>
      <c r="X141" s="554"/>
      <c r="Y141" s="554"/>
      <c r="Z141" s="554"/>
      <c r="AA141" s="554"/>
      <c r="AB141" s="554"/>
      <c r="AC141" s="554"/>
      <c r="AD141" s="554"/>
      <c r="AE141" s="554"/>
      <c r="AF141" s="554"/>
      <c r="AG141" s="554"/>
    </row>
    <row r="142">
      <c r="A142" s="549"/>
      <c r="B142" s="554"/>
      <c r="C142" s="554"/>
      <c r="D142" s="554"/>
      <c r="E142" s="554"/>
      <c r="F142" s="561"/>
      <c r="G142" s="554"/>
      <c r="H142" s="554"/>
      <c r="I142" s="554"/>
      <c r="J142" s="554"/>
      <c r="K142" s="554"/>
      <c r="L142" s="554"/>
      <c r="M142" s="554"/>
      <c r="N142" s="554"/>
      <c r="O142" s="554"/>
      <c r="P142" s="554"/>
      <c r="Q142" s="554"/>
      <c r="R142" s="554"/>
      <c r="S142" s="554"/>
      <c r="T142" s="554"/>
      <c r="U142" s="554"/>
      <c r="V142" s="554"/>
      <c r="W142" s="554"/>
      <c r="X142" s="554"/>
      <c r="Y142" s="554"/>
      <c r="Z142" s="554"/>
      <c r="AA142" s="554"/>
      <c r="AB142" s="554"/>
      <c r="AC142" s="554"/>
      <c r="AD142" s="554"/>
      <c r="AE142" s="554"/>
      <c r="AF142" s="554"/>
      <c r="AG142" s="554"/>
    </row>
    <row r="143">
      <c r="A143" s="549"/>
      <c r="B143" s="554"/>
      <c r="C143" s="554"/>
      <c r="D143" s="554"/>
      <c r="E143" s="554"/>
      <c r="F143" s="561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554"/>
      <c r="AB143" s="554"/>
      <c r="AC143" s="554"/>
      <c r="AD143" s="554"/>
      <c r="AE143" s="554"/>
      <c r="AF143" s="554"/>
      <c r="AG143" s="554"/>
    </row>
    <row r="144">
      <c r="A144" s="549"/>
      <c r="B144" s="554"/>
      <c r="C144" s="554"/>
      <c r="D144" s="554"/>
      <c r="E144" s="554"/>
      <c r="F144" s="561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54"/>
      <c r="AB144" s="554"/>
      <c r="AC144" s="554"/>
      <c r="AD144" s="554"/>
      <c r="AE144" s="554"/>
      <c r="AF144" s="554"/>
      <c r="AG144" s="554"/>
    </row>
    <row r="145">
      <c r="A145" s="549"/>
      <c r="B145" s="554"/>
      <c r="C145" s="554"/>
      <c r="D145" s="554"/>
      <c r="E145" s="554"/>
      <c r="F145" s="561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54"/>
      <c r="AB145" s="554"/>
      <c r="AC145" s="554"/>
      <c r="AD145" s="554"/>
      <c r="AE145" s="554"/>
      <c r="AF145" s="554"/>
      <c r="AG145" s="554"/>
    </row>
    <row r="146">
      <c r="A146" s="549"/>
      <c r="B146" s="554"/>
      <c r="C146" s="554"/>
      <c r="D146" s="554"/>
      <c r="E146" s="554"/>
      <c r="F146" s="561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54"/>
      <c r="AB146" s="554"/>
      <c r="AC146" s="554"/>
      <c r="AD146" s="554"/>
      <c r="AE146" s="554"/>
      <c r="AF146" s="554"/>
      <c r="AG146" s="554"/>
    </row>
    <row r="147">
      <c r="A147" s="549"/>
      <c r="B147" s="554"/>
      <c r="C147" s="554"/>
      <c r="D147" s="554"/>
      <c r="E147" s="554"/>
      <c r="F147" s="561"/>
      <c r="G147" s="554"/>
      <c r="H147" s="554"/>
      <c r="I147" s="554"/>
      <c r="J147" s="554"/>
      <c r="K147" s="554"/>
      <c r="L147" s="554"/>
      <c r="M147" s="554"/>
      <c r="N147" s="554"/>
      <c r="O147" s="554"/>
      <c r="P147" s="554"/>
      <c r="Q147" s="554"/>
      <c r="R147" s="554"/>
      <c r="S147" s="554"/>
      <c r="T147" s="554"/>
      <c r="U147" s="554"/>
      <c r="V147" s="554"/>
      <c r="W147" s="554"/>
      <c r="X147" s="554"/>
      <c r="Y147" s="554"/>
      <c r="Z147" s="554"/>
      <c r="AA147" s="554"/>
      <c r="AB147" s="554"/>
      <c r="AC147" s="554"/>
      <c r="AD147" s="554"/>
      <c r="AE147" s="554"/>
      <c r="AF147" s="554"/>
      <c r="AG147" s="554"/>
    </row>
    <row r="148">
      <c r="A148" s="549"/>
      <c r="B148" s="554"/>
      <c r="C148" s="554"/>
      <c r="D148" s="554"/>
      <c r="E148" s="554"/>
      <c r="F148" s="561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554"/>
      <c r="AB148" s="554"/>
      <c r="AC148" s="554"/>
      <c r="AD148" s="554"/>
      <c r="AE148" s="554"/>
      <c r="AF148" s="554"/>
      <c r="AG148" s="554"/>
    </row>
    <row r="149">
      <c r="A149" s="549"/>
      <c r="B149" s="554"/>
      <c r="C149" s="554"/>
      <c r="D149" s="554"/>
      <c r="E149" s="554"/>
      <c r="F149" s="561"/>
      <c r="G149" s="554"/>
      <c r="H149" s="554"/>
      <c r="I149" s="554"/>
      <c r="J149" s="554"/>
      <c r="K149" s="554"/>
      <c r="L149" s="554"/>
      <c r="M149" s="554"/>
      <c r="N149" s="554"/>
      <c r="O149" s="554"/>
      <c r="P149" s="554"/>
      <c r="Q149" s="554"/>
      <c r="R149" s="554"/>
      <c r="S149" s="554"/>
      <c r="T149" s="554"/>
      <c r="U149" s="554"/>
      <c r="V149" s="554"/>
      <c r="W149" s="554"/>
      <c r="X149" s="554"/>
      <c r="Y149" s="554"/>
      <c r="Z149" s="554"/>
      <c r="AA149" s="554"/>
      <c r="AB149" s="554"/>
      <c r="AC149" s="554"/>
      <c r="AD149" s="554"/>
      <c r="AE149" s="554"/>
      <c r="AF149" s="554"/>
      <c r="AG149" s="554"/>
    </row>
    <row r="150">
      <c r="A150" s="549"/>
      <c r="B150" s="554"/>
      <c r="C150" s="554"/>
      <c r="D150" s="554"/>
      <c r="E150" s="554"/>
      <c r="F150" s="561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54"/>
      <c r="AB150" s="554"/>
      <c r="AC150" s="554"/>
      <c r="AD150" s="554"/>
      <c r="AE150" s="554"/>
      <c r="AF150" s="554"/>
      <c r="AG150" s="554"/>
    </row>
    <row r="151">
      <c r="A151" s="549"/>
      <c r="B151" s="554"/>
      <c r="C151" s="554"/>
      <c r="D151" s="554"/>
      <c r="E151" s="554"/>
      <c r="F151" s="561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54"/>
      <c r="AB151" s="554"/>
      <c r="AC151" s="554"/>
      <c r="AD151" s="554"/>
      <c r="AE151" s="554"/>
      <c r="AF151" s="554"/>
      <c r="AG151" s="554"/>
    </row>
    <row r="152">
      <c r="A152" s="549"/>
      <c r="B152" s="554"/>
      <c r="C152" s="554"/>
      <c r="D152" s="554"/>
      <c r="E152" s="554"/>
      <c r="F152" s="561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54"/>
      <c r="AB152" s="554"/>
      <c r="AC152" s="554"/>
      <c r="AD152" s="554"/>
      <c r="AE152" s="554"/>
      <c r="AF152" s="554"/>
      <c r="AG152" s="554"/>
    </row>
    <row r="153">
      <c r="A153" s="549"/>
      <c r="B153" s="554"/>
      <c r="C153" s="554"/>
      <c r="D153" s="554"/>
      <c r="E153" s="554"/>
      <c r="F153" s="561"/>
      <c r="G153" s="554"/>
      <c r="H153" s="554"/>
      <c r="I153" s="554"/>
      <c r="J153" s="554"/>
      <c r="K153" s="554"/>
      <c r="L153" s="554"/>
      <c r="M153" s="554"/>
      <c r="N153" s="554"/>
      <c r="O153" s="554"/>
      <c r="P153" s="554"/>
      <c r="Q153" s="554"/>
      <c r="R153" s="554"/>
      <c r="S153" s="554"/>
      <c r="T153" s="554"/>
      <c r="U153" s="554"/>
      <c r="V153" s="554"/>
      <c r="W153" s="554"/>
      <c r="X153" s="554"/>
      <c r="Y153" s="554"/>
      <c r="Z153" s="554"/>
      <c r="AA153" s="554"/>
      <c r="AB153" s="554"/>
      <c r="AC153" s="554"/>
      <c r="AD153" s="554"/>
      <c r="AE153" s="554"/>
      <c r="AF153" s="554"/>
      <c r="AG153" s="554"/>
    </row>
    <row r="154">
      <c r="A154" s="549"/>
      <c r="B154" s="554"/>
      <c r="C154" s="554"/>
      <c r="D154" s="554"/>
      <c r="E154" s="554"/>
      <c r="F154" s="561"/>
      <c r="G154" s="554"/>
      <c r="H154" s="554"/>
      <c r="I154" s="554"/>
      <c r="J154" s="554"/>
      <c r="K154" s="554"/>
      <c r="L154" s="554"/>
      <c r="M154" s="554"/>
      <c r="N154" s="554"/>
      <c r="O154" s="554"/>
      <c r="P154" s="554"/>
      <c r="Q154" s="554"/>
      <c r="R154" s="554"/>
      <c r="S154" s="554"/>
      <c r="T154" s="554"/>
      <c r="U154" s="554"/>
      <c r="V154" s="554"/>
      <c r="W154" s="554"/>
      <c r="X154" s="554"/>
      <c r="Y154" s="554"/>
      <c r="Z154" s="554"/>
      <c r="AA154" s="554"/>
      <c r="AB154" s="554"/>
      <c r="AC154" s="554"/>
      <c r="AD154" s="554"/>
      <c r="AE154" s="554"/>
      <c r="AF154" s="554"/>
      <c r="AG154" s="554"/>
    </row>
    <row r="155">
      <c r="A155" s="549"/>
      <c r="B155" s="554"/>
      <c r="C155" s="554"/>
      <c r="D155" s="554"/>
      <c r="E155" s="554"/>
      <c r="F155" s="561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54"/>
      <c r="AB155" s="554"/>
      <c r="AC155" s="554"/>
      <c r="AD155" s="554"/>
      <c r="AE155" s="554"/>
      <c r="AF155" s="554"/>
      <c r="AG155" s="554"/>
    </row>
    <row r="156">
      <c r="A156" s="549"/>
      <c r="B156" s="554"/>
      <c r="C156" s="554"/>
      <c r="D156" s="554"/>
      <c r="E156" s="554"/>
      <c r="F156" s="561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54"/>
      <c r="AB156" s="554"/>
      <c r="AC156" s="554"/>
      <c r="AD156" s="554"/>
      <c r="AE156" s="554"/>
      <c r="AF156" s="554"/>
      <c r="AG156" s="554"/>
    </row>
    <row r="157">
      <c r="A157" s="549"/>
      <c r="B157" s="554"/>
      <c r="C157" s="554"/>
      <c r="D157" s="554"/>
      <c r="E157" s="554"/>
      <c r="F157" s="561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54"/>
      <c r="AB157" s="554"/>
      <c r="AC157" s="554"/>
      <c r="AD157" s="554"/>
      <c r="AE157" s="554"/>
      <c r="AF157" s="554"/>
      <c r="AG157" s="554"/>
    </row>
    <row r="158">
      <c r="A158" s="549"/>
      <c r="B158" s="554"/>
      <c r="C158" s="554"/>
      <c r="D158" s="554"/>
      <c r="E158" s="554"/>
      <c r="F158" s="561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54"/>
      <c r="AB158" s="554"/>
      <c r="AC158" s="554"/>
      <c r="AD158" s="554"/>
      <c r="AE158" s="554"/>
      <c r="AF158" s="554"/>
      <c r="AG158" s="554"/>
    </row>
    <row r="159">
      <c r="A159" s="549"/>
      <c r="B159" s="554"/>
      <c r="C159" s="554"/>
      <c r="D159" s="554"/>
      <c r="E159" s="554"/>
      <c r="F159" s="561"/>
      <c r="G159" s="554"/>
      <c r="H159" s="554"/>
      <c r="I159" s="554"/>
      <c r="J159" s="554"/>
      <c r="K159" s="554"/>
      <c r="L159" s="554"/>
      <c r="M159" s="554"/>
      <c r="N159" s="554"/>
      <c r="O159" s="554"/>
      <c r="P159" s="554"/>
      <c r="Q159" s="554"/>
      <c r="R159" s="554"/>
      <c r="S159" s="554"/>
      <c r="T159" s="554"/>
      <c r="U159" s="554"/>
      <c r="V159" s="554"/>
      <c r="W159" s="554"/>
      <c r="X159" s="554"/>
      <c r="Y159" s="554"/>
      <c r="Z159" s="554"/>
      <c r="AA159" s="554"/>
      <c r="AB159" s="554"/>
      <c r="AC159" s="554"/>
      <c r="AD159" s="554"/>
      <c r="AE159" s="554"/>
      <c r="AF159" s="554"/>
      <c r="AG159" s="554"/>
    </row>
    <row r="160">
      <c r="A160" s="549"/>
      <c r="B160" s="554"/>
      <c r="C160" s="554"/>
      <c r="D160" s="554"/>
      <c r="E160" s="554"/>
      <c r="F160" s="561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54"/>
      <c r="AB160" s="554"/>
      <c r="AC160" s="554"/>
      <c r="AD160" s="554"/>
      <c r="AE160" s="554"/>
      <c r="AF160" s="554"/>
      <c r="AG160" s="554"/>
    </row>
    <row r="161">
      <c r="A161" s="549"/>
      <c r="B161" s="554"/>
      <c r="C161" s="554"/>
      <c r="D161" s="554"/>
      <c r="E161" s="554"/>
      <c r="F161" s="561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54"/>
      <c r="AB161" s="554"/>
      <c r="AC161" s="554"/>
      <c r="AD161" s="554"/>
      <c r="AE161" s="554"/>
      <c r="AF161" s="554"/>
      <c r="AG161" s="554"/>
    </row>
    <row r="162">
      <c r="A162" s="549"/>
      <c r="B162" s="554"/>
      <c r="C162" s="554"/>
      <c r="D162" s="554"/>
      <c r="E162" s="554"/>
      <c r="F162" s="561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54"/>
      <c r="AB162" s="554"/>
      <c r="AC162" s="554"/>
      <c r="AD162" s="554"/>
      <c r="AE162" s="554"/>
      <c r="AF162" s="554"/>
      <c r="AG162" s="554"/>
    </row>
    <row r="163">
      <c r="A163" s="549"/>
      <c r="B163" s="554"/>
      <c r="C163" s="554"/>
      <c r="D163" s="554"/>
      <c r="E163" s="554"/>
      <c r="F163" s="561"/>
      <c r="G163" s="554"/>
      <c r="H163" s="554"/>
      <c r="I163" s="554"/>
      <c r="J163" s="554"/>
      <c r="K163" s="554"/>
      <c r="L163" s="554"/>
      <c r="M163" s="554"/>
      <c r="N163" s="554"/>
      <c r="O163" s="554"/>
      <c r="P163" s="554"/>
      <c r="Q163" s="554"/>
      <c r="R163" s="554"/>
      <c r="S163" s="554"/>
      <c r="T163" s="554"/>
      <c r="U163" s="554"/>
      <c r="V163" s="554"/>
      <c r="W163" s="554"/>
      <c r="X163" s="554"/>
      <c r="Y163" s="554"/>
      <c r="Z163" s="554"/>
      <c r="AA163" s="554"/>
      <c r="AB163" s="554"/>
      <c r="AC163" s="554"/>
      <c r="AD163" s="554"/>
      <c r="AE163" s="554"/>
      <c r="AF163" s="554"/>
      <c r="AG163" s="554"/>
    </row>
    <row r="164">
      <c r="A164" s="549"/>
      <c r="B164" s="554"/>
      <c r="C164" s="554"/>
      <c r="D164" s="554"/>
      <c r="E164" s="554"/>
      <c r="F164" s="561"/>
      <c r="G164" s="554"/>
      <c r="H164" s="554"/>
      <c r="I164" s="554"/>
      <c r="J164" s="554"/>
      <c r="K164" s="554"/>
      <c r="L164" s="554"/>
      <c r="M164" s="554"/>
      <c r="N164" s="554"/>
      <c r="O164" s="554"/>
      <c r="P164" s="554"/>
      <c r="Q164" s="554"/>
      <c r="R164" s="554"/>
      <c r="S164" s="554"/>
      <c r="T164" s="554"/>
      <c r="U164" s="554"/>
      <c r="V164" s="554"/>
      <c r="W164" s="554"/>
      <c r="X164" s="554"/>
      <c r="Y164" s="554"/>
      <c r="Z164" s="554"/>
      <c r="AA164" s="554"/>
      <c r="AB164" s="554"/>
      <c r="AC164" s="554"/>
      <c r="AD164" s="554"/>
      <c r="AE164" s="554"/>
      <c r="AF164" s="554"/>
      <c r="AG164" s="554"/>
    </row>
    <row r="165">
      <c r="A165" s="549"/>
      <c r="B165" s="554"/>
      <c r="C165" s="554"/>
      <c r="D165" s="554"/>
      <c r="E165" s="554"/>
      <c r="F165" s="561"/>
      <c r="G165" s="554"/>
      <c r="H165" s="554"/>
      <c r="I165" s="554"/>
      <c r="J165" s="554"/>
      <c r="K165" s="554"/>
      <c r="L165" s="554"/>
      <c r="M165" s="554"/>
      <c r="N165" s="554"/>
      <c r="O165" s="554"/>
      <c r="P165" s="554"/>
      <c r="Q165" s="554"/>
      <c r="R165" s="554"/>
      <c r="S165" s="554"/>
      <c r="T165" s="554"/>
      <c r="U165" s="554"/>
      <c r="V165" s="554"/>
      <c r="W165" s="554"/>
      <c r="X165" s="554"/>
      <c r="Y165" s="554"/>
      <c r="Z165" s="554"/>
      <c r="AA165" s="554"/>
      <c r="AB165" s="554"/>
      <c r="AC165" s="554"/>
      <c r="AD165" s="554"/>
      <c r="AE165" s="554"/>
      <c r="AF165" s="554"/>
      <c r="AG165" s="554"/>
    </row>
    <row r="166">
      <c r="A166" s="549"/>
      <c r="B166" s="554"/>
      <c r="C166" s="554"/>
      <c r="D166" s="554"/>
      <c r="E166" s="554"/>
      <c r="F166" s="561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554"/>
      <c r="AB166" s="554"/>
      <c r="AC166" s="554"/>
      <c r="AD166" s="554"/>
      <c r="AE166" s="554"/>
      <c r="AF166" s="554"/>
      <c r="AG166" s="554"/>
    </row>
    <row r="167">
      <c r="A167" s="549"/>
      <c r="B167" s="554"/>
      <c r="C167" s="554"/>
      <c r="D167" s="554"/>
      <c r="E167" s="554"/>
      <c r="F167" s="561"/>
      <c r="G167" s="554"/>
      <c r="H167" s="554"/>
      <c r="I167" s="554"/>
      <c r="J167" s="554"/>
      <c r="K167" s="554"/>
      <c r="L167" s="554"/>
      <c r="M167" s="554"/>
      <c r="N167" s="554"/>
      <c r="O167" s="554"/>
      <c r="P167" s="554"/>
      <c r="Q167" s="554"/>
      <c r="R167" s="554"/>
      <c r="S167" s="554"/>
      <c r="T167" s="554"/>
      <c r="U167" s="554"/>
      <c r="V167" s="554"/>
      <c r="W167" s="554"/>
      <c r="X167" s="554"/>
      <c r="Y167" s="554"/>
      <c r="Z167" s="554"/>
      <c r="AA167" s="554"/>
      <c r="AB167" s="554"/>
      <c r="AC167" s="554"/>
      <c r="AD167" s="554"/>
      <c r="AE167" s="554"/>
      <c r="AF167" s="554"/>
      <c r="AG167" s="554"/>
    </row>
    <row r="168">
      <c r="A168" s="549"/>
      <c r="B168" s="554"/>
      <c r="C168" s="554"/>
      <c r="D168" s="554"/>
      <c r="E168" s="554"/>
      <c r="F168" s="561"/>
      <c r="G168" s="554"/>
      <c r="H168" s="554"/>
      <c r="I168" s="554"/>
      <c r="J168" s="554"/>
      <c r="K168" s="554"/>
      <c r="L168" s="554"/>
      <c r="M168" s="554"/>
      <c r="N168" s="554"/>
      <c r="O168" s="554"/>
      <c r="P168" s="554"/>
      <c r="Q168" s="554"/>
      <c r="R168" s="554"/>
      <c r="S168" s="554"/>
      <c r="T168" s="554"/>
      <c r="U168" s="554"/>
      <c r="V168" s="554"/>
      <c r="W168" s="554"/>
      <c r="X168" s="554"/>
      <c r="Y168" s="554"/>
      <c r="Z168" s="554"/>
      <c r="AA168" s="554"/>
      <c r="AB168" s="554"/>
      <c r="AC168" s="554"/>
      <c r="AD168" s="554"/>
      <c r="AE168" s="554"/>
      <c r="AF168" s="554"/>
      <c r="AG168" s="554"/>
    </row>
    <row r="169">
      <c r="A169" s="549"/>
      <c r="B169" s="554"/>
      <c r="C169" s="554"/>
      <c r="D169" s="554"/>
      <c r="E169" s="554"/>
      <c r="F169" s="561"/>
      <c r="G169" s="554"/>
      <c r="H169" s="554"/>
      <c r="I169" s="554"/>
      <c r="J169" s="554"/>
      <c r="K169" s="554"/>
      <c r="L169" s="554"/>
      <c r="M169" s="554"/>
      <c r="N169" s="554"/>
      <c r="O169" s="554"/>
      <c r="P169" s="554"/>
      <c r="Q169" s="554"/>
      <c r="R169" s="554"/>
      <c r="S169" s="554"/>
      <c r="T169" s="554"/>
      <c r="U169" s="554"/>
      <c r="V169" s="554"/>
      <c r="W169" s="554"/>
      <c r="X169" s="554"/>
      <c r="Y169" s="554"/>
      <c r="Z169" s="554"/>
      <c r="AA169" s="554"/>
      <c r="AB169" s="554"/>
      <c r="AC169" s="554"/>
      <c r="AD169" s="554"/>
      <c r="AE169" s="554"/>
      <c r="AF169" s="554"/>
      <c r="AG169" s="554"/>
    </row>
    <row r="170">
      <c r="A170" s="549"/>
      <c r="B170" s="554"/>
      <c r="C170" s="554"/>
      <c r="D170" s="554"/>
      <c r="E170" s="554"/>
      <c r="F170" s="561"/>
      <c r="G170" s="554"/>
      <c r="H170" s="554"/>
      <c r="I170" s="554"/>
      <c r="J170" s="554"/>
      <c r="K170" s="554"/>
      <c r="L170" s="554"/>
      <c r="M170" s="554"/>
      <c r="N170" s="554"/>
      <c r="O170" s="554"/>
      <c r="P170" s="554"/>
      <c r="Q170" s="554"/>
      <c r="R170" s="554"/>
      <c r="S170" s="554"/>
      <c r="T170" s="554"/>
      <c r="U170" s="554"/>
      <c r="V170" s="554"/>
      <c r="W170" s="554"/>
      <c r="X170" s="554"/>
      <c r="Y170" s="554"/>
      <c r="Z170" s="554"/>
      <c r="AA170" s="554"/>
      <c r="AB170" s="554"/>
      <c r="AC170" s="554"/>
      <c r="AD170" s="554"/>
      <c r="AE170" s="554"/>
      <c r="AF170" s="554"/>
      <c r="AG170" s="554"/>
    </row>
    <row r="171">
      <c r="A171" s="549"/>
      <c r="B171" s="554"/>
      <c r="C171" s="554"/>
      <c r="D171" s="554"/>
      <c r="E171" s="554"/>
      <c r="F171" s="561"/>
      <c r="G171" s="554"/>
      <c r="H171" s="554"/>
      <c r="I171" s="554"/>
      <c r="J171" s="554"/>
      <c r="K171" s="554"/>
      <c r="L171" s="554"/>
      <c r="M171" s="554"/>
      <c r="N171" s="554"/>
      <c r="O171" s="554"/>
      <c r="P171" s="554"/>
      <c r="Q171" s="554"/>
      <c r="R171" s="554"/>
      <c r="S171" s="554"/>
      <c r="T171" s="554"/>
      <c r="U171" s="554"/>
      <c r="V171" s="554"/>
      <c r="W171" s="554"/>
      <c r="X171" s="554"/>
      <c r="Y171" s="554"/>
      <c r="Z171" s="554"/>
      <c r="AA171" s="554"/>
      <c r="AB171" s="554"/>
      <c r="AC171" s="554"/>
      <c r="AD171" s="554"/>
      <c r="AE171" s="554"/>
      <c r="AF171" s="554"/>
      <c r="AG171" s="554"/>
    </row>
    <row r="172">
      <c r="A172" s="549"/>
      <c r="B172" s="554"/>
      <c r="C172" s="554"/>
      <c r="D172" s="554"/>
      <c r="E172" s="554"/>
      <c r="F172" s="561"/>
      <c r="G172" s="554"/>
      <c r="H172" s="554"/>
      <c r="I172" s="554"/>
      <c r="J172" s="554"/>
      <c r="K172" s="554"/>
      <c r="L172" s="554"/>
      <c r="M172" s="554"/>
      <c r="N172" s="554"/>
      <c r="O172" s="554"/>
      <c r="P172" s="554"/>
      <c r="Q172" s="554"/>
      <c r="R172" s="554"/>
      <c r="S172" s="554"/>
      <c r="T172" s="554"/>
      <c r="U172" s="554"/>
      <c r="V172" s="554"/>
      <c r="W172" s="554"/>
      <c r="X172" s="554"/>
      <c r="Y172" s="554"/>
      <c r="Z172" s="554"/>
      <c r="AA172" s="554"/>
      <c r="AB172" s="554"/>
      <c r="AC172" s="554"/>
      <c r="AD172" s="554"/>
      <c r="AE172" s="554"/>
      <c r="AF172" s="554"/>
      <c r="AG172" s="554"/>
    </row>
    <row r="173">
      <c r="A173" s="549"/>
      <c r="B173" s="554"/>
      <c r="C173" s="554"/>
      <c r="D173" s="554"/>
      <c r="E173" s="554"/>
      <c r="F173" s="561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54"/>
      <c r="AB173" s="554"/>
      <c r="AC173" s="554"/>
      <c r="AD173" s="554"/>
      <c r="AE173" s="554"/>
      <c r="AF173" s="554"/>
      <c r="AG173" s="554"/>
    </row>
    <row r="174">
      <c r="A174" s="549"/>
      <c r="B174" s="554"/>
      <c r="C174" s="554"/>
      <c r="D174" s="554"/>
      <c r="E174" s="554"/>
      <c r="F174" s="561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54"/>
      <c r="AB174" s="554"/>
      <c r="AC174" s="554"/>
      <c r="AD174" s="554"/>
      <c r="AE174" s="554"/>
      <c r="AF174" s="554"/>
      <c r="AG174" s="554"/>
    </row>
    <row r="175">
      <c r="A175" s="549"/>
      <c r="B175" s="554"/>
      <c r="C175" s="554"/>
      <c r="D175" s="554"/>
      <c r="E175" s="554"/>
      <c r="F175" s="561"/>
      <c r="G175" s="554"/>
      <c r="H175" s="554"/>
      <c r="I175" s="554"/>
      <c r="J175" s="554"/>
      <c r="K175" s="554"/>
      <c r="L175" s="554"/>
      <c r="M175" s="554"/>
      <c r="N175" s="554"/>
      <c r="O175" s="554"/>
      <c r="P175" s="554"/>
      <c r="Q175" s="554"/>
      <c r="R175" s="554"/>
      <c r="S175" s="554"/>
      <c r="T175" s="554"/>
      <c r="U175" s="554"/>
      <c r="V175" s="554"/>
      <c r="W175" s="554"/>
      <c r="X175" s="554"/>
      <c r="Y175" s="554"/>
      <c r="Z175" s="554"/>
      <c r="AA175" s="554"/>
      <c r="AB175" s="554"/>
      <c r="AC175" s="554"/>
      <c r="AD175" s="554"/>
      <c r="AE175" s="554"/>
      <c r="AF175" s="554"/>
      <c r="AG175" s="554"/>
    </row>
    <row r="176">
      <c r="A176" s="549"/>
      <c r="B176" s="554"/>
      <c r="C176" s="554"/>
      <c r="D176" s="554"/>
      <c r="E176" s="554"/>
      <c r="F176" s="561"/>
      <c r="G176" s="554"/>
      <c r="H176" s="554"/>
      <c r="I176" s="554"/>
      <c r="J176" s="554"/>
      <c r="K176" s="554"/>
      <c r="L176" s="554"/>
      <c r="M176" s="554"/>
      <c r="N176" s="554"/>
      <c r="O176" s="554"/>
      <c r="P176" s="554"/>
      <c r="Q176" s="554"/>
      <c r="R176" s="554"/>
      <c r="S176" s="554"/>
      <c r="T176" s="554"/>
      <c r="U176" s="554"/>
      <c r="V176" s="554"/>
      <c r="W176" s="554"/>
      <c r="X176" s="554"/>
      <c r="Y176" s="554"/>
      <c r="Z176" s="554"/>
      <c r="AA176" s="554"/>
      <c r="AB176" s="554"/>
      <c r="AC176" s="554"/>
      <c r="AD176" s="554"/>
      <c r="AE176" s="554"/>
      <c r="AF176" s="554"/>
      <c r="AG176" s="554"/>
    </row>
    <row r="177">
      <c r="A177" s="549"/>
      <c r="B177" s="554"/>
      <c r="C177" s="554"/>
      <c r="D177" s="554"/>
      <c r="E177" s="554"/>
      <c r="F177" s="561"/>
      <c r="G177" s="554"/>
      <c r="H177" s="554"/>
      <c r="I177" s="554"/>
      <c r="J177" s="554"/>
      <c r="K177" s="554"/>
      <c r="L177" s="554"/>
      <c r="M177" s="554"/>
      <c r="N177" s="554"/>
      <c r="O177" s="554"/>
      <c r="P177" s="554"/>
      <c r="Q177" s="554"/>
      <c r="R177" s="554"/>
      <c r="S177" s="554"/>
      <c r="T177" s="554"/>
      <c r="U177" s="554"/>
      <c r="V177" s="554"/>
      <c r="W177" s="554"/>
      <c r="X177" s="554"/>
      <c r="Y177" s="554"/>
      <c r="Z177" s="554"/>
      <c r="AA177" s="554"/>
      <c r="AB177" s="554"/>
      <c r="AC177" s="554"/>
      <c r="AD177" s="554"/>
      <c r="AE177" s="554"/>
      <c r="AF177" s="554"/>
      <c r="AG177" s="554"/>
    </row>
    <row r="178">
      <c r="A178" s="549"/>
      <c r="B178" s="554"/>
      <c r="C178" s="554"/>
      <c r="D178" s="554"/>
      <c r="E178" s="554"/>
      <c r="F178" s="561"/>
      <c r="G178" s="554"/>
      <c r="H178" s="554"/>
      <c r="I178" s="554"/>
      <c r="J178" s="554"/>
      <c r="K178" s="554"/>
      <c r="L178" s="554"/>
      <c r="M178" s="554"/>
      <c r="N178" s="554"/>
      <c r="O178" s="554"/>
      <c r="P178" s="554"/>
      <c r="Q178" s="554"/>
      <c r="R178" s="554"/>
      <c r="S178" s="554"/>
      <c r="T178" s="554"/>
      <c r="U178" s="554"/>
      <c r="V178" s="554"/>
      <c r="W178" s="554"/>
      <c r="X178" s="554"/>
      <c r="Y178" s="554"/>
      <c r="Z178" s="554"/>
      <c r="AA178" s="554"/>
      <c r="AB178" s="554"/>
      <c r="AC178" s="554"/>
      <c r="AD178" s="554"/>
      <c r="AE178" s="554"/>
      <c r="AF178" s="554"/>
      <c r="AG178" s="554"/>
    </row>
    <row r="179">
      <c r="A179" s="549"/>
      <c r="B179" s="554"/>
      <c r="C179" s="554"/>
      <c r="D179" s="554"/>
      <c r="E179" s="554"/>
      <c r="F179" s="561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54"/>
      <c r="AB179" s="554"/>
      <c r="AC179" s="554"/>
      <c r="AD179" s="554"/>
      <c r="AE179" s="554"/>
      <c r="AF179" s="554"/>
      <c r="AG179" s="554"/>
    </row>
    <row r="180">
      <c r="A180" s="549"/>
      <c r="B180" s="554"/>
      <c r="C180" s="554"/>
      <c r="D180" s="554"/>
      <c r="E180" s="554"/>
      <c r="F180" s="561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54"/>
      <c r="AB180" s="554"/>
      <c r="AC180" s="554"/>
      <c r="AD180" s="554"/>
      <c r="AE180" s="554"/>
      <c r="AF180" s="554"/>
      <c r="AG180" s="554"/>
    </row>
    <row r="181">
      <c r="A181" s="549"/>
      <c r="B181" s="554"/>
      <c r="C181" s="554"/>
      <c r="D181" s="554"/>
      <c r="E181" s="554"/>
      <c r="F181" s="561"/>
      <c r="G181" s="554"/>
      <c r="H181" s="554"/>
      <c r="I181" s="554"/>
      <c r="J181" s="554"/>
      <c r="K181" s="554"/>
      <c r="L181" s="554"/>
      <c r="M181" s="554"/>
      <c r="N181" s="554"/>
      <c r="O181" s="554"/>
      <c r="P181" s="554"/>
      <c r="Q181" s="554"/>
      <c r="R181" s="554"/>
      <c r="S181" s="554"/>
      <c r="T181" s="554"/>
      <c r="U181" s="554"/>
      <c r="V181" s="554"/>
      <c r="W181" s="554"/>
      <c r="X181" s="554"/>
      <c r="Y181" s="554"/>
      <c r="Z181" s="554"/>
      <c r="AA181" s="554"/>
      <c r="AB181" s="554"/>
      <c r="AC181" s="554"/>
      <c r="AD181" s="554"/>
      <c r="AE181" s="554"/>
      <c r="AF181" s="554"/>
      <c r="AG181" s="554"/>
    </row>
    <row r="182">
      <c r="A182" s="549"/>
      <c r="B182" s="554"/>
      <c r="C182" s="554"/>
      <c r="D182" s="554"/>
      <c r="E182" s="554"/>
      <c r="F182" s="561"/>
      <c r="G182" s="554"/>
      <c r="H182" s="554"/>
      <c r="I182" s="554"/>
      <c r="J182" s="554"/>
      <c r="K182" s="554"/>
      <c r="L182" s="554"/>
      <c r="M182" s="554"/>
      <c r="N182" s="554"/>
      <c r="O182" s="554"/>
      <c r="P182" s="554"/>
      <c r="Q182" s="554"/>
      <c r="R182" s="554"/>
      <c r="S182" s="554"/>
      <c r="T182" s="554"/>
      <c r="U182" s="554"/>
      <c r="V182" s="554"/>
      <c r="W182" s="554"/>
      <c r="X182" s="554"/>
      <c r="Y182" s="554"/>
      <c r="Z182" s="554"/>
      <c r="AA182" s="554"/>
      <c r="AB182" s="554"/>
      <c r="AC182" s="554"/>
      <c r="AD182" s="554"/>
      <c r="AE182" s="554"/>
      <c r="AF182" s="554"/>
      <c r="AG182" s="554"/>
    </row>
    <row r="183">
      <c r="A183" s="549"/>
      <c r="B183" s="554"/>
      <c r="C183" s="554"/>
      <c r="D183" s="554"/>
      <c r="E183" s="554"/>
      <c r="F183" s="561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54"/>
      <c r="AB183" s="554"/>
      <c r="AC183" s="554"/>
      <c r="AD183" s="554"/>
      <c r="AE183" s="554"/>
      <c r="AF183" s="554"/>
      <c r="AG183" s="554"/>
    </row>
    <row r="184">
      <c r="A184" s="549"/>
      <c r="B184" s="554"/>
      <c r="C184" s="554"/>
      <c r="D184" s="554"/>
      <c r="E184" s="554"/>
      <c r="F184" s="561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54"/>
      <c r="AB184" s="554"/>
      <c r="AC184" s="554"/>
      <c r="AD184" s="554"/>
      <c r="AE184" s="554"/>
      <c r="AF184" s="554"/>
      <c r="AG184" s="554"/>
    </row>
    <row r="185">
      <c r="A185" s="549"/>
      <c r="B185" s="554"/>
      <c r="C185" s="554"/>
      <c r="D185" s="554"/>
      <c r="E185" s="554"/>
      <c r="F185" s="561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54"/>
      <c r="AB185" s="554"/>
      <c r="AC185" s="554"/>
      <c r="AD185" s="554"/>
      <c r="AE185" s="554"/>
      <c r="AF185" s="554"/>
      <c r="AG185" s="554"/>
    </row>
    <row r="186">
      <c r="A186" s="549"/>
      <c r="B186" s="554"/>
      <c r="C186" s="554"/>
      <c r="D186" s="554"/>
      <c r="E186" s="554"/>
      <c r="F186" s="561"/>
      <c r="G186" s="554"/>
      <c r="H186" s="554"/>
      <c r="I186" s="554"/>
      <c r="J186" s="554"/>
      <c r="K186" s="554"/>
      <c r="L186" s="554"/>
      <c r="M186" s="554"/>
      <c r="N186" s="554"/>
      <c r="O186" s="554"/>
      <c r="P186" s="554"/>
      <c r="Q186" s="554"/>
      <c r="R186" s="554"/>
      <c r="S186" s="554"/>
      <c r="T186" s="554"/>
      <c r="U186" s="554"/>
      <c r="V186" s="554"/>
      <c r="W186" s="554"/>
      <c r="X186" s="554"/>
      <c r="Y186" s="554"/>
      <c r="Z186" s="554"/>
      <c r="AA186" s="554"/>
      <c r="AB186" s="554"/>
      <c r="AC186" s="554"/>
      <c r="AD186" s="554"/>
      <c r="AE186" s="554"/>
      <c r="AF186" s="554"/>
      <c r="AG186" s="554"/>
    </row>
    <row r="187">
      <c r="A187" s="549"/>
      <c r="B187" s="554"/>
      <c r="C187" s="554"/>
      <c r="D187" s="554"/>
      <c r="E187" s="554"/>
      <c r="F187" s="561"/>
      <c r="G187" s="554"/>
      <c r="H187" s="554"/>
      <c r="I187" s="554"/>
      <c r="J187" s="554"/>
      <c r="K187" s="554"/>
      <c r="L187" s="554"/>
      <c r="M187" s="554"/>
      <c r="N187" s="554"/>
      <c r="O187" s="554"/>
      <c r="P187" s="554"/>
      <c r="Q187" s="554"/>
      <c r="R187" s="554"/>
      <c r="S187" s="554"/>
      <c r="T187" s="554"/>
      <c r="U187" s="554"/>
      <c r="V187" s="554"/>
      <c r="W187" s="554"/>
      <c r="X187" s="554"/>
      <c r="Y187" s="554"/>
      <c r="Z187" s="554"/>
      <c r="AA187" s="554"/>
      <c r="AB187" s="554"/>
      <c r="AC187" s="554"/>
      <c r="AD187" s="554"/>
      <c r="AE187" s="554"/>
      <c r="AF187" s="554"/>
      <c r="AG187" s="554"/>
    </row>
    <row r="188">
      <c r="A188" s="549"/>
      <c r="B188" s="554"/>
      <c r="C188" s="554"/>
      <c r="D188" s="554"/>
      <c r="E188" s="554"/>
      <c r="F188" s="561"/>
      <c r="G188" s="554"/>
      <c r="H188" s="554"/>
      <c r="I188" s="554"/>
      <c r="J188" s="554"/>
      <c r="K188" s="554"/>
      <c r="L188" s="554"/>
      <c r="M188" s="554"/>
      <c r="N188" s="554"/>
      <c r="O188" s="554"/>
      <c r="P188" s="554"/>
      <c r="Q188" s="554"/>
      <c r="R188" s="554"/>
      <c r="S188" s="554"/>
      <c r="T188" s="554"/>
      <c r="U188" s="554"/>
      <c r="V188" s="554"/>
      <c r="W188" s="554"/>
      <c r="X188" s="554"/>
      <c r="Y188" s="554"/>
      <c r="Z188" s="554"/>
      <c r="AA188" s="554"/>
      <c r="AB188" s="554"/>
      <c r="AC188" s="554"/>
      <c r="AD188" s="554"/>
      <c r="AE188" s="554"/>
      <c r="AF188" s="554"/>
      <c r="AG188" s="554"/>
    </row>
    <row r="189">
      <c r="A189" s="549"/>
      <c r="B189" s="554"/>
      <c r="C189" s="554"/>
      <c r="D189" s="554"/>
      <c r="E189" s="554"/>
      <c r="F189" s="561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54"/>
      <c r="AB189" s="554"/>
      <c r="AC189" s="554"/>
      <c r="AD189" s="554"/>
      <c r="AE189" s="554"/>
      <c r="AF189" s="554"/>
      <c r="AG189" s="554"/>
    </row>
    <row r="190">
      <c r="A190" s="549"/>
      <c r="B190" s="554"/>
      <c r="C190" s="554"/>
      <c r="D190" s="554"/>
      <c r="E190" s="554"/>
      <c r="F190" s="561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54"/>
      <c r="AB190" s="554"/>
      <c r="AC190" s="554"/>
      <c r="AD190" s="554"/>
      <c r="AE190" s="554"/>
      <c r="AF190" s="554"/>
      <c r="AG190" s="554"/>
    </row>
    <row r="191">
      <c r="A191" s="549"/>
      <c r="B191" s="554"/>
      <c r="C191" s="554"/>
      <c r="D191" s="554"/>
      <c r="E191" s="554"/>
      <c r="F191" s="561"/>
      <c r="G191" s="554"/>
      <c r="H191" s="554"/>
      <c r="I191" s="554"/>
      <c r="J191" s="554"/>
      <c r="K191" s="554"/>
      <c r="L191" s="554"/>
      <c r="M191" s="554"/>
      <c r="N191" s="554"/>
      <c r="O191" s="554"/>
      <c r="P191" s="554"/>
      <c r="Q191" s="554"/>
      <c r="R191" s="554"/>
      <c r="S191" s="554"/>
      <c r="T191" s="554"/>
      <c r="U191" s="554"/>
      <c r="V191" s="554"/>
      <c r="W191" s="554"/>
      <c r="X191" s="554"/>
      <c r="Y191" s="554"/>
      <c r="Z191" s="554"/>
      <c r="AA191" s="554"/>
      <c r="AB191" s="554"/>
      <c r="AC191" s="554"/>
      <c r="AD191" s="554"/>
      <c r="AE191" s="554"/>
      <c r="AF191" s="554"/>
      <c r="AG191" s="554"/>
    </row>
    <row r="192">
      <c r="A192" s="549"/>
      <c r="B192" s="554"/>
      <c r="C192" s="554"/>
      <c r="D192" s="554"/>
      <c r="E192" s="554"/>
      <c r="F192" s="561"/>
      <c r="G192" s="554"/>
      <c r="H192" s="554"/>
      <c r="I192" s="554"/>
      <c r="J192" s="554"/>
      <c r="K192" s="554"/>
      <c r="L192" s="554"/>
      <c r="M192" s="554"/>
      <c r="N192" s="554"/>
      <c r="O192" s="554"/>
      <c r="P192" s="554"/>
      <c r="Q192" s="554"/>
      <c r="R192" s="554"/>
      <c r="S192" s="554"/>
      <c r="T192" s="554"/>
      <c r="U192" s="554"/>
      <c r="V192" s="554"/>
      <c r="W192" s="554"/>
      <c r="X192" s="554"/>
      <c r="Y192" s="554"/>
      <c r="Z192" s="554"/>
      <c r="AA192" s="554"/>
      <c r="AB192" s="554"/>
      <c r="AC192" s="554"/>
      <c r="AD192" s="554"/>
      <c r="AE192" s="554"/>
      <c r="AF192" s="554"/>
      <c r="AG192" s="554"/>
    </row>
    <row r="193">
      <c r="A193" s="549"/>
      <c r="B193" s="554"/>
      <c r="C193" s="554"/>
      <c r="D193" s="554"/>
      <c r="E193" s="554"/>
      <c r="F193" s="561"/>
      <c r="G193" s="554"/>
      <c r="H193" s="554"/>
      <c r="I193" s="554"/>
      <c r="J193" s="554"/>
      <c r="K193" s="554"/>
      <c r="L193" s="554"/>
      <c r="M193" s="554"/>
      <c r="N193" s="554"/>
      <c r="O193" s="554"/>
      <c r="P193" s="554"/>
      <c r="Q193" s="554"/>
      <c r="R193" s="554"/>
      <c r="S193" s="554"/>
      <c r="T193" s="554"/>
      <c r="U193" s="554"/>
      <c r="V193" s="554"/>
      <c r="W193" s="554"/>
      <c r="X193" s="554"/>
      <c r="Y193" s="554"/>
      <c r="Z193" s="554"/>
      <c r="AA193" s="554"/>
      <c r="AB193" s="554"/>
      <c r="AC193" s="554"/>
      <c r="AD193" s="554"/>
      <c r="AE193" s="554"/>
      <c r="AF193" s="554"/>
      <c r="AG193" s="554"/>
    </row>
    <row r="194">
      <c r="A194" s="549"/>
      <c r="B194" s="554"/>
      <c r="C194" s="554"/>
      <c r="D194" s="554"/>
      <c r="E194" s="554"/>
      <c r="F194" s="561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54"/>
      <c r="AB194" s="554"/>
      <c r="AC194" s="554"/>
      <c r="AD194" s="554"/>
      <c r="AE194" s="554"/>
      <c r="AF194" s="554"/>
      <c r="AG194" s="554"/>
    </row>
    <row r="195">
      <c r="A195" s="549"/>
      <c r="B195" s="554"/>
      <c r="C195" s="554"/>
      <c r="D195" s="554"/>
      <c r="E195" s="554"/>
      <c r="F195" s="561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54"/>
      <c r="AB195" s="554"/>
      <c r="AC195" s="554"/>
      <c r="AD195" s="554"/>
      <c r="AE195" s="554"/>
      <c r="AF195" s="554"/>
      <c r="AG195" s="554"/>
    </row>
    <row r="196">
      <c r="A196" s="549"/>
      <c r="B196" s="554"/>
      <c r="C196" s="554"/>
      <c r="D196" s="554"/>
      <c r="E196" s="554"/>
      <c r="F196" s="561"/>
      <c r="G196" s="554"/>
      <c r="H196" s="554"/>
      <c r="I196" s="554"/>
      <c r="J196" s="554"/>
      <c r="K196" s="554"/>
      <c r="L196" s="554"/>
      <c r="M196" s="554"/>
      <c r="N196" s="554"/>
      <c r="O196" s="554"/>
      <c r="P196" s="554"/>
      <c r="Q196" s="554"/>
      <c r="R196" s="554"/>
      <c r="S196" s="554"/>
      <c r="T196" s="554"/>
      <c r="U196" s="554"/>
      <c r="V196" s="554"/>
      <c r="W196" s="554"/>
      <c r="X196" s="554"/>
      <c r="Y196" s="554"/>
      <c r="Z196" s="554"/>
      <c r="AA196" s="554"/>
      <c r="AB196" s="554"/>
      <c r="AC196" s="554"/>
      <c r="AD196" s="554"/>
      <c r="AE196" s="554"/>
      <c r="AF196" s="554"/>
      <c r="AG196" s="554"/>
    </row>
    <row r="197">
      <c r="A197" s="549"/>
      <c r="B197" s="554"/>
      <c r="C197" s="554"/>
      <c r="D197" s="554"/>
      <c r="E197" s="554"/>
      <c r="F197" s="561"/>
      <c r="G197" s="554"/>
      <c r="H197" s="554"/>
      <c r="I197" s="554"/>
      <c r="J197" s="554"/>
      <c r="K197" s="554"/>
      <c r="L197" s="554"/>
      <c r="M197" s="554"/>
      <c r="N197" s="554"/>
      <c r="O197" s="554"/>
      <c r="P197" s="554"/>
      <c r="Q197" s="554"/>
      <c r="R197" s="554"/>
      <c r="S197" s="554"/>
      <c r="T197" s="554"/>
      <c r="U197" s="554"/>
      <c r="V197" s="554"/>
      <c r="W197" s="554"/>
      <c r="X197" s="554"/>
      <c r="Y197" s="554"/>
      <c r="Z197" s="554"/>
      <c r="AA197" s="554"/>
      <c r="AB197" s="554"/>
      <c r="AC197" s="554"/>
      <c r="AD197" s="554"/>
      <c r="AE197" s="554"/>
      <c r="AF197" s="554"/>
      <c r="AG197" s="554"/>
    </row>
    <row r="198">
      <c r="A198" s="549"/>
      <c r="B198" s="554"/>
      <c r="C198" s="554"/>
      <c r="D198" s="554"/>
      <c r="E198" s="554"/>
      <c r="F198" s="561"/>
      <c r="G198" s="554"/>
      <c r="H198" s="554"/>
      <c r="I198" s="554"/>
      <c r="J198" s="554"/>
      <c r="K198" s="554"/>
      <c r="L198" s="554"/>
      <c r="M198" s="554"/>
      <c r="N198" s="554"/>
      <c r="O198" s="554"/>
      <c r="P198" s="554"/>
      <c r="Q198" s="554"/>
      <c r="R198" s="554"/>
      <c r="S198" s="554"/>
      <c r="T198" s="554"/>
      <c r="U198" s="554"/>
      <c r="V198" s="554"/>
      <c r="W198" s="554"/>
      <c r="X198" s="554"/>
      <c r="Y198" s="554"/>
      <c r="Z198" s="554"/>
      <c r="AA198" s="554"/>
      <c r="AB198" s="554"/>
      <c r="AC198" s="554"/>
      <c r="AD198" s="554"/>
      <c r="AE198" s="554"/>
      <c r="AF198" s="554"/>
      <c r="AG198" s="554"/>
    </row>
    <row r="199">
      <c r="A199" s="549"/>
      <c r="B199" s="554"/>
      <c r="C199" s="554"/>
      <c r="D199" s="554"/>
      <c r="E199" s="554"/>
      <c r="F199" s="561"/>
      <c r="G199" s="554"/>
      <c r="H199" s="554"/>
      <c r="I199" s="554"/>
      <c r="J199" s="554"/>
      <c r="K199" s="554"/>
      <c r="L199" s="554"/>
      <c r="M199" s="554"/>
      <c r="N199" s="554"/>
      <c r="O199" s="554"/>
      <c r="P199" s="554"/>
      <c r="Q199" s="554"/>
      <c r="R199" s="554"/>
      <c r="S199" s="554"/>
      <c r="T199" s="554"/>
      <c r="U199" s="554"/>
      <c r="V199" s="554"/>
      <c r="W199" s="554"/>
      <c r="X199" s="554"/>
      <c r="Y199" s="554"/>
      <c r="Z199" s="554"/>
      <c r="AA199" s="554"/>
      <c r="AB199" s="554"/>
      <c r="AC199" s="554"/>
      <c r="AD199" s="554"/>
      <c r="AE199" s="554"/>
      <c r="AF199" s="554"/>
      <c r="AG199" s="554"/>
    </row>
    <row r="200">
      <c r="A200" s="549"/>
      <c r="B200" s="554"/>
      <c r="C200" s="554"/>
      <c r="D200" s="554"/>
      <c r="E200" s="554"/>
      <c r="F200" s="561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554"/>
      <c r="AB200" s="554"/>
      <c r="AC200" s="554"/>
      <c r="AD200" s="554"/>
      <c r="AE200" s="554"/>
      <c r="AF200" s="554"/>
      <c r="AG200" s="554"/>
    </row>
    <row r="201">
      <c r="A201" s="549"/>
      <c r="B201" s="554"/>
      <c r="C201" s="554"/>
      <c r="D201" s="554"/>
      <c r="E201" s="554"/>
      <c r="F201" s="561"/>
      <c r="G201" s="554"/>
      <c r="H201" s="554"/>
      <c r="I201" s="554"/>
      <c r="J201" s="554"/>
      <c r="K201" s="554"/>
      <c r="L201" s="554"/>
      <c r="M201" s="554"/>
      <c r="N201" s="554"/>
      <c r="O201" s="554"/>
      <c r="P201" s="554"/>
      <c r="Q201" s="554"/>
      <c r="R201" s="554"/>
      <c r="S201" s="554"/>
      <c r="T201" s="554"/>
      <c r="U201" s="554"/>
      <c r="V201" s="554"/>
      <c r="W201" s="554"/>
      <c r="X201" s="554"/>
      <c r="Y201" s="554"/>
      <c r="Z201" s="554"/>
      <c r="AA201" s="554"/>
      <c r="AB201" s="554"/>
      <c r="AC201" s="554"/>
      <c r="AD201" s="554"/>
      <c r="AE201" s="554"/>
      <c r="AF201" s="554"/>
      <c r="AG201" s="554"/>
    </row>
    <row r="202">
      <c r="A202" s="549"/>
      <c r="B202" s="554"/>
      <c r="C202" s="554"/>
      <c r="D202" s="554"/>
      <c r="E202" s="554"/>
      <c r="F202" s="561"/>
      <c r="G202" s="554"/>
      <c r="H202" s="554"/>
      <c r="I202" s="554"/>
      <c r="J202" s="554"/>
      <c r="K202" s="554"/>
      <c r="L202" s="554"/>
      <c r="M202" s="554"/>
      <c r="N202" s="554"/>
      <c r="O202" s="554"/>
      <c r="P202" s="554"/>
      <c r="Q202" s="554"/>
      <c r="R202" s="554"/>
      <c r="S202" s="554"/>
      <c r="T202" s="554"/>
      <c r="U202" s="554"/>
      <c r="V202" s="554"/>
      <c r="W202" s="554"/>
      <c r="X202" s="554"/>
      <c r="Y202" s="554"/>
      <c r="Z202" s="554"/>
      <c r="AA202" s="554"/>
      <c r="AB202" s="554"/>
      <c r="AC202" s="554"/>
      <c r="AD202" s="554"/>
      <c r="AE202" s="554"/>
      <c r="AF202" s="554"/>
      <c r="AG202" s="554"/>
    </row>
    <row r="203">
      <c r="A203" s="549"/>
      <c r="B203" s="554"/>
      <c r="C203" s="554"/>
      <c r="D203" s="554"/>
      <c r="E203" s="554"/>
      <c r="F203" s="561"/>
      <c r="G203" s="554"/>
      <c r="H203" s="554"/>
      <c r="I203" s="554"/>
      <c r="J203" s="554"/>
      <c r="K203" s="554"/>
      <c r="L203" s="554"/>
      <c r="M203" s="554"/>
      <c r="N203" s="554"/>
      <c r="O203" s="554"/>
      <c r="P203" s="554"/>
      <c r="Q203" s="554"/>
      <c r="R203" s="554"/>
      <c r="S203" s="554"/>
      <c r="T203" s="554"/>
      <c r="U203" s="554"/>
      <c r="V203" s="554"/>
      <c r="W203" s="554"/>
      <c r="X203" s="554"/>
      <c r="Y203" s="554"/>
      <c r="Z203" s="554"/>
      <c r="AA203" s="554"/>
      <c r="AB203" s="554"/>
      <c r="AC203" s="554"/>
      <c r="AD203" s="554"/>
      <c r="AE203" s="554"/>
      <c r="AF203" s="554"/>
      <c r="AG203" s="554"/>
    </row>
    <row r="204">
      <c r="A204" s="549"/>
      <c r="B204" s="554"/>
      <c r="C204" s="554"/>
      <c r="D204" s="554"/>
      <c r="E204" s="554"/>
      <c r="F204" s="561"/>
      <c r="G204" s="554"/>
      <c r="H204" s="554"/>
      <c r="I204" s="554"/>
      <c r="J204" s="554"/>
      <c r="K204" s="554"/>
      <c r="L204" s="554"/>
      <c r="M204" s="554"/>
      <c r="N204" s="554"/>
      <c r="O204" s="554"/>
      <c r="P204" s="554"/>
      <c r="Q204" s="554"/>
      <c r="R204" s="554"/>
      <c r="S204" s="554"/>
      <c r="T204" s="554"/>
      <c r="U204" s="554"/>
      <c r="V204" s="554"/>
      <c r="W204" s="554"/>
      <c r="X204" s="554"/>
      <c r="Y204" s="554"/>
      <c r="Z204" s="554"/>
      <c r="AA204" s="554"/>
      <c r="AB204" s="554"/>
      <c r="AC204" s="554"/>
      <c r="AD204" s="554"/>
      <c r="AE204" s="554"/>
      <c r="AF204" s="554"/>
      <c r="AG204" s="554"/>
    </row>
    <row r="205">
      <c r="A205" s="549"/>
      <c r="B205" s="554"/>
      <c r="C205" s="554"/>
      <c r="D205" s="554"/>
      <c r="E205" s="554"/>
      <c r="F205" s="561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54"/>
      <c r="AB205" s="554"/>
      <c r="AC205" s="554"/>
      <c r="AD205" s="554"/>
      <c r="AE205" s="554"/>
      <c r="AF205" s="554"/>
      <c r="AG205" s="554"/>
    </row>
    <row r="206">
      <c r="A206" s="549"/>
      <c r="B206" s="554"/>
      <c r="C206" s="554"/>
      <c r="D206" s="554"/>
      <c r="E206" s="554"/>
      <c r="F206" s="561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54"/>
      <c r="AB206" s="554"/>
      <c r="AC206" s="554"/>
      <c r="AD206" s="554"/>
      <c r="AE206" s="554"/>
      <c r="AF206" s="554"/>
      <c r="AG206" s="554"/>
    </row>
    <row r="207">
      <c r="A207" s="549"/>
      <c r="B207" s="554"/>
      <c r="C207" s="554"/>
      <c r="D207" s="554"/>
      <c r="E207" s="554"/>
      <c r="F207" s="561"/>
      <c r="G207" s="554"/>
      <c r="H207" s="554"/>
      <c r="I207" s="554"/>
      <c r="J207" s="554"/>
      <c r="K207" s="554"/>
      <c r="L207" s="554"/>
      <c r="M207" s="554"/>
      <c r="N207" s="554"/>
      <c r="O207" s="554"/>
      <c r="P207" s="554"/>
      <c r="Q207" s="554"/>
      <c r="R207" s="554"/>
      <c r="S207" s="554"/>
      <c r="T207" s="554"/>
      <c r="U207" s="554"/>
      <c r="V207" s="554"/>
      <c r="W207" s="554"/>
      <c r="X207" s="554"/>
      <c r="Y207" s="554"/>
      <c r="Z207" s="554"/>
      <c r="AA207" s="554"/>
      <c r="AB207" s="554"/>
      <c r="AC207" s="554"/>
      <c r="AD207" s="554"/>
      <c r="AE207" s="554"/>
      <c r="AF207" s="554"/>
      <c r="AG207" s="554"/>
    </row>
    <row r="208">
      <c r="A208" s="549"/>
      <c r="B208" s="554"/>
      <c r="C208" s="554"/>
      <c r="D208" s="554"/>
      <c r="E208" s="554"/>
      <c r="F208" s="561"/>
      <c r="G208" s="554"/>
      <c r="H208" s="554"/>
      <c r="I208" s="554"/>
      <c r="J208" s="554"/>
      <c r="K208" s="554"/>
      <c r="L208" s="554"/>
      <c r="M208" s="554"/>
      <c r="N208" s="554"/>
      <c r="O208" s="554"/>
      <c r="P208" s="554"/>
      <c r="Q208" s="554"/>
      <c r="R208" s="554"/>
      <c r="S208" s="554"/>
      <c r="T208" s="554"/>
      <c r="U208" s="554"/>
      <c r="V208" s="554"/>
      <c r="W208" s="554"/>
      <c r="X208" s="554"/>
      <c r="Y208" s="554"/>
      <c r="Z208" s="554"/>
      <c r="AA208" s="554"/>
      <c r="AB208" s="554"/>
      <c r="AC208" s="554"/>
      <c r="AD208" s="554"/>
      <c r="AE208" s="554"/>
      <c r="AF208" s="554"/>
      <c r="AG208" s="554"/>
    </row>
    <row r="209">
      <c r="A209" s="549"/>
      <c r="B209" s="554"/>
      <c r="C209" s="554"/>
      <c r="D209" s="554"/>
      <c r="E209" s="554"/>
      <c r="F209" s="561"/>
      <c r="G209" s="554"/>
      <c r="H209" s="554"/>
      <c r="I209" s="554"/>
      <c r="J209" s="554"/>
      <c r="K209" s="554"/>
      <c r="L209" s="554"/>
      <c r="M209" s="554"/>
      <c r="N209" s="554"/>
      <c r="O209" s="554"/>
      <c r="P209" s="554"/>
      <c r="Q209" s="554"/>
      <c r="R209" s="554"/>
      <c r="S209" s="554"/>
      <c r="T209" s="554"/>
      <c r="U209" s="554"/>
      <c r="V209" s="554"/>
      <c r="W209" s="554"/>
      <c r="X209" s="554"/>
      <c r="Y209" s="554"/>
      <c r="Z209" s="554"/>
      <c r="AA209" s="554"/>
      <c r="AB209" s="554"/>
      <c r="AC209" s="554"/>
      <c r="AD209" s="554"/>
      <c r="AE209" s="554"/>
      <c r="AF209" s="554"/>
      <c r="AG209" s="554"/>
    </row>
    <row r="210">
      <c r="A210" s="549"/>
      <c r="B210" s="554"/>
      <c r="C210" s="554"/>
      <c r="D210" s="554"/>
      <c r="E210" s="554"/>
      <c r="F210" s="561"/>
      <c r="G210" s="554"/>
      <c r="H210" s="554"/>
      <c r="I210" s="554"/>
      <c r="J210" s="554"/>
      <c r="K210" s="554"/>
      <c r="L210" s="554"/>
      <c r="M210" s="554"/>
      <c r="N210" s="554"/>
      <c r="O210" s="554"/>
      <c r="P210" s="554"/>
      <c r="Q210" s="554"/>
      <c r="R210" s="554"/>
      <c r="S210" s="554"/>
      <c r="T210" s="554"/>
      <c r="U210" s="554"/>
      <c r="V210" s="554"/>
      <c r="W210" s="554"/>
      <c r="X210" s="554"/>
      <c r="Y210" s="554"/>
      <c r="Z210" s="554"/>
      <c r="AA210" s="554"/>
      <c r="AB210" s="554"/>
      <c r="AC210" s="554"/>
      <c r="AD210" s="554"/>
      <c r="AE210" s="554"/>
      <c r="AF210" s="554"/>
      <c r="AG210" s="554"/>
    </row>
    <row r="211">
      <c r="A211" s="549"/>
      <c r="B211" s="554"/>
      <c r="C211" s="554"/>
      <c r="D211" s="554"/>
      <c r="E211" s="554"/>
      <c r="F211" s="561"/>
      <c r="G211" s="554"/>
      <c r="H211" s="554"/>
      <c r="I211" s="554"/>
      <c r="J211" s="554"/>
      <c r="K211" s="554"/>
      <c r="L211" s="554"/>
      <c r="M211" s="554"/>
      <c r="N211" s="554"/>
      <c r="O211" s="554"/>
      <c r="P211" s="554"/>
      <c r="Q211" s="554"/>
      <c r="R211" s="554"/>
      <c r="S211" s="554"/>
      <c r="T211" s="554"/>
      <c r="U211" s="554"/>
      <c r="V211" s="554"/>
      <c r="W211" s="554"/>
      <c r="X211" s="554"/>
      <c r="Y211" s="554"/>
      <c r="Z211" s="554"/>
      <c r="AA211" s="554"/>
      <c r="AB211" s="554"/>
      <c r="AC211" s="554"/>
      <c r="AD211" s="554"/>
      <c r="AE211" s="554"/>
      <c r="AF211" s="554"/>
      <c r="AG211" s="554"/>
    </row>
    <row r="212">
      <c r="A212" s="549"/>
      <c r="B212" s="554"/>
      <c r="C212" s="554"/>
      <c r="D212" s="554"/>
      <c r="E212" s="554"/>
      <c r="F212" s="561"/>
      <c r="G212" s="554"/>
      <c r="H212" s="554"/>
      <c r="I212" s="554"/>
      <c r="J212" s="554"/>
      <c r="K212" s="554"/>
      <c r="L212" s="554"/>
      <c r="M212" s="554"/>
      <c r="N212" s="554"/>
      <c r="O212" s="554"/>
      <c r="P212" s="554"/>
      <c r="Q212" s="554"/>
      <c r="R212" s="554"/>
      <c r="S212" s="554"/>
      <c r="T212" s="554"/>
      <c r="U212" s="554"/>
      <c r="V212" s="554"/>
      <c r="W212" s="554"/>
      <c r="X212" s="554"/>
      <c r="Y212" s="554"/>
      <c r="Z212" s="554"/>
      <c r="AA212" s="554"/>
      <c r="AB212" s="554"/>
      <c r="AC212" s="554"/>
      <c r="AD212" s="554"/>
      <c r="AE212" s="554"/>
      <c r="AF212" s="554"/>
      <c r="AG212" s="554"/>
    </row>
    <row r="213">
      <c r="A213" s="549"/>
      <c r="B213" s="554"/>
      <c r="C213" s="554"/>
      <c r="D213" s="554"/>
      <c r="E213" s="554"/>
      <c r="F213" s="561"/>
      <c r="G213" s="554"/>
      <c r="H213" s="554"/>
      <c r="I213" s="554"/>
      <c r="J213" s="554"/>
      <c r="K213" s="554"/>
      <c r="L213" s="554"/>
      <c r="M213" s="554"/>
      <c r="N213" s="554"/>
      <c r="O213" s="554"/>
      <c r="P213" s="554"/>
      <c r="Q213" s="554"/>
      <c r="R213" s="554"/>
      <c r="S213" s="554"/>
      <c r="T213" s="554"/>
      <c r="U213" s="554"/>
      <c r="V213" s="554"/>
      <c r="W213" s="554"/>
      <c r="X213" s="554"/>
      <c r="Y213" s="554"/>
      <c r="Z213" s="554"/>
      <c r="AA213" s="554"/>
      <c r="AB213" s="554"/>
      <c r="AC213" s="554"/>
      <c r="AD213" s="554"/>
      <c r="AE213" s="554"/>
      <c r="AF213" s="554"/>
      <c r="AG213" s="554"/>
    </row>
    <row r="214">
      <c r="A214" s="549"/>
      <c r="B214" s="554"/>
      <c r="C214" s="554"/>
      <c r="D214" s="554"/>
      <c r="E214" s="554"/>
      <c r="F214" s="561"/>
      <c r="G214" s="554"/>
      <c r="H214" s="554"/>
      <c r="I214" s="554"/>
      <c r="J214" s="554"/>
      <c r="K214" s="554"/>
      <c r="L214" s="554"/>
      <c r="M214" s="554"/>
      <c r="N214" s="554"/>
      <c r="O214" s="554"/>
      <c r="P214" s="554"/>
      <c r="Q214" s="554"/>
      <c r="R214" s="554"/>
      <c r="S214" s="554"/>
      <c r="T214" s="554"/>
      <c r="U214" s="554"/>
      <c r="V214" s="554"/>
      <c r="W214" s="554"/>
      <c r="X214" s="554"/>
      <c r="Y214" s="554"/>
      <c r="Z214" s="554"/>
      <c r="AA214" s="554"/>
      <c r="AB214" s="554"/>
      <c r="AC214" s="554"/>
      <c r="AD214" s="554"/>
      <c r="AE214" s="554"/>
      <c r="AF214" s="554"/>
      <c r="AG214" s="554"/>
    </row>
    <row r="215">
      <c r="A215" s="549"/>
      <c r="B215" s="554"/>
      <c r="C215" s="554"/>
      <c r="D215" s="554"/>
      <c r="E215" s="554"/>
      <c r="F215" s="561"/>
      <c r="G215" s="554"/>
      <c r="H215" s="554"/>
      <c r="I215" s="554"/>
      <c r="J215" s="554"/>
      <c r="K215" s="554"/>
      <c r="L215" s="554"/>
      <c r="M215" s="554"/>
      <c r="N215" s="554"/>
      <c r="O215" s="554"/>
      <c r="P215" s="554"/>
      <c r="Q215" s="554"/>
      <c r="R215" s="554"/>
      <c r="S215" s="554"/>
      <c r="T215" s="554"/>
      <c r="U215" s="554"/>
      <c r="V215" s="554"/>
      <c r="W215" s="554"/>
      <c r="X215" s="554"/>
      <c r="Y215" s="554"/>
      <c r="Z215" s="554"/>
      <c r="AA215" s="554"/>
      <c r="AB215" s="554"/>
      <c r="AC215" s="554"/>
      <c r="AD215" s="554"/>
      <c r="AE215" s="554"/>
      <c r="AF215" s="554"/>
      <c r="AG215" s="554"/>
    </row>
    <row r="216">
      <c r="A216" s="549"/>
      <c r="B216" s="554"/>
      <c r="C216" s="554"/>
      <c r="D216" s="554"/>
      <c r="E216" s="554"/>
      <c r="F216" s="561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554"/>
      <c r="AB216" s="554"/>
      <c r="AC216" s="554"/>
      <c r="AD216" s="554"/>
      <c r="AE216" s="554"/>
      <c r="AF216" s="554"/>
      <c r="AG216" s="554"/>
    </row>
    <row r="217">
      <c r="A217" s="549"/>
      <c r="B217" s="554"/>
      <c r="C217" s="554"/>
      <c r="D217" s="554"/>
      <c r="E217" s="554"/>
      <c r="F217" s="561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54"/>
      <c r="AB217" s="554"/>
      <c r="AC217" s="554"/>
      <c r="AD217" s="554"/>
      <c r="AE217" s="554"/>
      <c r="AF217" s="554"/>
      <c r="AG217" s="554"/>
    </row>
    <row r="218">
      <c r="A218" s="549"/>
      <c r="B218" s="554"/>
      <c r="C218" s="554"/>
      <c r="D218" s="554"/>
      <c r="E218" s="554"/>
      <c r="F218" s="561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54"/>
      <c r="AB218" s="554"/>
      <c r="AC218" s="554"/>
      <c r="AD218" s="554"/>
      <c r="AE218" s="554"/>
      <c r="AF218" s="554"/>
      <c r="AG218" s="554"/>
    </row>
    <row r="219">
      <c r="A219" s="549"/>
      <c r="B219" s="554"/>
      <c r="C219" s="554"/>
      <c r="D219" s="554"/>
      <c r="E219" s="554"/>
      <c r="F219" s="561"/>
      <c r="G219" s="554"/>
      <c r="H219" s="554"/>
      <c r="I219" s="554"/>
      <c r="J219" s="554"/>
      <c r="K219" s="554"/>
      <c r="L219" s="554"/>
      <c r="M219" s="554"/>
      <c r="N219" s="554"/>
      <c r="O219" s="554"/>
      <c r="P219" s="554"/>
      <c r="Q219" s="554"/>
      <c r="R219" s="554"/>
      <c r="S219" s="554"/>
      <c r="T219" s="554"/>
      <c r="U219" s="554"/>
      <c r="V219" s="554"/>
      <c r="W219" s="554"/>
      <c r="X219" s="554"/>
      <c r="Y219" s="554"/>
      <c r="Z219" s="554"/>
      <c r="AA219" s="554"/>
      <c r="AB219" s="554"/>
      <c r="AC219" s="554"/>
      <c r="AD219" s="554"/>
      <c r="AE219" s="554"/>
      <c r="AF219" s="554"/>
      <c r="AG219" s="554"/>
    </row>
    <row r="220">
      <c r="A220" s="549"/>
      <c r="B220" s="554"/>
      <c r="C220" s="554"/>
      <c r="D220" s="554"/>
      <c r="E220" s="554"/>
      <c r="F220" s="561"/>
      <c r="G220" s="554"/>
      <c r="H220" s="554"/>
      <c r="I220" s="554"/>
      <c r="J220" s="554"/>
      <c r="K220" s="554"/>
      <c r="L220" s="554"/>
      <c r="M220" s="554"/>
      <c r="N220" s="554"/>
      <c r="O220" s="554"/>
      <c r="P220" s="554"/>
      <c r="Q220" s="554"/>
      <c r="R220" s="554"/>
      <c r="S220" s="554"/>
      <c r="T220" s="554"/>
      <c r="U220" s="554"/>
      <c r="V220" s="554"/>
      <c r="W220" s="554"/>
      <c r="X220" s="554"/>
      <c r="Y220" s="554"/>
      <c r="Z220" s="554"/>
      <c r="AA220" s="554"/>
      <c r="AB220" s="554"/>
      <c r="AC220" s="554"/>
      <c r="AD220" s="554"/>
      <c r="AE220" s="554"/>
      <c r="AF220" s="554"/>
      <c r="AG220" s="554"/>
    </row>
    <row r="221">
      <c r="A221" s="549"/>
      <c r="B221" s="554"/>
      <c r="C221" s="554"/>
      <c r="D221" s="554"/>
      <c r="E221" s="554"/>
      <c r="F221" s="561"/>
      <c r="G221" s="554"/>
      <c r="H221" s="554"/>
      <c r="I221" s="554"/>
      <c r="J221" s="554"/>
      <c r="K221" s="554"/>
      <c r="L221" s="554"/>
      <c r="M221" s="554"/>
      <c r="N221" s="554"/>
      <c r="O221" s="554"/>
      <c r="P221" s="554"/>
      <c r="Q221" s="554"/>
      <c r="R221" s="554"/>
      <c r="S221" s="554"/>
      <c r="T221" s="554"/>
      <c r="U221" s="554"/>
      <c r="V221" s="554"/>
      <c r="W221" s="554"/>
      <c r="X221" s="554"/>
      <c r="Y221" s="554"/>
      <c r="Z221" s="554"/>
      <c r="AA221" s="554"/>
      <c r="AB221" s="554"/>
      <c r="AC221" s="554"/>
      <c r="AD221" s="554"/>
      <c r="AE221" s="554"/>
      <c r="AF221" s="554"/>
      <c r="AG221" s="554"/>
    </row>
    <row r="222">
      <c r="A222" s="549"/>
      <c r="B222" s="554"/>
      <c r="C222" s="554"/>
      <c r="D222" s="554"/>
      <c r="E222" s="554"/>
      <c r="F222" s="561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54"/>
      <c r="AB222" s="554"/>
      <c r="AC222" s="554"/>
      <c r="AD222" s="554"/>
      <c r="AE222" s="554"/>
      <c r="AF222" s="554"/>
      <c r="AG222" s="554"/>
    </row>
    <row r="223">
      <c r="A223" s="549"/>
      <c r="B223" s="554"/>
      <c r="C223" s="554"/>
      <c r="D223" s="554"/>
      <c r="E223" s="554"/>
      <c r="F223" s="561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54"/>
      <c r="AB223" s="554"/>
      <c r="AC223" s="554"/>
      <c r="AD223" s="554"/>
      <c r="AE223" s="554"/>
      <c r="AF223" s="554"/>
      <c r="AG223" s="554"/>
    </row>
    <row r="224">
      <c r="A224" s="549"/>
      <c r="B224" s="554"/>
      <c r="C224" s="554"/>
      <c r="D224" s="554"/>
      <c r="E224" s="554"/>
      <c r="F224" s="561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54"/>
      <c r="AB224" s="554"/>
      <c r="AC224" s="554"/>
      <c r="AD224" s="554"/>
      <c r="AE224" s="554"/>
      <c r="AF224" s="554"/>
      <c r="AG224" s="554"/>
    </row>
    <row r="225">
      <c r="A225" s="549"/>
      <c r="B225" s="554"/>
      <c r="C225" s="554"/>
      <c r="D225" s="554"/>
      <c r="E225" s="554"/>
      <c r="F225" s="561"/>
      <c r="G225" s="554"/>
      <c r="H225" s="554"/>
      <c r="I225" s="554"/>
      <c r="J225" s="554"/>
      <c r="K225" s="554"/>
      <c r="L225" s="554"/>
      <c r="M225" s="554"/>
      <c r="N225" s="554"/>
      <c r="O225" s="554"/>
      <c r="P225" s="554"/>
      <c r="Q225" s="554"/>
      <c r="R225" s="554"/>
      <c r="S225" s="554"/>
      <c r="T225" s="554"/>
      <c r="U225" s="554"/>
      <c r="V225" s="554"/>
      <c r="W225" s="554"/>
      <c r="X225" s="554"/>
      <c r="Y225" s="554"/>
      <c r="Z225" s="554"/>
      <c r="AA225" s="554"/>
      <c r="AB225" s="554"/>
      <c r="AC225" s="554"/>
      <c r="AD225" s="554"/>
      <c r="AE225" s="554"/>
      <c r="AF225" s="554"/>
      <c r="AG225" s="554"/>
    </row>
    <row r="226">
      <c r="A226" s="549"/>
      <c r="B226" s="554"/>
      <c r="C226" s="554"/>
      <c r="D226" s="554"/>
      <c r="E226" s="554"/>
      <c r="F226" s="561"/>
      <c r="G226" s="554"/>
      <c r="H226" s="554"/>
      <c r="I226" s="554"/>
      <c r="J226" s="554"/>
      <c r="K226" s="554"/>
      <c r="L226" s="554"/>
      <c r="M226" s="554"/>
      <c r="N226" s="554"/>
      <c r="O226" s="554"/>
      <c r="P226" s="554"/>
      <c r="Q226" s="554"/>
      <c r="R226" s="554"/>
      <c r="S226" s="554"/>
      <c r="T226" s="554"/>
      <c r="U226" s="554"/>
      <c r="V226" s="554"/>
      <c r="W226" s="554"/>
      <c r="X226" s="554"/>
      <c r="Y226" s="554"/>
      <c r="Z226" s="554"/>
      <c r="AA226" s="554"/>
      <c r="AB226" s="554"/>
      <c r="AC226" s="554"/>
      <c r="AD226" s="554"/>
      <c r="AE226" s="554"/>
      <c r="AF226" s="554"/>
      <c r="AG226" s="554"/>
    </row>
    <row r="227">
      <c r="A227" s="549"/>
      <c r="B227" s="554"/>
      <c r="C227" s="554"/>
      <c r="D227" s="554"/>
      <c r="E227" s="554"/>
      <c r="F227" s="561"/>
      <c r="G227" s="554"/>
      <c r="H227" s="554"/>
      <c r="I227" s="554"/>
      <c r="J227" s="554"/>
      <c r="K227" s="554"/>
      <c r="L227" s="554"/>
      <c r="M227" s="554"/>
      <c r="N227" s="554"/>
      <c r="O227" s="554"/>
      <c r="P227" s="554"/>
      <c r="Q227" s="554"/>
      <c r="R227" s="554"/>
      <c r="S227" s="554"/>
      <c r="T227" s="554"/>
      <c r="U227" s="554"/>
      <c r="V227" s="554"/>
      <c r="W227" s="554"/>
      <c r="X227" s="554"/>
      <c r="Y227" s="554"/>
      <c r="Z227" s="554"/>
      <c r="AA227" s="554"/>
      <c r="AB227" s="554"/>
      <c r="AC227" s="554"/>
      <c r="AD227" s="554"/>
      <c r="AE227" s="554"/>
      <c r="AF227" s="554"/>
      <c r="AG227" s="554"/>
    </row>
    <row r="228">
      <c r="A228" s="549"/>
      <c r="B228" s="554"/>
      <c r="C228" s="554"/>
      <c r="D228" s="554"/>
      <c r="E228" s="554"/>
      <c r="F228" s="561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554"/>
      <c r="AB228" s="554"/>
      <c r="AC228" s="554"/>
      <c r="AD228" s="554"/>
      <c r="AE228" s="554"/>
      <c r="AF228" s="554"/>
      <c r="AG228" s="554"/>
    </row>
    <row r="229">
      <c r="A229" s="549"/>
      <c r="B229" s="554"/>
      <c r="C229" s="554"/>
      <c r="D229" s="554"/>
      <c r="E229" s="554"/>
      <c r="F229" s="561"/>
      <c r="G229" s="554"/>
      <c r="H229" s="554"/>
      <c r="I229" s="554"/>
      <c r="J229" s="554"/>
      <c r="K229" s="554"/>
      <c r="L229" s="554"/>
      <c r="M229" s="554"/>
      <c r="N229" s="554"/>
      <c r="O229" s="554"/>
      <c r="P229" s="554"/>
      <c r="Q229" s="554"/>
      <c r="R229" s="554"/>
      <c r="S229" s="554"/>
      <c r="T229" s="554"/>
      <c r="U229" s="554"/>
      <c r="V229" s="554"/>
      <c r="W229" s="554"/>
      <c r="X229" s="554"/>
      <c r="Y229" s="554"/>
      <c r="Z229" s="554"/>
      <c r="AA229" s="554"/>
      <c r="AB229" s="554"/>
      <c r="AC229" s="554"/>
      <c r="AD229" s="554"/>
      <c r="AE229" s="554"/>
      <c r="AF229" s="554"/>
      <c r="AG229" s="554"/>
    </row>
    <row r="230">
      <c r="A230" s="549"/>
      <c r="B230" s="554"/>
      <c r="C230" s="554"/>
      <c r="D230" s="554"/>
      <c r="E230" s="554"/>
      <c r="F230" s="561"/>
      <c r="G230" s="554"/>
      <c r="H230" s="554"/>
      <c r="I230" s="554"/>
      <c r="J230" s="554"/>
      <c r="K230" s="554"/>
      <c r="L230" s="554"/>
      <c r="M230" s="554"/>
      <c r="N230" s="554"/>
      <c r="O230" s="554"/>
      <c r="P230" s="554"/>
      <c r="Q230" s="554"/>
      <c r="R230" s="554"/>
      <c r="S230" s="554"/>
      <c r="T230" s="554"/>
      <c r="U230" s="554"/>
      <c r="V230" s="554"/>
      <c r="W230" s="554"/>
      <c r="X230" s="554"/>
      <c r="Y230" s="554"/>
      <c r="Z230" s="554"/>
      <c r="AA230" s="554"/>
      <c r="AB230" s="554"/>
      <c r="AC230" s="554"/>
      <c r="AD230" s="554"/>
      <c r="AE230" s="554"/>
      <c r="AF230" s="554"/>
      <c r="AG230" s="554"/>
    </row>
    <row r="231">
      <c r="A231" s="549"/>
      <c r="B231" s="554"/>
      <c r="C231" s="554"/>
      <c r="D231" s="554"/>
      <c r="E231" s="554"/>
      <c r="F231" s="561"/>
      <c r="G231" s="554"/>
      <c r="H231" s="554"/>
      <c r="I231" s="554"/>
      <c r="J231" s="554"/>
      <c r="K231" s="554"/>
      <c r="L231" s="554"/>
      <c r="M231" s="554"/>
      <c r="N231" s="554"/>
      <c r="O231" s="554"/>
      <c r="P231" s="554"/>
      <c r="Q231" s="554"/>
      <c r="R231" s="554"/>
      <c r="S231" s="554"/>
      <c r="T231" s="554"/>
      <c r="U231" s="554"/>
      <c r="V231" s="554"/>
      <c r="W231" s="554"/>
      <c r="X231" s="554"/>
      <c r="Y231" s="554"/>
      <c r="Z231" s="554"/>
      <c r="AA231" s="554"/>
      <c r="AB231" s="554"/>
      <c r="AC231" s="554"/>
      <c r="AD231" s="554"/>
      <c r="AE231" s="554"/>
      <c r="AF231" s="554"/>
      <c r="AG231" s="554"/>
    </row>
    <row r="232">
      <c r="A232" s="549"/>
      <c r="B232" s="554"/>
      <c r="C232" s="554"/>
      <c r="D232" s="554"/>
      <c r="E232" s="554"/>
      <c r="F232" s="561"/>
      <c r="G232" s="554"/>
      <c r="H232" s="554"/>
      <c r="I232" s="554"/>
      <c r="J232" s="554"/>
      <c r="K232" s="554"/>
      <c r="L232" s="554"/>
      <c r="M232" s="554"/>
      <c r="N232" s="554"/>
      <c r="O232" s="554"/>
      <c r="P232" s="554"/>
      <c r="Q232" s="554"/>
      <c r="R232" s="554"/>
      <c r="S232" s="554"/>
      <c r="T232" s="554"/>
      <c r="U232" s="554"/>
      <c r="V232" s="554"/>
      <c r="W232" s="554"/>
      <c r="X232" s="554"/>
      <c r="Y232" s="554"/>
      <c r="Z232" s="554"/>
      <c r="AA232" s="554"/>
      <c r="AB232" s="554"/>
      <c r="AC232" s="554"/>
      <c r="AD232" s="554"/>
      <c r="AE232" s="554"/>
      <c r="AF232" s="554"/>
      <c r="AG232" s="554"/>
    </row>
    <row r="233">
      <c r="A233" s="549"/>
      <c r="B233" s="554"/>
      <c r="C233" s="554"/>
      <c r="D233" s="554"/>
      <c r="E233" s="554"/>
      <c r="F233" s="561"/>
      <c r="G233" s="554"/>
      <c r="H233" s="554"/>
      <c r="I233" s="554"/>
      <c r="J233" s="554"/>
      <c r="K233" s="554"/>
      <c r="L233" s="554"/>
      <c r="M233" s="554"/>
      <c r="N233" s="554"/>
      <c r="O233" s="554"/>
      <c r="P233" s="554"/>
      <c r="Q233" s="554"/>
      <c r="R233" s="554"/>
      <c r="S233" s="554"/>
      <c r="T233" s="554"/>
      <c r="U233" s="554"/>
      <c r="V233" s="554"/>
      <c r="W233" s="554"/>
      <c r="X233" s="554"/>
      <c r="Y233" s="554"/>
      <c r="Z233" s="554"/>
      <c r="AA233" s="554"/>
      <c r="AB233" s="554"/>
      <c r="AC233" s="554"/>
      <c r="AD233" s="554"/>
      <c r="AE233" s="554"/>
      <c r="AF233" s="554"/>
      <c r="AG233" s="554"/>
    </row>
    <row r="234">
      <c r="A234" s="549"/>
      <c r="B234" s="554"/>
      <c r="C234" s="554"/>
      <c r="D234" s="554"/>
      <c r="E234" s="554"/>
      <c r="F234" s="561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554"/>
      <c r="AB234" s="554"/>
      <c r="AC234" s="554"/>
      <c r="AD234" s="554"/>
      <c r="AE234" s="554"/>
      <c r="AF234" s="554"/>
      <c r="AG234" s="554"/>
    </row>
    <row r="235">
      <c r="A235" s="549"/>
      <c r="B235" s="554"/>
      <c r="C235" s="554"/>
      <c r="D235" s="554"/>
      <c r="E235" s="554"/>
      <c r="F235" s="561"/>
      <c r="G235" s="554"/>
      <c r="H235" s="554"/>
      <c r="I235" s="554"/>
      <c r="J235" s="554"/>
      <c r="K235" s="554"/>
      <c r="L235" s="554"/>
      <c r="M235" s="554"/>
      <c r="N235" s="554"/>
      <c r="O235" s="554"/>
      <c r="P235" s="554"/>
      <c r="Q235" s="554"/>
      <c r="R235" s="554"/>
      <c r="S235" s="554"/>
      <c r="T235" s="554"/>
      <c r="U235" s="554"/>
      <c r="V235" s="554"/>
      <c r="W235" s="554"/>
      <c r="X235" s="554"/>
      <c r="Y235" s="554"/>
      <c r="Z235" s="554"/>
      <c r="AA235" s="554"/>
      <c r="AB235" s="554"/>
      <c r="AC235" s="554"/>
      <c r="AD235" s="554"/>
      <c r="AE235" s="554"/>
      <c r="AF235" s="554"/>
      <c r="AG235" s="554"/>
    </row>
    <row r="236">
      <c r="A236" s="549"/>
      <c r="B236" s="554"/>
      <c r="C236" s="554"/>
      <c r="D236" s="554"/>
      <c r="E236" s="554"/>
      <c r="F236" s="561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54"/>
      <c r="AB236" s="554"/>
      <c r="AC236" s="554"/>
      <c r="AD236" s="554"/>
      <c r="AE236" s="554"/>
      <c r="AF236" s="554"/>
      <c r="AG236" s="554"/>
    </row>
    <row r="237">
      <c r="A237" s="549"/>
      <c r="B237" s="554"/>
      <c r="C237" s="554"/>
      <c r="D237" s="554"/>
      <c r="E237" s="554"/>
      <c r="F237" s="561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54"/>
      <c r="AB237" s="554"/>
      <c r="AC237" s="554"/>
      <c r="AD237" s="554"/>
      <c r="AE237" s="554"/>
      <c r="AF237" s="554"/>
      <c r="AG237" s="554"/>
    </row>
    <row r="238">
      <c r="A238" s="549"/>
      <c r="B238" s="554"/>
      <c r="C238" s="554"/>
      <c r="D238" s="554"/>
      <c r="E238" s="554"/>
      <c r="F238" s="561"/>
      <c r="G238" s="554"/>
      <c r="H238" s="554"/>
      <c r="I238" s="554"/>
      <c r="J238" s="554"/>
      <c r="K238" s="554"/>
      <c r="L238" s="554"/>
      <c r="M238" s="554"/>
      <c r="N238" s="554"/>
      <c r="O238" s="554"/>
      <c r="P238" s="554"/>
      <c r="Q238" s="554"/>
      <c r="R238" s="554"/>
      <c r="S238" s="554"/>
      <c r="T238" s="554"/>
      <c r="U238" s="554"/>
      <c r="V238" s="554"/>
      <c r="W238" s="554"/>
      <c r="X238" s="554"/>
      <c r="Y238" s="554"/>
      <c r="Z238" s="554"/>
      <c r="AA238" s="554"/>
      <c r="AB238" s="554"/>
      <c r="AC238" s="554"/>
      <c r="AD238" s="554"/>
      <c r="AE238" s="554"/>
      <c r="AF238" s="554"/>
      <c r="AG238" s="554"/>
    </row>
    <row r="239">
      <c r="A239" s="549"/>
      <c r="B239" s="554"/>
      <c r="C239" s="554"/>
      <c r="D239" s="554"/>
      <c r="E239" s="554"/>
      <c r="F239" s="561"/>
      <c r="G239" s="554"/>
      <c r="H239" s="554"/>
      <c r="I239" s="554"/>
      <c r="J239" s="554"/>
      <c r="K239" s="554"/>
      <c r="L239" s="554"/>
      <c r="M239" s="554"/>
      <c r="N239" s="554"/>
      <c r="O239" s="554"/>
      <c r="P239" s="554"/>
      <c r="Q239" s="554"/>
      <c r="R239" s="554"/>
      <c r="S239" s="554"/>
      <c r="T239" s="554"/>
      <c r="U239" s="554"/>
      <c r="V239" s="554"/>
      <c r="W239" s="554"/>
      <c r="X239" s="554"/>
      <c r="Y239" s="554"/>
      <c r="Z239" s="554"/>
      <c r="AA239" s="554"/>
      <c r="AB239" s="554"/>
      <c r="AC239" s="554"/>
      <c r="AD239" s="554"/>
      <c r="AE239" s="554"/>
      <c r="AF239" s="554"/>
      <c r="AG239" s="554"/>
    </row>
    <row r="240">
      <c r="A240" s="549"/>
      <c r="B240" s="554"/>
      <c r="C240" s="554"/>
      <c r="D240" s="554"/>
      <c r="E240" s="554"/>
      <c r="F240" s="561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54"/>
      <c r="AB240" s="554"/>
      <c r="AC240" s="554"/>
      <c r="AD240" s="554"/>
      <c r="AE240" s="554"/>
      <c r="AF240" s="554"/>
      <c r="AG240" s="554"/>
    </row>
    <row r="241">
      <c r="A241" s="549"/>
      <c r="B241" s="554"/>
      <c r="C241" s="554"/>
      <c r="D241" s="554"/>
      <c r="E241" s="554"/>
      <c r="F241" s="561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54"/>
      <c r="AB241" s="554"/>
      <c r="AC241" s="554"/>
      <c r="AD241" s="554"/>
      <c r="AE241" s="554"/>
      <c r="AF241" s="554"/>
      <c r="AG241" s="554"/>
    </row>
    <row r="242">
      <c r="A242" s="549"/>
      <c r="B242" s="554"/>
      <c r="C242" s="554"/>
      <c r="D242" s="554"/>
      <c r="E242" s="554"/>
      <c r="F242" s="561"/>
      <c r="G242" s="554"/>
      <c r="H242" s="554"/>
      <c r="I242" s="554"/>
      <c r="J242" s="554"/>
      <c r="K242" s="554"/>
      <c r="L242" s="554"/>
      <c r="M242" s="554"/>
      <c r="N242" s="554"/>
      <c r="O242" s="554"/>
      <c r="P242" s="554"/>
      <c r="Q242" s="554"/>
      <c r="R242" s="554"/>
      <c r="S242" s="554"/>
      <c r="T242" s="554"/>
      <c r="U242" s="554"/>
      <c r="V242" s="554"/>
      <c r="W242" s="554"/>
      <c r="X242" s="554"/>
      <c r="Y242" s="554"/>
      <c r="Z242" s="554"/>
      <c r="AA242" s="554"/>
      <c r="AB242" s="554"/>
      <c r="AC242" s="554"/>
      <c r="AD242" s="554"/>
      <c r="AE242" s="554"/>
      <c r="AF242" s="554"/>
      <c r="AG242" s="554"/>
    </row>
    <row r="243">
      <c r="A243" s="549"/>
      <c r="B243" s="554"/>
      <c r="C243" s="554"/>
      <c r="D243" s="554"/>
      <c r="E243" s="554"/>
      <c r="F243" s="561"/>
      <c r="G243" s="554"/>
      <c r="H243" s="554"/>
      <c r="I243" s="554"/>
      <c r="J243" s="554"/>
      <c r="K243" s="554"/>
      <c r="L243" s="554"/>
      <c r="M243" s="554"/>
      <c r="N243" s="554"/>
      <c r="O243" s="554"/>
      <c r="P243" s="554"/>
      <c r="Q243" s="554"/>
      <c r="R243" s="554"/>
      <c r="S243" s="554"/>
      <c r="T243" s="554"/>
      <c r="U243" s="554"/>
      <c r="V243" s="554"/>
      <c r="W243" s="554"/>
      <c r="X243" s="554"/>
      <c r="Y243" s="554"/>
      <c r="Z243" s="554"/>
      <c r="AA243" s="554"/>
      <c r="AB243" s="554"/>
      <c r="AC243" s="554"/>
      <c r="AD243" s="554"/>
      <c r="AE243" s="554"/>
      <c r="AF243" s="554"/>
      <c r="AG243" s="554"/>
    </row>
    <row r="244">
      <c r="A244" s="549"/>
      <c r="B244" s="554"/>
      <c r="C244" s="554"/>
      <c r="D244" s="554"/>
      <c r="E244" s="554"/>
      <c r="F244" s="561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54"/>
      <c r="AB244" s="554"/>
      <c r="AC244" s="554"/>
      <c r="AD244" s="554"/>
      <c r="AE244" s="554"/>
      <c r="AF244" s="554"/>
      <c r="AG244" s="554"/>
    </row>
    <row r="245">
      <c r="A245" s="549"/>
      <c r="B245" s="554"/>
      <c r="C245" s="554"/>
      <c r="D245" s="554"/>
      <c r="E245" s="554"/>
      <c r="F245" s="561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54"/>
      <c r="AB245" s="554"/>
      <c r="AC245" s="554"/>
      <c r="AD245" s="554"/>
      <c r="AE245" s="554"/>
      <c r="AF245" s="554"/>
      <c r="AG245" s="554"/>
    </row>
    <row r="246">
      <c r="A246" s="549"/>
      <c r="B246" s="554"/>
      <c r="C246" s="554"/>
      <c r="D246" s="554"/>
      <c r="E246" s="554"/>
      <c r="F246" s="561"/>
      <c r="G246" s="554"/>
      <c r="H246" s="554"/>
      <c r="I246" s="554"/>
      <c r="J246" s="554"/>
      <c r="K246" s="554"/>
      <c r="L246" s="554"/>
      <c r="M246" s="554"/>
      <c r="N246" s="554"/>
      <c r="O246" s="554"/>
      <c r="P246" s="554"/>
      <c r="Q246" s="554"/>
      <c r="R246" s="554"/>
      <c r="S246" s="554"/>
      <c r="T246" s="554"/>
      <c r="U246" s="554"/>
      <c r="V246" s="554"/>
      <c r="W246" s="554"/>
      <c r="X246" s="554"/>
      <c r="Y246" s="554"/>
      <c r="Z246" s="554"/>
      <c r="AA246" s="554"/>
      <c r="AB246" s="554"/>
      <c r="AC246" s="554"/>
      <c r="AD246" s="554"/>
      <c r="AE246" s="554"/>
      <c r="AF246" s="554"/>
      <c r="AG246" s="554"/>
    </row>
    <row r="247">
      <c r="A247" s="549"/>
      <c r="B247" s="554"/>
      <c r="C247" s="554"/>
      <c r="D247" s="554"/>
      <c r="E247" s="554"/>
      <c r="F247" s="561"/>
      <c r="G247" s="554"/>
      <c r="H247" s="554"/>
      <c r="I247" s="554"/>
      <c r="J247" s="554"/>
      <c r="K247" s="554"/>
      <c r="L247" s="554"/>
      <c r="M247" s="554"/>
      <c r="N247" s="554"/>
      <c r="O247" s="554"/>
      <c r="P247" s="554"/>
      <c r="Q247" s="554"/>
      <c r="R247" s="554"/>
      <c r="S247" s="554"/>
      <c r="T247" s="554"/>
      <c r="U247" s="554"/>
      <c r="V247" s="554"/>
      <c r="W247" s="554"/>
      <c r="X247" s="554"/>
      <c r="Y247" s="554"/>
      <c r="Z247" s="554"/>
      <c r="AA247" s="554"/>
      <c r="AB247" s="554"/>
      <c r="AC247" s="554"/>
      <c r="AD247" s="554"/>
      <c r="AE247" s="554"/>
      <c r="AF247" s="554"/>
      <c r="AG247" s="554"/>
    </row>
    <row r="248">
      <c r="A248" s="549"/>
      <c r="B248" s="554"/>
      <c r="C248" s="554"/>
      <c r="D248" s="554"/>
      <c r="E248" s="554"/>
      <c r="F248" s="561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554"/>
      <c r="AB248" s="554"/>
      <c r="AC248" s="554"/>
      <c r="AD248" s="554"/>
      <c r="AE248" s="554"/>
      <c r="AF248" s="554"/>
      <c r="AG248" s="554"/>
    </row>
    <row r="249">
      <c r="A249" s="549"/>
      <c r="B249" s="554"/>
      <c r="C249" s="554"/>
      <c r="D249" s="554"/>
      <c r="E249" s="554"/>
      <c r="F249" s="561"/>
      <c r="G249" s="554"/>
      <c r="H249" s="554"/>
      <c r="I249" s="554"/>
      <c r="J249" s="554"/>
      <c r="K249" s="554"/>
      <c r="L249" s="554"/>
      <c r="M249" s="554"/>
      <c r="N249" s="554"/>
      <c r="O249" s="554"/>
      <c r="P249" s="554"/>
      <c r="Q249" s="554"/>
      <c r="R249" s="554"/>
      <c r="S249" s="554"/>
      <c r="T249" s="554"/>
      <c r="U249" s="554"/>
      <c r="V249" s="554"/>
      <c r="W249" s="554"/>
      <c r="X249" s="554"/>
      <c r="Y249" s="554"/>
      <c r="Z249" s="554"/>
      <c r="AA249" s="554"/>
      <c r="AB249" s="554"/>
      <c r="AC249" s="554"/>
      <c r="AD249" s="554"/>
      <c r="AE249" s="554"/>
      <c r="AF249" s="554"/>
      <c r="AG249" s="554"/>
    </row>
    <row r="250">
      <c r="A250" s="549"/>
      <c r="B250" s="554"/>
      <c r="C250" s="554"/>
      <c r="D250" s="554"/>
      <c r="E250" s="554"/>
      <c r="F250" s="561"/>
      <c r="G250" s="554"/>
      <c r="H250" s="554"/>
      <c r="I250" s="554"/>
      <c r="J250" s="554"/>
      <c r="K250" s="554"/>
      <c r="L250" s="554"/>
      <c r="M250" s="554"/>
      <c r="N250" s="554"/>
      <c r="O250" s="554"/>
      <c r="P250" s="554"/>
      <c r="Q250" s="554"/>
      <c r="R250" s="554"/>
      <c r="S250" s="554"/>
      <c r="T250" s="554"/>
      <c r="U250" s="554"/>
      <c r="V250" s="554"/>
      <c r="W250" s="554"/>
      <c r="X250" s="554"/>
      <c r="Y250" s="554"/>
      <c r="Z250" s="554"/>
      <c r="AA250" s="554"/>
      <c r="AB250" s="554"/>
      <c r="AC250" s="554"/>
      <c r="AD250" s="554"/>
      <c r="AE250" s="554"/>
      <c r="AF250" s="554"/>
      <c r="AG250" s="554"/>
    </row>
    <row r="251">
      <c r="A251" s="549"/>
      <c r="B251" s="554"/>
      <c r="C251" s="554"/>
      <c r="D251" s="554"/>
      <c r="E251" s="554"/>
      <c r="F251" s="561"/>
      <c r="G251" s="554"/>
      <c r="H251" s="554"/>
      <c r="I251" s="554"/>
      <c r="J251" s="554"/>
      <c r="K251" s="554"/>
      <c r="L251" s="554"/>
      <c r="M251" s="554"/>
      <c r="N251" s="554"/>
      <c r="O251" s="554"/>
      <c r="P251" s="554"/>
      <c r="Q251" s="554"/>
      <c r="R251" s="554"/>
      <c r="S251" s="554"/>
      <c r="T251" s="554"/>
      <c r="U251" s="554"/>
      <c r="V251" s="554"/>
      <c r="W251" s="554"/>
      <c r="X251" s="554"/>
      <c r="Y251" s="554"/>
      <c r="Z251" s="554"/>
      <c r="AA251" s="554"/>
      <c r="AB251" s="554"/>
      <c r="AC251" s="554"/>
      <c r="AD251" s="554"/>
      <c r="AE251" s="554"/>
      <c r="AF251" s="554"/>
      <c r="AG251" s="554"/>
    </row>
    <row r="252">
      <c r="A252" s="549"/>
      <c r="B252" s="554"/>
      <c r="C252" s="554"/>
      <c r="D252" s="554"/>
      <c r="E252" s="554"/>
      <c r="F252" s="561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54"/>
      <c r="AB252" s="554"/>
      <c r="AC252" s="554"/>
      <c r="AD252" s="554"/>
      <c r="AE252" s="554"/>
      <c r="AF252" s="554"/>
      <c r="AG252" s="554"/>
    </row>
    <row r="253">
      <c r="A253" s="549"/>
      <c r="B253" s="554"/>
      <c r="C253" s="554"/>
      <c r="D253" s="554"/>
      <c r="E253" s="554"/>
      <c r="F253" s="561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54"/>
      <c r="AB253" s="554"/>
      <c r="AC253" s="554"/>
      <c r="AD253" s="554"/>
      <c r="AE253" s="554"/>
      <c r="AF253" s="554"/>
      <c r="AG253" s="554"/>
    </row>
    <row r="254">
      <c r="A254" s="549"/>
      <c r="B254" s="554"/>
      <c r="C254" s="554"/>
      <c r="D254" s="554"/>
      <c r="E254" s="554"/>
      <c r="F254" s="561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54"/>
      <c r="AB254" s="554"/>
      <c r="AC254" s="554"/>
      <c r="AD254" s="554"/>
      <c r="AE254" s="554"/>
      <c r="AF254" s="554"/>
      <c r="AG254" s="554"/>
    </row>
    <row r="255">
      <c r="A255" s="549"/>
      <c r="B255" s="554"/>
      <c r="C255" s="554"/>
      <c r="D255" s="554"/>
      <c r="E255" s="554"/>
      <c r="F255" s="561"/>
      <c r="G255" s="554"/>
      <c r="H255" s="554"/>
      <c r="I255" s="554"/>
      <c r="J255" s="554"/>
      <c r="K255" s="554"/>
      <c r="L255" s="554"/>
      <c r="M255" s="554"/>
      <c r="N255" s="554"/>
      <c r="O255" s="554"/>
      <c r="P255" s="554"/>
      <c r="Q255" s="554"/>
      <c r="R255" s="554"/>
      <c r="S255" s="554"/>
      <c r="T255" s="554"/>
      <c r="U255" s="554"/>
      <c r="V255" s="554"/>
      <c r="W255" s="554"/>
      <c r="X255" s="554"/>
      <c r="Y255" s="554"/>
      <c r="Z255" s="554"/>
      <c r="AA255" s="554"/>
      <c r="AB255" s="554"/>
      <c r="AC255" s="554"/>
      <c r="AD255" s="554"/>
      <c r="AE255" s="554"/>
      <c r="AF255" s="554"/>
      <c r="AG255" s="554"/>
    </row>
    <row r="256">
      <c r="A256" s="549"/>
      <c r="B256" s="554"/>
      <c r="C256" s="554"/>
      <c r="D256" s="554"/>
      <c r="E256" s="554"/>
      <c r="F256" s="561"/>
      <c r="G256" s="554"/>
      <c r="H256" s="554"/>
      <c r="I256" s="554"/>
      <c r="J256" s="554"/>
      <c r="K256" s="554"/>
      <c r="L256" s="554"/>
      <c r="M256" s="554"/>
      <c r="N256" s="554"/>
      <c r="O256" s="554"/>
      <c r="P256" s="554"/>
      <c r="Q256" s="554"/>
      <c r="R256" s="554"/>
      <c r="S256" s="554"/>
      <c r="T256" s="554"/>
      <c r="U256" s="554"/>
      <c r="V256" s="554"/>
      <c r="W256" s="554"/>
      <c r="X256" s="554"/>
      <c r="Y256" s="554"/>
      <c r="Z256" s="554"/>
      <c r="AA256" s="554"/>
      <c r="AB256" s="554"/>
      <c r="AC256" s="554"/>
      <c r="AD256" s="554"/>
      <c r="AE256" s="554"/>
      <c r="AF256" s="554"/>
      <c r="AG256" s="554"/>
    </row>
    <row r="257">
      <c r="A257" s="549"/>
      <c r="B257" s="554"/>
      <c r="C257" s="554"/>
      <c r="D257" s="554"/>
      <c r="E257" s="554"/>
      <c r="F257" s="561"/>
      <c r="G257" s="554"/>
      <c r="H257" s="554"/>
      <c r="I257" s="554"/>
      <c r="J257" s="554"/>
      <c r="K257" s="554"/>
      <c r="L257" s="554"/>
      <c r="M257" s="554"/>
      <c r="N257" s="554"/>
      <c r="O257" s="554"/>
      <c r="P257" s="554"/>
      <c r="Q257" s="554"/>
      <c r="R257" s="554"/>
      <c r="S257" s="554"/>
      <c r="T257" s="554"/>
      <c r="U257" s="554"/>
      <c r="V257" s="554"/>
      <c r="W257" s="554"/>
      <c r="X257" s="554"/>
      <c r="Y257" s="554"/>
      <c r="Z257" s="554"/>
      <c r="AA257" s="554"/>
      <c r="AB257" s="554"/>
      <c r="AC257" s="554"/>
      <c r="AD257" s="554"/>
      <c r="AE257" s="554"/>
      <c r="AF257" s="554"/>
      <c r="AG257" s="554"/>
    </row>
    <row r="258">
      <c r="A258" s="549"/>
      <c r="B258" s="554"/>
      <c r="C258" s="554"/>
      <c r="D258" s="554"/>
      <c r="E258" s="554"/>
      <c r="F258" s="561"/>
      <c r="G258" s="554"/>
      <c r="H258" s="554"/>
      <c r="I258" s="554"/>
      <c r="J258" s="554"/>
      <c r="K258" s="554"/>
      <c r="L258" s="554"/>
      <c r="M258" s="554"/>
      <c r="N258" s="554"/>
      <c r="O258" s="554"/>
      <c r="P258" s="554"/>
      <c r="Q258" s="554"/>
      <c r="R258" s="554"/>
      <c r="S258" s="554"/>
      <c r="T258" s="554"/>
      <c r="U258" s="554"/>
      <c r="V258" s="554"/>
      <c r="W258" s="554"/>
      <c r="X258" s="554"/>
      <c r="Y258" s="554"/>
      <c r="Z258" s="554"/>
      <c r="AA258" s="554"/>
      <c r="AB258" s="554"/>
      <c r="AC258" s="554"/>
      <c r="AD258" s="554"/>
      <c r="AE258" s="554"/>
      <c r="AF258" s="554"/>
      <c r="AG258" s="554"/>
    </row>
    <row r="259">
      <c r="A259" s="549"/>
      <c r="B259" s="554"/>
      <c r="C259" s="554"/>
      <c r="D259" s="554"/>
      <c r="E259" s="554"/>
      <c r="F259" s="561"/>
      <c r="G259" s="554"/>
      <c r="H259" s="554"/>
      <c r="I259" s="554"/>
      <c r="J259" s="554"/>
      <c r="K259" s="554"/>
      <c r="L259" s="554"/>
      <c r="M259" s="554"/>
      <c r="N259" s="554"/>
      <c r="O259" s="554"/>
      <c r="P259" s="554"/>
      <c r="Q259" s="554"/>
      <c r="R259" s="554"/>
      <c r="S259" s="554"/>
      <c r="T259" s="554"/>
      <c r="U259" s="554"/>
      <c r="V259" s="554"/>
      <c r="W259" s="554"/>
      <c r="X259" s="554"/>
      <c r="Y259" s="554"/>
      <c r="Z259" s="554"/>
      <c r="AA259" s="554"/>
      <c r="AB259" s="554"/>
      <c r="AC259" s="554"/>
      <c r="AD259" s="554"/>
      <c r="AE259" s="554"/>
      <c r="AF259" s="554"/>
      <c r="AG259" s="554"/>
    </row>
    <row r="260">
      <c r="A260" s="549"/>
      <c r="B260" s="554"/>
      <c r="C260" s="554"/>
      <c r="D260" s="554"/>
      <c r="E260" s="554"/>
      <c r="F260" s="561"/>
      <c r="G260" s="554"/>
      <c r="H260" s="554"/>
      <c r="I260" s="554"/>
      <c r="J260" s="554"/>
      <c r="K260" s="554"/>
      <c r="L260" s="554"/>
      <c r="M260" s="554"/>
      <c r="N260" s="554"/>
      <c r="O260" s="554"/>
      <c r="P260" s="554"/>
      <c r="Q260" s="554"/>
      <c r="R260" s="554"/>
      <c r="S260" s="554"/>
      <c r="T260" s="554"/>
      <c r="U260" s="554"/>
      <c r="V260" s="554"/>
      <c r="W260" s="554"/>
      <c r="X260" s="554"/>
      <c r="Y260" s="554"/>
      <c r="Z260" s="554"/>
      <c r="AA260" s="554"/>
      <c r="AB260" s="554"/>
      <c r="AC260" s="554"/>
      <c r="AD260" s="554"/>
      <c r="AE260" s="554"/>
      <c r="AF260" s="554"/>
      <c r="AG260" s="554"/>
    </row>
    <row r="261">
      <c r="A261" s="549"/>
      <c r="B261" s="554"/>
      <c r="C261" s="554"/>
      <c r="D261" s="554"/>
      <c r="E261" s="554"/>
      <c r="F261" s="561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54"/>
      <c r="AB261" s="554"/>
      <c r="AC261" s="554"/>
      <c r="AD261" s="554"/>
      <c r="AE261" s="554"/>
      <c r="AF261" s="554"/>
      <c r="AG261" s="554"/>
    </row>
    <row r="262">
      <c r="A262" s="549"/>
      <c r="B262" s="554"/>
      <c r="C262" s="554"/>
      <c r="D262" s="554"/>
      <c r="E262" s="554"/>
      <c r="F262" s="561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54"/>
      <c r="AB262" s="554"/>
      <c r="AC262" s="554"/>
      <c r="AD262" s="554"/>
      <c r="AE262" s="554"/>
      <c r="AF262" s="554"/>
      <c r="AG262" s="554"/>
    </row>
    <row r="263">
      <c r="A263" s="549"/>
      <c r="B263" s="554"/>
      <c r="C263" s="554"/>
      <c r="D263" s="554"/>
      <c r="E263" s="554"/>
      <c r="F263" s="561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54"/>
      <c r="AB263" s="554"/>
      <c r="AC263" s="554"/>
      <c r="AD263" s="554"/>
      <c r="AE263" s="554"/>
      <c r="AF263" s="554"/>
      <c r="AG263" s="554"/>
    </row>
    <row r="264">
      <c r="A264" s="549"/>
      <c r="B264" s="554"/>
      <c r="C264" s="554"/>
      <c r="D264" s="554"/>
      <c r="E264" s="554"/>
      <c r="F264" s="561"/>
      <c r="G264" s="554"/>
      <c r="H264" s="554"/>
      <c r="I264" s="554"/>
      <c r="J264" s="554"/>
      <c r="K264" s="554"/>
      <c r="L264" s="554"/>
      <c r="M264" s="554"/>
      <c r="N264" s="554"/>
      <c r="O264" s="554"/>
      <c r="P264" s="554"/>
      <c r="Q264" s="554"/>
      <c r="R264" s="554"/>
      <c r="S264" s="554"/>
      <c r="T264" s="554"/>
      <c r="U264" s="554"/>
      <c r="V264" s="554"/>
      <c r="W264" s="554"/>
      <c r="X264" s="554"/>
      <c r="Y264" s="554"/>
      <c r="Z264" s="554"/>
      <c r="AA264" s="554"/>
      <c r="AB264" s="554"/>
      <c r="AC264" s="554"/>
      <c r="AD264" s="554"/>
      <c r="AE264" s="554"/>
      <c r="AF264" s="554"/>
      <c r="AG264" s="554"/>
    </row>
    <row r="265">
      <c r="A265" s="549"/>
      <c r="B265" s="554"/>
      <c r="C265" s="554"/>
      <c r="D265" s="554"/>
      <c r="E265" s="554"/>
      <c r="F265" s="561"/>
      <c r="G265" s="554"/>
      <c r="H265" s="554"/>
      <c r="I265" s="554"/>
      <c r="J265" s="554"/>
      <c r="K265" s="554"/>
      <c r="L265" s="554"/>
      <c r="M265" s="554"/>
      <c r="N265" s="554"/>
      <c r="O265" s="554"/>
      <c r="P265" s="554"/>
      <c r="Q265" s="554"/>
      <c r="R265" s="554"/>
      <c r="S265" s="554"/>
      <c r="T265" s="554"/>
      <c r="U265" s="554"/>
      <c r="V265" s="554"/>
      <c r="W265" s="554"/>
      <c r="X265" s="554"/>
      <c r="Y265" s="554"/>
      <c r="Z265" s="554"/>
      <c r="AA265" s="554"/>
      <c r="AB265" s="554"/>
      <c r="AC265" s="554"/>
      <c r="AD265" s="554"/>
      <c r="AE265" s="554"/>
      <c r="AF265" s="554"/>
      <c r="AG265" s="554"/>
    </row>
    <row r="266">
      <c r="A266" s="549"/>
      <c r="B266" s="554"/>
      <c r="C266" s="554"/>
      <c r="D266" s="554"/>
      <c r="E266" s="554"/>
      <c r="F266" s="561"/>
      <c r="G266" s="554"/>
      <c r="H266" s="554"/>
      <c r="I266" s="554"/>
      <c r="J266" s="554"/>
      <c r="K266" s="554"/>
      <c r="L266" s="554"/>
      <c r="M266" s="554"/>
      <c r="N266" s="554"/>
      <c r="O266" s="554"/>
      <c r="P266" s="554"/>
      <c r="Q266" s="554"/>
      <c r="R266" s="554"/>
      <c r="S266" s="554"/>
      <c r="T266" s="554"/>
      <c r="U266" s="554"/>
      <c r="V266" s="554"/>
      <c r="W266" s="554"/>
      <c r="X266" s="554"/>
      <c r="Y266" s="554"/>
      <c r="Z266" s="554"/>
      <c r="AA266" s="554"/>
      <c r="AB266" s="554"/>
      <c r="AC266" s="554"/>
      <c r="AD266" s="554"/>
      <c r="AE266" s="554"/>
      <c r="AF266" s="554"/>
      <c r="AG266" s="554"/>
    </row>
    <row r="267">
      <c r="A267" s="549"/>
      <c r="B267" s="554"/>
      <c r="C267" s="554"/>
      <c r="D267" s="554"/>
      <c r="E267" s="554"/>
      <c r="F267" s="561"/>
      <c r="G267" s="554"/>
      <c r="H267" s="554"/>
      <c r="I267" s="554"/>
      <c r="J267" s="554"/>
      <c r="K267" s="554"/>
      <c r="L267" s="554"/>
      <c r="M267" s="554"/>
      <c r="N267" s="554"/>
      <c r="O267" s="554"/>
      <c r="P267" s="554"/>
      <c r="Q267" s="554"/>
      <c r="R267" s="554"/>
      <c r="S267" s="554"/>
      <c r="T267" s="554"/>
      <c r="U267" s="554"/>
      <c r="V267" s="554"/>
      <c r="W267" s="554"/>
      <c r="X267" s="554"/>
      <c r="Y267" s="554"/>
      <c r="Z267" s="554"/>
      <c r="AA267" s="554"/>
      <c r="AB267" s="554"/>
      <c r="AC267" s="554"/>
      <c r="AD267" s="554"/>
      <c r="AE267" s="554"/>
      <c r="AF267" s="554"/>
      <c r="AG267" s="554"/>
    </row>
    <row r="268">
      <c r="A268" s="549"/>
      <c r="B268" s="554"/>
      <c r="C268" s="554"/>
      <c r="D268" s="554"/>
      <c r="E268" s="554"/>
      <c r="F268" s="561"/>
      <c r="G268" s="554"/>
      <c r="H268" s="554"/>
      <c r="I268" s="554"/>
      <c r="J268" s="554"/>
      <c r="K268" s="554"/>
      <c r="L268" s="554"/>
      <c r="M268" s="554"/>
      <c r="N268" s="554"/>
      <c r="O268" s="554"/>
      <c r="P268" s="554"/>
      <c r="Q268" s="554"/>
      <c r="R268" s="554"/>
      <c r="S268" s="554"/>
      <c r="T268" s="554"/>
      <c r="U268" s="554"/>
      <c r="V268" s="554"/>
      <c r="W268" s="554"/>
      <c r="X268" s="554"/>
      <c r="Y268" s="554"/>
      <c r="Z268" s="554"/>
      <c r="AA268" s="554"/>
      <c r="AB268" s="554"/>
      <c r="AC268" s="554"/>
      <c r="AD268" s="554"/>
      <c r="AE268" s="554"/>
      <c r="AF268" s="554"/>
      <c r="AG268" s="554"/>
    </row>
    <row r="269">
      <c r="A269" s="549"/>
      <c r="B269" s="554"/>
      <c r="C269" s="554"/>
      <c r="D269" s="554"/>
      <c r="E269" s="554"/>
      <c r="F269" s="561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54"/>
      <c r="AB269" s="554"/>
      <c r="AC269" s="554"/>
      <c r="AD269" s="554"/>
      <c r="AE269" s="554"/>
      <c r="AF269" s="554"/>
      <c r="AG269" s="554"/>
    </row>
    <row r="270">
      <c r="A270" s="549"/>
      <c r="B270" s="554"/>
      <c r="C270" s="554"/>
      <c r="D270" s="554"/>
      <c r="E270" s="554"/>
      <c r="F270" s="561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54"/>
      <c r="AB270" s="554"/>
      <c r="AC270" s="554"/>
      <c r="AD270" s="554"/>
      <c r="AE270" s="554"/>
      <c r="AF270" s="554"/>
      <c r="AG270" s="554"/>
    </row>
    <row r="271">
      <c r="A271" s="549"/>
      <c r="B271" s="554"/>
      <c r="C271" s="554"/>
      <c r="D271" s="554"/>
      <c r="E271" s="554"/>
      <c r="F271" s="561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54"/>
      <c r="AB271" s="554"/>
      <c r="AC271" s="554"/>
      <c r="AD271" s="554"/>
      <c r="AE271" s="554"/>
      <c r="AF271" s="554"/>
      <c r="AG271" s="554"/>
    </row>
    <row r="272">
      <c r="A272" s="549"/>
      <c r="B272" s="554"/>
      <c r="C272" s="554"/>
      <c r="D272" s="554"/>
      <c r="E272" s="554"/>
      <c r="F272" s="561"/>
      <c r="G272" s="554"/>
      <c r="H272" s="554"/>
      <c r="I272" s="554"/>
      <c r="J272" s="554"/>
      <c r="K272" s="554"/>
      <c r="L272" s="554"/>
      <c r="M272" s="554"/>
      <c r="N272" s="554"/>
      <c r="O272" s="554"/>
      <c r="P272" s="554"/>
      <c r="Q272" s="554"/>
      <c r="R272" s="554"/>
      <c r="S272" s="554"/>
      <c r="T272" s="554"/>
      <c r="U272" s="554"/>
      <c r="V272" s="554"/>
      <c r="W272" s="554"/>
      <c r="X272" s="554"/>
      <c r="Y272" s="554"/>
      <c r="Z272" s="554"/>
      <c r="AA272" s="554"/>
      <c r="AB272" s="554"/>
      <c r="AC272" s="554"/>
      <c r="AD272" s="554"/>
      <c r="AE272" s="554"/>
      <c r="AF272" s="554"/>
      <c r="AG272" s="554"/>
    </row>
    <row r="273">
      <c r="A273" s="549"/>
      <c r="B273" s="554"/>
      <c r="C273" s="554"/>
      <c r="D273" s="554"/>
      <c r="E273" s="554"/>
      <c r="F273" s="561"/>
      <c r="G273" s="554"/>
      <c r="H273" s="554"/>
      <c r="I273" s="554"/>
      <c r="J273" s="554"/>
      <c r="K273" s="554"/>
      <c r="L273" s="554"/>
      <c r="M273" s="554"/>
      <c r="N273" s="554"/>
      <c r="O273" s="554"/>
      <c r="P273" s="554"/>
      <c r="Q273" s="554"/>
      <c r="R273" s="554"/>
      <c r="S273" s="554"/>
      <c r="T273" s="554"/>
      <c r="U273" s="554"/>
      <c r="V273" s="554"/>
      <c r="W273" s="554"/>
      <c r="X273" s="554"/>
      <c r="Y273" s="554"/>
      <c r="Z273" s="554"/>
      <c r="AA273" s="554"/>
      <c r="AB273" s="554"/>
      <c r="AC273" s="554"/>
      <c r="AD273" s="554"/>
      <c r="AE273" s="554"/>
      <c r="AF273" s="554"/>
      <c r="AG273" s="554"/>
    </row>
    <row r="274">
      <c r="A274" s="549"/>
      <c r="B274" s="554"/>
      <c r="C274" s="554"/>
      <c r="D274" s="554"/>
      <c r="E274" s="554"/>
      <c r="F274" s="561"/>
      <c r="G274" s="554"/>
      <c r="H274" s="554"/>
      <c r="I274" s="554"/>
      <c r="J274" s="554"/>
      <c r="K274" s="554"/>
      <c r="L274" s="554"/>
      <c r="M274" s="554"/>
      <c r="N274" s="554"/>
      <c r="O274" s="554"/>
      <c r="P274" s="554"/>
      <c r="Q274" s="554"/>
      <c r="R274" s="554"/>
      <c r="S274" s="554"/>
      <c r="T274" s="554"/>
      <c r="U274" s="554"/>
      <c r="V274" s="554"/>
      <c r="W274" s="554"/>
      <c r="X274" s="554"/>
      <c r="Y274" s="554"/>
      <c r="Z274" s="554"/>
      <c r="AA274" s="554"/>
      <c r="AB274" s="554"/>
      <c r="AC274" s="554"/>
      <c r="AD274" s="554"/>
      <c r="AE274" s="554"/>
      <c r="AF274" s="554"/>
      <c r="AG274" s="554"/>
    </row>
    <row r="275">
      <c r="A275" s="549"/>
      <c r="B275" s="554"/>
      <c r="C275" s="554"/>
      <c r="D275" s="554"/>
      <c r="E275" s="554"/>
      <c r="F275" s="561"/>
      <c r="G275" s="554"/>
      <c r="H275" s="554"/>
      <c r="I275" s="554"/>
      <c r="J275" s="554"/>
      <c r="K275" s="554"/>
      <c r="L275" s="554"/>
      <c r="M275" s="554"/>
      <c r="N275" s="554"/>
      <c r="O275" s="554"/>
      <c r="P275" s="554"/>
      <c r="Q275" s="554"/>
      <c r="R275" s="554"/>
      <c r="S275" s="554"/>
      <c r="T275" s="554"/>
      <c r="U275" s="554"/>
      <c r="V275" s="554"/>
      <c r="W275" s="554"/>
      <c r="X275" s="554"/>
      <c r="Y275" s="554"/>
      <c r="Z275" s="554"/>
      <c r="AA275" s="554"/>
      <c r="AB275" s="554"/>
      <c r="AC275" s="554"/>
      <c r="AD275" s="554"/>
      <c r="AE275" s="554"/>
      <c r="AF275" s="554"/>
      <c r="AG275" s="554"/>
    </row>
    <row r="276">
      <c r="A276" s="549"/>
      <c r="B276" s="554"/>
      <c r="C276" s="554"/>
      <c r="D276" s="554"/>
      <c r="E276" s="554"/>
      <c r="F276" s="561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54"/>
      <c r="AB276" s="554"/>
      <c r="AC276" s="554"/>
      <c r="AD276" s="554"/>
      <c r="AE276" s="554"/>
      <c r="AF276" s="554"/>
      <c r="AG276" s="554"/>
    </row>
    <row r="277">
      <c r="A277" s="549"/>
      <c r="B277" s="554"/>
      <c r="C277" s="554"/>
      <c r="D277" s="554"/>
      <c r="E277" s="554"/>
      <c r="F277" s="561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54"/>
      <c r="AB277" s="554"/>
      <c r="AC277" s="554"/>
      <c r="AD277" s="554"/>
      <c r="AE277" s="554"/>
      <c r="AF277" s="554"/>
      <c r="AG277" s="554"/>
    </row>
    <row r="278">
      <c r="A278" s="549"/>
      <c r="B278" s="554"/>
      <c r="C278" s="554"/>
      <c r="D278" s="554"/>
      <c r="E278" s="554"/>
      <c r="F278" s="561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54"/>
      <c r="AB278" s="554"/>
      <c r="AC278" s="554"/>
      <c r="AD278" s="554"/>
      <c r="AE278" s="554"/>
      <c r="AF278" s="554"/>
      <c r="AG278" s="554"/>
    </row>
    <row r="279">
      <c r="A279" s="549"/>
      <c r="B279" s="554"/>
      <c r="C279" s="554"/>
      <c r="D279" s="554"/>
      <c r="E279" s="554"/>
      <c r="F279" s="561"/>
      <c r="G279" s="554"/>
      <c r="H279" s="554"/>
      <c r="I279" s="554"/>
      <c r="J279" s="554"/>
      <c r="K279" s="554"/>
      <c r="L279" s="554"/>
      <c r="M279" s="554"/>
      <c r="N279" s="554"/>
      <c r="O279" s="554"/>
      <c r="P279" s="554"/>
      <c r="Q279" s="554"/>
      <c r="R279" s="554"/>
      <c r="S279" s="554"/>
      <c r="T279" s="554"/>
      <c r="U279" s="554"/>
      <c r="V279" s="554"/>
      <c r="W279" s="554"/>
      <c r="X279" s="554"/>
      <c r="Y279" s="554"/>
      <c r="Z279" s="554"/>
      <c r="AA279" s="554"/>
      <c r="AB279" s="554"/>
      <c r="AC279" s="554"/>
      <c r="AD279" s="554"/>
      <c r="AE279" s="554"/>
      <c r="AF279" s="554"/>
      <c r="AG279" s="554"/>
    </row>
    <row r="280">
      <c r="A280" s="549"/>
      <c r="B280" s="554"/>
      <c r="C280" s="554"/>
      <c r="D280" s="554"/>
      <c r="E280" s="554"/>
      <c r="F280" s="561"/>
      <c r="G280" s="554"/>
      <c r="H280" s="554"/>
      <c r="I280" s="554"/>
      <c r="J280" s="554"/>
      <c r="K280" s="554"/>
      <c r="L280" s="554"/>
      <c r="M280" s="554"/>
      <c r="N280" s="554"/>
      <c r="O280" s="554"/>
      <c r="P280" s="554"/>
      <c r="Q280" s="554"/>
      <c r="R280" s="554"/>
      <c r="S280" s="554"/>
      <c r="T280" s="554"/>
      <c r="U280" s="554"/>
      <c r="V280" s="554"/>
      <c r="W280" s="554"/>
      <c r="X280" s="554"/>
      <c r="Y280" s="554"/>
      <c r="Z280" s="554"/>
      <c r="AA280" s="554"/>
      <c r="AB280" s="554"/>
      <c r="AC280" s="554"/>
      <c r="AD280" s="554"/>
      <c r="AE280" s="554"/>
      <c r="AF280" s="554"/>
      <c r="AG280" s="554"/>
    </row>
    <row r="281">
      <c r="A281" s="549"/>
      <c r="B281" s="554"/>
      <c r="C281" s="554"/>
      <c r="D281" s="554"/>
      <c r="E281" s="554"/>
      <c r="F281" s="561"/>
      <c r="G281" s="554"/>
      <c r="H281" s="554"/>
      <c r="I281" s="554"/>
      <c r="J281" s="554"/>
      <c r="K281" s="554"/>
      <c r="L281" s="554"/>
      <c r="M281" s="554"/>
      <c r="N281" s="554"/>
      <c r="O281" s="554"/>
      <c r="P281" s="554"/>
      <c r="Q281" s="554"/>
      <c r="R281" s="554"/>
      <c r="S281" s="554"/>
      <c r="T281" s="554"/>
      <c r="U281" s="554"/>
      <c r="V281" s="554"/>
      <c r="W281" s="554"/>
      <c r="X281" s="554"/>
      <c r="Y281" s="554"/>
      <c r="Z281" s="554"/>
      <c r="AA281" s="554"/>
      <c r="AB281" s="554"/>
      <c r="AC281" s="554"/>
      <c r="AD281" s="554"/>
      <c r="AE281" s="554"/>
      <c r="AF281" s="554"/>
      <c r="AG281" s="554"/>
    </row>
    <row r="282">
      <c r="A282" s="549"/>
      <c r="B282" s="554"/>
      <c r="C282" s="554"/>
      <c r="D282" s="554"/>
      <c r="E282" s="554"/>
      <c r="F282" s="561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54"/>
      <c r="AB282" s="554"/>
      <c r="AC282" s="554"/>
      <c r="AD282" s="554"/>
      <c r="AE282" s="554"/>
      <c r="AF282" s="554"/>
      <c r="AG282" s="554"/>
    </row>
    <row r="283">
      <c r="A283" s="549"/>
      <c r="B283" s="554"/>
      <c r="C283" s="554"/>
      <c r="D283" s="554"/>
      <c r="E283" s="554"/>
      <c r="F283" s="561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54"/>
      <c r="AB283" s="554"/>
      <c r="AC283" s="554"/>
      <c r="AD283" s="554"/>
      <c r="AE283" s="554"/>
      <c r="AF283" s="554"/>
      <c r="AG283" s="554"/>
    </row>
    <row r="284">
      <c r="A284" s="549"/>
      <c r="B284" s="554"/>
      <c r="C284" s="554"/>
      <c r="D284" s="554"/>
      <c r="E284" s="554"/>
      <c r="F284" s="561"/>
      <c r="G284" s="554"/>
      <c r="H284" s="554"/>
      <c r="I284" s="554"/>
      <c r="J284" s="554"/>
      <c r="K284" s="554"/>
      <c r="L284" s="554"/>
      <c r="M284" s="554"/>
      <c r="N284" s="554"/>
      <c r="O284" s="554"/>
      <c r="P284" s="554"/>
      <c r="Q284" s="554"/>
      <c r="R284" s="554"/>
      <c r="S284" s="554"/>
      <c r="T284" s="554"/>
      <c r="U284" s="554"/>
      <c r="V284" s="554"/>
      <c r="W284" s="554"/>
      <c r="X284" s="554"/>
      <c r="Y284" s="554"/>
      <c r="Z284" s="554"/>
      <c r="AA284" s="554"/>
      <c r="AB284" s="554"/>
      <c r="AC284" s="554"/>
      <c r="AD284" s="554"/>
      <c r="AE284" s="554"/>
      <c r="AF284" s="554"/>
      <c r="AG284" s="554"/>
    </row>
    <row r="285">
      <c r="A285" s="549"/>
      <c r="B285" s="554"/>
      <c r="C285" s="554"/>
      <c r="D285" s="554"/>
      <c r="E285" s="554"/>
      <c r="F285" s="561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554"/>
      <c r="AB285" s="554"/>
      <c r="AC285" s="554"/>
      <c r="AD285" s="554"/>
      <c r="AE285" s="554"/>
      <c r="AF285" s="554"/>
      <c r="AG285" s="554"/>
    </row>
    <row r="286">
      <c r="A286" s="549"/>
      <c r="B286" s="554"/>
      <c r="C286" s="554"/>
      <c r="D286" s="554"/>
      <c r="E286" s="554"/>
      <c r="F286" s="561"/>
      <c r="G286" s="554"/>
      <c r="H286" s="554"/>
      <c r="I286" s="554"/>
      <c r="J286" s="554"/>
      <c r="K286" s="554"/>
      <c r="L286" s="554"/>
      <c r="M286" s="554"/>
      <c r="N286" s="554"/>
      <c r="O286" s="554"/>
      <c r="P286" s="554"/>
      <c r="Q286" s="554"/>
      <c r="R286" s="554"/>
      <c r="S286" s="554"/>
      <c r="T286" s="554"/>
      <c r="U286" s="554"/>
      <c r="V286" s="554"/>
      <c r="W286" s="554"/>
      <c r="X286" s="554"/>
      <c r="Y286" s="554"/>
      <c r="Z286" s="554"/>
      <c r="AA286" s="554"/>
      <c r="AB286" s="554"/>
      <c r="AC286" s="554"/>
      <c r="AD286" s="554"/>
      <c r="AE286" s="554"/>
      <c r="AF286" s="554"/>
      <c r="AG286" s="554"/>
    </row>
    <row r="287">
      <c r="A287" s="549"/>
      <c r="B287" s="554"/>
      <c r="C287" s="554"/>
      <c r="D287" s="554"/>
      <c r="E287" s="554"/>
      <c r="F287" s="561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54"/>
      <c r="AB287" s="554"/>
      <c r="AC287" s="554"/>
      <c r="AD287" s="554"/>
      <c r="AE287" s="554"/>
      <c r="AF287" s="554"/>
      <c r="AG287" s="554"/>
    </row>
    <row r="288">
      <c r="A288" s="549"/>
      <c r="B288" s="554"/>
      <c r="C288" s="554"/>
      <c r="D288" s="554"/>
      <c r="E288" s="554"/>
      <c r="F288" s="561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54"/>
      <c r="AB288" s="554"/>
      <c r="AC288" s="554"/>
      <c r="AD288" s="554"/>
      <c r="AE288" s="554"/>
      <c r="AF288" s="554"/>
      <c r="AG288" s="554"/>
    </row>
    <row r="289">
      <c r="A289" s="549"/>
      <c r="B289" s="554"/>
      <c r="C289" s="554"/>
      <c r="D289" s="554"/>
      <c r="E289" s="554"/>
      <c r="F289" s="561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54"/>
      <c r="AB289" s="554"/>
      <c r="AC289" s="554"/>
      <c r="AD289" s="554"/>
      <c r="AE289" s="554"/>
      <c r="AF289" s="554"/>
      <c r="AG289" s="554"/>
    </row>
    <row r="290">
      <c r="A290" s="549"/>
      <c r="B290" s="554"/>
      <c r="C290" s="554"/>
      <c r="D290" s="554"/>
      <c r="E290" s="554"/>
      <c r="F290" s="561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554"/>
      <c r="AB290" s="554"/>
      <c r="AC290" s="554"/>
      <c r="AD290" s="554"/>
      <c r="AE290" s="554"/>
      <c r="AF290" s="554"/>
      <c r="AG290" s="554"/>
    </row>
    <row r="291">
      <c r="A291" s="549"/>
      <c r="B291" s="554"/>
      <c r="C291" s="554"/>
      <c r="D291" s="554"/>
      <c r="E291" s="554"/>
      <c r="F291" s="561"/>
      <c r="G291" s="554"/>
      <c r="H291" s="554"/>
      <c r="I291" s="554"/>
      <c r="J291" s="554"/>
      <c r="K291" s="554"/>
      <c r="L291" s="554"/>
      <c r="M291" s="554"/>
      <c r="N291" s="554"/>
      <c r="O291" s="554"/>
      <c r="P291" s="554"/>
      <c r="Q291" s="554"/>
      <c r="R291" s="554"/>
      <c r="S291" s="554"/>
      <c r="T291" s="554"/>
      <c r="U291" s="554"/>
      <c r="V291" s="554"/>
      <c r="W291" s="554"/>
      <c r="X291" s="554"/>
      <c r="Y291" s="554"/>
      <c r="Z291" s="554"/>
      <c r="AA291" s="554"/>
      <c r="AB291" s="554"/>
      <c r="AC291" s="554"/>
      <c r="AD291" s="554"/>
      <c r="AE291" s="554"/>
      <c r="AF291" s="554"/>
      <c r="AG291" s="554"/>
    </row>
    <row r="292">
      <c r="A292" s="549"/>
      <c r="B292" s="554"/>
      <c r="C292" s="554"/>
      <c r="D292" s="554"/>
      <c r="E292" s="554"/>
      <c r="F292" s="561"/>
      <c r="G292" s="554"/>
      <c r="H292" s="554"/>
      <c r="I292" s="554"/>
      <c r="J292" s="554"/>
      <c r="K292" s="554"/>
      <c r="L292" s="554"/>
      <c r="M292" s="554"/>
      <c r="N292" s="554"/>
      <c r="O292" s="554"/>
      <c r="P292" s="554"/>
      <c r="Q292" s="554"/>
      <c r="R292" s="554"/>
      <c r="S292" s="554"/>
      <c r="T292" s="554"/>
      <c r="U292" s="554"/>
      <c r="V292" s="554"/>
      <c r="W292" s="554"/>
      <c r="X292" s="554"/>
      <c r="Y292" s="554"/>
      <c r="Z292" s="554"/>
      <c r="AA292" s="554"/>
      <c r="AB292" s="554"/>
      <c r="AC292" s="554"/>
      <c r="AD292" s="554"/>
      <c r="AE292" s="554"/>
      <c r="AF292" s="554"/>
      <c r="AG292" s="554"/>
    </row>
    <row r="293">
      <c r="A293" s="549"/>
      <c r="B293" s="554"/>
      <c r="C293" s="554"/>
      <c r="D293" s="554"/>
      <c r="E293" s="554"/>
      <c r="F293" s="561"/>
      <c r="G293" s="554"/>
      <c r="H293" s="554"/>
      <c r="I293" s="554"/>
      <c r="J293" s="554"/>
      <c r="K293" s="554"/>
      <c r="L293" s="554"/>
      <c r="M293" s="554"/>
      <c r="N293" s="554"/>
      <c r="O293" s="554"/>
      <c r="P293" s="554"/>
      <c r="Q293" s="554"/>
      <c r="R293" s="554"/>
      <c r="S293" s="554"/>
      <c r="T293" s="554"/>
      <c r="U293" s="554"/>
      <c r="V293" s="554"/>
      <c r="W293" s="554"/>
      <c r="X293" s="554"/>
      <c r="Y293" s="554"/>
      <c r="Z293" s="554"/>
      <c r="AA293" s="554"/>
      <c r="AB293" s="554"/>
      <c r="AC293" s="554"/>
      <c r="AD293" s="554"/>
      <c r="AE293" s="554"/>
      <c r="AF293" s="554"/>
      <c r="AG293" s="554"/>
    </row>
    <row r="294">
      <c r="A294" s="549"/>
      <c r="B294" s="554"/>
      <c r="C294" s="554"/>
      <c r="D294" s="554"/>
      <c r="E294" s="554"/>
      <c r="F294" s="561"/>
      <c r="G294" s="554"/>
      <c r="H294" s="554"/>
      <c r="I294" s="554"/>
      <c r="J294" s="554"/>
      <c r="K294" s="554"/>
      <c r="L294" s="554"/>
      <c r="M294" s="554"/>
      <c r="N294" s="554"/>
      <c r="O294" s="554"/>
      <c r="P294" s="554"/>
      <c r="Q294" s="554"/>
      <c r="R294" s="554"/>
      <c r="S294" s="554"/>
      <c r="T294" s="554"/>
      <c r="U294" s="554"/>
      <c r="V294" s="554"/>
      <c r="W294" s="554"/>
      <c r="X294" s="554"/>
      <c r="Y294" s="554"/>
      <c r="Z294" s="554"/>
      <c r="AA294" s="554"/>
      <c r="AB294" s="554"/>
      <c r="AC294" s="554"/>
      <c r="AD294" s="554"/>
      <c r="AE294" s="554"/>
      <c r="AF294" s="554"/>
      <c r="AG294" s="554"/>
    </row>
    <row r="295">
      <c r="A295" s="549"/>
      <c r="B295" s="554"/>
      <c r="C295" s="554"/>
      <c r="D295" s="554"/>
      <c r="E295" s="554"/>
      <c r="F295" s="561"/>
      <c r="G295" s="554"/>
      <c r="H295" s="554"/>
      <c r="I295" s="554"/>
      <c r="J295" s="554"/>
      <c r="K295" s="554"/>
      <c r="L295" s="554"/>
      <c r="M295" s="554"/>
      <c r="N295" s="554"/>
      <c r="O295" s="554"/>
      <c r="P295" s="554"/>
      <c r="Q295" s="554"/>
      <c r="R295" s="554"/>
      <c r="S295" s="554"/>
      <c r="T295" s="554"/>
      <c r="U295" s="554"/>
      <c r="V295" s="554"/>
      <c r="W295" s="554"/>
      <c r="X295" s="554"/>
      <c r="Y295" s="554"/>
      <c r="Z295" s="554"/>
      <c r="AA295" s="554"/>
      <c r="AB295" s="554"/>
      <c r="AC295" s="554"/>
      <c r="AD295" s="554"/>
      <c r="AE295" s="554"/>
      <c r="AF295" s="554"/>
      <c r="AG295" s="554"/>
    </row>
    <row r="296">
      <c r="A296" s="549"/>
      <c r="B296" s="554"/>
      <c r="C296" s="554"/>
      <c r="D296" s="554"/>
      <c r="E296" s="554"/>
      <c r="F296" s="561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54"/>
      <c r="AB296" s="554"/>
      <c r="AC296" s="554"/>
      <c r="AD296" s="554"/>
      <c r="AE296" s="554"/>
      <c r="AF296" s="554"/>
      <c r="AG296" s="554"/>
    </row>
    <row r="297">
      <c r="A297" s="549"/>
      <c r="B297" s="554"/>
      <c r="C297" s="554"/>
      <c r="D297" s="554"/>
      <c r="E297" s="554"/>
      <c r="F297" s="561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54"/>
      <c r="AB297" s="554"/>
      <c r="AC297" s="554"/>
      <c r="AD297" s="554"/>
      <c r="AE297" s="554"/>
      <c r="AF297" s="554"/>
      <c r="AG297" s="554"/>
    </row>
    <row r="298">
      <c r="A298" s="549"/>
      <c r="B298" s="554"/>
      <c r="C298" s="554"/>
      <c r="D298" s="554"/>
      <c r="E298" s="554"/>
      <c r="F298" s="561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54"/>
      <c r="AB298" s="554"/>
      <c r="AC298" s="554"/>
      <c r="AD298" s="554"/>
      <c r="AE298" s="554"/>
      <c r="AF298" s="554"/>
      <c r="AG298" s="554"/>
    </row>
    <row r="299">
      <c r="A299" s="549"/>
      <c r="B299" s="554"/>
      <c r="C299" s="554"/>
      <c r="D299" s="554"/>
      <c r="E299" s="554"/>
      <c r="F299" s="561"/>
      <c r="G299" s="554"/>
      <c r="H299" s="554"/>
      <c r="I299" s="554"/>
      <c r="J299" s="554"/>
      <c r="K299" s="554"/>
      <c r="L299" s="554"/>
      <c r="M299" s="554"/>
      <c r="N299" s="554"/>
      <c r="O299" s="554"/>
      <c r="P299" s="554"/>
      <c r="Q299" s="554"/>
      <c r="R299" s="554"/>
      <c r="S299" s="554"/>
      <c r="T299" s="554"/>
      <c r="U299" s="554"/>
      <c r="V299" s="554"/>
      <c r="W299" s="554"/>
      <c r="X299" s="554"/>
      <c r="Y299" s="554"/>
      <c r="Z299" s="554"/>
      <c r="AA299" s="554"/>
      <c r="AB299" s="554"/>
      <c r="AC299" s="554"/>
      <c r="AD299" s="554"/>
      <c r="AE299" s="554"/>
      <c r="AF299" s="554"/>
      <c r="AG299" s="554"/>
    </row>
    <row r="300">
      <c r="A300" s="549"/>
      <c r="B300" s="554"/>
      <c r="C300" s="554"/>
      <c r="D300" s="554"/>
      <c r="E300" s="554"/>
      <c r="F300" s="561"/>
      <c r="G300" s="554"/>
      <c r="H300" s="554"/>
      <c r="I300" s="554"/>
      <c r="J300" s="554"/>
      <c r="K300" s="554"/>
      <c r="L300" s="554"/>
      <c r="M300" s="554"/>
      <c r="N300" s="554"/>
      <c r="O300" s="554"/>
      <c r="P300" s="554"/>
      <c r="Q300" s="554"/>
      <c r="R300" s="554"/>
      <c r="S300" s="554"/>
      <c r="T300" s="554"/>
      <c r="U300" s="554"/>
      <c r="V300" s="554"/>
      <c r="W300" s="554"/>
      <c r="X300" s="554"/>
      <c r="Y300" s="554"/>
      <c r="Z300" s="554"/>
      <c r="AA300" s="554"/>
      <c r="AB300" s="554"/>
      <c r="AC300" s="554"/>
      <c r="AD300" s="554"/>
      <c r="AE300" s="554"/>
      <c r="AF300" s="554"/>
      <c r="AG300" s="554"/>
    </row>
    <row r="301">
      <c r="A301" s="549"/>
      <c r="B301" s="554"/>
      <c r="C301" s="554"/>
      <c r="D301" s="554"/>
      <c r="E301" s="554"/>
      <c r="F301" s="561"/>
      <c r="G301" s="554"/>
      <c r="H301" s="554"/>
      <c r="I301" s="554"/>
      <c r="J301" s="554"/>
      <c r="K301" s="554"/>
      <c r="L301" s="554"/>
      <c r="M301" s="554"/>
      <c r="N301" s="554"/>
      <c r="O301" s="554"/>
      <c r="P301" s="554"/>
      <c r="Q301" s="554"/>
      <c r="R301" s="554"/>
      <c r="S301" s="554"/>
      <c r="T301" s="554"/>
      <c r="U301" s="554"/>
      <c r="V301" s="554"/>
      <c r="W301" s="554"/>
      <c r="X301" s="554"/>
      <c r="Y301" s="554"/>
      <c r="Z301" s="554"/>
      <c r="AA301" s="554"/>
      <c r="AB301" s="554"/>
      <c r="AC301" s="554"/>
      <c r="AD301" s="554"/>
      <c r="AE301" s="554"/>
      <c r="AF301" s="554"/>
      <c r="AG301" s="554"/>
    </row>
    <row r="302">
      <c r="A302" s="549"/>
      <c r="B302" s="554"/>
      <c r="C302" s="554"/>
      <c r="D302" s="554"/>
      <c r="E302" s="554"/>
      <c r="F302" s="561"/>
      <c r="G302" s="554"/>
      <c r="H302" s="554"/>
      <c r="I302" s="554"/>
      <c r="J302" s="554"/>
      <c r="K302" s="554"/>
      <c r="L302" s="554"/>
      <c r="M302" s="554"/>
      <c r="N302" s="554"/>
      <c r="O302" s="554"/>
      <c r="P302" s="554"/>
      <c r="Q302" s="554"/>
      <c r="R302" s="554"/>
      <c r="S302" s="554"/>
      <c r="T302" s="554"/>
      <c r="U302" s="554"/>
      <c r="V302" s="554"/>
      <c r="W302" s="554"/>
      <c r="X302" s="554"/>
      <c r="Y302" s="554"/>
      <c r="Z302" s="554"/>
      <c r="AA302" s="554"/>
      <c r="AB302" s="554"/>
      <c r="AC302" s="554"/>
      <c r="AD302" s="554"/>
      <c r="AE302" s="554"/>
      <c r="AF302" s="554"/>
      <c r="AG302" s="554"/>
    </row>
    <row r="303">
      <c r="A303" s="549"/>
      <c r="B303" s="554"/>
      <c r="C303" s="554"/>
      <c r="D303" s="554"/>
      <c r="E303" s="554"/>
      <c r="F303" s="561"/>
      <c r="G303" s="554"/>
      <c r="H303" s="554"/>
      <c r="I303" s="554"/>
      <c r="J303" s="554"/>
      <c r="K303" s="554"/>
      <c r="L303" s="554"/>
      <c r="M303" s="554"/>
      <c r="N303" s="554"/>
      <c r="O303" s="554"/>
      <c r="P303" s="554"/>
      <c r="Q303" s="554"/>
      <c r="R303" s="554"/>
      <c r="S303" s="554"/>
      <c r="T303" s="554"/>
      <c r="U303" s="554"/>
      <c r="V303" s="554"/>
      <c r="W303" s="554"/>
      <c r="X303" s="554"/>
      <c r="Y303" s="554"/>
      <c r="Z303" s="554"/>
      <c r="AA303" s="554"/>
      <c r="AB303" s="554"/>
      <c r="AC303" s="554"/>
      <c r="AD303" s="554"/>
      <c r="AE303" s="554"/>
      <c r="AF303" s="554"/>
      <c r="AG303" s="554"/>
    </row>
    <row r="304">
      <c r="A304" s="549"/>
      <c r="B304" s="554"/>
      <c r="C304" s="554"/>
      <c r="D304" s="554"/>
      <c r="E304" s="554"/>
      <c r="F304" s="561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554"/>
      <c r="AB304" s="554"/>
      <c r="AC304" s="554"/>
      <c r="AD304" s="554"/>
      <c r="AE304" s="554"/>
      <c r="AF304" s="554"/>
      <c r="AG304" s="554"/>
    </row>
    <row r="305">
      <c r="A305" s="549"/>
      <c r="B305" s="554"/>
      <c r="C305" s="554"/>
      <c r="D305" s="554"/>
      <c r="E305" s="554"/>
      <c r="F305" s="561"/>
      <c r="G305" s="554"/>
      <c r="H305" s="554"/>
      <c r="I305" s="554"/>
      <c r="J305" s="554"/>
      <c r="K305" s="554"/>
      <c r="L305" s="554"/>
      <c r="M305" s="554"/>
      <c r="N305" s="554"/>
      <c r="O305" s="554"/>
      <c r="P305" s="554"/>
      <c r="Q305" s="554"/>
      <c r="R305" s="554"/>
      <c r="S305" s="554"/>
      <c r="T305" s="554"/>
      <c r="U305" s="554"/>
      <c r="V305" s="554"/>
      <c r="W305" s="554"/>
      <c r="X305" s="554"/>
      <c r="Y305" s="554"/>
      <c r="Z305" s="554"/>
      <c r="AA305" s="554"/>
      <c r="AB305" s="554"/>
      <c r="AC305" s="554"/>
      <c r="AD305" s="554"/>
      <c r="AE305" s="554"/>
      <c r="AF305" s="554"/>
      <c r="AG305" s="554"/>
    </row>
    <row r="306">
      <c r="A306" s="549"/>
      <c r="B306" s="554"/>
      <c r="C306" s="554"/>
      <c r="D306" s="554"/>
      <c r="E306" s="554"/>
      <c r="F306" s="561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54"/>
      <c r="AB306" s="554"/>
      <c r="AC306" s="554"/>
      <c r="AD306" s="554"/>
      <c r="AE306" s="554"/>
      <c r="AF306" s="554"/>
      <c r="AG306" s="554"/>
    </row>
    <row r="307">
      <c r="A307" s="549"/>
      <c r="B307" s="554"/>
      <c r="C307" s="554"/>
      <c r="D307" s="554"/>
      <c r="E307" s="554"/>
      <c r="F307" s="561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54"/>
      <c r="AB307" s="554"/>
      <c r="AC307" s="554"/>
      <c r="AD307" s="554"/>
      <c r="AE307" s="554"/>
      <c r="AF307" s="554"/>
      <c r="AG307" s="554"/>
    </row>
    <row r="308">
      <c r="A308" s="549"/>
      <c r="B308" s="554"/>
      <c r="C308" s="554"/>
      <c r="D308" s="554"/>
      <c r="E308" s="554"/>
      <c r="F308" s="561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54"/>
      <c r="AB308" s="554"/>
      <c r="AC308" s="554"/>
      <c r="AD308" s="554"/>
      <c r="AE308" s="554"/>
      <c r="AF308" s="554"/>
      <c r="AG308" s="554"/>
    </row>
    <row r="309">
      <c r="A309" s="549"/>
      <c r="B309" s="554"/>
      <c r="C309" s="554"/>
      <c r="D309" s="554"/>
      <c r="E309" s="554"/>
      <c r="F309" s="561"/>
      <c r="G309" s="554"/>
      <c r="H309" s="554"/>
      <c r="I309" s="554"/>
      <c r="J309" s="554"/>
      <c r="K309" s="554"/>
      <c r="L309" s="554"/>
      <c r="M309" s="554"/>
      <c r="N309" s="554"/>
      <c r="O309" s="554"/>
      <c r="P309" s="554"/>
      <c r="Q309" s="554"/>
      <c r="R309" s="554"/>
      <c r="S309" s="554"/>
      <c r="T309" s="554"/>
      <c r="U309" s="554"/>
      <c r="V309" s="554"/>
      <c r="W309" s="554"/>
      <c r="X309" s="554"/>
      <c r="Y309" s="554"/>
      <c r="Z309" s="554"/>
      <c r="AA309" s="554"/>
      <c r="AB309" s="554"/>
      <c r="AC309" s="554"/>
      <c r="AD309" s="554"/>
      <c r="AE309" s="554"/>
      <c r="AF309" s="554"/>
      <c r="AG309" s="554"/>
    </row>
    <row r="310">
      <c r="A310" s="549"/>
      <c r="B310" s="554"/>
      <c r="C310" s="554"/>
      <c r="D310" s="554"/>
      <c r="E310" s="554"/>
      <c r="F310" s="561"/>
      <c r="G310" s="554"/>
      <c r="H310" s="554"/>
      <c r="I310" s="554"/>
      <c r="J310" s="554"/>
      <c r="K310" s="554"/>
      <c r="L310" s="554"/>
      <c r="M310" s="554"/>
      <c r="N310" s="554"/>
      <c r="O310" s="554"/>
      <c r="P310" s="554"/>
      <c r="Q310" s="554"/>
      <c r="R310" s="554"/>
      <c r="S310" s="554"/>
      <c r="T310" s="554"/>
      <c r="U310" s="554"/>
      <c r="V310" s="554"/>
      <c r="W310" s="554"/>
      <c r="X310" s="554"/>
      <c r="Y310" s="554"/>
      <c r="Z310" s="554"/>
      <c r="AA310" s="554"/>
      <c r="AB310" s="554"/>
      <c r="AC310" s="554"/>
      <c r="AD310" s="554"/>
      <c r="AE310" s="554"/>
      <c r="AF310" s="554"/>
      <c r="AG310" s="554"/>
    </row>
    <row r="311">
      <c r="A311" s="549"/>
      <c r="B311" s="554"/>
      <c r="C311" s="554"/>
      <c r="D311" s="554"/>
      <c r="E311" s="554"/>
      <c r="F311" s="561"/>
      <c r="G311" s="554"/>
      <c r="H311" s="554"/>
      <c r="I311" s="554"/>
      <c r="J311" s="554"/>
      <c r="K311" s="554"/>
      <c r="L311" s="554"/>
      <c r="M311" s="554"/>
      <c r="N311" s="554"/>
      <c r="O311" s="554"/>
      <c r="P311" s="554"/>
      <c r="Q311" s="554"/>
      <c r="R311" s="554"/>
      <c r="S311" s="554"/>
      <c r="T311" s="554"/>
      <c r="U311" s="554"/>
      <c r="V311" s="554"/>
      <c r="W311" s="554"/>
      <c r="X311" s="554"/>
      <c r="Y311" s="554"/>
      <c r="Z311" s="554"/>
      <c r="AA311" s="554"/>
      <c r="AB311" s="554"/>
      <c r="AC311" s="554"/>
      <c r="AD311" s="554"/>
      <c r="AE311" s="554"/>
      <c r="AF311" s="554"/>
      <c r="AG311" s="554"/>
    </row>
    <row r="312">
      <c r="A312" s="549"/>
      <c r="B312" s="554"/>
      <c r="C312" s="554"/>
      <c r="D312" s="554"/>
      <c r="E312" s="554"/>
      <c r="F312" s="561"/>
      <c r="G312" s="554"/>
      <c r="H312" s="554"/>
      <c r="I312" s="554"/>
      <c r="J312" s="554"/>
      <c r="K312" s="554"/>
      <c r="L312" s="554"/>
      <c r="M312" s="554"/>
      <c r="N312" s="554"/>
      <c r="O312" s="554"/>
      <c r="P312" s="554"/>
      <c r="Q312" s="554"/>
      <c r="R312" s="554"/>
      <c r="S312" s="554"/>
      <c r="T312" s="554"/>
      <c r="U312" s="554"/>
      <c r="V312" s="554"/>
      <c r="W312" s="554"/>
      <c r="X312" s="554"/>
      <c r="Y312" s="554"/>
      <c r="Z312" s="554"/>
      <c r="AA312" s="554"/>
      <c r="AB312" s="554"/>
      <c r="AC312" s="554"/>
      <c r="AD312" s="554"/>
      <c r="AE312" s="554"/>
      <c r="AF312" s="554"/>
      <c r="AG312" s="554"/>
    </row>
    <row r="313">
      <c r="A313" s="549"/>
      <c r="B313" s="554"/>
      <c r="C313" s="554"/>
      <c r="D313" s="554"/>
      <c r="E313" s="554"/>
      <c r="F313" s="561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54"/>
      <c r="AB313" s="554"/>
      <c r="AC313" s="554"/>
      <c r="AD313" s="554"/>
      <c r="AE313" s="554"/>
      <c r="AF313" s="554"/>
      <c r="AG313" s="554"/>
    </row>
    <row r="314">
      <c r="A314" s="549"/>
      <c r="B314" s="554"/>
      <c r="C314" s="554"/>
      <c r="D314" s="554"/>
      <c r="E314" s="554"/>
      <c r="F314" s="561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54"/>
      <c r="AB314" s="554"/>
      <c r="AC314" s="554"/>
      <c r="AD314" s="554"/>
      <c r="AE314" s="554"/>
      <c r="AF314" s="554"/>
      <c r="AG314" s="554"/>
    </row>
    <row r="315">
      <c r="A315" s="549"/>
      <c r="B315" s="554"/>
      <c r="C315" s="554"/>
      <c r="D315" s="554"/>
      <c r="E315" s="554"/>
      <c r="F315" s="561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54"/>
      <c r="AB315" s="554"/>
      <c r="AC315" s="554"/>
      <c r="AD315" s="554"/>
      <c r="AE315" s="554"/>
      <c r="AF315" s="554"/>
      <c r="AG315" s="554"/>
    </row>
    <row r="316">
      <c r="A316" s="549"/>
      <c r="B316" s="554"/>
      <c r="C316" s="554"/>
      <c r="D316" s="554"/>
      <c r="E316" s="554"/>
      <c r="F316" s="561"/>
      <c r="G316" s="554"/>
      <c r="H316" s="554"/>
      <c r="I316" s="554"/>
      <c r="J316" s="554"/>
      <c r="K316" s="554"/>
      <c r="L316" s="554"/>
      <c r="M316" s="554"/>
      <c r="N316" s="554"/>
      <c r="O316" s="554"/>
      <c r="P316" s="554"/>
      <c r="Q316" s="554"/>
      <c r="R316" s="554"/>
      <c r="S316" s="554"/>
      <c r="T316" s="554"/>
      <c r="U316" s="554"/>
      <c r="V316" s="554"/>
      <c r="W316" s="554"/>
      <c r="X316" s="554"/>
      <c r="Y316" s="554"/>
      <c r="Z316" s="554"/>
      <c r="AA316" s="554"/>
      <c r="AB316" s="554"/>
      <c r="AC316" s="554"/>
      <c r="AD316" s="554"/>
      <c r="AE316" s="554"/>
      <c r="AF316" s="554"/>
      <c r="AG316" s="554"/>
    </row>
    <row r="317">
      <c r="A317" s="549"/>
      <c r="B317" s="554"/>
      <c r="C317" s="554"/>
      <c r="D317" s="554"/>
      <c r="E317" s="554"/>
      <c r="F317" s="561"/>
      <c r="G317" s="554"/>
      <c r="H317" s="554"/>
      <c r="I317" s="554"/>
      <c r="J317" s="554"/>
      <c r="K317" s="554"/>
      <c r="L317" s="554"/>
      <c r="M317" s="554"/>
      <c r="N317" s="554"/>
      <c r="O317" s="554"/>
      <c r="P317" s="554"/>
      <c r="Q317" s="554"/>
      <c r="R317" s="554"/>
      <c r="S317" s="554"/>
      <c r="T317" s="554"/>
      <c r="U317" s="554"/>
      <c r="V317" s="554"/>
      <c r="W317" s="554"/>
      <c r="X317" s="554"/>
      <c r="Y317" s="554"/>
      <c r="Z317" s="554"/>
      <c r="AA317" s="554"/>
      <c r="AB317" s="554"/>
      <c r="AC317" s="554"/>
      <c r="AD317" s="554"/>
      <c r="AE317" s="554"/>
      <c r="AF317" s="554"/>
      <c r="AG317" s="554"/>
    </row>
    <row r="318">
      <c r="A318" s="549"/>
      <c r="B318" s="554"/>
      <c r="C318" s="554"/>
      <c r="D318" s="554"/>
      <c r="E318" s="554"/>
      <c r="F318" s="561"/>
      <c r="G318" s="554"/>
      <c r="H318" s="554"/>
      <c r="I318" s="554"/>
      <c r="J318" s="554"/>
      <c r="K318" s="554"/>
      <c r="L318" s="554"/>
      <c r="M318" s="554"/>
      <c r="N318" s="554"/>
      <c r="O318" s="554"/>
      <c r="P318" s="554"/>
      <c r="Q318" s="554"/>
      <c r="R318" s="554"/>
      <c r="S318" s="554"/>
      <c r="T318" s="554"/>
      <c r="U318" s="554"/>
      <c r="V318" s="554"/>
      <c r="W318" s="554"/>
      <c r="X318" s="554"/>
      <c r="Y318" s="554"/>
      <c r="Z318" s="554"/>
      <c r="AA318" s="554"/>
      <c r="AB318" s="554"/>
      <c r="AC318" s="554"/>
      <c r="AD318" s="554"/>
      <c r="AE318" s="554"/>
      <c r="AF318" s="554"/>
      <c r="AG318" s="554"/>
    </row>
    <row r="319">
      <c r="A319" s="549"/>
      <c r="B319" s="554"/>
      <c r="C319" s="554"/>
      <c r="D319" s="554"/>
      <c r="E319" s="554"/>
      <c r="F319" s="561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54"/>
      <c r="AB319" s="554"/>
      <c r="AC319" s="554"/>
      <c r="AD319" s="554"/>
      <c r="AE319" s="554"/>
      <c r="AF319" s="554"/>
      <c r="AG319" s="554"/>
    </row>
    <row r="320">
      <c r="A320" s="549"/>
      <c r="B320" s="554"/>
      <c r="C320" s="554"/>
      <c r="D320" s="554"/>
      <c r="E320" s="554"/>
      <c r="F320" s="561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54"/>
      <c r="AB320" s="554"/>
      <c r="AC320" s="554"/>
      <c r="AD320" s="554"/>
      <c r="AE320" s="554"/>
      <c r="AF320" s="554"/>
      <c r="AG320" s="554"/>
    </row>
    <row r="321">
      <c r="A321" s="549"/>
      <c r="B321" s="554"/>
      <c r="C321" s="554"/>
      <c r="D321" s="554"/>
      <c r="E321" s="554"/>
      <c r="F321" s="561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54"/>
      <c r="AB321" s="554"/>
      <c r="AC321" s="554"/>
      <c r="AD321" s="554"/>
      <c r="AE321" s="554"/>
      <c r="AF321" s="554"/>
      <c r="AG321" s="554"/>
    </row>
    <row r="322">
      <c r="A322" s="549"/>
      <c r="B322" s="554"/>
      <c r="C322" s="554"/>
      <c r="D322" s="554"/>
      <c r="E322" s="554"/>
      <c r="F322" s="561"/>
      <c r="G322" s="554"/>
      <c r="H322" s="554"/>
      <c r="I322" s="554"/>
      <c r="J322" s="554"/>
      <c r="K322" s="554"/>
      <c r="L322" s="554"/>
      <c r="M322" s="554"/>
      <c r="N322" s="554"/>
      <c r="O322" s="554"/>
      <c r="P322" s="554"/>
      <c r="Q322" s="554"/>
      <c r="R322" s="554"/>
      <c r="S322" s="554"/>
      <c r="T322" s="554"/>
      <c r="U322" s="554"/>
      <c r="V322" s="554"/>
      <c r="W322" s="554"/>
      <c r="X322" s="554"/>
      <c r="Y322" s="554"/>
      <c r="Z322" s="554"/>
      <c r="AA322" s="554"/>
      <c r="AB322" s="554"/>
      <c r="AC322" s="554"/>
      <c r="AD322" s="554"/>
      <c r="AE322" s="554"/>
      <c r="AF322" s="554"/>
      <c r="AG322" s="554"/>
    </row>
    <row r="323">
      <c r="A323" s="549"/>
      <c r="B323" s="554"/>
      <c r="C323" s="554"/>
      <c r="D323" s="554"/>
      <c r="E323" s="554"/>
      <c r="F323" s="561"/>
      <c r="G323" s="554"/>
      <c r="H323" s="554"/>
      <c r="I323" s="554"/>
      <c r="J323" s="554"/>
      <c r="K323" s="554"/>
      <c r="L323" s="554"/>
      <c r="M323" s="554"/>
      <c r="N323" s="554"/>
      <c r="O323" s="554"/>
      <c r="P323" s="554"/>
      <c r="Q323" s="554"/>
      <c r="R323" s="554"/>
      <c r="S323" s="554"/>
      <c r="T323" s="554"/>
      <c r="U323" s="554"/>
      <c r="V323" s="554"/>
      <c r="W323" s="554"/>
      <c r="X323" s="554"/>
      <c r="Y323" s="554"/>
      <c r="Z323" s="554"/>
      <c r="AA323" s="554"/>
      <c r="AB323" s="554"/>
      <c r="AC323" s="554"/>
      <c r="AD323" s="554"/>
      <c r="AE323" s="554"/>
      <c r="AF323" s="554"/>
      <c r="AG323" s="554"/>
    </row>
    <row r="324">
      <c r="A324" s="549"/>
      <c r="B324" s="554"/>
      <c r="C324" s="554"/>
      <c r="D324" s="554"/>
      <c r="E324" s="554"/>
      <c r="F324" s="561"/>
      <c r="G324" s="554"/>
      <c r="H324" s="554"/>
      <c r="I324" s="554"/>
      <c r="J324" s="554"/>
      <c r="K324" s="554"/>
      <c r="L324" s="554"/>
      <c r="M324" s="554"/>
      <c r="N324" s="554"/>
      <c r="O324" s="554"/>
      <c r="P324" s="554"/>
      <c r="Q324" s="554"/>
      <c r="R324" s="554"/>
      <c r="S324" s="554"/>
      <c r="T324" s="554"/>
      <c r="U324" s="554"/>
      <c r="V324" s="554"/>
      <c r="W324" s="554"/>
      <c r="X324" s="554"/>
      <c r="Y324" s="554"/>
      <c r="Z324" s="554"/>
      <c r="AA324" s="554"/>
      <c r="AB324" s="554"/>
      <c r="AC324" s="554"/>
      <c r="AD324" s="554"/>
      <c r="AE324" s="554"/>
      <c r="AF324" s="554"/>
      <c r="AG324" s="554"/>
    </row>
    <row r="325">
      <c r="A325" s="549"/>
      <c r="B325" s="554"/>
      <c r="C325" s="554"/>
      <c r="D325" s="554"/>
      <c r="E325" s="554"/>
      <c r="F325" s="561"/>
      <c r="G325" s="554"/>
      <c r="H325" s="554"/>
      <c r="I325" s="554"/>
      <c r="J325" s="554"/>
      <c r="K325" s="554"/>
      <c r="L325" s="554"/>
      <c r="M325" s="554"/>
      <c r="N325" s="554"/>
      <c r="O325" s="554"/>
      <c r="P325" s="554"/>
      <c r="Q325" s="554"/>
      <c r="R325" s="554"/>
      <c r="S325" s="554"/>
      <c r="T325" s="554"/>
      <c r="U325" s="554"/>
      <c r="V325" s="554"/>
      <c r="W325" s="554"/>
      <c r="X325" s="554"/>
      <c r="Y325" s="554"/>
      <c r="Z325" s="554"/>
      <c r="AA325" s="554"/>
      <c r="AB325" s="554"/>
      <c r="AC325" s="554"/>
      <c r="AD325" s="554"/>
      <c r="AE325" s="554"/>
      <c r="AF325" s="554"/>
      <c r="AG325" s="554"/>
    </row>
    <row r="326">
      <c r="A326" s="549"/>
      <c r="B326" s="554"/>
      <c r="C326" s="554"/>
      <c r="D326" s="554"/>
      <c r="E326" s="554"/>
      <c r="F326" s="561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54"/>
      <c r="AB326" s="554"/>
      <c r="AC326" s="554"/>
      <c r="AD326" s="554"/>
      <c r="AE326" s="554"/>
      <c r="AF326" s="554"/>
      <c r="AG326" s="554"/>
    </row>
    <row r="327">
      <c r="A327" s="549"/>
      <c r="B327" s="554"/>
      <c r="C327" s="554"/>
      <c r="D327" s="554"/>
      <c r="E327" s="554"/>
      <c r="F327" s="561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54"/>
      <c r="AB327" s="554"/>
      <c r="AC327" s="554"/>
      <c r="AD327" s="554"/>
      <c r="AE327" s="554"/>
      <c r="AF327" s="554"/>
      <c r="AG327" s="554"/>
    </row>
    <row r="328">
      <c r="A328" s="549"/>
      <c r="B328" s="554"/>
      <c r="C328" s="554"/>
      <c r="D328" s="554"/>
      <c r="E328" s="554"/>
      <c r="F328" s="561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54"/>
      <c r="AB328" s="554"/>
      <c r="AC328" s="554"/>
      <c r="AD328" s="554"/>
      <c r="AE328" s="554"/>
      <c r="AF328" s="554"/>
      <c r="AG328" s="554"/>
    </row>
    <row r="329">
      <c r="A329" s="549"/>
      <c r="B329" s="554"/>
      <c r="C329" s="554"/>
      <c r="D329" s="554"/>
      <c r="E329" s="554"/>
      <c r="F329" s="561"/>
      <c r="G329" s="554"/>
      <c r="H329" s="554"/>
      <c r="I329" s="554"/>
      <c r="J329" s="554"/>
      <c r="K329" s="554"/>
      <c r="L329" s="554"/>
      <c r="M329" s="554"/>
      <c r="N329" s="554"/>
      <c r="O329" s="554"/>
      <c r="P329" s="554"/>
      <c r="Q329" s="554"/>
      <c r="R329" s="554"/>
      <c r="S329" s="554"/>
      <c r="T329" s="554"/>
      <c r="U329" s="554"/>
      <c r="V329" s="554"/>
      <c r="W329" s="554"/>
      <c r="X329" s="554"/>
      <c r="Y329" s="554"/>
      <c r="Z329" s="554"/>
      <c r="AA329" s="554"/>
      <c r="AB329" s="554"/>
      <c r="AC329" s="554"/>
      <c r="AD329" s="554"/>
      <c r="AE329" s="554"/>
      <c r="AF329" s="554"/>
      <c r="AG329" s="554"/>
    </row>
    <row r="330">
      <c r="A330" s="549"/>
      <c r="B330" s="554"/>
      <c r="C330" s="554"/>
      <c r="D330" s="554"/>
      <c r="E330" s="554"/>
      <c r="F330" s="561"/>
      <c r="G330" s="554"/>
      <c r="H330" s="554"/>
      <c r="I330" s="554"/>
      <c r="J330" s="554"/>
      <c r="K330" s="554"/>
      <c r="L330" s="554"/>
      <c r="M330" s="554"/>
      <c r="N330" s="554"/>
      <c r="O330" s="554"/>
      <c r="P330" s="554"/>
      <c r="Q330" s="554"/>
      <c r="R330" s="554"/>
      <c r="S330" s="554"/>
      <c r="T330" s="554"/>
      <c r="U330" s="554"/>
      <c r="V330" s="554"/>
      <c r="W330" s="554"/>
      <c r="X330" s="554"/>
      <c r="Y330" s="554"/>
      <c r="Z330" s="554"/>
      <c r="AA330" s="554"/>
      <c r="AB330" s="554"/>
      <c r="AC330" s="554"/>
      <c r="AD330" s="554"/>
      <c r="AE330" s="554"/>
      <c r="AF330" s="554"/>
      <c r="AG330" s="554"/>
    </row>
    <row r="331">
      <c r="A331" s="549"/>
      <c r="B331" s="554"/>
      <c r="C331" s="554"/>
      <c r="D331" s="554"/>
      <c r="E331" s="554"/>
      <c r="F331" s="561"/>
      <c r="G331" s="554"/>
      <c r="H331" s="554"/>
      <c r="I331" s="554"/>
      <c r="J331" s="554"/>
      <c r="K331" s="554"/>
      <c r="L331" s="554"/>
      <c r="M331" s="554"/>
      <c r="N331" s="554"/>
      <c r="O331" s="554"/>
      <c r="P331" s="554"/>
      <c r="Q331" s="554"/>
      <c r="R331" s="554"/>
      <c r="S331" s="554"/>
      <c r="T331" s="554"/>
      <c r="U331" s="554"/>
      <c r="V331" s="554"/>
      <c r="W331" s="554"/>
      <c r="X331" s="554"/>
      <c r="Y331" s="554"/>
      <c r="Z331" s="554"/>
      <c r="AA331" s="554"/>
      <c r="AB331" s="554"/>
      <c r="AC331" s="554"/>
      <c r="AD331" s="554"/>
      <c r="AE331" s="554"/>
      <c r="AF331" s="554"/>
      <c r="AG331" s="554"/>
    </row>
    <row r="332">
      <c r="A332" s="549"/>
      <c r="B332" s="554"/>
      <c r="C332" s="554"/>
      <c r="D332" s="554"/>
      <c r="E332" s="554"/>
      <c r="F332" s="561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54"/>
      <c r="AB332" s="554"/>
      <c r="AC332" s="554"/>
      <c r="AD332" s="554"/>
      <c r="AE332" s="554"/>
      <c r="AF332" s="554"/>
      <c r="AG332" s="554"/>
    </row>
    <row r="333">
      <c r="A333" s="549"/>
      <c r="B333" s="554"/>
      <c r="C333" s="554"/>
      <c r="D333" s="554"/>
      <c r="E333" s="554"/>
      <c r="F333" s="561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54"/>
      <c r="AB333" s="554"/>
      <c r="AC333" s="554"/>
      <c r="AD333" s="554"/>
      <c r="AE333" s="554"/>
      <c r="AF333" s="554"/>
      <c r="AG333" s="554"/>
    </row>
    <row r="334">
      <c r="A334" s="549"/>
      <c r="B334" s="554"/>
      <c r="C334" s="554"/>
      <c r="D334" s="554"/>
      <c r="E334" s="554"/>
      <c r="F334" s="561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54"/>
      <c r="AB334" s="554"/>
      <c r="AC334" s="554"/>
      <c r="AD334" s="554"/>
      <c r="AE334" s="554"/>
      <c r="AF334" s="554"/>
      <c r="AG334" s="554"/>
    </row>
    <row r="335">
      <c r="A335" s="549"/>
      <c r="B335" s="554"/>
      <c r="C335" s="554"/>
      <c r="D335" s="554"/>
      <c r="E335" s="554"/>
      <c r="F335" s="561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54"/>
      <c r="AB335" s="554"/>
      <c r="AC335" s="554"/>
      <c r="AD335" s="554"/>
      <c r="AE335" s="554"/>
      <c r="AF335" s="554"/>
      <c r="AG335" s="554"/>
    </row>
    <row r="336">
      <c r="A336" s="549"/>
      <c r="B336" s="554"/>
      <c r="C336" s="554"/>
      <c r="D336" s="554"/>
      <c r="E336" s="554"/>
      <c r="F336" s="561"/>
      <c r="G336" s="554"/>
      <c r="H336" s="554"/>
      <c r="I336" s="554"/>
      <c r="J336" s="554"/>
      <c r="K336" s="554"/>
      <c r="L336" s="554"/>
      <c r="M336" s="554"/>
      <c r="N336" s="554"/>
      <c r="O336" s="554"/>
      <c r="P336" s="554"/>
      <c r="Q336" s="554"/>
      <c r="R336" s="554"/>
      <c r="S336" s="554"/>
      <c r="T336" s="554"/>
      <c r="U336" s="554"/>
      <c r="V336" s="554"/>
      <c r="W336" s="554"/>
      <c r="X336" s="554"/>
      <c r="Y336" s="554"/>
      <c r="Z336" s="554"/>
      <c r="AA336" s="554"/>
      <c r="AB336" s="554"/>
      <c r="AC336" s="554"/>
      <c r="AD336" s="554"/>
      <c r="AE336" s="554"/>
      <c r="AF336" s="554"/>
      <c r="AG336" s="554"/>
    </row>
    <row r="337">
      <c r="A337" s="549"/>
      <c r="B337" s="554"/>
      <c r="C337" s="554"/>
      <c r="D337" s="554"/>
      <c r="E337" s="554"/>
      <c r="F337" s="561"/>
      <c r="G337" s="554"/>
      <c r="H337" s="554"/>
      <c r="I337" s="554"/>
      <c r="J337" s="554"/>
      <c r="K337" s="554"/>
      <c r="L337" s="554"/>
      <c r="M337" s="554"/>
      <c r="N337" s="554"/>
      <c r="O337" s="554"/>
      <c r="P337" s="554"/>
      <c r="Q337" s="554"/>
      <c r="R337" s="554"/>
      <c r="S337" s="554"/>
      <c r="T337" s="554"/>
      <c r="U337" s="554"/>
      <c r="V337" s="554"/>
      <c r="W337" s="554"/>
      <c r="X337" s="554"/>
      <c r="Y337" s="554"/>
      <c r="Z337" s="554"/>
      <c r="AA337" s="554"/>
      <c r="AB337" s="554"/>
      <c r="AC337" s="554"/>
      <c r="AD337" s="554"/>
      <c r="AE337" s="554"/>
      <c r="AF337" s="554"/>
      <c r="AG337" s="554"/>
    </row>
    <row r="338">
      <c r="A338" s="549"/>
      <c r="B338" s="554"/>
      <c r="C338" s="554"/>
      <c r="D338" s="554"/>
      <c r="E338" s="554"/>
      <c r="F338" s="561"/>
      <c r="G338" s="554"/>
      <c r="H338" s="554"/>
      <c r="I338" s="554"/>
      <c r="J338" s="554"/>
      <c r="K338" s="554"/>
      <c r="L338" s="554"/>
      <c r="M338" s="554"/>
      <c r="N338" s="554"/>
      <c r="O338" s="554"/>
      <c r="P338" s="554"/>
      <c r="Q338" s="554"/>
      <c r="R338" s="554"/>
      <c r="S338" s="554"/>
      <c r="T338" s="554"/>
      <c r="U338" s="554"/>
      <c r="V338" s="554"/>
      <c r="W338" s="554"/>
      <c r="X338" s="554"/>
      <c r="Y338" s="554"/>
      <c r="Z338" s="554"/>
      <c r="AA338" s="554"/>
      <c r="AB338" s="554"/>
      <c r="AC338" s="554"/>
      <c r="AD338" s="554"/>
      <c r="AE338" s="554"/>
      <c r="AF338" s="554"/>
      <c r="AG338" s="554"/>
    </row>
    <row r="339">
      <c r="A339" s="549"/>
      <c r="B339" s="554"/>
      <c r="C339" s="554"/>
      <c r="D339" s="554"/>
      <c r="E339" s="554"/>
      <c r="F339" s="561"/>
      <c r="G339" s="554"/>
      <c r="H339" s="554"/>
      <c r="I339" s="554"/>
      <c r="J339" s="554"/>
      <c r="K339" s="554"/>
      <c r="L339" s="554"/>
      <c r="M339" s="554"/>
      <c r="N339" s="554"/>
      <c r="O339" s="554"/>
      <c r="P339" s="554"/>
      <c r="Q339" s="554"/>
      <c r="R339" s="554"/>
      <c r="S339" s="554"/>
      <c r="T339" s="554"/>
      <c r="U339" s="554"/>
      <c r="V339" s="554"/>
      <c r="W339" s="554"/>
      <c r="X339" s="554"/>
      <c r="Y339" s="554"/>
      <c r="Z339" s="554"/>
      <c r="AA339" s="554"/>
      <c r="AB339" s="554"/>
      <c r="AC339" s="554"/>
      <c r="AD339" s="554"/>
      <c r="AE339" s="554"/>
      <c r="AF339" s="554"/>
      <c r="AG339" s="554"/>
    </row>
    <row r="340">
      <c r="A340" s="549"/>
      <c r="B340" s="554"/>
      <c r="C340" s="554"/>
      <c r="D340" s="554"/>
      <c r="E340" s="554"/>
      <c r="F340" s="561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54"/>
      <c r="AB340" s="554"/>
      <c r="AC340" s="554"/>
      <c r="AD340" s="554"/>
      <c r="AE340" s="554"/>
      <c r="AF340" s="554"/>
      <c r="AG340" s="554"/>
    </row>
    <row r="341">
      <c r="A341" s="549"/>
      <c r="B341" s="554"/>
      <c r="C341" s="554"/>
      <c r="D341" s="554"/>
      <c r="E341" s="554"/>
      <c r="F341" s="561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54"/>
      <c r="AB341" s="554"/>
      <c r="AC341" s="554"/>
      <c r="AD341" s="554"/>
      <c r="AE341" s="554"/>
      <c r="AF341" s="554"/>
      <c r="AG341" s="554"/>
    </row>
    <row r="342">
      <c r="A342" s="549"/>
      <c r="B342" s="554"/>
      <c r="C342" s="554"/>
      <c r="D342" s="554"/>
      <c r="E342" s="554"/>
      <c r="F342" s="561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54"/>
      <c r="AB342" s="554"/>
      <c r="AC342" s="554"/>
      <c r="AD342" s="554"/>
      <c r="AE342" s="554"/>
      <c r="AF342" s="554"/>
      <c r="AG342" s="554"/>
    </row>
    <row r="343">
      <c r="A343" s="549"/>
      <c r="B343" s="554"/>
      <c r="C343" s="554"/>
      <c r="D343" s="554"/>
      <c r="E343" s="554"/>
      <c r="F343" s="561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54"/>
      <c r="AB343" s="554"/>
      <c r="AC343" s="554"/>
      <c r="AD343" s="554"/>
      <c r="AE343" s="554"/>
      <c r="AF343" s="554"/>
      <c r="AG343" s="554"/>
    </row>
    <row r="344">
      <c r="A344" s="549"/>
      <c r="B344" s="554"/>
      <c r="C344" s="554"/>
      <c r="D344" s="554"/>
      <c r="E344" s="554"/>
      <c r="F344" s="561"/>
      <c r="G344" s="554"/>
      <c r="H344" s="554"/>
      <c r="I344" s="554"/>
      <c r="J344" s="554"/>
      <c r="K344" s="554"/>
      <c r="L344" s="554"/>
      <c r="M344" s="554"/>
      <c r="N344" s="554"/>
      <c r="O344" s="554"/>
      <c r="P344" s="554"/>
      <c r="Q344" s="554"/>
      <c r="R344" s="554"/>
      <c r="S344" s="554"/>
      <c r="T344" s="554"/>
      <c r="U344" s="554"/>
      <c r="V344" s="554"/>
      <c r="W344" s="554"/>
      <c r="X344" s="554"/>
      <c r="Y344" s="554"/>
      <c r="Z344" s="554"/>
      <c r="AA344" s="554"/>
      <c r="AB344" s="554"/>
      <c r="AC344" s="554"/>
      <c r="AD344" s="554"/>
      <c r="AE344" s="554"/>
      <c r="AF344" s="554"/>
      <c r="AG344" s="554"/>
    </row>
    <row r="345">
      <c r="A345" s="549"/>
      <c r="B345" s="554"/>
      <c r="C345" s="554"/>
      <c r="D345" s="554"/>
      <c r="E345" s="554"/>
      <c r="F345" s="561"/>
      <c r="G345" s="554"/>
      <c r="H345" s="554"/>
      <c r="I345" s="554"/>
      <c r="J345" s="554"/>
      <c r="K345" s="554"/>
      <c r="L345" s="554"/>
      <c r="M345" s="554"/>
      <c r="N345" s="554"/>
      <c r="O345" s="554"/>
      <c r="P345" s="554"/>
      <c r="Q345" s="554"/>
      <c r="R345" s="554"/>
      <c r="S345" s="554"/>
      <c r="T345" s="554"/>
      <c r="U345" s="554"/>
      <c r="V345" s="554"/>
      <c r="W345" s="554"/>
      <c r="X345" s="554"/>
      <c r="Y345" s="554"/>
      <c r="Z345" s="554"/>
      <c r="AA345" s="554"/>
      <c r="AB345" s="554"/>
      <c r="AC345" s="554"/>
      <c r="AD345" s="554"/>
      <c r="AE345" s="554"/>
      <c r="AF345" s="554"/>
      <c r="AG345" s="554"/>
    </row>
    <row r="346">
      <c r="A346" s="549"/>
      <c r="B346" s="554"/>
      <c r="C346" s="554"/>
      <c r="D346" s="554"/>
      <c r="E346" s="554"/>
      <c r="F346" s="561"/>
      <c r="G346" s="554"/>
      <c r="H346" s="554"/>
      <c r="I346" s="554"/>
      <c r="J346" s="554"/>
      <c r="K346" s="554"/>
      <c r="L346" s="554"/>
      <c r="M346" s="554"/>
      <c r="N346" s="554"/>
      <c r="O346" s="554"/>
      <c r="P346" s="554"/>
      <c r="Q346" s="554"/>
      <c r="R346" s="554"/>
      <c r="S346" s="554"/>
      <c r="T346" s="554"/>
      <c r="U346" s="554"/>
      <c r="V346" s="554"/>
      <c r="W346" s="554"/>
      <c r="X346" s="554"/>
      <c r="Y346" s="554"/>
      <c r="Z346" s="554"/>
      <c r="AA346" s="554"/>
      <c r="AB346" s="554"/>
      <c r="AC346" s="554"/>
      <c r="AD346" s="554"/>
      <c r="AE346" s="554"/>
      <c r="AF346" s="554"/>
      <c r="AG346" s="554"/>
    </row>
    <row r="347">
      <c r="A347" s="549"/>
      <c r="B347" s="554"/>
      <c r="C347" s="554"/>
      <c r="D347" s="554"/>
      <c r="E347" s="554"/>
      <c r="F347" s="561"/>
      <c r="G347" s="554"/>
      <c r="H347" s="554"/>
      <c r="I347" s="554"/>
      <c r="J347" s="554"/>
      <c r="K347" s="554"/>
      <c r="L347" s="554"/>
      <c r="M347" s="554"/>
      <c r="N347" s="554"/>
      <c r="O347" s="554"/>
      <c r="P347" s="554"/>
      <c r="Q347" s="554"/>
      <c r="R347" s="554"/>
      <c r="S347" s="554"/>
      <c r="T347" s="554"/>
      <c r="U347" s="554"/>
      <c r="V347" s="554"/>
      <c r="W347" s="554"/>
      <c r="X347" s="554"/>
      <c r="Y347" s="554"/>
      <c r="Z347" s="554"/>
      <c r="AA347" s="554"/>
      <c r="AB347" s="554"/>
      <c r="AC347" s="554"/>
      <c r="AD347" s="554"/>
      <c r="AE347" s="554"/>
      <c r="AF347" s="554"/>
      <c r="AG347" s="554"/>
    </row>
    <row r="348">
      <c r="A348" s="549"/>
      <c r="B348" s="554"/>
      <c r="C348" s="554"/>
      <c r="D348" s="554"/>
      <c r="E348" s="554"/>
      <c r="F348" s="561"/>
      <c r="G348" s="554"/>
      <c r="H348" s="554"/>
      <c r="I348" s="554"/>
      <c r="J348" s="554"/>
      <c r="K348" s="554"/>
      <c r="L348" s="554"/>
      <c r="M348" s="554"/>
      <c r="N348" s="554"/>
      <c r="O348" s="554"/>
      <c r="P348" s="554"/>
      <c r="Q348" s="554"/>
      <c r="R348" s="554"/>
      <c r="S348" s="554"/>
      <c r="T348" s="554"/>
      <c r="U348" s="554"/>
      <c r="V348" s="554"/>
      <c r="W348" s="554"/>
      <c r="X348" s="554"/>
      <c r="Y348" s="554"/>
      <c r="Z348" s="554"/>
      <c r="AA348" s="554"/>
      <c r="AB348" s="554"/>
      <c r="AC348" s="554"/>
      <c r="AD348" s="554"/>
      <c r="AE348" s="554"/>
      <c r="AF348" s="554"/>
      <c r="AG348" s="554"/>
    </row>
    <row r="349">
      <c r="A349" s="549"/>
      <c r="B349" s="554"/>
      <c r="C349" s="554"/>
      <c r="D349" s="554"/>
      <c r="E349" s="554"/>
      <c r="F349" s="561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554"/>
      <c r="AB349" s="554"/>
      <c r="AC349" s="554"/>
      <c r="AD349" s="554"/>
      <c r="AE349" s="554"/>
      <c r="AF349" s="554"/>
      <c r="AG349" s="554"/>
    </row>
    <row r="350">
      <c r="A350" s="549"/>
      <c r="B350" s="554"/>
      <c r="C350" s="554"/>
      <c r="D350" s="554"/>
      <c r="E350" s="554"/>
      <c r="F350" s="561"/>
      <c r="G350" s="554"/>
      <c r="H350" s="554"/>
      <c r="I350" s="554"/>
      <c r="J350" s="554"/>
      <c r="K350" s="554"/>
      <c r="L350" s="554"/>
      <c r="M350" s="554"/>
      <c r="N350" s="554"/>
      <c r="O350" s="554"/>
      <c r="P350" s="554"/>
      <c r="Q350" s="554"/>
      <c r="R350" s="554"/>
      <c r="S350" s="554"/>
      <c r="T350" s="554"/>
      <c r="U350" s="554"/>
      <c r="V350" s="554"/>
      <c r="W350" s="554"/>
      <c r="X350" s="554"/>
      <c r="Y350" s="554"/>
      <c r="Z350" s="554"/>
      <c r="AA350" s="554"/>
      <c r="AB350" s="554"/>
      <c r="AC350" s="554"/>
      <c r="AD350" s="554"/>
      <c r="AE350" s="554"/>
      <c r="AF350" s="554"/>
      <c r="AG350" s="554"/>
    </row>
    <row r="351">
      <c r="A351" s="549"/>
      <c r="B351" s="554"/>
      <c r="C351" s="554"/>
      <c r="D351" s="554"/>
      <c r="E351" s="554"/>
      <c r="F351" s="561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54"/>
      <c r="AB351" s="554"/>
      <c r="AC351" s="554"/>
      <c r="AD351" s="554"/>
      <c r="AE351" s="554"/>
      <c r="AF351" s="554"/>
      <c r="AG351" s="554"/>
    </row>
    <row r="352">
      <c r="A352" s="549"/>
      <c r="B352" s="554"/>
      <c r="C352" s="554"/>
      <c r="D352" s="554"/>
      <c r="E352" s="554"/>
      <c r="F352" s="561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54"/>
      <c r="AB352" s="554"/>
      <c r="AC352" s="554"/>
      <c r="AD352" s="554"/>
      <c r="AE352" s="554"/>
      <c r="AF352" s="554"/>
      <c r="AG352" s="554"/>
    </row>
    <row r="353">
      <c r="A353" s="549"/>
      <c r="B353" s="554"/>
      <c r="C353" s="554"/>
      <c r="D353" s="554"/>
      <c r="E353" s="554"/>
      <c r="F353" s="561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54"/>
      <c r="AB353" s="554"/>
      <c r="AC353" s="554"/>
      <c r="AD353" s="554"/>
      <c r="AE353" s="554"/>
      <c r="AF353" s="554"/>
      <c r="AG353" s="554"/>
    </row>
    <row r="354">
      <c r="A354" s="549"/>
      <c r="B354" s="554"/>
      <c r="C354" s="554"/>
      <c r="D354" s="554"/>
      <c r="E354" s="554"/>
      <c r="F354" s="561"/>
      <c r="G354" s="554"/>
      <c r="H354" s="554"/>
      <c r="I354" s="554"/>
      <c r="J354" s="554"/>
      <c r="K354" s="554"/>
      <c r="L354" s="554"/>
      <c r="M354" s="554"/>
      <c r="N354" s="554"/>
      <c r="O354" s="554"/>
      <c r="P354" s="554"/>
      <c r="Q354" s="554"/>
      <c r="R354" s="554"/>
      <c r="S354" s="554"/>
      <c r="T354" s="554"/>
      <c r="U354" s="554"/>
      <c r="V354" s="554"/>
      <c r="W354" s="554"/>
      <c r="X354" s="554"/>
      <c r="Y354" s="554"/>
      <c r="Z354" s="554"/>
      <c r="AA354" s="554"/>
      <c r="AB354" s="554"/>
      <c r="AC354" s="554"/>
      <c r="AD354" s="554"/>
      <c r="AE354" s="554"/>
      <c r="AF354" s="554"/>
      <c r="AG354" s="554"/>
    </row>
    <row r="355">
      <c r="A355" s="549"/>
      <c r="B355" s="554"/>
      <c r="C355" s="554"/>
      <c r="D355" s="554"/>
      <c r="E355" s="554"/>
      <c r="F355" s="561"/>
      <c r="G355" s="554"/>
      <c r="H355" s="554"/>
      <c r="I355" s="554"/>
      <c r="J355" s="554"/>
      <c r="K355" s="554"/>
      <c r="L355" s="554"/>
      <c r="M355" s="554"/>
      <c r="N355" s="554"/>
      <c r="O355" s="554"/>
      <c r="P355" s="554"/>
      <c r="Q355" s="554"/>
      <c r="R355" s="554"/>
      <c r="S355" s="554"/>
      <c r="T355" s="554"/>
      <c r="U355" s="554"/>
      <c r="V355" s="554"/>
      <c r="W355" s="554"/>
      <c r="X355" s="554"/>
      <c r="Y355" s="554"/>
      <c r="Z355" s="554"/>
      <c r="AA355" s="554"/>
      <c r="AB355" s="554"/>
      <c r="AC355" s="554"/>
      <c r="AD355" s="554"/>
      <c r="AE355" s="554"/>
      <c r="AF355" s="554"/>
      <c r="AG355" s="554"/>
    </row>
    <row r="356">
      <c r="A356" s="549"/>
      <c r="B356" s="554"/>
      <c r="C356" s="554"/>
      <c r="D356" s="554"/>
      <c r="E356" s="554"/>
      <c r="F356" s="561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54"/>
      <c r="AB356" s="554"/>
      <c r="AC356" s="554"/>
      <c r="AD356" s="554"/>
      <c r="AE356" s="554"/>
      <c r="AF356" s="554"/>
      <c r="AG356" s="554"/>
    </row>
    <row r="357">
      <c r="A357" s="549"/>
      <c r="B357" s="554"/>
      <c r="C357" s="554"/>
      <c r="D357" s="554"/>
      <c r="E357" s="554"/>
      <c r="F357" s="561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54"/>
      <c r="AB357" s="554"/>
      <c r="AC357" s="554"/>
      <c r="AD357" s="554"/>
      <c r="AE357" s="554"/>
      <c r="AF357" s="554"/>
      <c r="AG357" s="554"/>
    </row>
    <row r="358">
      <c r="A358" s="549"/>
      <c r="B358" s="554"/>
      <c r="C358" s="554"/>
      <c r="D358" s="554"/>
      <c r="E358" s="554"/>
      <c r="F358" s="561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54"/>
      <c r="AB358" s="554"/>
      <c r="AC358" s="554"/>
      <c r="AD358" s="554"/>
      <c r="AE358" s="554"/>
      <c r="AF358" s="554"/>
      <c r="AG358" s="554"/>
    </row>
    <row r="359">
      <c r="A359" s="549"/>
      <c r="B359" s="554"/>
      <c r="C359" s="554"/>
      <c r="D359" s="554"/>
      <c r="E359" s="554"/>
      <c r="F359" s="561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554"/>
      <c r="AB359" s="554"/>
      <c r="AC359" s="554"/>
      <c r="AD359" s="554"/>
      <c r="AE359" s="554"/>
      <c r="AF359" s="554"/>
      <c r="AG359" s="554"/>
    </row>
    <row r="360">
      <c r="A360" s="549"/>
      <c r="B360" s="554"/>
      <c r="C360" s="554"/>
      <c r="D360" s="554"/>
      <c r="E360" s="554"/>
      <c r="F360" s="561"/>
      <c r="G360" s="554"/>
      <c r="H360" s="554"/>
      <c r="I360" s="554"/>
      <c r="J360" s="554"/>
      <c r="K360" s="554"/>
      <c r="L360" s="554"/>
      <c r="M360" s="554"/>
      <c r="N360" s="554"/>
      <c r="O360" s="554"/>
      <c r="P360" s="554"/>
      <c r="Q360" s="554"/>
      <c r="R360" s="554"/>
      <c r="S360" s="554"/>
      <c r="T360" s="554"/>
      <c r="U360" s="554"/>
      <c r="V360" s="554"/>
      <c r="W360" s="554"/>
      <c r="X360" s="554"/>
      <c r="Y360" s="554"/>
      <c r="Z360" s="554"/>
      <c r="AA360" s="554"/>
      <c r="AB360" s="554"/>
      <c r="AC360" s="554"/>
      <c r="AD360" s="554"/>
      <c r="AE360" s="554"/>
      <c r="AF360" s="554"/>
      <c r="AG360" s="554"/>
    </row>
    <row r="361">
      <c r="A361" s="549"/>
      <c r="B361" s="554"/>
      <c r="C361" s="554"/>
      <c r="D361" s="554"/>
      <c r="E361" s="554"/>
      <c r="F361" s="561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54"/>
      <c r="AB361" s="554"/>
      <c r="AC361" s="554"/>
      <c r="AD361" s="554"/>
      <c r="AE361" s="554"/>
      <c r="AF361" s="554"/>
      <c r="AG361" s="554"/>
    </row>
    <row r="362">
      <c r="A362" s="549"/>
      <c r="B362" s="554"/>
      <c r="C362" s="554"/>
      <c r="D362" s="554"/>
      <c r="E362" s="554"/>
      <c r="F362" s="561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54"/>
      <c r="AB362" s="554"/>
      <c r="AC362" s="554"/>
      <c r="AD362" s="554"/>
      <c r="AE362" s="554"/>
      <c r="AF362" s="554"/>
      <c r="AG362" s="554"/>
    </row>
    <row r="363">
      <c r="A363" s="549"/>
      <c r="B363" s="554"/>
      <c r="C363" s="554"/>
      <c r="D363" s="554"/>
      <c r="E363" s="554"/>
      <c r="F363" s="561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54"/>
      <c r="AB363" s="554"/>
      <c r="AC363" s="554"/>
      <c r="AD363" s="554"/>
      <c r="AE363" s="554"/>
      <c r="AF363" s="554"/>
      <c r="AG363" s="554"/>
    </row>
    <row r="364">
      <c r="A364" s="549"/>
      <c r="B364" s="554"/>
      <c r="C364" s="554"/>
      <c r="D364" s="554"/>
      <c r="E364" s="554"/>
      <c r="F364" s="561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554"/>
      <c r="AB364" s="554"/>
      <c r="AC364" s="554"/>
      <c r="AD364" s="554"/>
      <c r="AE364" s="554"/>
      <c r="AF364" s="554"/>
      <c r="AG364" s="554"/>
    </row>
    <row r="365">
      <c r="A365" s="549"/>
      <c r="B365" s="554"/>
      <c r="C365" s="554"/>
      <c r="D365" s="554"/>
      <c r="E365" s="554"/>
      <c r="F365" s="561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54"/>
      <c r="AB365" s="554"/>
      <c r="AC365" s="554"/>
      <c r="AD365" s="554"/>
      <c r="AE365" s="554"/>
      <c r="AF365" s="554"/>
      <c r="AG365" s="554"/>
    </row>
    <row r="366">
      <c r="A366" s="549"/>
      <c r="B366" s="554"/>
      <c r="C366" s="554"/>
      <c r="D366" s="554"/>
      <c r="E366" s="554"/>
      <c r="F366" s="561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54"/>
      <c r="AB366" s="554"/>
      <c r="AC366" s="554"/>
      <c r="AD366" s="554"/>
      <c r="AE366" s="554"/>
      <c r="AF366" s="554"/>
      <c r="AG366" s="554"/>
    </row>
    <row r="367">
      <c r="A367" s="549"/>
      <c r="B367" s="554"/>
      <c r="C367" s="554"/>
      <c r="D367" s="554"/>
      <c r="E367" s="554"/>
      <c r="F367" s="561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54"/>
      <c r="AB367" s="554"/>
      <c r="AC367" s="554"/>
      <c r="AD367" s="554"/>
      <c r="AE367" s="554"/>
      <c r="AF367" s="554"/>
      <c r="AG367" s="554"/>
    </row>
    <row r="368">
      <c r="A368" s="549"/>
      <c r="B368" s="554"/>
      <c r="C368" s="554"/>
      <c r="D368" s="554"/>
      <c r="E368" s="554"/>
      <c r="F368" s="561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54"/>
      <c r="AB368" s="554"/>
      <c r="AC368" s="554"/>
      <c r="AD368" s="554"/>
      <c r="AE368" s="554"/>
      <c r="AF368" s="554"/>
      <c r="AG368" s="554"/>
    </row>
    <row r="369">
      <c r="A369" s="549"/>
      <c r="B369" s="554"/>
      <c r="C369" s="554"/>
      <c r="D369" s="554"/>
      <c r="E369" s="554"/>
      <c r="F369" s="561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554"/>
      <c r="AB369" s="554"/>
      <c r="AC369" s="554"/>
      <c r="AD369" s="554"/>
      <c r="AE369" s="554"/>
      <c r="AF369" s="554"/>
      <c r="AG369" s="554"/>
    </row>
    <row r="370">
      <c r="A370" s="549"/>
      <c r="B370" s="554"/>
      <c r="C370" s="554"/>
      <c r="D370" s="554"/>
      <c r="E370" s="554"/>
      <c r="F370" s="561"/>
      <c r="G370" s="554"/>
      <c r="H370" s="554"/>
      <c r="I370" s="554"/>
      <c r="J370" s="554"/>
      <c r="K370" s="554"/>
      <c r="L370" s="554"/>
      <c r="M370" s="554"/>
      <c r="N370" s="554"/>
      <c r="O370" s="554"/>
      <c r="P370" s="554"/>
      <c r="Q370" s="554"/>
      <c r="R370" s="554"/>
      <c r="S370" s="554"/>
      <c r="T370" s="554"/>
      <c r="U370" s="554"/>
      <c r="V370" s="554"/>
      <c r="W370" s="554"/>
      <c r="X370" s="554"/>
      <c r="Y370" s="554"/>
      <c r="Z370" s="554"/>
      <c r="AA370" s="554"/>
      <c r="AB370" s="554"/>
      <c r="AC370" s="554"/>
      <c r="AD370" s="554"/>
      <c r="AE370" s="554"/>
      <c r="AF370" s="554"/>
      <c r="AG370" s="554"/>
    </row>
    <row r="371">
      <c r="A371" s="549"/>
      <c r="B371" s="554"/>
      <c r="C371" s="554"/>
      <c r="D371" s="554"/>
      <c r="E371" s="554"/>
      <c r="F371" s="561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54"/>
      <c r="AB371" s="554"/>
      <c r="AC371" s="554"/>
      <c r="AD371" s="554"/>
      <c r="AE371" s="554"/>
      <c r="AF371" s="554"/>
      <c r="AG371" s="554"/>
    </row>
    <row r="372">
      <c r="A372" s="549"/>
      <c r="B372" s="554"/>
      <c r="C372" s="554"/>
      <c r="D372" s="554"/>
      <c r="E372" s="554"/>
      <c r="F372" s="561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54"/>
      <c r="AB372" s="554"/>
      <c r="AC372" s="554"/>
      <c r="AD372" s="554"/>
      <c r="AE372" s="554"/>
      <c r="AF372" s="554"/>
      <c r="AG372" s="554"/>
    </row>
    <row r="373">
      <c r="A373" s="549"/>
      <c r="B373" s="554"/>
      <c r="C373" s="554"/>
      <c r="D373" s="554"/>
      <c r="E373" s="554"/>
      <c r="F373" s="561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54"/>
      <c r="AB373" s="554"/>
      <c r="AC373" s="554"/>
      <c r="AD373" s="554"/>
      <c r="AE373" s="554"/>
      <c r="AF373" s="554"/>
      <c r="AG373" s="554"/>
    </row>
    <row r="374">
      <c r="A374" s="549"/>
      <c r="B374" s="554"/>
      <c r="C374" s="554"/>
      <c r="D374" s="554"/>
      <c r="E374" s="554"/>
      <c r="F374" s="561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554"/>
      <c r="AB374" s="554"/>
      <c r="AC374" s="554"/>
      <c r="AD374" s="554"/>
      <c r="AE374" s="554"/>
      <c r="AF374" s="554"/>
      <c r="AG374" s="554"/>
    </row>
    <row r="375">
      <c r="A375" s="549"/>
      <c r="B375" s="554"/>
      <c r="C375" s="554"/>
      <c r="D375" s="554"/>
      <c r="E375" s="554"/>
      <c r="F375" s="561"/>
      <c r="G375" s="554"/>
      <c r="H375" s="554"/>
      <c r="I375" s="554"/>
      <c r="J375" s="554"/>
      <c r="K375" s="554"/>
      <c r="L375" s="554"/>
      <c r="M375" s="554"/>
      <c r="N375" s="554"/>
      <c r="O375" s="554"/>
      <c r="P375" s="554"/>
      <c r="Q375" s="554"/>
      <c r="R375" s="554"/>
      <c r="S375" s="554"/>
      <c r="T375" s="554"/>
      <c r="U375" s="554"/>
      <c r="V375" s="554"/>
      <c r="W375" s="554"/>
      <c r="X375" s="554"/>
      <c r="Y375" s="554"/>
      <c r="Z375" s="554"/>
      <c r="AA375" s="554"/>
      <c r="AB375" s="554"/>
      <c r="AC375" s="554"/>
      <c r="AD375" s="554"/>
      <c r="AE375" s="554"/>
      <c r="AF375" s="554"/>
      <c r="AG375" s="554"/>
    </row>
    <row r="376">
      <c r="A376" s="549"/>
      <c r="B376" s="554"/>
      <c r="C376" s="554"/>
      <c r="D376" s="554"/>
      <c r="E376" s="554"/>
      <c r="F376" s="561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54"/>
      <c r="AB376" s="554"/>
      <c r="AC376" s="554"/>
      <c r="AD376" s="554"/>
      <c r="AE376" s="554"/>
      <c r="AF376" s="554"/>
      <c r="AG376" s="554"/>
    </row>
    <row r="377">
      <c r="A377" s="549"/>
      <c r="B377" s="554"/>
      <c r="C377" s="554"/>
      <c r="D377" s="554"/>
      <c r="E377" s="554"/>
      <c r="F377" s="561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54"/>
      <c r="AB377" s="554"/>
      <c r="AC377" s="554"/>
      <c r="AD377" s="554"/>
      <c r="AE377" s="554"/>
      <c r="AF377" s="554"/>
      <c r="AG377" s="554"/>
    </row>
    <row r="378">
      <c r="A378" s="549"/>
      <c r="B378" s="554"/>
      <c r="C378" s="554"/>
      <c r="D378" s="554"/>
      <c r="E378" s="554"/>
      <c r="F378" s="561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54"/>
      <c r="AB378" s="554"/>
      <c r="AC378" s="554"/>
      <c r="AD378" s="554"/>
      <c r="AE378" s="554"/>
      <c r="AF378" s="554"/>
      <c r="AG378" s="554"/>
    </row>
    <row r="379">
      <c r="A379" s="549"/>
      <c r="B379" s="554"/>
      <c r="C379" s="554"/>
      <c r="D379" s="554"/>
      <c r="E379" s="554"/>
      <c r="F379" s="561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554"/>
      <c r="AB379" s="554"/>
      <c r="AC379" s="554"/>
      <c r="AD379" s="554"/>
      <c r="AE379" s="554"/>
      <c r="AF379" s="554"/>
      <c r="AG379" s="554"/>
    </row>
    <row r="380">
      <c r="A380" s="549"/>
      <c r="B380" s="554"/>
      <c r="C380" s="554"/>
      <c r="D380" s="554"/>
      <c r="E380" s="554"/>
      <c r="F380" s="561"/>
      <c r="G380" s="554"/>
      <c r="H380" s="554"/>
      <c r="I380" s="554"/>
      <c r="J380" s="554"/>
      <c r="K380" s="554"/>
      <c r="L380" s="554"/>
      <c r="M380" s="554"/>
      <c r="N380" s="554"/>
      <c r="O380" s="554"/>
      <c r="P380" s="554"/>
      <c r="Q380" s="554"/>
      <c r="R380" s="554"/>
      <c r="S380" s="554"/>
      <c r="T380" s="554"/>
      <c r="U380" s="554"/>
      <c r="V380" s="554"/>
      <c r="W380" s="554"/>
      <c r="X380" s="554"/>
      <c r="Y380" s="554"/>
      <c r="Z380" s="554"/>
      <c r="AA380" s="554"/>
      <c r="AB380" s="554"/>
      <c r="AC380" s="554"/>
      <c r="AD380" s="554"/>
      <c r="AE380" s="554"/>
      <c r="AF380" s="554"/>
      <c r="AG380" s="554"/>
    </row>
    <row r="381">
      <c r="A381" s="549"/>
      <c r="B381" s="554"/>
      <c r="C381" s="554"/>
      <c r="D381" s="554"/>
      <c r="E381" s="554"/>
      <c r="F381" s="561"/>
      <c r="G381" s="554"/>
      <c r="H381" s="554"/>
      <c r="I381" s="554"/>
      <c r="J381" s="554"/>
      <c r="K381" s="554"/>
      <c r="L381" s="554"/>
      <c r="M381" s="554"/>
      <c r="N381" s="554"/>
      <c r="O381" s="554"/>
      <c r="P381" s="554"/>
      <c r="Q381" s="554"/>
      <c r="R381" s="554"/>
      <c r="S381" s="554"/>
      <c r="T381" s="554"/>
      <c r="U381" s="554"/>
      <c r="V381" s="554"/>
      <c r="W381" s="554"/>
      <c r="X381" s="554"/>
      <c r="Y381" s="554"/>
      <c r="Z381" s="554"/>
      <c r="AA381" s="554"/>
      <c r="AB381" s="554"/>
      <c r="AC381" s="554"/>
      <c r="AD381" s="554"/>
      <c r="AE381" s="554"/>
      <c r="AF381" s="554"/>
      <c r="AG381" s="554"/>
    </row>
    <row r="382">
      <c r="A382" s="549"/>
      <c r="B382" s="554"/>
      <c r="C382" s="554"/>
      <c r="D382" s="554"/>
      <c r="E382" s="554"/>
      <c r="F382" s="561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54"/>
      <c r="AB382" s="554"/>
      <c r="AC382" s="554"/>
      <c r="AD382" s="554"/>
      <c r="AE382" s="554"/>
      <c r="AF382" s="554"/>
      <c r="AG382" s="554"/>
    </row>
    <row r="383">
      <c r="A383" s="549"/>
      <c r="B383" s="554"/>
      <c r="C383" s="554"/>
      <c r="D383" s="554"/>
      <c r="E383" s="554"/>
      <c r="F383" s="561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54"/>
      <c r="AB383" s="554"/>
      <c r="AC383" s="554"/>
      <c r="AD383" s="554"/>
      <c r="AE383" s="554"/>
      <c r="AF383" s="554"/>
      <c r="AG383" s="554"/>
    </row>
    <row r="384">
      <c r="A384" s="549"/>
      <c r="B384" s="554"/>
      <c r="C384" s="554"/>
      <c r="D384" s="554"/>
      <c r="E384" s="554"/>
      <c r="F384" s="561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54"/>
      <c r="AB384" s="554"/>
      <c r="AC384" s="554"/>
      <c r="AD384" s="554"/>
      <c r="AE384" s="554"/>
      <c r="AF384" s="554"/>
      <c r="AG384" s="554"/>
    </row>
    <row r="385">
      <c r="A385" s="549"/>
      <c r="B385" s="554"/>
      <c r="C385" s="554"/>
      <c r="D385" s="554"/>
      <c r="E385" s="554"/>
      <c r="F385" s="561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54"/>
      <c r="AB385" s="554"/>
      <c r="AC385" s="554"/>
      <c r="AD385" s="554"/>
      <c r="AE385" s="554"/>
      <c r="AF385" s="554"/>
      <c r="AG385" s="554"/>
    </row>
    <row r="386">
      <c r="A386" s="549"/>
      <c r="B386" s="554"/>
      <c r="C386" s="554"/>
      <c r="D386" s="554"/>
      <c r="E386" s="554"/>
      <c r="F386" s="561"/>
      <c r="G386" s="554"/>
      <c r="H386" s="554"/>
      <c r="I386" s="554"/>
      <c r="J386" s="554"/>
      <c r="K386" s="554"/>
      <c r="L386" s="554"/>
      <c r="M386" s="554"/>
      <c r="N386" s="554"/>
      <c r="O386" s="554"/>
      <c r="P386" s="554"/>
      <c r="Q386" s="554"/>
      <c r="R386" s="554"/>
      <c r="S386" s="554"/>
      <c r="T386" s="554"/>
      <c r="U386" s="554"/>
      <c r="V386" s="554"/>
      <c r="W386" s="554"/>
      <c r="X386" s="554"/>
      <c r="Y386" s="554"/>
      <c r="Z386" s="554"/>
      <c r="AA386" s="554"/>
      <c r="AB386" s="554"/>
      <c r="AC386" s="554"/>
      <c r="AD386" s="554"/>
      <c r="AE386" s="554"/>
      <c r="AF386" s="554"/>
      <c r="AG386" s="554"/>
    </row>
    <row r="387">
      <c r="A387" s="549"/>
      <c r="B387" s="554"/>
      <c r="C387" s="554"/>
      <c r="D387" s="554"/>
      <c r="E387" s="554"/>
      <c r="F387" s="561"/>
      <c r="G387" s="554"/>
      <c r="H387" s="554"/>
      <c r="I387" s="554"/>
      <c r="J387" s="554"/>
      <c r="K387" s="554"/>
      <c r="L387" s="554"/>
      <c r="M387" s="554"/>
      <c r="N387" s="554"/>
      <c r="O387" s="554"/>
      <c r="P387" s="554"/>
      <c r="Q387" s="554"/>
      <c r="R387" s="554"/>
      <c r="S387" s="554"/>
      <c r="T387" s="554"/>
      <c r="U387" s="554"/>
      <c r="V387" s="554"/>
      <c r="W387" s="554"/>
      <c r="X387" s="554"/>
      <c r="Y387" s="554"/>
      <c r="Z387" s="554"/>
      <c r="AA387" s="554"/>
      <c r="AB387" s="554"/>
      <c r="AC387" s="554"/>
      <c r="AD387" s="554"/>
      <c r="AE387" s="554"/>
      <c r="AF387" s="554"/>
      <c r="AG387" s="554"/>
    </row>
    <row r="388">
      <c r="A388" s="549"/>
      <c r="B388" s="554"/>
      <c r="C388" s="554"/>
      <c r="D388" s="554"/>
      <c r="E388" s="554"/>
      <c r="F388" s="561"/>
      <c r="G388" s="554"/>
      <c r="H388" s="554"/>
      <c r="I388" s="554"/>
      <c r="J388" s="554"/>
      <c r="K388" s="554"/>
      <c r="L388" s="554"/>
      <c r="M388" s="554"/>
      <c r="N388" s="554"/>
      <c r="O388" s="554"/>
      <c r="P388" s="554"/>
      <c r="Q388" s="554"/>
      <c r="R388" s="554"/>
      <c r="S388" s="554"/>
      <c r="T388" s="554"/>
      <c r="U388" s="554"/>
      <c r="V388" s="554"/>
      <c r="W388" s="554"/>
      <c r="X388" s="554"/>
      <c r="Y388" s="554"/>
      <c r="Z388" s="554"/>
      <c r="AA388" s="554"/>
      <c r="AB388" s="554"/>
      <c r="AC388" s="554"/>
      <c r="AD388" s="554"/>
      <c r="AE388" s="554"/>
      <c r="AF388" s="554"/>
      <c r="AG388" s="554"/>
    </row>
    <row r="389">
      <c r="A389" s="549"/>
      <c r="B389" s="554"/>
      <c r="C389" s="554"/>
      <c r="D389" s="554"/>
      <c r="E389" s="554"/>
      <c r="F389" s="561"/>
      <c r="G389" s="554"/>
      <c r="H389" s="554"/>
      <c r="I389" s="554"/>
      <c r="J389" s="554"/>
      <c r="K389" s="554"/>
      <c r="L389" s="554"/>
      <c r="M389" s="554"/>
      <c r="N389" s="554"/>
      <c r="O389" s="554"/>
      <c r="P389" s="554"/>
      <c r="Q389" s="554"/>
      <c r="R389" s="554"/>
      <c r="S389" s="554"/>
      <c r="T389" s="554"/>
      <c r="U389" s="554"/>
      <c r="V389" s="554"/>
      <c r="W389" s="554"/>
      <c r="X389" s="554"/>
      <c r="Y389" s="554"/>
      <c r="Z389" s="554"/>
      <c r="AA389" s="554"/>
      <c r="AB389" s="554"/>
      <c r="AC389" s="554"/>
      <c r="AD389" s="554"/>
      <c r="AE389" s="554"/>
      <c r="AF389" s="554"/>
      <c r="AG389" s="554"/>
    </row>
    <row r="390">
      <c r="A390" s="549"/>
      <c r="B390" s="554"/>
      <c r="C390" s="554"/>
      <c r="D390" s="554"/>
      <c r="E390" s="554"/>
      <c r="F390" s="561"/>
      <c r="G390" s="554"/>
      <c r="H390" s="554"/>
      <c r="I390" s="554"/>
      <c r="J390" s="554"/>
      <c r="K390" s="554"/>
      <c r="L390" s="554"/>
      <c r="M390" s="554"/>
      <c r="N390" s="554"/>
      <c r="O390" s="554"/>
      <c r="P390" s="554"/>
      <c r="Q390" s="554"/>
      <c r="R390" s="554"/>
      <c r="S390" s="554"/>
      <c r="T390" s="554"/>
      <c r="U390" s="554"/>
      <c r="V390" s="554"/>
      <c r="W390" s="554"/>
      <c r="X390" s="554"/>
      <c r="Y390" s="554"/>
      <c r="Z390" s="554"/>
      <c r="AA390" s="554"/>
      <c r="AB390" s="554"/>
      <c r="AC390" s="554"/>
      <c r="AD390" s="554"/>
      <c r="AE390" s="554"/>
      <c r="AF390" s="554"/>
      <c r="AG390" s="554"/>
    </row>
    <row r="391">
      <c r="A391" s="549"/>
      <c r="B391" s="554"/>
      <c r="C391" s="554"/>
      <c r="D391" s="554"/>
      <c r="E391" s="554"/>
      <c r="F391" s="561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554"/>
      <c r="AB391" s="554"/>
      <c r="AC391" s="554"/>
      <c r="AD391" s="554"/>
      <c r="AE391" s="554"/>
      <c r="AF391" s="554"/>
      <c r="AG391" s="554"/>
    </row>
    <row r="392">
      <c r="A392" s="549"/>
      <c r="B392" s="554"/>
      <c r="C392" s="554"/>
      <c r="D392" s="554"/>
      <c r="E392" s="554"/>
      <c r="F392" s="561"/>
      <c r="G392" s="554"/>
      <c r="H392" s="554"/>
      <c r="I392" s="554"/>
      <c r="J392" s="554"/>
      <c r="K392" s="554"/>
      <c r="L392" s="554"/>
      <c r="M392" s="554"/>
      <c r="N392" s="554"/>
      <c r="O392" s="554"/>
      <c r="P392" s="554"/>
      <c r="Q392" s="554"/>
      <c r="R392" s="554"/>
      <c r="S392" s="554"/>
      <c r="T392" s="554"/>
      <c r="U392" s="554"/>
      <c r="V392" s="554"/>
      <c r="W392" s="554"/>
      <c r="X392" s="554"/>
      <c r="Y392" s="554"/>
      <c r="Z392" s="554"/>
      <c r="AA392" s="554"/>
      <c r="AB392" s="554"/>
      <c r="AC392" s="554"/>
      <c r="AD392" s="554"/>
      <c r="AE392" s="554"/>
      <c r="AF392" s="554"/>
      <c r="AG392" s="554"/>
    </row>
    <row r="393">
      <c r="A393" s="549"/>
      <c r="B393" s="554"/>
      <c r="C393" s="554"/>
      <c r="D393" s="554"/>
      <c r="E393" s="554"/>
      <c r="F393" s="561"/>
      <c r="G393" s="554"/>
      <c r="H393" s="554"/>
      <c r="I393" s="554"/>
      <c r="J393" s="554"/>
      <c r="K393" s="554"/>
      <c r="L393" s="554"/>
      <c r="M393" s="554"/>
      <c r="N393" s="554"/>
      <c r="O393" s="554"/>
      <c r="P393" s="554"/>
      <c r="Q393" s="554"/>
      <c r="R393" s="554"/>
      <c r="S393" s="554"/>
      <c r="T393" s="554"/>
      <c r="U393" s="554"/>
      <c r="V393" s="554"/>
      <c r="W393" s="554"/>
      <c r="X393" s="554"/>
      <c r="Y393" s="554"/>
      <c r="Z393" s="554"/>
      <c r="AA393" s="554"/>
      <c r="AB393" s="554"/>
      <c r="AC393" s="554"/>
      <c r="AD393" s="554"/>
      <c r="AE393" s="554"/>
      <c r="AF393" s="554"/>
      <c r="AG393" s="554"/>
    </row>
    <row r="394">
      <c r="A394" s="549"/>
      <c r="B394" s="554"/>
      <c r="C394" s="554"/>
      <c r="D394" s="554"/>
      <c r="E394" s="554"/>
      <c r="F394" s="561"/>
      <c r="G394" s="554"/>
      <c r="H394" s="554"/>
      <c r="I394" s="554"/>
      <c r="J394" s="554"/>
      <c r="K394" s="554"/>
      <c r="L394" s="554"/>
      <c r="M394" s="554"/>
      <c r="N394" s="554"/>
      <c r="O394" s="554"/>
      <c r="P394" s="554"/>
      <c r="Q394" s="554"/>
      <c r="R394" s="554"/>
      <c r="S394" s="554"/>
      <c r="T394" s="554"/>
      <c r="U394" s="554"/>
      <c r="V394" s="554"/>
      <c r="W394" s="554"/>
      <c r="X394" s="554"/>
      <c r="Y394" s="554"/>
      <c r="Z394" s="554"/>
      <c r="AA394" s="554"/>
      <c r="AB394" s="554"/>
      <c r="AC394" s="554"/>
      <c r="AD394" s="554"/>
      <c r="AE394" s="554"/>
      <c r="AF394" s="554"/>
      <c r="AG394" s="554"/>
    </row>
    <row r="395">
      <c r="A395" s="549"/>
      <c r="B395" s="554"/>
      <c r="C395" s="554"/>
      <c r="D395" s="554"/>
      <c r="E395" s="554"/>
      <c r="F395" s="561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54"/>
      <c r="AB395" s="554"/>
      <c r="AC395" s="554"/>
      <c r="AD395" s="554"/>
      <c r="AE395" s="554"/>
      <c r="AF395" s="554"/>
      <c r="AG395" s="554"/>
    </row>
    <row r="396">
      <c r="A396" s="549"/>
      <c r="B396" s="554"/>
      <c r="C396" s="554"/>
      <c r="D396" s="554"/>
      <c r="E396" s="554"/>
      <c r="F396" s="561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54"/>
      <c r="AB396" s="554"/>
      <c r="AC396" s="554"/>
      <c r="AD396" s="554"/>
      <c r="AE396" s="554"/>
      <c r="AF396" s="554"/>
      <c r="AG396" s="554"/>
    </row>
    <row r="397">
      <c r="A397" s="549"/>
      <c r="B397" s="554"/>
      <c r="C397" s="554"/>
      <c r="D397" s="554"/>
      <c r="E397" s="554"/>
      <c r="F397" s="561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54"/>
      <c r="AB397" s="554"/>
      <c r="AC397" s="554"/>
      <c r="AD397" s="554"/>
      <c r="AE397" s="554"/>
      <c r="AF397" s="554"/>
      <c r="AG397" s="554"/>
    </row>
    <row r="398">
      <c r="A398" s="549"/>
      <c r="B398" s="554"/>
      <c r="C398" s="554"/>
      <c r="D398" s="554"/>
      <c r="E398" s="554"/>
      <c r="F398" s="561"/>
      <c r="G398" s="554"/>
      <c r="H398" s="554"/>
      <c r="I398" s="554"/>
      <c r="J398" s="554"/>
      <c r="K398" s="554"/>
      <c r="L398" s="554"/>
      <c r="M398" s="554"/>
      <c r="N398" s="554"/>
      <c r="O398" s="554"/>
      <c r="P398" s="554"/>
      <c r="Q398" s="554"/>
      <c r="R398" s="554"/>
      <c r="S398" s="554"/>
      <c r="T398" s="554"/>
      <c r="U398" s="554"/>
      <c r="V398" s="554"/>
      <c r="W398" s="554"/>
      <c r="X398" s="554"/>
      <c r="Y398" s="554"/>
      <c r="Z398" s="554"/>
      <c r="AA398" s="554"/>
      <c r="AB398" s="554"/>
      <c r="AC398" s="554"/>
      <c r="AD398" s="554"/>
      <c r="AE398" s="554"/>
      <c r="AF398" s="554"/>
      <c r="AG398" s="554"/>
    </row>
    <row r="399">
      <c r="A399" s="549"/>
      <c r="B399" s="554"/>
      <c r="C399" s="554"/>
      <c r="D399" s="554"/>
      <c r="E399" s="554"/>
      <c r="F399" s="561"/>
      <c r="G399" s="554"/>
      <c r="H399" s="554"/>
      <c r="I399" s="554"/>
      <c r="J399" s="554"/>
      <c r="K399" s="554"/>
      <c r="L399" s="554"/>
      <c r="M399" s="554"/>
      <c r="N399" s="554"/>
      <c r="O399" s="554"/>
      <c r="P399" s="554"/>
      <c r="Q399" s="554"/>
      <c r="R399" s="554"/>
      <c r="S399" s="554"/>
      <c r="T399" s="554"/>
      <c r="U399" s="554"/>
      <c r="V399" s="554"/>
      <c r="W399" s="554"/>
      <c r="X399" s="554"/>
      <c r="Y399" s="554"/>
      <c r="Z399" s="554"/>
      <c r="AA399" s="554"/>
      <c r="AB399" s="554"/>
      <c r="AC399" s="554"/>
      <c r="AD399" s="554"/>
      <c r="AE399" s="554"/>
      <c r="AF399" s="554"/>
      <c r="AG399" s="554"/>
    </row>
    <row r="400">
      <c r="A400" s="549"/>
      <c r="B400" s="554"/>
      <c r="C400" s="554"/>
      <c r="D400" s="554"/>
      <c r="E400" s="554"/>
      <c r="F400" s="561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54"/>
      <c r="AB400" s="554"/>
      <c r="AC400" s="554"/>
      <c r="AD400" s="554"/>
      <c r="AE400" s="554"/>
      <c r="AF400" s="554"/>
      <c r="AG400" s="554"/>
    </row>
    <row r="401">
      <c r="A401" s="549"/>
      <c r="B401" s="554"/>
      <c r="C401" s="554"/>
      <c r="D401" s="554"/>
      <c r="E401" s="554"/>
      <c r="F401" s="561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54"/>
      <c r="AB401" s="554"/>
      <c r="AC401" s="554"/>
      <c r="AD401" s="554"/>
      <c r="AE401" s="554"/>
      <c r="AF401" s="554"/>
      <c r="AG401" s="554"/>
    </row>
    <row r="402">
      <c r="A402" s="549"/>
      <c r="B402" s="554"/>
      <c r="C402" s="554"/>
      <c r="D402" s="554"/>
      <c r="E402" s="554"/>
      <c r="F402" s="561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54"/>
      <c r="AB402" s="554"/>
      <c r="AC402" s="554"/>
      <c r="AD402" s="554"/>
      <c r="AE402" s="554"/>
      <c r="AF402" s="554"/>
      <c r="AG402" s="554"/>
    </row>
    <row r="403">
      <c r="A403" s="549"/>
      <c r="B403" s="554"/>
      <c r="C403" s="554"/>
      <c r="D403" s="554"/>
      <c r="E403" s="554"/>
      <c r="F403" s="561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54"/>
      <c r="AB403" s="554"/>
      <c r="AC403" s="554"/>
      <c r="AD403" s="554"/>
      <c r="AE403" s="554"/>
      <c r="AF403" s="554"/>
      <c r="AG403" s="554"/>
    </row>
    <row r="404">
      <c r="A404" s="549"/>
      <c r="B404" s="554"/>
      <c r="C404" s="554"/>
      <c r="D404" s="554"/>
      <c r="E404" s="554"/>
      <c r="F404" s="561"/>
      <c r="G404" s="554"/>
      <c r="H404" s="554"/>
      <c r="I404" s="554"/>
      <c r="J404" s="554"/>
      <c r="K404" s="554"/>
      <c r="L404" s="554"/>
      <c r="M404" s="554"/>
      <c r="N404" s="554"/>
      <c r="O404" s="554"/>
      <c r="P404" s="554"/>
      <c r="Q404" s="554"/>
      <c r="R404" s="554"/>
      <c r="S404" s="554"/>
      <c r="T404" s="554"/>
      <c r="U404" s="554"/>
      <c r="V404" s="554"/>
      <c r="W404" s="554"/>
      <c r="X404" s="554"/>
      <c r="Y404" s="554"/>
      <c r="Z404" s="554"/>
      <c r="AA404" s="554"/>
      <c r="AB404" s="554"/>
      <c r="AC404" s="554"/>
      <c r="AD404" s="554"/>
      <c r="AE404" s="554"/>
      <c r="AF404" s="554"/>
      <c r="AG404" s="554"/>
    </row>
    <row r="405">
      <c r="A405" s="549"/>
      <c r="B405" s="554"/>
      <c r="C405" s="554"/>
      <c r="D405" s="554"/>
      <c r="E405" s="554"/>
      <c r="F405" s="561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54"/>
      <c r="AB405" s="554"/>
      <c r="AC405" s="554"/>
      <c r="AD405" s="554"/>
      <c r="AE405" s="554"/>
      <c r="AF405" s="554"/>
      <c r="AG405" s="554"/>
    </row>
    <row r="406">
      <c r="A406" s="549"/>
      <c r="B406" s="554"/>
      <c r="C406" s="554"/>
      <c r="D406" s="554"/>
      <c r="E406" s="554"/>
      <c r="F406" s="561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54"/>
      <c r="AB406" s="554"/>
      <c r="AC406" s="554"/>
      <c r="AD406" s="554"/>
      <c r="AE406" s="554"/>
      <c r="AF406" s="554"/>
      <c r="AG406" s="554"/>
    </row>
    <row r="407">
      <c r="A407" s="549"/>
      <c r="B407" s="554"/>
      <c r="C407" s="554"/>
      <c r="D407" s="554"/>
      <c r="E407" s="554"/>
      <c r="F407" s="561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54"/>
      <c r="AB407" s="554"/>
      <c r="AC407" s="554"/>
      <c r="AD407" s="554"/>
      <c r="AE407" s="554"/>
      <c r="AF407" s="554"/>
      <c r="AG407" s="554"/>
    </row>
    <row r="408">
      <c r="A408" s="549"/>
      <c r="B408" s="554"/>
      <c r="C408" s="554"/>
      <c r="D408" s="554"/>
      <c r="E408" s="554"/>
      <c r="F408" s="561"/>
      <c r="G408" s="554"/>
      <c r="H408" s="554"/>
      <c r="I408" s="554"/>
      <c r="J408" s="554"/>
      <c r="K408" s="554"/>
      <c r="L408" s="554"/>
      <c r="M408" s="554"/>
      <c r="N408" s="554"/>
      <c r="O408" s="554"/>
      <c r="P408" s="554"/>
      <c r="Q408" s="554"/>
      <c r="R408" s="554"/>
      <c r="S408" s="554"/>
      <c r="T408" s="554"/>
      <c r="U408" s="554"/>
      <c r="V408" s="554"/>
      <c r="W408" s="554"/>
      <c r="X408" s="554"/>
      <c r="Y408" s="554"/>
      <c r="Z408" s="554"/>
      <c r="AA408" s="554"/>
      <c r="AB408" s="554"/>
      <c r="AC408" s="554"/>
      <c r="AD408" s="554"/>
      <c r="AE408" s="554"/>
      <c r="AF408" s="554"/>
      <c r="AG408" s="554"/>
    </row>
    <row r="409">
      <c r="A409" s="549"/>
      <c r="B409" s="554"/>
      <c r="C409" s="554"/>
      <c r="D409" s="554"/>
      <c r="E409" s="554"/>
      <c r="F409" s="561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554"/>
      <c r="AB409" s="554"/>
      <c r="AC409" s="554"/>
      <c r="AD409" s="554"/>
      <c r="AE409" s="554"/>
      <c r="AF409" s="554"/>
      <c r="AG409" s="554"/>
    </row>
    <row r="410">
      <c r="A410" s="549"/>
      <c r="B410" s="554"/>
      <c r="C410" s="554"/>
      <c r="D410" s="554"/>
      <c r="E410" s="554"/>
      <c r="F410" s="561"/>
      <c r="G410" s="554"/>
      <c r="H410" s="554"/>
      <c r="I410" s="554"/>
      <c r="J410" s="554"/>
      <c r="K410" s="554"/>
      <c r="L410" s="554"/>
      <c r="M410" s="554"/>
      <c r="N410" s="554"/>
      <c r="O410" s="554"/>
      <c r="P410" s="554"/>
      <c r="Q410" s="554"/>
      <c r="R410" s="554"/>
      <c r="S410" s="554"/>
      <c r="T410" s="554"/>
      <c r="U410" s="554"/>
      <c r="V410" s="554"/>
      <c r="W410" s="554"/>
      <c r="X410" s="554"/>
      <c r="Y410" s="554"/>
      <c r="Z410" s="554"/>
      <c r="AA410" s="554"/>
      <c r="AB410" s="554"/>
      <c r="AC410" s="554"/>
      <c r="AD410" s="554"/>
      <c r="AE410" s="554"/>
      <c r="AF410" s="554"/>
      <c r="AG410" s="554"/>
    </row>
    <row r="411">
      <c r="A411" s="549"/>
      <c r="B411" s="554"/>
      <c r="C411" s="554"/>
      <c r="D411" s="554"/>
      <c r="E411" s="554"/>
      <c r="F411" s="561"/>
      <c r="G411" s="554"/>
      <c r="H411" s="554"/>
      <c r="I411" s="554"/>
      <c r="J411" s="554"/>
      <c r="K411" s="554"/>
      <c r="L411" s="554"/>
      <c r="M411" s="554"/>
      <c r="N411" s="554"/>
      <c r="O411" s="554"/>
      <c r="P411" s="554"/>
      <c r="Q411" s="554"/>
      <c r="R411" s="554"/>
      <c r="S411" s="554"/>
      <c r="T411" s="554"/>
      <c r="U411" s="554"/>
      <c r="V411" s="554"/>
      <c r="W411" s="554"/>
      <c r="X411" s="554"/>
      <c r="Y411" s="554"/>
      <c r="Z411" s="554"/>
      <c r="AA411" s="554"/>
      <c r="AB411" s="554"/>
      <c r="AC411" s="554"/>
      <c r="AD411" s="554"/>
      <c r="AE411" s="554"/>
      <c r="AF411" s="554"/>
      <c r="AG411" s="554"/>
    </row>
    <row r="412">
      <c r="A412" s="549"/>
      <c r="B412" s="554"/>
      <c r="C412" s="554"/>
      <c r="D412" s="554"/>
      <c r="E412" s="554"/>
      <c r="F412" s="561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54"/>
      <c r="AB412" s="554"/>
      <c r="AC412" s="554"/>
      <c r="AD412" s="554"/>
      <c r="AE412" s="554"/>
      <c r="AF412" s="554"/>
      <c r="AG412" s="554"/>
    </row>
    <row r="413">
      <c r="A413" s="549"/>
      <c r="B413" s="554"/>
      <c r="C413" s="554"/>
      <c r="D413" s="554"/>
      <c r="E413" s="554"/>
      <c r="F413" s="561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54"/>
      <c r="AB413" s="554"/>
      <c r="AC413" s="554"/>
      <c r="AD413" s="554"/>
      <c r="AE413" s="554"/>
      <c r="AF413" s="554"/>
      <c r="AG413" s="554"/>
    </row>
    <row r="414">
      <c r="A414" s="549"/>
      <c r="B414" s="554"/>
      <c r="C414" s="554"/>
      <c r="D414" s="554"/>
      <c r="E414" s="554"/>
      <c r="F414" s="561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54"/>
      <c r="AB414" s="554"/>
      <c r="AC414" s="554"/>
      <c r="AD414" s="554"/>
      <c r="AE414" s="554"/>
      <c r="AF414" s="554"/>
      <c r="AG414" s="554"/>
    </row>
    <row r="415">
      <c r="A415" s="549"/>
      <c r="B415" s="554"/>
      <c r="C415" s="554"/>
      <c r="D415" s="554"/>
      <c r="E415" s="554"/>
      <c r="F415" s="561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54"/>
      <c r="AB415" s="554"/>
      <c r="AC415" s="554"/>
      <c r="AD415" s="554"/>
      <c r="AE415" s="554"/>
      <c r="AF415" s="554"/>
      <c r="AG415" s="554"/>
    </row>
    <row r="416">
      <c r="A416" s="549"/>
      <c r="B416" s="554"/>
      <c r="C416" s="554"/>
      <c r="D416" s="554"/>
      <c r="E416" s="554"/>
      <c r="F416" s="561"/>
      <c r="G416" s="554"/>
      <c r="H416" s="554"/>
      <c r="I416" s="554"/>
      <c r="J416" s="554"/>
      <c r="K416" s="554"/>
      <c r="L416" s="554"/>
      <c r="M416" s="554"/>
      <c r="N416" s="554"/>
      <c r="O416" s="554"/>
      <c r="P416" s="554"/>
      <c r="Q416" s="554"/>
      <c r="R416" s="554"/>
      <c r="S416" s="554"/>
      <c r="T416" s="554"/>
      <c r="U416" s="554"/>
      <c r="V416" s="554"/>
      <c r="W416" s="554"/>
      <c r="X416" s="554"/>
      <c r="Y416" s="554"/>
      <c r="Z416" s="554"/>
      <c r="AA416" s="554"/>
      <c r="AB416" s="554"/>
      <c r="AC416" s="554"/>
      <c r="AD416" s="554"/>
      <c r="AE416" s="554"/>
      <c r="AF416" s="554"/>
      <c r="AG416" s="554"/>
    </row>
    <row r="417">
      <c r="A417" s="549"/>
      <c r="B417" s="554"/>
      <c r="C417" s="554"/>
      <c r="D417" s="554"/>
      <c r="E417" s="554"/>
      <c r="F417" s="561"/>
      <c r="G417" s="554"/>
      <c r="H417" s="554"/>
      <c r="I417" s="554"/>
      <c r="J417" s="554"/>
      <c r="K417" s="554"/>
      <c r="L417" s="554"/>
      <c r="M417" s="554"/>
      <c r="N417" s="554"/>
      <c r="O417" s="554"/>
      <c r="P417" s="554"/>
      <c r="Q417" s="554"/>
      <c r="R417" s="554"/>
      <c r="S417" s="554"/>
      <c r="T417" s="554"/>
      <c r="U417" s="554"/>
      <c r="V417" s="554"/>
      <c r="W417" s="554"/>
      <c r="X417" s="554"/>
      <c r="Y417" s="554"/>
      <c r="Z417" s="554"/>
      <c r="AA417" s="554"/>
      <c r="AB417" s="554"/>
      <c r="AC417" s="554"/>
      <c r="AD417" s="554"/>
      <c r="AE417" s="554"/>
      <c r="AF417" s="554"/>
      <c r="AG417" s="554"/>
    </row>
    <row r="418">
      <c r="A418" s="549"/>
      <c r="B418" s="554"/>
      <c r="C418" s="554"/>
      <c r="D418" s="554"/>
      <c r="E418" s="554"/>
      <c r="F418" s="561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54"/>
      <c r="AB418" s="554"/>
      <c r="AC418" s="554"/>
      <c r="AD418" s="554"/>
      <c r="AE418" s="554"/>
      <c r="AF418" s="554"/>
      <c r="AG418" s="554"/>
    </row>
    <row r="419">
      <c r="A419" s="549"/>
      <c r="B419" s="554"/>
      <c r="C419" s="554"/>
      <c r="D419" s="554"/>
      <c r="E419" s="554"/>
      <c r="F419" s="561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54"/>
      <c r="AB419" s="554"/>
      <c r="AC419" s="554"/>
      <c r="AD419" s="554"/>
      <c r="AE419" s="554"/>
      <c r="AF419" s="554"/>
      <c r="AG419" s="554"/>
    </row>
    <row r="420">
      <c r="A420" s="549"/>
      <c r="B420" s="554"/>
      <c r="C420" s="554"/>
      <c r="D420" s="554"/>
      <c r="E420" s="554"/>
      <c r="F420" s="561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54"/>
      <c r="AB420" s="554"/>
      <c r="AC420" s="554"/>
      <c r="AD420" s="554"/>
      <c r="AE420" s="554"/>
      <c r="AF420" s="554"/>
      <c r="AG420" s="554"/>
    </row>
    <row r="421">
      <c r="A421" s="549"/>
      <c r="B421" s="554"/>
      <c r="C421" s="554"/>
      <c r="D421" s="554"/>
      <c r="E421" s="554"/>
      <c r="F421" s="561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54"/>
      <c r="AB421" s="554"/>
      <c r="AC421" s="554"/>
      <c r="AD421" s="554"/>
      <c r="AE421" s="554"/>
      <c r="AF421" s="554"/>
      <c r="AG421" s="554"/>
    </row>
    <row r="422">
      <c r="A422" s="549"/>
      <c r="B422" s="554"/>
      <c r="C422" s="554"/>
      <c r="D422" s="554"/>
      <c r="E422" s="554"/>
      <c r="F422" s="561"/>
      <c r="G422" s="554"/>
      <c r="H422" s="554"/>
      <c r="I422" s="554"/>
      <c r="J422" s="554"/>
      <c r="K422" s="554"/>
      <c r="L422" s="554"/>
      <c r="M422" s="554"/>
      <c r="N422" s="554"/>
      <c r="O422" s="554"/>
      <c r="P422" s="554"/>
      <c r="Q422" s="554"/>
      <c r="R422" s="554"/>
      <c r="S422" s="554"/>
      <c r="T422" s="554"/>
      <c r="U422" s="554"/>
      <c r="V422" s="554"/>
      <c r="W422" s="554"/>
      <c r="X422" s="554"/>
      <c r="Y422" s="554"/>
      <c r="Z422" s="554"/>
      <c r="AA422" s="554"/>
      <c r="AB422" s="554"/>
      <c r="AC422" s="554"/>
      <c r="AD422" s="554"/>
      <c r="AE422" s="554"/>
      <c r="AF422" s="554"/>
      <c r="AG422" s="554"/>
    </row>
    <row r="423">
      <c r="A423" s="549"/>
      <c r="B423" s="554"/>
      <c r="C423" s="554"/>
      <c r="D423" s="554"/>
      <c r="E423" s="554"/>
      <c r="F423" s="561"/>
      <c r="G423" s="554"/>
      <c r="H423" s="554"/>
      <c r="I423" s="554"/>
      <c r="J423" s="554"/>
      <c r="K423" s="554"/>
      <c r="L423" s="554"/>
      <c r="M423" s="554"/>
      <c r="N423" s="554"/>
      <c r="O423" s="554"/>
      <c r="P423" s="554"/>
      <c r="Q423" s="554"/>
      <c r="R423" s="554"/>
      <c r="S423" s="554"/>
      <c r="T423" s="554"/>
      <c r="U423" s="554"/>
      <c r="V423" s="554"/>
      <c r="W423" s="554"/>
      <c r="X423" s="554"/>
      <c r="Y423" s="554"/>
      <c r="Z423" s="554"/>
      <c r="AA423" s="554"/>
      <c r="AB423" s="554"/>
      <c r="AC423" s="554"/>
      <c r="AD423" s="554"/>
      <c r="AE423" s="554"/>
      <c r="AF423" s="554"/>
      <c r="AG423" s="554"/>
    </row>
    <row r="424">
      <c r="A424" s="549"/>
      <c r="B424" s="554"/>
      <c r="C424" s="554"/>
      <c r="D424" s="554"/>
      <c r="E424" s="554"/>
      <c r="F424" s="561"/>
      <c r="G424" s="554"/>
      <c r="H424" s="554"/>
      <c r="I424" s="554"/>
      <c r="J424" s="554"/>
      <c r="K424" s="554"/>
      <c r="L424" s="554"/>
      <c r="M424" s="554"/>
      <c r="N424" s="554"/>
      <c r="O424" s="554"/>
      <c r="P424" s="554"/>
      <c r="Q424" s="554"/>
      <c r="R424" s="554"/>
      <c r="S424" s="554"/>
      <c r="T424" s="554"/>
      <c r="U424" s="554"/>
      <c r="V424" s="554"/>
      <c r="W424" s="554"/>
      <c r="X424" s="554"/>
      <c r="Y424" s="554"/>
      <c r="Z424" s="554"/>
      <c r="AA424" s="554"/>
      <c r="AB424" s="554"/>
      <c r="AC424" s="554"/>
      <c r="AD424" s="554"/>
      <c r="AE424" s="554"/>
      <c r="AF424" s="554"/>
      <c r="AG424" s="554"/>
    </row>
    <row r="425">
      <c r="A425" s="549"/>
      <c r="B425" s="554"/>
      <c r="C425" s="554"/>
      <c r="D425" s="554"/>
      <c r="E425" s="554"/>
      <c r="F425" s="561"/>
      <c r="G425" s="554"/>
      <c r="H425" s="554"/>
      <c r="I425" s="554"/>
      <c r="J425" s="554"/>
      <c r="K425" s="554"/>
      <c r="L425" s="554"/>
      <c r="M425" s="554"/>
      <c r="N425" s="554"/>
      <c r="O425" s="554"/>
      <c r="P425" s="554"/>
      <c r="Q425" s="554"/>
      <c r="R425" s="554"/>
      <c r="S425" s="554"/>
      <c r="T425" s="554"/>
      <c r="U425" s="554"/>
      <c r="V425" s="554"/>
      <c r="W425" s="554"/>
      <c r="X425" s="554"/>
      <c r="Y425" s="554"/>
      <c r="Z425" s="554"/>
      <c r="AA425" s="554"/>
      <c r="AB425" s="554"/>
      <c r="AC425" s="554"/>
      <c r="AD425" s="554"/>
      <c r="AE425" s="554"/>
      <c r="AF425" s="554"/>
      <c r="AG425" s="554"/>
    </row>
    <row r="426">
      <c r="A426" s="549"/>
      <c r="B426" s="554"/>
      <c r="C426" s="554"/>
      <c r="D426" s="554"/>
      <c r="E426" s="554"/>
      <c r="F426" s="561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554"/>
      <c r="AB426" s="554"/>
      <c r="AC426" s="554"/>
      <c r="AD426" s="554"/>
      <c r="AE426" s="554"/>
      <c r="AF426" s="554"/>
      <c r="AG426" s="554"/>
    </row>
    <row r="427">
      <c r="A427" s="549"/>
      <c r="B427" s="554"/>
      <c r="C427" s="554"/>
      <c r="D427" s="554"/>
      <c r="E427" s="554"/>
      <c r="F427" s="561"/>
      <c r="G427" s="554"/>
      <c r="H427" s="554"/>
      <c r="I427" s="554"/>
      <c r="J427" s="554"/>
      <c r="K427" s="554"/>
      <c r="L427" s="554"/>
      <c r="M427" s="554"/>
      <c r="N427" s="554"/>
      <c r="O427" s="554"/>
      <c r="P427" s="554"/>
      <c r="Q427" s="554"/>
      <c r="R427" s="554"/>
      <c r="S427" s="554"/>
      <c r="T427" s="554"/>
      <c r="U427" s="554"/>
      <c r="V427" s="554"/>
      <c r="W427" s="554"/>
      <c r="X427" s="554"/>
      <c r="Y427" s="554"/>
      <c r="Z427" s="554"/>
      <c r="AA427" s="554"/>
      <c r="AB427" s="554"/>
      <c r="AC427" s="554"/>
      <c r="AD427" s="554"/>
      <c r="AE427" s="554"/>
      <c r="AF427" s="554"/>
      <c r="AG427" s="554"/>
    </row>
    <row r="428">
      <c r="A428" s="549"/>
      <c r="B428" s="554"/>
      <c r="C428" s="554"/>
      <c r="D428" s="554"/>
      <c r="E428" s="554"/>
      <c r="F428" s="561"/>
      <c r="G428" s="554"/>
      <c r="H428" s="554"/>
      <c r="I428" s="554"/>
      <c r="J428" s="554"/>
      <c r="K428" s="554"/>
      <c r="L428" s="554"/>
      <c r="M428" s="554"/>
      <c r="N428" s="554"/>
      <c r="O428" s="554"/>
      <c r="P428" s="554"/>
      <c r="Q428" s="554"/>
      <c r="R428" s="554"/>
      <c r="S428" s="554"/>
      <c r="T428" s="554"/>
      <c r="U428" s="554"/>
      <c r="V428" s="554"/>
      <c r="W428" s="554"/>
      <c r="X428" s="554"/>
      <c r="Y428" s="554"/>
      <c r="Z428" s="554"/>
      <c r="AA428" s="554"/>
      <c r="AB428" s="554"/>
      <c r="AC428" s="554"/>
      <c r="AD428" s="554"/>
      <c r="AE428" s="554"/>
      <c r="AF428" s="554"/>
      <c r="AG428" s="554"/>
    </row>
    <row r="429">
      <c r="A429" s="549"/>
      <c r="B429" s="554"/>
      <c r="C429" s="554"/>
      <c r="D429" s="554"/>
      <c r="E429" s="554"/>
      <c r="F429" s="561"/>
      <c r="G429" s="554"/>
      <c r="H429" s="554"/>
      <c r="I429" s="554"/>
      <c r="J429" s="554"/>
      <c r="K429" s="554"/>
      <c r="L429" s="554"/>
      <c r="M429" s="554"/>
      <c r="N429" s="554"/>
      <c r="O429" s="554"/>
      <c r="P429" s="554"/>
      <c r="Q429" s="554"/>
      <c r="R429" s="554"/>
      <c r="S429" s="554"/>
      <c r="T429" s="554"/>
      <c r="U429" s="554"/>
      <c r="V429" s="554"/>
      <c r="W429" s="554"/>
      <c r="X429" s="554"/>
      <c r="Y429" s="554"/>
      <c r="Z429" s="554"/>
      <c r="AA429" s="554"/>
      <c r="AB429" s="554"/>
      <c r="AC429" s="554"/>
      <c r="AD429" s="554"/>
      <c r="AE429" s="554"/>
      <c r="AF429" s="554"/>
      <c r="AG429" s="554"/>
    </row>
    <row r="430">
      <c r="A430" s="549"/>
      <c r="B430" s="554"/>
      <c r="C430" s="554"/>
      <c r="D430" s="554"/>
      <c r="E430" s="554"/>
      <c r="F430" s="561"/>
      <c r="G430" s="554"/>
      <c r="H430" s="554"/>
      <c r="I430" s="554"/>
      <c r="J430" s="554"/>
      <c r="K430" s="554"/>
      <c r="L430" s="554"/>
      <c r="M430" s="554"/>
      <c r="N430" s="554"/>
      <c r="O430" s="554"/>
      <c r="P430" s="554"/>
      <c r="Q430" s="554"/>
      <c r="R430" s="554"/>
      <c r="S430" s="554"/>
      <c r="T430" s="554"/>
      <c r="U430" s="554"/>
      <c r="V430" s="554"/>
      <c r="W430" s="554"/>
      <c r="X430" s="554"/>
      <c r="Y430" s="554"/>
      <c r="Z430" s="554"/>
      <c r="AA430" s="554"/>
      <c r="AB430" s="554"/>
      <c r="AC430" s="554"/>
      <c r="AD430" s="554"/>
      <c r="AE430" s="554"/>
      <c r="AF430" s="554"/>
      <c r="AG430" s="554"/>
    </row>
    <row r="431">
      <c r="A431" s="549"/>
      <c r="B431" s="554"/>
      <c r="C431" s="554"/>
      <c r="D431" s="554"/>
      <c r="E431" s="554"/>
      <c r="F431" s="561"/>
      <c r="G431" s="554"/>
      <c r="H431" s="554"/>
      <c r="I431" s="554"/>
      <c r="J431" s="554"/>
      <c r="K431" s="554"/>
      <c r="L431" s="554"/>
      <c r="M431" s="554"/>
      <c r="N431" s="554"/>
      <c r="O431" s="554"/>
      <c r="P431" s="554"/>
      <c r="Q431" s="554"/>
      <c r="R431" s="554"/>
      <c r="S431" s="554"/>
      <c r="T431" s="554"/>
      <c r="U431" s="554"/>
      <c r="V431" s="554"/>
      <c r="W431" s="554"/>
      <c r="X431" s="554"/>
      <c r="Y431" s="554"/>
      <c r="Z431" s="554"/>
      <c r="AA431" s="554"/>
      <c r="AB431" s="554"/>
      <c r="AC431" s="554"/>
      <c r="AD431" s="554"/>
      <c r="AE431" s="554"/>
      <c r="AF431" s="554"/>
      <c r="AG431" s="554"/>
    </row>
    <row r="432">
      <c r="A432" s="549"/>
      <c r="B432" s="554"/>
      <c r="C432" s="554"/>
      <c r="D432" s="554"/>
      <c r="E432" s="554"/>
      <c r="F432" s="561"/>
      <c r="G432" s="554"/>
      <c r="H432" s="554"/>
      <c r="I432" s="554"/>
      <c r="J432" s="554"/>
      <c r="K432" s="554"/>
      <c r="L432" s="554"/>
      <c r="M432" s="554"/>
      <c r="N432" s="554"/>
      <c r="O432" s="554"/>
      <c r="P432" s="554"/>
      <c r="Q432" s="554"/>
      <c r="R432" s="554"/>
      <c r="S432" s="554"/>
      <c r="T432" s="554"/>
      <c r="U432" s="554"/>
      <c r="V432" s="554"/>
      <c r="W432" s="554"/>
      <c r="X432" s="554"/>
      <c r="Y432" s="554"/>
      <c r="Z432" s="554"/>
      <c r="AA432" s="554"/>
      <c r="AB432" s="554"/>
      <c r="AC432" s="554"/>
      <c r="AD432" s="554"/>
      <c r="AE432" s="554"/>
      <c r="AF432" s="554"/>
      <c r="AG432" s="554"/>
    </row>
    <row r="433">
      <c r="A433" s="549"/>
      <c r="B433" s="554"/>
      <c r="C433" s="554"/>
      <c r="D433" s="554"/>
      <c r="E433" s="554"/>
      <c r="F433" s="561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54"/>
      <c r="AB433" s="554"/>
      <c r="AC433" s="554"/>
      <c r="AD433" s="554"/>
      <c r="AE433" s="554"/>
      <c r="AF433" s="554"/>
      <c r="AG433" s="554"/>
    </row>
    <row r="434">
      <c r="A434" s="549"/>
      <c r="B434" s="554"/>
      <c r="C434" s="554"/>
      <c r="D434" s="554"/>
      <c r="E434" s="554"/>
      <c r="F434" s="561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54"/>
      <c r="AB434" s="554"/>
      <c r="AC434" s="554"/>
      <c r="AD434" s="554"/>
      <c r="AE434" s="554"/>
      <c r="AF434" s="554"/>
      <c r="AG434" s="554"/>
    </row>
    <row r="435">
      <c r="A435" s="549"/>
      <c r="B435" s="554"/>
      <c r="C435" s="554"/>
      <c r="D435" s="554"/>
      <c r="E435" s="554"/>
      <c r="F435" s="561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54"/>
      <c r="AB435" s="554"/>
      <c r="AC435" s="554"/>
      <c r="AD435" s="554"/>
      <c r="AE435" s="554"/>
      <c r="AF435" s="554"/>
      <c r="AG435" s="554"/>
    </row>
    <row r="436">
      <c r="A436" s="549"/>
      <c r="B436" s="554"/>
      <c r="C436" s="554"/>
      <c r="D436" s="554"/>
      <c r="E436" s="554"/>
      <c r="F436" s="561"/>
      <c r="G436" s="554"/>
      <c r="H436" s="554"/>
      <c r="I436" s="554"/>
      <c r="J436" s="554"/>
      <c r="K436" s="554"/>
      <c r="L436" s="554"/>
      <c r="M436" s="554"/>
      <c r="N436" s="554"/>
      <c r="O436" s="554"/>
      <c r="P436" s="554"/>
      <c r="Q436" s="554"/>
      <c r="R436" s="554"/>
      <c r="S436" s="554"/>
      <c r="T436" s="554"/>
      <c r="U436" s="554"/>
      <c r="V436" s="554"/>
      <c r="W436" s="554"/>
      <c r="X436" s="554"/>
      <c r="Y436" s="554"/>
      <c r="Z436" s="554"/>
      <c r="AA436" s="554"/>
      <c r="AB436" s="554"/>
      <c r="AC436" s="554"/>
      <c r="AD436" s="554"/>
      <c r="AE436" s="554"/>
      <c r="AF436" s="554"/>
      <c r="AG436" s="554"/>
    </row>
    <row r="437">
      <c r="A437" s="549"/>
      <c r="B437" s="554"/>
      <c r="C437" s="554"/>
      <c r="D437" s="554"/>
      <c r="E437" s="554"/>
      <c r="F437" s="561"/>
      <c r="G437" s="554"/>
      <c r="H437" s="554"/>
      <c r="I437" s="554"/>
      <c r="J437" s="554"/>
      <c r="K437" s="554"/>
      <c r="L437" s="554"/>
      <c r="M437" s="554"/>
      <c r="N437" s="554"/>
      <c r="O437" s="554"/>
      <c r="P437" s="554"/>
      <c r="Q437" s="554"/>
      <c r="R437" s="554"/>
      <c r="S437" s="554"/>
      <c r="T437" s="554"/>
      <c r="U437" s="554"/>
      <c r="V437" s="554"/>
      <c r="W437" s="554"/>
      <c r="X437" s="554"/>
      <c r="Y437" s="554"/>
      <c r="Z437" s="554"/>
      <c r="AA437" s="554"/>
      <c r="AB437" s="554"/>
      <c r="AC437" s="554"/>
      <c r="AD437" s="554"/>
      <c r="AE437" s="554"/>
      <c r="AF437" s="554"/>
      <c r="AG437" s="554"/>
    </row>
    <row r="438">
      <c r="A438" s="549"/>
      <c r="B438" s="554"/>
      <c r="C438" s="554"/>
      <c r="D438" s="554"/>
      <c r="E438" s="554"/>
      <c r="F438" s="561"/>
      <c r="G438" s="554"/>
      <c r="H438" s="554"/>
      <c r="I438" s="554"/>
      <c r="J438" s="554"/>
      <c r="K438" s="554"/>
      <c r="L438" s="554"/>
      <c r="M438" s="554"/>
      <c r="N438" s="554"/>
      <c r="O438" s="554"/>
      <c r="P438" s="554"/>
      <c r="Q438" s="554"/>
      <c r="R438" s="554"/>
      <c r="S438" s="554"/>
      <c r="T438" s="554"/>
      <c r="U438" s="554"/>
      <c r="V438" s="554"/>
      <c r="W438" s="554"/>
      <c r="X438" s="554"/>
      <c r="Y438" s="554"/>
      <c r="Z438" s="554"/>
      <c r="AA438" s="554"/>
      <c r="AB438" s="554"/>
      <c r="AC438" s="554"/>
      <c r="AD438" s="554"/>
      <c r="AE438" s="554"/>
      <c r="AF438" s="554"/>
      <c r="AG438" s="554"/>
    </row>
    <row r="439">
      <c r="A439" s="549"/>
      <c r="B439" s="554"/>
      <c r="C439" s="554"/>
      <c r="D439" s="554"/>
      <c r="E439" s="554"/>
      <c r="F439" s="561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54"/>
      <c r="AB439" s="554"/>
      <c r="AC439" s="554"/>
      <c r="AD439" s="554"/>
      <c r="AE439" s="554"/>
      <c r="AF439" s="554"/>
      <c r="AG439" s="554"/>
    </row>
    <row r="440">
      <c r="A440" s="549"/>
      <c r="B440" s="554"/>
      <c r="C440" s="554"/>
      <c r="D440" s="554"/>
      <c r="E440" s="554"/>
      <c r="F440" s="561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54"/>
      <c r="AB440" s="554"/>
      <c r="AC440" s="554"/>
      <c r="AD440" s="554"/>
      <c r="AE440" s="554"/>
      <c r="AF440" s="554"/>
      <c r="AG440" s="554"/>
    </row>
    <row r="441">
      <c r="A441" s="549"/>
      <c r="B441" s="554"/>
      <c r="C441" s="554"/>
      <c r="D441" s="554"/>
      <c r="E441" s="554"/>
      <c r="F441" s="561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54"/>
      <c r="AB441" s="554"/>
      <c r="AC441" s="554"/>
      <c r="AD441" s="554"/>
      <c r="AE441" s="554"/>
      <c r="AF441" s="554"/>
      <c r="AG441" s="554"/>
    </row>
    <row r="442">
      <c r="A442" s="549"/>
      <c r="B442" s="554"/>
      <c r="C442" s="554"/>
      <c r="D442" s="554"/>
      <c r="E442" s="554"/>
      <c r="F442" s="561"/>
      <c r="G442" s="554"/>
      <c r="H442" s="554"/>
      <c r="I442" s="554"/>
      <c r="J442" s="554"/>
      <c r="K442" s="554"/>
      <c r="L442" s="554"/>
      <c r="M442" s="554"/>
      <c r="N442" s="554"/>
      <c r="O442" s="554"/>
      <c r="P442" s="554"/>
      <c r="Q442" s="554"/>
      <c r="R442" s="554"/>
      <c r="S442" s="554"/>
      <c r="T442" s="554"/>
      <c r="U442" s="554"/>
      <c r="V442" s="554"/>
      <c r="W442" s="554"/>
      <c r="X442" s="554"/>
      <c r="Y442" s="554"/>
      <c r="Z442" s="554"/>
      <c r="AA442" s="554"/>
      <c r="AB442" s="554"/>
      <c r="AC442" s="554"/>
      <c r="AD442" s="554"/>
      <c r="AE442" s="554"/>
      <c r="AF442" s="554"/>
      <c r="AG442" s="554"/>
    </row>
    <row r="443">
      <c r="A443" s="549"/>
      <c r="B443" s="554"/>
      <c r="C443" s="554"/>
      <c r="D443" s="554"/>
      <c r="E443" s="554"/>
      <c r="F443" s="561"/>
      <c r="G443" s="554"/>
      <c r="H443" s="554"/>
      <c r="I443" s="554"/>
      <c r="J443" s="554"/>
      <c r="K443" s="554"/>
      <c r="L443" s="554"/>
      <c r="M443" s="554"/>
      <c r="N443" s="554"/>
      <c r="O443" s="554"/>
      <c r="P443" s="554"/>
      <c r="Q443" s="554"/>
      <c r="R443" s="554"/>
      <c r="S443" s="554"/>
      <c r="T443" s="554"/>
      <c r="U443" s="554"/>
      <c r="V443" s="554"/>
      <c r="W443" s="554"/>
      <c r="X443" s="554"/>
      <c r="Y443" s="554"/>
      <c r="Z443" s="554"/>
      <c r="AA443" s="554"/>
      <c r="AB443" s="554"/>
      <c r="AC443" s="554"/>
      <c r="AD443" s="554"/>
      <c r="AE443" s="554"/>
      <c r="AF443" s="554"/>
      <c r="AG443" s="554"/>
    </row>
    <row r="444">
      <c r="A444" s="549"/>
      <c r="B444" s="554"/>
      <c r="C444" s="554"/>
      <c r="D444" s="554"/>
      <c r="E444" s="554"/>
      <c r="F444" s="561"/>
      <c r="G444" s="554"/>
      <c r="H444" s="554"/>
      <c r="I444" s="554"/>
      <c r="J444" s="554"/>
      <c r="K444" s="554"/>
      <c r="L444" s="554"/>
      <c r="M444" s="554"/>
      <c r="N444" s="554"/>
      <c r="O444" s="554"/>
      <c r="P444" s="554"/>
      <c r="Q444" s="554"/>
      <c r="R444" s="554"/>
      <c r="S444" s="554"/>
      <c r="T444" s="554"/>
      <c r="U444" s="554"/>
      <c r="V444" s="554"/>
      <c r="W444" s="554"/>
      <c r="X444" s="554"/>
      <c r="Y444" s="554"/>
      <c r="Z444" s="554"/>
      <c r="AA444" s="554"/>
      <c r="AB444" s="554"/>
      <c r="AC444" s="554"/>
      <c r="AD444" s="554"/>
      <c r="AE444" s="554"/>
      <c r="AF444" s="554"/>
      <c r="AG444" s="554"/>
    </row>
    <row r="445">
      <c r="A445" s="549"/>
      <c r="B445" s="554"/>
      <c r="C445" s="554"/>
      <c r="D445" s="554"/>
      <c r="E445" s="554"/>
      <c r="F445" s="561"/>
      <c r="G445" s="554"/>
      <c r="H445" s="554"/>
      <c r="I445" s="554"/>
      <c r="J445" s="554"/>
      <c r="K445" s="554"/>
      <c r="L445" s="554"/>
      <c r="M445" s="554"/>
      <c r="N445" s="554"/>
      <c r="O445" s="554"/>
      <c r="P445" s="554"/>
      <c r="Q445" s="554"/>
      <c r="R445" s="554"/>
      <c r="S445" s="554"/>
      <c r="T445" s="554"/>
      <c r="U445" s="554"/>
      <c r="V445" s="554"/>
      <c r="W445" s="554"/>
      <c r="X445" s="554"/>
      <c r="Y445" s="554"/>
      <c r="Z445" s="554"/>
      <c r="AA445" s="554"/>
      <c r="AB445" s="554"/>
      <c r="AC445" s="554"/>
      <c r="AD445" s="554"/>
      <c r="AE445" s="554"/>
      <c r="AF445" s="554"/>
      <c r="AG445" s="554"/>
    </row>
    <row r="446">
      <c r="A446" s="549"/>
      <c r="B446" s="554"/>
      <c r="C446" s="554"/>
      <c r="D446" s="554"/>
      <c r="E446" s="554"/>
      <c r="F446" s="561"/>
      <c r="G446" s="554"/>
      <c r="H446" s="554"/>
      <c r="I446" s="554"/>
      <c r="J446" s="554"/>
      <c r="K446" s="554"/>
      <c r="L446" s="554"/>
      <c r="M446" s="554"/>
      <c r="N446" s="554"/>
      <c r="O446" s="554"/>
      <c r="P446" s="554"/>
      <c r="Q446" s="554"/>
      <c r="R446" s="554"/>
      <c r="S446" s="554"/>
      <c r="T446" s="554"/>
      <c r="U446" s="554"/>
      <c r="V446" s="554"/>
      <c r="W446" s="554"/>
      <c r="X446" s="554"/>
      <c r="Y446" s="554"/>
      <c r="Z446" s="554"/>
      <c r="AA446" s="554"/>
      <c r="AB446" s="554"/>
      <c r="AC446" s="554"/>
      <c r="AD446" s="554"/>
      <c r="AE446" s="554"/>
      <c r="AF446" s="554"/>
      <c r="AG446" s="554"/>
    </row>
    <row r="447">
      <c r="A447" s="549"/>
      <c r="B447" s="554"/>
      <c r="C447" s="554"/>
      <c r="D447" s="554"/>
      <c r="E447" s="554"/>
      <c r="F447" s="561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554"/>
      <c r="AB447" s="554"/>
      <c r="AC447" s="554"/>
      <c r="AD447" s="554"/>
      <c r="AE447" s="554"/>
      <c r="AF447" s="554"/>
      <c r="AG447" s="554"/>
    </row>
    <row r="448">
      <c r="A448" s="549"/>
      <c r="B448" s="554"/>
      <c r="C448" s="554"/>
      <c r="D448" s="554"/>
      <c r="E448" s="554"/>
      <c r="F448" s="561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54"/>
      <c r="AB448" s="554"/>
      <c r="AC448" s="554"/>
      <c r="AD448" s="554"/>
      <c r="AE448" s="554"/>
      <c r="AF448" s="554"/>
      <c r="AG448" s="554"/>
    </row>
    <row r="449">
      <c r="A449" s="549"/>
      <c r="B449" s="554"/>
      <c r="C449" s="554"/>
      <c r="D449" s="554"/>
      <c r="E449" s="554"/>
      <c r="F449" s="561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54"/>
      <c r="AB449" s="554"/>
      <c r="AC449" s="554"/>
      <c r="AD449" s="554"/>
      <c r="AE449" s="554"/>
      <c r="AF449" s="554"/>
      <c r="AG449" s="554"/>
    </row>
    <row r="450">
      <c r="A450" s="549"/>
      <c r="B450" s="554"/>
      <c r="C450" s="554"/>
      <c r="D450" s="554"/>
      <c r="E450" s="554"/>
      <c r="F450" s="561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54"/>
      <c r="AB450" s="554"/>
      <c r="AC450" s="554"/>
      <c r="AD450" s="554"/>
      <c r="AE450" s="554"/>
      <c r="AF450" s="554"/>
      <c r="AG450" s="554"/>
    </row>
    <row r="451">
      <c r="A451" s="549"/>
      <c r="B451" s="554"/>
      <c r="C451" s="554"/>
      <c r="D451" s="554"/>
      <c r="E451" s="554"/>
      <c r="F451" s="561"/>
      <c r="G451" s="554"/>
      <c r="H451" s="554"/>
      <c r="I451" s="554"/>
      <c r="J451" s="554"/>
      <c r="K451" s="554"/>
      <c r="L451" s="554"/>
      <c r="M451" s="554"/>
      <c r="N451" s="554"/>
      <c r="O451" s="554"/>
      <c r="P451" s="554"/>
      <c r="Q451" s="554"/>
      <c r="R451" s="554"/>
      <c r="S451" s="554"/>
      <c r="T451" s="554"/>
      <c r="U451" s="554"/>
      <c r="V451" s="554"/>
      <c r="W451" s="554"/>
      <c r="X451" s="554"/>
      <c r="Y451" s="554"/>
      <c r="Z451" s="554"/>
      <c r="AA451" s="554"/>
      <c r="AB451" s="554"/>
      <c r="AC451" s="554"/>
      <c r="AD451" s="554"/>
      <c r="AE451" s="554"/>
      <c r="AF451" s="554"/>
      <c r="AG451" s="554"/>
    </row>
    <row r="452">
      <c r="A452" s="549"/>
      <c r="B452" s="554"/>
      <c r="C452" s="554"/>
      <c r="D452" s="554"/>
      <c r="E452" s="554"/>
      <c r="F452" s="561"/>
      <c r="G452" s="554"/>
      <c r="H452" s="554"/>
      <c r="I452" s="554"/>
      <c r="J452" s="554"/>
      <c r="K452" s="554"/>
      <c r="L452" s="554"/>
      <c r="M452" s="554"/>
      <c r="N452" s="554"/>
      <c r="O452" s="554"/>
      <c r="P452" s="554"/>
      <c r="Q452" s="554"/>
      <c r="R452" s="554"/>
      <c r="S452" s="554"/>
      <c r="T452" s="554"/>
      <c r="U452" s="554"/>
      <c r="V452" s="554"/>
      <c r="W452" s="554"/>
      <c r="X452" s="554"/>
      <c r="Y452" s="554"/>
      <c r="Z452" s="554"/>
      <c r="AA452" s="554"/>
      <c r="AB452" s="554"/>
      <c r="AC452" s="554"/>
      <c r="AD452" s="554"/>
      <c r="AE452" s="554"/>
      <c r="AF452" s="554"/>
      <c r="AG452" s="554"/>
    </row>
    <row r="453">
      <c r="A453" s="549"/>
      <c r="B453" s="554"/>
      <c r="C453" s="554"/>
      <c r="D453" s="554"/>
      <c r="E453" s="554"/>
      <c r="F453" s="561"/>
      <c r="G453" s="554"/>
      <c r="H453" s="554"/>
      <c r="I453" s="554"/>
      <c r="J453" s="554"/>
      <c r="K453" s="554"/>
      <c r="L453" s="554"/>
      <c r="M453" s="554"/>
      <c r="N453" s="554"/>
      <c r="O453" s="554"/>
      <c r="P453" s="554"/>
      <c r="Q453" s="554"/>
      <c r="R453" s="554"/>
      <c r="S453" s="554"/>
      <c r="T453" s="554"/>
      <c r="U453" s="554"/>
      <c r="V453" s="554"/>
      <c r="W453" s="554"/>
      <c r="X453" s="554"/>
      <c r="Y453" s="554"/>
      <c r="Z453" s="554"/>
      <c r="AA453" s="554"/>
      <c r="AB453" s="554"/>
      <c r="AC453" s="554"/>
      <c r="AD453" s="554"/>
      <c r="AE453" s="554"/>
      <c r="AF453" s="554"/>
      <c r="AG453" s="554"/>
    </row>
    <row r="454">
      <c r="A454" s="549"/>
      <c r="B454" s="554"/>
      <c r="C454" s="554"/>
      <c r="D454" s="554"/>
      <c r="E454" s="554"/>
      <c r="F454" s="561"/>
      <c r="G454" s="554"/>
      <c r="H454" s="554"/>
      <c r="I454" s="554"/>
      <c r="J454" s="554"/>
      <c r="K454" s="554"/>
      <c r="L454" s="554"/>
      <c r="M454" s="554"/>
      <c r="N454" s="554"/>
      <c r="O454" s="554"/>
      <c r="P454" s="554"/>
      <c r="Q454" s="554"/>
      <c r="R454" s="554"/>
      <c r="S454" s="554"/>
      <c r="T454" s="554"/>
      <c r="U454" s="554"/>
      <c r="V454" s="554"/>
      <c r="W454" s="554"/>
      <c r="X454" s="554"/>
      <c r="Y454" s="554"/>
      <c r="Z454" s="554"/>
      <c r="AA454" s="554"/>
      <c r="AB454" s="554"/>
      <c r="AC454" s="554"/>
      <c r="AD454" s="554"/>
      <c r="AE454" s="554"/>
      <c r="AF454" s="554"/>
      <c r="AG454" s="554"/>
    </row>
    <row r="455">
      <c r="A455" s="549"/>
      <c r="B455" s="554"/>
      <c r="C455" s="554"/>
      <c r="D455" s="554"/>
      <c r="E455" s="554"/>
      <c r="F455" s="561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54"/>
      <c r="AB455" s="554"/>
      <c r="AC455" s="554"/>
      <c r="AD455" s="554"/>
      <c r="AE455" s="554"/>
      <c r="AF455" s="554"/>
      <c r="AG455" s="554"/>
    </row>
    <row r="456">
      <c r="A456" s="549"/>
      <c r="B456" s="554"/>
      <c r="C456" s="554"/>
      <c r="D456" s="554"/>
      <c r="E456" s="554"/>
      <c r="F456" s="561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54"/>
      <c r="AB456" s="554"/>
      <c r="AC456" s="554"/>
      <c r="AD456" s="554"/>
      <c r="AE456" s="554"/>
      <c r="AF456" s="554"/>
      <c r="AG456" s="554"/>
    </row>
    <row r="457">
      <c r="A457" s="549"/>
      <c r="B457" s="554"/>
      <c r="C457" s="554"/>
      <c r="D457" s="554"/>
      <c r="E457" s="554"/>
      <c r="F457" s="561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54"/>
      <c r="AB457" s="554"/>
      <c r="AC457" s="554"/>
      <c r="AD457" s="554"/>
      <c r="AE457" s="554"/>
      <c r="AF457" s="554"/>
      <c r="AG457" s="554"/>
    </row>
    <row r="458">
      <c r="A458" s="549"/>
      <c r="B458" s="554"/>
      <c r="C458" s="554"/>
      <c r="D458" s="554"/>
      <c r="E458" s="554"/>
      <c r="F458" s="561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54"/>
      <c r="AB458" s="554"/>
      <c r="AC458" s="554"/>
      <c r="AD458" s="554"/>
      <c r="AE458" s="554"/>
      <c r="AF458" s="554"/>
      <c r="AG458" s="554"/>
    </row>
    <row r="459">
      <c r="A459" s="549"/>
      <c r="B459" s="554"/>
      <c r="C459" s="554"/>
      <c r="D459" s="554"/>
      <c r="E459" s="554"/>
      <c r="F459" s="561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554"/>
      <c r="AB459" s="554"/>
      <c r="AC459" s="554"/>
      <c r="AD459" s="554"/>
      <c r="AE459" s="554"/>
      <c r="AF459" s="554"/>
      <c r="AG459" s="554"/>
    </row>
    <row r="460">
      <c r="A460" s="549"/>
      <c r="B460" s="554"/>
      <c r="C460" s="554"/>
      <c r="D460" s="554"/>
      <c r="E460" s="554"/>
      <c r="F460" s="561"/>
      <c r="G460" s="554"/>
      <c r="H460" s="554"/>
      <c r="I460" s="554"/>
      <c r="J460" s="554"/>
      <c r="K460" s="554"/>
      <c r="L460" s="554"/>
      <c r="M460" s="554"/>
      <c r="N460" s="554"/>
      <c r="O460" s="554"/>
      <c r="P460" s="554"/>
      <c r="Q460" s="554"/>
      <c r="R460" s="554"/>
      <c r="S460" s="554"/>
      <c r="T460" s="554"/>
      <c r="U460" s="554"/>
      <c r="V460" s="554"/>
      <c r="W460" s="554"/>
      <c r="X460" s="554"/>
      <c r="Y460" s="554"/>
      <c r="Z460" s="554"/>
      <c r="AA460" s="554"/>
      <c r="AB460" s="554"/>
      <c r="AC460" s="554"/>
      <c r="AD460" s="554"/>
      <c r="AE460" s="554"/>
      <c r="AF460" s="554"/>
      <c r="AG460" s="554"/>
    </row>
    <row r="461">
      <c r="A461" s="549"/>
      <c r="B461" s="554"/>
      <c r="C461" s="554"/>
      <c r="D461" s="554"/>
      <c r="E461" s="554"/>
      <c r="F461" s="561"/>
      <c r="G461" s="554"/>
      <c r="H461" s="554"/>
      <c r="I461" s="554"/>
      <c r="J461" s="554"/>
      <c r="K461" s="554"/>
      <c r="L461" s="554"/>
      <c r="M461" s="554"/>
      <c r="N461" s="554"/>
      <c r="O461" s="554"/>
      <c r="P461" s="554"/>
      <c r="Q461" s="554"/>
      <c r="R461" s="554"/>
      <c r="S461" s="554"/>
      <c r="T461" s="554"/>
      <c r="U461" s="554"/>
      <c r="V461" s="554"/>
      <c r="W461" s="554"/>
      <c r="X461" s="554"/>
      <c r="Y461" s="554"/>
      <c r="Z461" s="554"/>
      <c r="AA461" s="554"/>
      <c r="AB461" s="554"/>
      <c r="AC461" s="554"/>
      <c r="AD461" s="554"/>
      <c r="AE461" s="554"/>
      <c r="AF461" s="554"/>
      <c r="AG461" s="554"/>
    </row>
    <row r="462">
      <c r="A462" s="549"/>
      <c r="B462" s="554"/>
      <c r="C462" s="554"/>
      <c r="D462" s="554"/>
      <c r="E462" s="554"/>
      <c r="F462" s="561"/>
      <c r="G462" s="554"/>
      <c r="H462" s="554"/>
      <c r="I462" s="554"/>
      <c r="J462" s="554"/>
      <c r="K462" s="554"/>
      <c r="L462" s="554"/>
      <c r="M462" s="554"/>
      <c r="N462" s="554"/>
      <c r="O462" s="554"/>
      <c r="P462" s="554"/>
      <c r="Q462" s="554"/>
      <c r="R462" s="554"/>
      <c r="S462" s="554"/>
      <c r="T462" s="554"/>
      <c r="U462" s="554"/>
      <c r="V462" s="554"/>
      <c r="W462" s="554"/>
      <c r="X462" s="554"/>
      <c r="Y462" s="554"/>
      <c r="Z462" s="554"/>
      <c r="AA462" s="554"/>
      <c r="AB462" s="554"/>
      <c r="AC462" s="554"/>
      <c r="AD462" s="554"/>
      <c r="AE462" s="554"/>
      <c r="AF462" s="554"/>
      <c r="AG462" s="554"/>
    </row>
    <row r="463">
      <c r="A463" s="549"/>
      <c r="B463" s="554"/>
      <c r="C463" s="554"/>
      <c r="D463" s="554"/>
      <c r="E463" s="554"/>
      <c r="F463" s="561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54"/>
      <c r="AB463" s="554"/>
      <c r="AC463" s="554"/>
      <c r="AD463" s="554"/>
      <c r="AE463" s="554"/>
      <c r="AF463" s="554"/>
      <c r="AG463" s="554"/>
    </row>
    <row r="464">
      <c r="A464" s="549"/>
      <c r="B464" s="554"/>
      <c r="C464" s="554"/>
      <c r="D464" s="554"/>
      <c r="E464" s="554"/>
      <c r="F464" s="561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54"/>
      <c r="AB464" s="554"/>
      <c r="AC464" s="554"/>
      <c r="AD464" s="554"/>
      <c r="AE464" s="554"/>
      <c r="AF464" s="554"/>
      <c r="AG464" s="554"/>
    </row>
    <row r="465">
      <c r="A465" s="549"/>
      <c r="B465" s="554"/>
      <c r="C465" s="554"/>
      <c r="D465" s="554"/>
      <c r="E465" s="554"/>
      <c r="F465" s="561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54"/>
      <c r="AB465" s="554"/>
      <c r="AC465" s="554"/>
      <c r="AD465" s="554"/>
      <c r="AE465" s="554"/>
      <c r="AF465" s="554"/>
      <c r="AG465" s="554"/>
    </row>
    <row r="466">
      <c r="A466" s="549"/>
      <c r="B466" s="554"/>
      <c r="C466" s="554"/>
      <c r="D466" s="554"/>
      <c r="E466" s="554"/>
      <c r="F466" s="561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554"/>
      <c r="AB466" s="554"/>
      <c r="AC466" s="554"/>
      <c r="AD466" s="554"/>
      <c r="AE466" s="554"/>
      <c r="AF466" s="554"/>
      <c r="AG466" s="554"/>
    </row>
    <row r="467">
      <c r="A467" s="549"/>
      <c r="B467" s="554"/>
      <c r="C467" s="554"/>
      <c r="D467" s="554"/>
      <c r="E467" s="554"/>
      <c r="F467" s="561"/>
      <c r="G467" s="554"/>
      <c r="H467" s="554"/>
      <c r="I467" s="554"/>
      <c r="J467" s="554"/>
      <c r="K467" s="554"/>
      <c r="L467" s="554"/>
      <c r="M467" s="554"/>
      <c r="N467" s="554"/>
      <c r="O467" s="554"/>
      <c r="P467" s="554"/>
      <c r="Q467" s="554"/>
      <c r="R467" s="554"/>
      <c r="S467" s="554"/>
      <c r="T467" s="554"/>
      <c r="U467" s="554"/>
      <c r="V467" s="554"/>
      <c r="W467" s="554"/>
      <c r="X467" s="554"/>
      <c r="Y467" s="554"/>
      <c r="Z467" s="554"/>
      <c r="AA467" s="554"/>
      <c r="AB467" s="554"/>
      <c r="AC467" s="554"/>
      <c r="AD467" s="554"/>
      <c r="AE467" s="554"/>
      <c r="AF467" s="554"/>
      <c r="AG467" s="554"/>
    </row>
    <row r="468">
      <c r="A468" s="549"/>
      <c r="B468" s="554"/>
      <c r="C468" s="554"/>
      <c r="D468" s="554"/>
      <c r="E468" s="554"/>
      <c r="F468" s="561"/>
      <c r="G468" s="554"/>
      <c r="H468" s="554"/>
      <c r="I468" s="554"/>
      <c r="J468" s="554"/>
      <c r="K468" s="554"/>
      <c r="L468" s="554"/>
      <c r="M468" s="554"/>
      <c r="N468" s="554"/>
      <c r="O468" s="554"/>
      <c r="P468" s="554"/>
      <c r="Q468" s="554"/>
      <c r="R468" s="554"/>
      <c r="S468" s="554"/>
      <c r="T468" s="554"/>
      <c r="U468" s="554"/>
      <c r="V468" s="554"/>
      <c r="W468" s="554"/>
      <c r="X468" s="554"/>
      <c r="Y468" s="554"/>
      <c r="Z468" s="554"/>
      <c r="AA468" s="554"/>
      <c r="AB468" s="554"/>
      <c r="AC468" s="554"/>
      <c r="AD468" s="554"/>
      <c r="AE468" s="554"/>
      <c r="AF468" s="554"/>
      <c r="AG468" s="554"/>
    </row>
    <row r="469">
      <c r="A469" s="549"/>
      <c r="B469" s="554"/>
      <c r="C469" s="554"/>
      <c r="D469" s="554"/>
      <c r="E469" s="554"/>
      <c r="F469" s="561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54"/>
      <c r="AB469" s="554"/>
      <c r="AC469" s="554"/>
      <c r="AD469" s="554"/>
      <c r="AE469" s="554"/>
      <c r="AF469" s="554"/>
      <c r="AG469" s="554"/>
    </row>
    <row r="470">
      <c r="A470" s="549"/>
      <c r="B470" s="554"/>
      <c r="C470" s="554"/>
      <c r="D470" s="554"/>
      <c r="E470" s="554"/>
      <c r="F470" s="561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54"/>
      <c r="AB470" s="554"/>
      <c r="AC470" s="554"/>
      <c r="AD470" s="554"/>
      <c r="AE470" s="554"/>
      <c r="AF470" s="554"/>
      <c r="AG470" s="554"/>
    </row>
    <row r="471">
      <c r="A471" s="549"/>
      <c r="B471" s="554"/>
      <c r="C471" s="554"/>
      <c r="D471" s="554"/>
      <c r="E471" s="554"/>
      <c r="F471" s="561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54"/>
      <c r="AB471" s="554"/>
      <c r="AC471" s="554"/>
      <c r="AD471" s="554"/>
      <c r="AE471" s="554"/>
      <c r="AF471" s="554"/>
      <c r="AG471" s="554"/>
    </row>
    <row r="472">
      <c r="A472" s="549"/>
      <c r="B472" s="554"/>
      <c r="C472" s="554"/>
      <c r="D472" s="554"/>
      <c r="E472" s="554"/>
      <c r="F472" s="561"/>
      <c r="G472" s="554"/>
      <c r="H472" s="554"/>
      <c r="I472" s="554"/>
      <c r="J472" s="554"/>
      <c r="K472" s="554"/>
      <c r="L472" s="554"/>
      <c r="M472" s="554"/>
      <c r="N472" s="554"/>
      <c r="O472" s="554"/>
      <c r="P472" s="554"/>
      <c r="Q472" s="554"/>
      <c r="R472" s="554"/>
      <c r="S472" s="554"/>
      <c r="T472" s="554"/>
      <c r="U472" s="554"/>
      <c r="V472" s="554"/>
      <c r="W472" s="554"/>
      <c r="X472" s="554"/>
      <c r="Y472" s="554"/>
      <c r="Z472" s="554"/>
      <c r="AA472" s="554"/>
      <c r="AB472" s="554"/>
      <c r="AC472" s="554"/>
      <c r="AD472" s="554"/>
      <c r="AE472" s="554"/>
      <c r="AF472" s="554"/>
      <c r="AG472" s="554"/>
    </row>
    <row r="473">
      <c r="A473" s="549"/>
      <c r="B473" s="554"/>
      <c r="C473" s="554"/>
      <c r="D473" s="554"/>
      <c r="E473" s="554"/>
      <c r="F473" s="561"/>
      <c r="G473" s="554"/>
      <c r="H473" s="554"/>
      <c r="I473" s="554"/>
      <c r="J473" s="554"/>
      <c r="K473" s="554"/>
      <c r="L473" s="554"/>
      <c r="M473" s="554"/>
      <c r="N473" s="554"/>
      <c r="O473" s="554"/>
      <c r="P473" s="554"/>
      <c r="Q473" s="554"/>
      <c r="R473" s="554"/>
      <c r="S473" s="554"/>
      <c r="T473" s="554"/>
      <c r="U473" s="554"/>
      <c r="V473" s="554"/>
      <c r="W473" s="554"/>
      <c r="X473" s="554"/>
      <c r="Y473" s="554"/>
      <c r="Z473" s="554"/>
      <c r="AA473" s="554"/>
      <c r="AB473" s="554"/>
      <c r="AC473" s="554"/>
      <c r="AD473" s="554"/>
      <c r="AE473" s="554"/>
      <c r="AF473" s="554"/>
      <c r="AG473" s="554"/>
    </row>
    <row r="474">
      <c r="A474" s="549"/>
      <c r="B474" s="554"/>
      <c r="C474" s="554"/>
      <c r="D474" s="554"/>
      <c r="E474" s="554"/>
      <c r="F474" s="561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54"/>
      <c r="AB474" s="554"/>
      <c r="AC474" s="554"/>
      <c r="AD474" s="554"/>
      <c r="AE474" s="554"/>
      <c r="AF474" s="554"/>
      <c r="AG474" s="554"/>
    </row>
    <row r="475">
      <c r="A475" s="549"/>
      <c r="B475" s="554"/>
      <c r="C475" s="554"/>
      <c r="D475" s="554"/>
      <c r="E475" s="554"/>
      <c r="F475" s="561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54"/>
      <c r="AB475" s="554"/>
      <c r="AC475" s="554"/>
      <c r="AD475" s="554"/>
      <c r="AE475" s="554"/>
      <c r="AF475" s="554"/>
      <c r="AG475" s="554"/>
    </row>
    <row r="476">
      <c r="A476" s="549"/>
      <c r="B476" s="554"/>
      <c r="C476" s="554"/>
      <c r="D476" s="554"/>
      <c r="E476" s="554"/>
      <c r="F476" s="561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54"/>
      <c r="AB476" s="554"/>
      <c r="AC476" s="554"/>
      <c r="AD476" s="554"/>
      <c r="AE476" s="554"/>
      <c r="AF476" s="554"/>
      <c r="AG476" s="554"/>
    </row>
    <row r="477">
      <c r="A477" s="549"/>
      <c r="B477" s="554"/>
      <c r="C477" s="554"/>
      <c r="D477" s="554"/>
      <c r="E477" s="554"/>
      <c r="F477" s="561"/>
      <c r="G477" s="554"/>
      <c r="H477" s="554"/>
      <c r="I477" s="554"/>
      <c r="J477" s="554"/>
      <c r="K477" s="554"/>
      <c r="L477" s="554"/>
      <c r="M477" s="554"/>
      <c r="N477" s="554"/>
      <c r="O477" s="554"/>
      <c r="P477" s="554"/>
      <c r="Q477" s="554"/>
      <c r="R477" s="554"/>
      <c r="S477" s="554"/>
      <c r="T477" s="554"/>
      <c r="U477" s="554"/>
      <c r="V477" s="554"/>
      <c r="W477" s="554"/>
      <c r="X477" s="554"/>
      <c r="Y477" s="554"/>
      <c r="Z477" s="554"/>
      <c r="AA477" s="554"/>
      <c r="AB477" s="554"/>
      <c r="AC477" s="554"/>
      <c r="AD477" s="554"/>
      <c r="AE477" s="554"/>
      <c r="AF477" s="554"/>
      <c r="AG477" s="554"/>
    </row>
    <row r="478">
      <c r="A478" s="549"/>
      <c r="B478" s="554"/>
      <c r="C478" s="554"/>
      <c r="D478" s="554"/>
      <c r="E478" s="554"/>
      <c r="F478" s="561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54"/>
      <c r="AB478" s="554"/>
      <c r="AC478" s="554"/>
      <c r="AD478" s="554"/>
      <c r="AE478" s="554"/>
      <c r="AF478" s="554"/>
      <c r="AG478" s="554"/>
    </row>
    <row r="479">
      <c r="A479" s="549"/>
      <c r="B479" s="554"/>
      <c r="C479" s="554"/>
      <c r="D479" s="554"/>
      <c r="E479" s="554"/>
      <c r="F479" s="561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54"/>
      <c r="AB479" s="554"/>
      <c r="AC479" s="554"/>
      <c r="AD479" s="554"/>
      <c r="AE479" s="554"/>
      <c r="AF479" s="554"/>
      <c r="AG479" s="554"/>
    </row>
    <row r="480">
      <c r="A480" s="549"/>
      <c r="B480" s="554"/>
      <c r="C480" s="554"/>
      <c r="D480" s="554"/>
      <c r="E480" s="554"/>
      <c r="F480" s="561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54"/>
      <c r="AB480" s="554"/>
      <c r="AC480" s="554"/>
      <c r="AD480" s="554"/>
      <c r="AE480" s="554"/>
      <c r="AF480" s="554"/>
      <c r="AG480" s="554"/>
    </row>
    <row r="481">
      <c r="A481" s="549"/>
      <c r="B481" s="554"/>
      <c r="C481" s="554"/>
      <c r="D481" s="554"/>
      <c r="E481" s="554"/>
      <c r="F481" s="561"/>
      <c r="G481" s="554"/>
      <c r="H481" s="554"/>
      <c r="I481" s="554"/>
      <c r="J481" s="554"/>
      <c r="K481" s="554"/>
      <c r="L481" s="554"/>
      <c r="M481" s="554"/>
      <c r="N481" s="554"/>
      <c r="O481" s="554"/>
      <c r="P481" s="554"/>
      <c r="Q481" s="554"/>
      <c r="R481" s="554"/>
      <c r="S481" s="554"/>
      <c r="T481" s="554"/>
      <c r="U481" s="554"/>
      <c r="V481" s="554"/>
      <c r="W481" s="554"/>
      <c r="X481" s="554"/>
      <c r="Y481" s="554"/>
      <c r="Z481" s="554"/>
      <c r="AA481" s="554"/>
      <c r="AB481" s="554"/>
      <c r="AC481" s="554"/>
      <c r="AD481" s="554"/>
      <c r="AE481" s="554"/>
      <c r="AF481" s="554"/>
      <c r="AG481" s="554"/>
    </row>
    <row r="482">
      <c r="A482" s="549"/>
      <c r="B482" s="554"/>
      <c r="C482" s="554"/>
      <c r="D482" s="554"/>
      <c r="E482" s="554"/>
      <c r="F482" s="561"/>
      <c r="G482" s="554"/>
      <c r="H482" s="554"/>
      <c r="I482" s="554"/>
      <c r="J482" s="554"/>
      <c r="K482" s="554"/>
      <c r="L482" s="554"/>
      <c r="M482" s="554"/>
      <c r="N482" s="554"/>
      <c r="O482" s="554"/>
      <c r="P482" s="554"/>
      <c r="Q482" s="554"/>
      <c r="R482" s="554"/>
      <c r="S482" s="554"/>
      <c r="T482" s="554"/>
      <c r="U482" s="554"/>
      <c r="V482" s="554"/>
      <c r="W482" s="554"/>
      <c r="X482" s="554"/>
      <c r="Y482" s="554"/>
      <c r="Z482" s="554"/>
      <c r="AA482" s="554"/>
      <c r="AB482" s="554"/>
      <c r="AC482" s="554"/>
      <c r="AD482" s="554"/>
      <c r="AE482" s="554"/>
      <c r="AF482" s="554"/>
      <c r="AG482" s="554"/>
    </row>
    <row r="483">
      <c r="A483" s="549"/>
      <c r="B483" s="554"/>
      <c r="C483" s="554"/>
      <c r="D483" s="554"/>
      <c r="E483" s="554"/>
      <c r="F483" s="561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54"/>
      <c r="AB483" s="554"/>
      <c r="AC483" s="554"/>
      <c r="AD483" s="554"/>
      <c r="AE483" s="554"/>
      <c r="AF483" s="554"/>
      <c r="AG483" s="554"/>
    </row>
    <row r="484">
      <c r="A484" s="549"/>
      <c r="B484" s="554"/>
      <c r="C484" s="554"/>
      <c r="D484" s="554"/>
      <c r="E484" s="554"/>
      <c r="F484" s="561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54"/>
      <c r="AB484" s="554"/>
      <c r="AC484" s="554"/>
      <c r="AD484" s="554"/>
      <c r="AE484" s="554"/>
      <c r="AF484" s="554"/>
      <c r="AG484" s="554"/>
    </row>
    <row r="485">
      <c r="A485" s="549"/>
      <c r="B485" s="554"/>
      <c r="C485" s="554"/>
      <c r="D485" s="554"/>
      <c r="E485" s="554"/>
      <c r="F485" s="561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54"/>
      <c r="AB485" s="554"/>
      <c r="AC485" s="554"/>
      <c r="AD485" s="554"/>
      <c r="AE485" s="554"/>
      <c r="AF485" s="554"/>
      <c r="AG485" s="554"/>
    </row>
    <row r="486">
      <c r="A486" s="549"/>
      <c r="B486" s="554"/>
      <c r="C486" s="554"/>
      <c r="D486" s="554"/>
      <c r="E486" s="554"/>
      <c r="F486" s="561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54"/>
      <c r="AB486" s="554"/>
      <c r="AC486" s="554"/>
      <c r="AD486" s="554"/>
      <c r="AE486" s="554"/>
      <c r="AF486" s="554"/>
      <c r="AG486" s="554"/>
    </row>
    <row r="487">
      <c r="A487" s="549"/>
      <c r="B487" s="554"/>
      <c r="C487" s="554"/>
      <c r="D487" s="554"/>
      <c r="E487" s="554"/>
      <c r="F487" s="561"/>
      <c r="G487" s="554"/>
      <c r="H487" s="554"/>
      <c r="I487" s="554"/>
      <c r="J487" s="554"/>
      <c r="K487" s="554"/>
      <c r="L487" s="554"/>
      <c r="M487" s="554"/>
      <c r="N487" s="554"/>
      <c r="O487" s="554"/>
      <c r="P487" s="554"/>
      <c r="Q487" s="554"/>
      <c r="R487" s="554"/>
      <c r="S487" s="554"/>
      <c r="T487" s="554"/>
      <c r="U487" s="554"/>
      <c r="V487" s="554"/>
      <c r="W487" s="554"/>
      <c r="X487" s="554"/>
      <c r="Y487" s="554"/>
      <c r="Z487" s="554"/>
      <c r="AA487" s="554"/>
      <c r="AB487" s="554"/>
      <c r="AC487" s="554"/>
      <c r="AD487" s="554"/>
      <c r="AE487" s="554"/>
      <c r="AF487" s="554"/>
      <c r="AG487" s="554"/>
    </row>
    <row r="488">
      <c r="A488" s="549"/>
      <c r="B488" s="554"/>
      <c r="C488" s="554"/>
      <c r="D488" s="554"/>
      <c r="E488" s="554"/>
      <c r="F488" s="561"/>
      <c r="G488" s="554"/>
      <c r="H488" s="554"/>
      <c r="I488" s="554"/>
      <c r="J488" s="554"/>
      <c r="K488" s="554"/>
      <c r="L488" s="554"/>
      <c r="M488" s="554"/>
      <c r="N488" s="554"/>
      <c r="O488" s="554"/>
      <c r="P488" s="554"/>
      <c r="Q488" s="554"/>
      <c r="R488" s="554"/>
      <c r="S488" s="554"/>
      <c r="T488" s="554"/>
      <c r="U488" s="554"/>
      <c r="V488" s="554"/>
      <c r="W488" s="554"/>
      <c r="X488" s="554"/>
      <c r="Y488" s="554"/>
      <c r="Z488" s="554"/>
      <c r="AA488" s="554"/>
      <c r="AB488" s="554"/>
      <c r="AC488" s="554"/>
      <c r="AD488" s="554"/>
      <c r="AE488" s="554"/>
      <c r="AF488" s="554"/>
      <c r="AG488" s="554"/>
    </row>
    <row r="489">
      <c r="A489" s="549"/>
      <c r="B489" s="554"/>
      <c r="C489" s="554"/>
      <c r="D489" s="554"/>
      <c r="E489" s="554"/>
      <c r="F489" s="561"/>
      <c r="G489" s="554"/>
      <c r="H489" s="554"/>
      <c r="I489" s="554"/>
      <c r="J489" s="554"/>
      <c r="K489" s="554"/>
      <c r="L489" s="554"/>
      <c r="M489" s="554"/>
      <c r="N489" s="554"/>
      <c r="O489" s="554"/>
      <c r="P489" s="554"/>
      <c r="Q489" s="554"/>
      <c r="R489" s="554"/>
      <c r="S489" s="554"/>
      <c r="T489" s="554"/>
      <c r="U489" s="554"/>
      <c r="V489" s="554"/>
      <c r="W489" s="554"/>
      <c r="X489" s="554"/>
      <c r="Y489" s="554"/>
      <c r="Z489" s="554"/>
      <c r="AA489" s="554"/>
      <c r="AB489" s="554"/>
      <c r="AC489" s="554"/>
      <c r="AD489" s="554"/>
      <c r="AE489" s="554"/>
      <c r="AF489" s="554"/>
      <c r="AG489" s="554"/>
    </row>
    <row r="490">
      <c r="A490" s="549"/>
      <c r="B490" s="554"/>
      <c r="C490" s="554"/>
      <c r="D490" s="554"/>
      <c r="E490" s="554"/>
      <c r="F490" s="561"/>
      <c r="G490" s="554"/>
      <c r="H490" s="554"/>
      <c r="I490" s="554"/>
      <c r="J490" s="554"/>
      <c r="K490" s="554"/>
      <c r="L490" s="554"/>
      <c r="M490" s="554"/>
      <c r="N490" s="554"/>
      <c r="O490" s="554"/>
      <c r="P490" s="554"/>
      <c r="Q490" s="554"/>
      <c r="R490" s="554"/>
      <c r="S490" s="554"/>
      <c r="T490" s="554"/>
      <c r="U490" s="554"/>
      <c r="V490" s="554"/>
      <c r="W490" s="554"/>
      <c r="X490" s="554"/>
      <c r="Y490" s="554"/>
      <c r="Z490" s="554"/>
      <c r="AA490" s="554"/>
      <c r="AB490" s="554"/>
      <c r="AC490" s="554"/>
      <c r="AD490" s="554"/>
      <c r="AE490" s="554"/>
      <c r="AF490" s="554"/>
      <c r="AG490" s="554"/>
    </row>
    <row r="491">
      <c r="A491" s="549"/>
      <c r="B491" s="554"/>
      <c r="C491" s="554"/>
      <c r="D491" s="554"/>
      <c r="E491" s="554"/>
      <c r="F491" s="561"/>
      <c r="G491" s="554"/>
      <c r="H491" s="554"/>
      <c r="I491" s="554"/>
      <c r="J491" s="554"/>
      <c r="K491" s="554"/>
      <c r="L491" s="554"/>
      <c r="M491" s="554"/>
      <c r="N491" s="554"/>
      <c r="O491" s="554"/>
      <c r="P491" s="554"/>
      <c r="Q491" s="554"/>
      <c r="R491" s="554"/>
      <c r="S491" s="554"/>
      <c r="T491" s="554"/>
      <c r="U491" s="554"/>
      <c r="V491" s="554"/>
      <c r="W491" s="554"/>
      <c r="X491" s="554"/>
      <c r="Y491" s="554"/>
      <c r="Z491" s="554"/>
      <c r="AA491" s="554"/>
      <c r="AB491" s="554"/>
      <c r="AC491" s="554"/>
      <c r="AD491" s="554"/>
      <c r="AE491" s="554"/>
      <c r="AF491" s="554"/>
      <c r="AG491" s="554"/>
    </row>
    <row r="492">
      <c r="A492" s="549"/>
      <c r="B492" s="554"/>
      <c r="C492" s="554"/>
      <c r="D492" s="554"/>
      <c r="E492" s="554"/>
      <c r="F492" s="561"/>
      <c r="G492" s="554"/>
      <c r="H492" s="554"/>
      <c r="I492" s="554"/>
      <c r="J492" s="554"/>
      <c r="K492" s="554"/>
      <c r="L492" s="554"/>
      <c r="M492" s="554"/>
      <c r="N492" s="554"/>
      <c r="O492" s="554"/>
      <c r="P492" s="554"/>
      <c r="Q492" s="554"/>
      <c r="R492" s="554"/>
      <c r="S492" s="554"/>
      <c r="T492" s="554"/>
      <c r="U492" s="554"/>
      <c r="V492" s="554"/>
      <c r="W492" s="554"/>
      <c r="X492" s="554"/>
      <c r="Y492" s="554"/>
      <c r="Z492" s="554"/>
      <c r="AA492" s="554"/>
      <c r="AB492" s="554"/>
      <c r="AC492" s="554"/>
      <c r="AD492" s="554"/>
      <c r="AE492" s="554"/>
      <c r="AF492" s="554"/>
      <c r="AG492" s="554"/>
    </row>
    <row r="493">
      <c r="A493" s="549"/>
      <c r="B493" s="554"/>
      <c r="C493" s="554"/>
      <c r="D493" s="554"/>
      <c r="E493" s="554"/>
      <c r="F493" s="561"/>
      <c r="G493" s="554"/>
      <c r="H493" s="554"/>
      <c r="I493" s="554"/>
      <c r="J493" s="554"/>
      <c r="K493" s="554"/>
      <c r="L493" s="554"/>
      <c r="M493" s="554"/>
      <c r="N493" s="554"/>
      <c r="O493" s="554"/>
      <c r="P493" s="554"/>
      <c r="Q493" s="554"/>
      <c r="R493" s="554"/>
      <c r="S493" s="554"/>
      <c r="T493" s="554"/>
      <c r="U493" s="554"/>
      <c r="V493" s="554"/>
      <c r="W493" s="554"/>
      <c r="X493" s="554"/>
      <c r="Y493" s="554"/>
      <c r="Z493" s="554"/>
      <c r="AA493" s="554"/>
      <c r="AB493" s="554"/>
      <c r="AC493" s="554"/>
      <c r="AD493" s="554"/>
      <c r="AE493" s="554"/>
      <c r="AF493" s="554"/>
      <c r="AG493" s="554"/>
    </row>
    <row r="494">
      <c r="A494" s="549"/>
      <c r="B494" s="554"/>
      <c r="C494" s="554"/>
      <c r="D494" s="554"/>
      <c r="E494" s="554"/>
      <c r="F494" s="561"/>
      <c r="G494" s="554"/>
      <c r="H494" s="554"/>
      <c r="I494" s="554"/>
      <c r="J494" s="554"/>
      <c r="K494" s="554"/>
      <c r="L494" s="554"/>
      <c r="M494" s="554"/>
      <c r="N494" s="554"/>
      <c r="O494" s="554"/>
      <c r="P494" s="554"/>
      <c r="Q494" s="554"/>
      <c r="R494" s="554"/>
      <c r="S494" s="554"/>
      <c r="T494" s="554"/>
      <c r="U494" s="554"/>
      <c r="V494" s="554"/>
      <c r="W494" s="554"/>
      <c r="X494" s="554"/>
      <c r="Y494" s="554"/>
      <c r="Z494" s="554"/>
      <c r="AA494" s="554"/>
      <c r="AB494" s="554"/>
      <c r="AC494" s="554"/>
      <c r="AD494" s="554"/>
      <c r="AE494" s="554"/>
      <c r="AF494" s="554"/>
      <c r="AG494" s="554"/>
    </row>
    <row r="495">
      <c r="A495" s="549"/>
      <c r="B495" s="554"/>
      <c r="C495" s="554"/>
      <c r="D495" s="554"/>
      <c r="E495" s="554"/>
      <c r="F495" s="561"/>
      <c r="G495" s="554"/>
      <c r="H495" s="554"/>
      <c r="I495" s="554"/>
      <c r="J495" s="554"/>
      <c r="K495" s="554"/>
      <c r="L495" s="554"/>
      <c r="M495" s="554"/>
      <c r="N495" s="554"/>
      <c r="O495" s="554"/>
      <c r="P495" s="554"/>
      <c r="Q495" s="554"/>
      <c r="R495" s="554"/>
      <c r="S495" s="554"/>
      <c r="T495" s="554"/>
      <c r="U495" s="554"/>
      <c r="V495" s="554"/>
      <c r="W495" s="554"/>
      <c r="X495" s="554"/>
      <c r="Y495" s="554"/>
      <c r="Z495" s="554"/>
      <c r="AA495" s="554"/>
      <c r="AB495" s="554"/>
      <c r="AC495" s="554"/>
      <c r="AD495" s="554"/>
      <c r="AE495" s="554"/>
      <c r="AF495" s="554"/>
      <c r="AG495" s="554"/>
    </row>
    <row r="496">
      <c r="A496" s="549"/>
      <c r="B496" s="554"/>
      <c r="C496" s="554"/>
      <c r="D496" s="554"/>
      <c r="E496" s="554"/>
      <c r="F496" s="561"/>
      <c r="G496" s="554"/>
      <c r="H496" s="554"/>
      <c r="I496" s="554"/>
      <c r="J496" s="554"/>
      <c r="K496" s="554"/>
      <c r="L496" s="554"/>
      <c r="M496" s="554"/>
      <c r="N496" s="554"/>
      <c r="O496" s="554"/>
      <c r="P496" s="554"/>
      <c r="Q496" s="554"/>
      <c r="R496" s="554"/>
      <c r="S496" s="554"/>
      <c r="T496" s="554"/>
      <c r="U496" s="554"/>
      <c r="V496" s="554"/>
      <c r="W496" s="554"/>
      <c r="X496" s="554"/>
      <c r="Y496" s="554"/>
      <c r="Z496" s="554"/>
      <c r="AA496" s="554"/>
      <c r="AB496" s="554"/>
      <c r="AC496" s="554"/>
      <c r="AD496" s="554"/>
      <c r="AE496" s="554"/>
      <c r="AF496" s="554"/>
      <c r="AG496" s="554"/>
    </row>
    <row r="497">
      <c r="A497" s="549"/>
      <c r="B497" s="554"/>
      <c r="C497" s="554"/>
      <c r="D497" s="554"/>
      <c r="E497" s="554"/>
      <c r="F497" s="561"/>
      <c r="G497" s="554"/>
      <c r="H497" s="554"/>
      <c r="I497" s="554"/>
      <c r="J497" s="554"/>
      <c r="K497" s="554"/>
      <c r="L497" s="554"/>
      <c r="M497" s="554"/>
      <c r="N497" s="554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A497" s="554"/>
      <c r="AB497" s="554"/>
      <c r="AC497" s="554"/>
      <c r="AD497" s="554"/>
      <c r="AE497" s="554"/>
      <c r="AF497" s="554"/>
      <c r="AG497" s="554"/>
    </row>
    <row r="498">
      <c r="A498" s="549"/>
      <c r="B498" s="554"/>
      <c r="C498" s="554"/>
      <c r="D498" s="554"/>
      <c r="E498" s="554"/>
      <c r="F498" s="561"/>
      <c r="G498" s="554"/>
      <c r="H498" s="554"/>
      <c r="I498" s="554"/>
      <c r="J498" s="554"/>
      <c r="K498" s="554"/>
      <c r="L498" s="554"/>
      <c r="M498" s="554"/>
      <c r="N498" s="554"/>
      <c r="O498" s="554"/>
      <c r="P498" s="554"/>
      <c r="Q498" s="554"/>
      <c r="R498" s="554"/>
      <c r="S498" s="554"/>
      <c r="T498" s="554"/>
      <c r="U498" s="554"/>
      <c r="V498" s="554"/>
      <c r="W498" s="554"/>
      <c r="X498" s="554"/>
      <c r="Y498" s="554"/>
      <c r="Z498" s="554"/>
      <c r="AA498" s="554"/>
      <c r="AB498" s="554"/>
      <c r="AC498" s="554"/>
      <c r="AD498" s="554"/>
      <c r="AE498" s="554"/>
      <c r="AF498" s="554"/>
      <c r="AG498" s="554"/>
    </row>
    <row r="499">
      <c r="A499" s="549"/>
      <c r="B499" s="554"/>
      <c r="C499" s="554"/>
      <c r="D499" s="554"/>
      <c r="E499" s="554"/>
      <c r="F499" s="561"/>
      <c r="G499" s="554"/>
      <c r="H499" s="554"/>
      <c r="I499" s="554"/>
      <c r="J499" s="554"/>
      <c r="K499" s="554"/>
      <c r="L499" s="554"/>
      <c r="M499" s="554"/>
      <c r="N499" s="554"/>
      <c r="O499" s="554"/>
      <c r="P499" s="554"/>
      <c r="Q499" s="554"/>
      <c r="R499" s="554"/>
      <c r="S499" s="554"/>
      <c r="T499" s="554"/>
      <c r="U499" s="554"/>
      <c r="V499" s="554"/>
      <c r="W499" s="554"/>
      <c r="X499" s="554"/>
      <c r="Y499" s="554"/>
      <c r="Z499" s="554"/>
      <c r="AA499" s="554"/>
      <c r="AB499" s="554"/>
      <c r="AC499" s="554"/>
      <c r="AD499" s="554"/>
      <c r="AE499" s="554"/>
      <c r="AF499" s="554"/>
      <c r="AG499" s="554"/>
    </row>
    <row r="500">
      <c r="A500" s="549"/>
      <c r="B500" s="554"/>
      <c r="C500" s="554"/>
      <c r="D500" s="554"/>
      <c r="E500" s="554"/>
      <c r="F500" s="561"/>
      <c r="G500" s="554"/>
      <c r="H500" s="554"/>
      <c r="I500" s="554"/>
      <c r="J500" s="554"/>
      <c r="K500" s="554"/>
      <c r="L500" s="554"/>
      <c r="M500" s="554"/>
      <c r="N500" s="554"/>
      <c r="O500" s="554"/>
      <c r="P500" s="554"/>
      <c r="Q500" s="554"/>
      <c r="R500" s="554"/>
      <c r="S500" s="554"/>
      <c r="T500" s="554"/>
      <c r="U500" s="554"/>
      <c r="V500" s="554"/>
      <c r="W500" s="554"/>
      <c r="X500" s="554"/>
      <c r="Y500" s="554"/>
      <c r="Z500" s="554"/>
      <c r="AA500" s="554"/>
      <c r="AB500" s="554"/>
      <c r="AC500" s="554"/>
      <c r="AD500" s="554"/>
      <c r="AE500" s="554"/>
      <c r="AF500" s="554"/>
      <c r="AG500" s="554"/>
    </row>
    <row r="501">
      <c r="A501" s="549"/>
      <c r="B501" s="554"/>
      <c r="C501" s="554"/>
      <c r="D501" s="554"/>
      <c r="E501" s="554"/>
      <c r="F501" s="561"/>
      <c r="G501" s="554"/>
      <c r="H501" s="554"/>
      <c r="I501" s="554"/>
      <c r="J501" s="554"/>
      <c r="K501" s="554"/>
      <c r="L501" s="554"/>
      <c r="M501" s="554"/>
      <c r="N501" s="554"/>
      <c r="O501" s="554"/>
      <c r="P501" s="554"/>
      <c r="Q501" s="554"/>
      <c r="R501" s="554"/>
      <c r="S501" s="554"/>
      <c r="T501" s="554"/>
      <c r="U501" s="554"/>
      <c r="V501" s="554"/>
      <c r="W501" s="554"/>
      <c r="X501" s="554"/>
      <c r="Y501" s="554"/>
      <c r="Z501" s="554"/>
      <c r="AA501" s="554"/>
      <c r="AB501" s="554"/>
      <c r="AC501" s="554"/>
      <c r="AD501" s="554"/>
      <c r="AE501" s="554"/>
      <c r="AF501" s="554"/>
      <c r="AG501" s="554"/>
    </row>
    <row r="502">
      <c r="A502" s="549"/>
      <c r="B502" s="554"/>
      <c r="C502" s="554"/>
      <c r="D502" s="554"/>
      <c r="E502" s="554"/>
      <c r="F502" s="561"/>
      <c r="G502" s="554"/>
      <c r="H502" s="554"/>
      <c r="I502" s="554"/>
      <c r="J502" s="554"/>
      <c r="K502" s="554"/>
      <c r="L502" s="554"/>
      <c r="M502" s="554"/>
      <c r="N502" s="554"/>
      <c r="O502" s="554"/>
      <c r="P502" s="554"/>
      <c r="Q502" s="554"/>
      <c r="R502" s="554"/>
      <c r="S502" s="554"/>
      <c r="T502" s="554"/>
      <c r="U502" s="554"/>
      <c r="V502" s="554"/>
      <c r="W502" s="554"/>
      <c r="X502" s="554"/>
      <c r="Y502" s="554"/>
      <c r="Z502" s="554"/>
      <c r="AA502" s="554"/>
      <c r="AB502" s="554"/>
      <c r="AC502" s="554"/>
      <c r="AD502" s="554"/>
      <c r="AE502" s="554"/>
      <c r="AF502" s="554"/>
      <c r="AG502" s="554"/>
    </row>
    <row r="503">
      <c r="A503" s="549"/>
      <c r="B503" s="554"/>
      <c r="C503" s="554"/>
      <c r="D503" s="554"/>
      <c r="E503" s="554"/>
      <c r="F503" s="561"/>
      <c r="G503" s="554"/>
      <c r="H503" s="554"/>
      <c r="I503" s="554"/>
      <c r="J503" s="554"/>
      <c r="K503" s="554"/>
      <c r="L503" s="554"/>
      <c r="M503" s="554"/>
      <c r="N503" s="554"/>
      <c r="O503" s="554"/>
      <c r="P503" s="554"/>
      <c r="Q503" s="554"/>
      <c r="R503" s="554"/>
      <c r="S503" s="554"/>
      <c r="T503" s="554"/>
      <c r="U503" s="554"/>
      <c r="V503" s="554"/>
      <c r="W503" s="554"/>
      <c r="X503" s="554"/>
      <c r="Y503" s="554"/>
      <c r="Z503" s="554"/>
      <c r="AA503" s="554"/>
      <c r="AB503" s="554"/>
      <c r="AC503" s="554"/>
      <c r="AD503" s="554"/>
      <c r="AE503" s="554"/>
      <c r="AF503" s="554"/>
      <c r="AG503" s="554"/>
    </row>
    <row r="504">
      <c r="A504" s="549"/>
      <c r="B504" s="554"/>
      <c r="C504" s="554"/>
      <c r="D504" s="554"/>
      <c r="E504" s="554"/>
      <c r="F504" s="561"/>
      <c r="G504" s="554"/>
      <c r="H504" s="554"/>
      <c r="I504" s="554"/>
      <c r="J504" s="554"/>
      <c r="K504" s="554"/>
      <c r="L504" s="554"/>
      <c r="M504" s="554"/>
      <c r="N504" s="554"/>
      <c r="O504" s="554"/>
      <c r="P504" s="554"/>
      <c r="Q504" s="554"/>
      <c r="R504" s="554"/>
      <c r="S504" s="554"/>
      <c r="T504" s="554"/>
      <c r="U504" s="554"/>
      <c r="V504" s="554"/>
      <c r="W504" s="554"/>
      <c r="X504" s="554"/>
      <c r="Y504" s="554"/>
      <c r="Z504" s="554"/>
      <c r="AA504" s="554"/>
      <c r="AB504" s="554"/>
      <c r="AC504" s="554"/>
      <c r="AD504" s="554"/>
      <c r="AE504" s="554"/>
      <c r="AF504" s="554"/>
      <c r="AG504" s="554"/>
    </row>
    <row r="505">
      <c r="A505" s="549"/>
      <c r="B505" s="554"/>
      <c r="C505" s="554"/>
      <c r="D505" s="554"/>
      <c r="E505" s="554"/>
      <c r="F505" s="561"/>
      <c r="G505" s="554"/>
      <c r="H505" s="554"/>
      <c r="I505" s="554"/>
      <c r="J505" s="554"/>
      <c r="K505" s="554"/>
      <c r="L505" s="554"/>
      <c r="M505" s="554"/>
      <c r="N505" s="554"/>
      <c r="O505" s="554"/>
      <c r="P505" s="554"/>
      <c r="Q505" s="554"/>
      <c r="R505" s="554"/>
      <c r="S505" s="554"/>
      <c r="T505" s="554"/>
      <c r="U505" s="554"/>
      <c r="V505" s="554"/>
      <c r="W505" s="554"/>
      <c r="X505" s="554"/>
      <c r="Y505" s="554"/>
      <c r="Z505" s="554"/>
      <c r="AA505" s="554"/>
      <c r="AB505" s="554"/>
      <c r="AC505" s="554"/>
      <c r="AD505" s="554"/>
      <c r="AE505" s="554"/>
      <c r="AF505" s="554"/>
      <c r="AG505" s="554"/>
    </row>
    <row r="506">
      <c r="A506" s="549"/>
      <c r="B506" s="554"/>
      <c r="C506" s="554"/>
      <c r="D506" s="554"/>
      <c r="E506" s="554"/>
      <c r="F506" s="561"/>
      <c r="G506" s="554"/>
      <c r="H506" s="554"/>
      <c r="I506" s="554"/>
      <c r="J506" s="554"/>
      <c r="K506" s="554"/>
      <c r="L506" s="554"/>
      <c r="M506" s="554"/>
      <c r="N506" s="554"/>
      <c r="O506" s="554"/>
      <c r="P506" s="554"/>
      <c r="Q506" s="554"/>
      <c r="R506" s="554"/>
      <c r="S506" s="554"/>
      <c r="T506" s="554"/>
      <c r="U506" s="554"/>
      <c r="V506" s="554"/>
      <c r="W506" s="554"/>
      <c r="X506" s="554"/>
      <c r="Y506" s="554"/>
      <c r="Z506" s="554"/>
      <c r="AA506" s="554"/>
      <c r="AB506" s="554"/>
      <c r="AC506" s="554"/>
      <c r="AD506" s="554"/>
      <c r="AE506" s="554"/>
      <c r="AF506" s="554"/>
      <c r="AG506" s="554"/>
    </row>
    <row r="507">
      <c r="A507" s="549"/>
      <c r="B507" s="554"/>
      <c r="C507" s="554"/>
      <c r="D507" s="554"/>
      <c r="E507" s="554"/>
      <c r="F507" s="561"/>
      <c r="G507" s="554"/>
      <c r="H507" s="554"/>
      <c r="I507" s="554"/>
      <c r="J507" s="554"/>
      <c r="K507" s="554"/>
      <c r="L507" s="554"/>
      <c r="M507" s="554"/>
      <c r="N507" s="554"/>
      <c r="O507" s="554"/>
      <c r="P507" s="554"/>
      <c r="Q507" s="554"/>
      <c r="R507" s="554"/>
      <c r="S507" s="554"/>
      <c r="T507" s="554"/>
      <c r="U507" s="554"/>
      <c r="V507" s="554"/>
      <c r="W507" s="554"/>
      <c r="X507" s="554"/>
      <c r="Y507" s="554"/>
      <c r="Z507" s="554"/>
      <c r="AA507" s="554"/>
      <c r="AB507" s="554"/>
      <c r="AC507" s="554"/>
      <c r="AD507" s="554"/>
      <c r="AE507" s="554"/>
      <c r="AF507" s="554"/>
      <c r="AG507" s="554"/>
    </row>
    <row r="508">
      <c r="A508" s="549"/>
      <c r="B508" s="554"/>
      <c r="C508" s="554"/>
      <c r="D508" s="554"/>
      <c r="E508" s="554"/>
      <c r="F508" s="561"/>
      <c r="G508" s="554"/>
      <c r="H508" s="554"/>
      <c r="I508" s="554"/>
      <c r="J508" s="554"/>
      <c r="K508" s="554"/>
      <c r="L508" s="554"/>
      <c r="M508" s="554"/>
      <c r="N508" s="554"/>
      <c r="O508" s="554"/>
      <c r="P508" s="554"/>
      <c r="Q508" s="554"/>
      <c r="R508" s="554"/>
      <c r="S508" s="554"/>
      <c r="T508" s="554"/>
      <c r="U508" s="554"/>
      <c r="V508" s="554"/>
      <c r="W508" s="554"/>
      <c r="X508" s="554"/>
      <c r="Y508" s="554"/>
      <c r="Z508" s="554"/>
      <c r="AA508" s="554"/>
      <c r="AB508" s="554"/>
      <c r="AC508" s="554"/>
      <c r="AD508" s="554"/>
      <c r="AE508" s="554"/>
      <c r="AF508" s="554"/>
      <c r="AG508" s="554"/>
    </row>
    <row r="509">
      <c r="A509" s="549"/>
      <c r="B509" s="554"/>
      <c r="C509" s="554"/>
      <c r="D509" s="554"/>
      <c r="E509" s="554"/>
      <c r="F509" s="561"/>
      <c r="G509" s="554"/>
      <c r="H509" s="554"/>
      <c r="I509" s="554"/>
      <c r="J509" s="554"/>
      <c r="K509" s="554"/>
      <c r="L509" s="554"/>
      <c r="M509" s="554"/>
      <c r="N509" s="554"/>
      <c r="O509" s="554"/>
      <c r="P509" s="554"/>
      <c r="Q509" s="554"/>
      <c r="R509" s="554"/>
      <c r="S509" s="554"/>
      <c r="T509" s="554"/>
      <c r="U509" s="554"/>
      <c r="V509" s="554"/>
      <c r="W509" s="554"/>
      <c r="X509" s="554"/>
      <c r="Y509" s="554"/>
      <c r="Z509" s="554"/>
      <c r="AA509" s="554"/>
      <c r="AB509" s="554"/>
      <c r="AC509" s="554"/>
      <c r="AD509" s="554"/>
      <c r="AE509" s="554"/>
      <c r="AF509" s="554"/>
      <c r="AG509" s="554"/>
    </row>
    <row r="510">
      <c r="A510" s="549"/>
      <c r="B510" s="554"/>
      <c r="C510" s="554"/>
      <c r="D510" s="554"/>
      <c r="E510" s="554"/>
      <c r="F510" s="561"/>
      <c r="G510" s="554"/>
      <c r="H510" s="554"/>
      <c r="I510" s="554"/>
      <c r="J510" s="554"/>
      <c r="K510" s="554"/>
      <c r="L510" s="554"/>
      <c r="M510" s="554"/>
      <c r="N510" s="554"/>
      <c r="O510" s="554"/>
      <c r="P510" s="554"/>
      <c r="Q510" s="554"/>
      <c r="R510" s="554"/>
      <c r="S510" s="554"/>
      <c r="T510" s="554"/>
      <c r="U510" s="554"/>
      <c r="V510" s="554"/>
      <c r="W510" s="554"/>
      <c r="X510" s="554"/>
      <c r="Y510" s="554"/>
      <c r="Z510" s="554"/>
      <c r="AA510" s="554"/>
      <c r="AB510" s="554"/>
      <c r="AC510" s="554"/>
      <c r="AD510" s="554"/>
      <c r="AE510" s="554"/>
      <c r="AF510" s="554"/>
      <c r="AG510" s="554"/>
    </row>
    <row r="511">
      <c r="A511" s="549"/>
      <c r="B511" s="554"/>
      <c r="C511" s="554"/>
      <c r="D511" s="554"/>
      <c r="E511" s="554"/>
      <c r="F511" s="561"/>
      <c r="G511" s="554"/>
      <c r="H511" s="554"/>
      <c r="I511" s="554"/>
      <c r="J511" s="554"/>
      <c r="K511" s="554"/>
      <c r="L511" s="554"/>
      <c r="M511" s="554"/>
      <c r="N511" s="554"/>
      <c r="O511" s="554"/>
      <c r="P511" s="554"/>
      <c r="Q511" s="554"/>
      <c r="R511" s="554"/>
      <c r="S511" s="554"/>
      <c r="T511" s="554"/>
      <c r="U511" s="554"/>
      <c r="V511" s="554"/>
      <c r="W511" s="554"/>
      <c r="X511" s="554"/>
      <c r="Y511" s="554"/>
      <c r="Z511" s="554"/>
      <c r="AA511" s="554"/>
      <c r="AB511" s="554"/>
      <c r="AC511" s="554"/>
      <c r="AD511" s="554"/>
      <c r="AE511" s="554"/>
      <c r="AF511" s="554"/>
      <c r="AG511" s="554"/>
    </row>
    <row r="512">
      <c r="A512" s="549"/>
      <c r="B512" s="554"/>
      <c r="C512" s="554"/>
      <c r="D512" s="554"/>
      <c r="E512" s="554"/>
      <c r="F512" s="561"/>
      <c r="G512" s="554"/>
      <c r="H512" s="554"/>
      <c r="I512" s="554"/>
      <c r="J512" s="554"/>
      <c r="K512" s="554"/>
      <c r="L512" s="554"/>
      <c r="M512" s="554"/>
      <c r="N512" s="554"/>
      <c r="O512" s="554"/>
      <c r="P512" s="554"/>
      <c r="Q512" s="554"/>
      <c r="R512" s="554"/>
      <c r="S512" s="554"/>
      <c r="T512" s="554"/>
      <c r="U512" s="554"/>
      <c r="V512" s="554"/>
      <c r="W512" s="554"/>
      <c r="X512" s="554"/>
      <c r="Y512" s="554"/>
      <c r="Z512" s="554"/>
      <c r="AA512" s="554"/>
      <c r="AB512" s="554"/>
      <c r="AC512" s="554"/>
      <c r="AD512" s="554"/>
      <c r="AE512" s="554"/>
      <c r="AF512" s="554"/>
      <c r="AG512" s="554"/>
    </row>
    <row r="513">
      <c r="A513" s="549"/>
      <c r="B513" s="554"/>
      <c r="C513" s="554"/>
      <c r="D513" s="554"/>
      <c r="E513" s="554"/>
      <c r="F513" s="561"/>
      <c r="G513" s="554"/>
      <c r="H513" s="554"/>
      <c r="I513" s="554"/>
      <c r="J513" s="554"/>
      <c r="K513" s="554"/>
      <c r="L513" s="554"/>
      <c r="M513" s="554"/>
      <c r="N513" s="554"/>
      <c r="O513" s="554"/>
      <c r="P513" s="554"/>
      <c r="Q513" s="554"/>
      <c r="R513" s="554"/>
      <c r="S513" s="554"/>
      <c r="T513" s="554"/>
      <c r="U513" s="554"/>
      <c r="V513" s="554"/>
      <c r="W513" s="554"/>
      <c r="X513" s="554"/>
      <c r="Y513" s="554"/>
      <c r="Z513" s="554"/>
      <c r="AA513" s="554"/>
      <c r="AB513" s="554"/>
      <c r="AC513" s="554"/>
      <c r="AD513" s="554"/>
      <c r="AE513" s="554"/>
      <c r="AF513" s="554"/>
      <c r="AG513" s="554"/>
    </row>
    <row r="514">
      <c r="A514" s="549"/>
      <c r="B514" s="554"/>
      <c r="C514" s="554"/>
      <c r="D514" s="554"/>
      <c r="E514" s="554"/>
      <c r="F514" s="561"/>
      <c r="G514" s="554"/>
      <c r="H514" s="554"/>
      <c r="I514" s="554"/>
      <c r="J514" s="554"/>
      <c r="K514" s="554"/>
      <c r="L514" s="554"/>
      <c r="M514" s="554"/>
      <c r="N514" s="554"/>
      <c r="O514" s="554"/>
      <c r="P514" s="554"/>
      <c r="Q514" s="554"/>
      <c r="R514" s="554"/>
      <c r="S514" s="554"/>
      <c r="T514" s="554"/>
      <c r="U514" s="554"/>
      <c r="V514" s="554"/>
      <c r="W514" s="554"/>
      <c r="X514" s="554"/>
      <c r="Y514" s="554"/>
      <c r="Z514" s="554"/>
      <c r="AA514" s="554"/>
      <c r="AB514" s="554"/>
      <c r="AC514" s="554"/>
      <c r="AD514" s="554"/>
      <c r="AE514" s="554"/>
      <c r="AF514" s="554"/>
      <c r="AG514" s="554"/>
    </row>
    <row r="515">
      <c r="A515" s="549"/>
      <c r="B515" s="554"/>
      <c r="C515" s="554"/>
      <c r="D515" s="554"/>
      <c r="E515" s="554"/>
      <c r="F515" s="561"/>
      <c r="G515" s="554"/>
      <c r="H515" s="554"/>
      <c r="I515" s="554"/>
      <c r="J515" s="554"/>
      <c r="K515" s="554"/>
      <c r="L515" s="554"/>
      <c r="M515" s="554"/>
      <c r="N515" s="554"/>
      <c r="O515" s="554"/>
      <c r="P515" s="554"/>
      <c r="Q515" s="554"/>
      <c r="R515" s="554"/>
      <c r="S515" s="554"/>
      <c r="T515" s="554"/>
      <c r="U515" s="554"/>
      <c r="V515" s="554"/>
      <c r="W515" s="554"/>
      <c r="X515" s="554"/>
      <c r="Y515" s="554"/>
      <c r="Z515" s="554"/>
      <c r="AA515" s="554"/>
      <c r="AB515" s="554"/>
      <c r="AC515" s="554"/>
      <c r="AD515" s="554"/>
      <c r="AE515" s="554"/>
      <c r="AF515" s="554"/>
      <c r="AG515" s="554"/>
    </row>
    <row r="516">
      <c r="A516" s="549"/>
      <c r="B516" s="554"/>
      <c r="C516" s="554"/>
      <c r="D516" s="554"/>
      <c r="E516" s="554"/>
      <c r="F516" s="561"/>
      <c r="G516" s="554"/>
      <c r="H516" s="554"/>
      <c r="I516" s="554"/>
      <c r="J516" s="554"/>
      <c r="K516" s="554"/>
      <c r="L516" s="554"/>
      <c r="M516" s="554"/>
      <c r="N516" s="554"/>
      <c r="O516" s="554"/>
      <c r="P516" s="554"/>
      <c r="Q516" s="554"/>
      <c r="R516" s="554"/>
      <c r="S516" s="554"/>
      <c r="T516" s="554"/>
      <c r="U516" s="554"/>
      <c r="V516" s="554"/>
      <c r="W516" s="554"/>
      <c r="X516" s="554"/>
      <c r="Y516" s="554"/>
      <c r="Z516" s="554"/>
      <c r="AA516" s="554"/>
      <c r="AB516" s="554"/>
      <c r="AC516" s="554"/>
      <c r="AD516" s="554"/>
      <c r="AE516" s="554"/>
      <c r="AF516" s="554"/>
      <c r="AG516" s="554"/>
    </row>
    <row r="517">
      <c r="A517" s="549"/>
      <c r="B517" s="554"/>
      <c r="C517" s="554"/>
      <c r="D517" s="554"/>
      <c r="E517" s="554"/>
      <c r="F517" s="561"/>
      <c r="G517" s="554"/>
      <c r="H517" s="554"/>
      <c r="I517" s="554"/>
      <c r="J517" s="554"/>
      <c r="K517" s="554"/>
      <c r="L517" s="554"/>
      <c r="M517" s="554"/>
      <c r="N517" s="554"/>
      <c r="O517" s="554"/>
      <c r="P517" s="554"/>
      <c r="Q517" s="554"/>
      <c r="R517" s="554"/>
      <c r="S517" s="554"/>
      <c r="T517" s="554"/>
      <c r="U517" s="554"/>
      <c r="V517" s="554"/>
      <c r="W517" s="554"/>
      <c r="X517" s="554"/>
      <c r="Y517" s="554"/>
      <c r="Z517" s="554"/>
      <c r="AA517" s="554"/>
      <c r="AB517" s="554"/>
      <c r="AC517" s="554"/>
      <c r="AD517" s="554"/>
      <c r="AE517" s="554"/>
      <c r="AF517" s="554"/>
      <c r="AG517" s="554"/>
    </row>
    <row r="518">
      <c r="A518" s="549"/>
      <c r="B518" s="554"/>
      <c r="C518" s="554"/>
      <c r="D518" s="554"/>
      <c r="E518" s="554"/>
      <c r="F518" s="561"/>
      <c r="G518" s="554"/>
      <c r="H518" s="554"/>
      <c r="I518" s="554"/>
      <c r="J518" s="554"/>
      <c r="K518" s="554"/>
      <c r="L518" s="554"/>
      <c r="M518" s="554"/>
      <c r="N518" s="554"/>
      <c r="O518" s="554"/>
      <c r="P518" s="554"/>
      <c r="Q518" s="554"/>
      <c r="R518" s="554"/>
      <c r="S518" s="554"/>
      <c r="T518" s="554"/>
      <c r="U518" s="554"/>
      <c r="V518" s="554"/>
      <c r="W518" s="554"/>
      <c r="X518" s="554"/>
      <c r="Y518" s="554"/>
      <c r="Z518" s="554"/>
      <c r="AA518" s="554"/>
      <c r="AB518" s="554"/>
      <c r="AC518" s="554"/>
      <c r="AD518" s="554"/>
      <c r="AE518" s="554"/>
      <c r="AF518" s="554"/>
      <c r="AG518" s="554"/>
    </row>
    <row r="519">
      <c r="A519" s="549"/>
      <c r="B519" s="554"/>
      <c r="C519" s="554"/>
      <c r="D519" s="554"/>
      <c r="E519" s="554"/>
      <c r="F519" s="561"/>
      <c r="G519" s="554"/>
      <c r="H519" s="554"/>
      <c r="I519" s="554"/>
      <c r="J519" s="554"/>
      <c r="K519" s="554"/>
      <c r="L519" s="554"/>
      <c r="M519" s="554"/>
      <c r="N519" s="554"/>
      <c r="O519" s="554"/>
      <c r="P519" s="554"/>
      <c r="Q519" s="554"/>
      <c r="R519" s="554"/>
      <c r="S519" s="554"/>
      <c r="T519" s="554"/>
      <c r="U519" s="554"/>
      <c r="V519" s="554"/>
      <c r="W519" s="554"/>
      <c r="X519" s="554"/>
      <c r="Y519" s="554"/>
      <c r="Z519" s="554"/>
      <c r="AA519" s="554"/>
      <c r="AB519" s="554"/>
      <c r="AC519" s="554"/>
      <c r="AD519" s="554"/>
      <c r="AE519" s="554"/>
      <c r="AF519" s="554"/>
      <c r="AG519" s="554"/>
    </row>
    <row r="520">
      <c r="A520" s="549"/>
      <c r="B520" s="554"/>
      <c r="C520" s="554"/>
      <c r="D520" s="554"/>
      <c r="E520" s="554"/>
      <c r="F520" s="561"/>
      <c r="G520" s="554"/>
      <c r="H520" s="554"/>
      <c r="I520" s="554"/>
      <c r="J520" s="554"/>
      <c r="K520" s="554"/>
      <c r="L520" s="554"/>
      <c r="M520" s="554"/>
      <c r="N520" s="554"/>
      <c r="O520" s="554"/>
      <c r="P520" s="554"/>
      <c r="Q520" s="554"/>
      <c r="R520" s="554"/>
      <c r="S520" s="554"/>
      <c r="T520" s="554"/>
      <c r="U520" s="554"/>
      <c r="V520" s="554"/>
      <c r="W520" s="554"/>
      <c r="X520" s="554"/>
      <c r="Y520" s="554"/>
      <c r="Z520" s="554"/>
      <c r="AA520" s="554"/>
      <c r="AB520" s="554"/>
      <c r="AC520" s="554"/>
      <c r="AD520" s="554"/>
      <c r="AE520" s="554"/>
      <c r="AF520" s="554"/>
      <c r="AG520" s="554"/>
    </row>
    <row r="521">
      <c r="A521" s="549"/>
      <c r="B521" s="554"/>
      <c r="C521" s="554"/>
      <c r="D521" s="554"/>
      <c r="E521" s="554"/>
      <c r="F521" s="561"/>
      <c r="G521" s="554"/>
      <c r="H521" s="554"/>
      <c r="I521" s="554"/>
      <c r="J521" s="554"/>
      <c r="K521" s="554"/>
      <c r="L521" s="554"/>
      <c r="M521" s="554"/>
      <c r="N521" s="554"/>
      <c r="O521" s="554"/>
      <c r="P521" s="554"/>
      <c r="Q521" s="554"/>
      <c r="R521" s="554"/>
      <c r="S521" s="554"/>
      <c r="T521" s="554"/>
      <c r="U521" s="554"/>
      <c r="V521" s="554"/>
      <c r="W521" s="554"/>
      <c r="X521" s="554"/>
      <c r="Y521" s="554"/>
      <c r="Z521" s="554"/>
      <c r="AA521" s="554"/>
      <c r="AB521" s="554"/>
      <c r="AC521" s="554"/>
      <c r="AD521" s="554"/>
      <c r="AE521" s="554"/>
      <c r="AF521" s="554"/>
      <c r="AG521" s="554"/>
    </row>
    <row r="522">
      <c r="A522" s="549"/>
      <c r="B522" s="554"/>
      <c r="C522" s="554"/>
      <c r="D522" s="554"/>
      <c r="E522" s="554"/>
      <c r="F522" s="561"/>
      <c r="G522" s="554"/>
      <c r="H522" s="554"/>
      <c r="I522" s="554"/>
      <c r="J522" s="554"/>
      <c r="K522" s="554"/>
      <c r="L522" s="554"/>
      <c r="M522" s="554"/>
      <c r="N522" s="554"/>
      <c r="O522" s="554"/>
      <c r="P522" s="554"/>
      <c r="Q522" s="554"/>
      <c r="R522" s="554"/>
      <c r="S522" s="554"/>
      <c r="T522" s="554"/>
      <c r="U522" s="554"/>
      <c r="V522" s="554"/>
      <c r="W522" s="554"/>
      <c r="X522" s="554"/>
      <c r="Y522" s="554"/>
      <c r="Z522" s="554"/>
      <c r="AA522" s="554"/>
      <c r="AB522" s="554"/>
      <c r="AC522" s="554"/>
      <c r="AD522" s="554"/>
      <c r="AE522" s="554"/>
      <c r="AF522" s="554"/>
      <c r="AG522" s="554"/>
    </row>
    <row r="523">
      <c r="A523" s="549"/>
      <c r="B523" s="554"/>
      <c r="C523" s="554"/>
      <c r="D523" s="554"/>
      <c r="E523" s="554"/>
      <c r="F523" s="561"/>
      <c r="G523" s="554"/>
      <c r="H523" s="554"/>
      <c r="I523" s="554"/>
      <c r="J523" s="554"/>
      <c r="K523" s="554"/>
      <c r="L523" s="554"/>
      <c r="M523" s="554"/>
      <c r="N523" s="554"/>
      <c r="O523" s="554"/>
      <c r="P523" s="554"/>
      <c r="Q523" s="554"/>
      <c r="R523" s="554"/>
      <c r="S523" s="554"/>
      <c r="T523" s="554"/>
      <c r="U523" s="554"/>
      <c r="V523" s="554"/>
      <c r="W523" s="554"/>
      <c r="X523" s="554"/>
      <c r="Y523" s="554"/>
      <c r="Z523" s="554"/>
      <c r="AA523" s="554"/>
      <c r="AB523" s="554"/>
      <c r="AC523" s="554"/>
      <c r="AD523" s="554"/>
      <c r="AE523" s="554"/>
      <c r="AF523" s="554"/>
      <c r="AG523" s="554"/>
    </row>
    <row r="524">
      <c r="A524" s="549"/>
      <c r="B524" s="554"/>
      <c r="C524" s="554"/>
      <c r="D524" s="554"/>
      <c r="E524" s="554"/>
      <c r="F524" s="561"/>
      <c r="G524" s="554"/>
      <c r="H524" s="554"/>
      <c r="I524" s="554"/>
      <c r="J524" s="554"/>
      <c r="K524" s="554"/>
      <c r="L524" s="554"/>
      <c r="M524" s="554"/>
      <c r="N524" s="554"/>
      <c r="O524" s="554"/>
      <c r="P524" s="554"/>
      <c r="Q524" s="554"/>
      <c r="R524" s="554"/>
      <c r="S524" s="554"/>
      <c r="T524" s="554"/>
      <c r="U524" s="554"/>
      <c r="V524" s="554"/>
      <c r="W524" s="554"/>
      <c r="X524" s="554"/>
      <c r="Y524" s="554"/>
      <c r="Z524" s="554"/>
      <c r="AA524" s="554"/>
      <c r="AB524" s="554"/>
      <c r="AC524" s="554"/>
      <c r="AD524" s="554"/>
      <c r="AE524" s="554"/>
      <c r="AF524" s="554"/>
      <c r="AG524" s="554"/>
    </row>
    <row r="525">
      <c r="A525" s="549"/>
      <c r="B525" s="554"/>
      <c r="C525" s="554"/>
      <c r="D525" s="554"/>
      <c r="E525" s="554"/>
      <c r="F525" s="561"/>
      <c r="G525" s="554"/>
      <c r="H525" s="554"/>
      <c r="I525" s="554"/>
      <c r="J525" s="554"/>
      <c r="K525" s="554"/>
      <c r="L525" s="554"/>
      <c r="M525" s="554"/>
      <c r="N525" s="554"/>
      <c r="O525" s="554"/>
      <c r="P525" s="554"/>
      <c r="Q525" s="554"/>
      <c r="R525" s="554"/>
      <c r="S525" s="554"/>
      <c r="T525" s="554"/>
      <c r="U525" s="554"/>
      <c r="V525" s="554"/>
      <c r="W525" s="554"/>
      <c r="X525" s="554"/>
      <c r="Y525" s="554"/>
      <c r="Z525" s="554"/>
      <c r="AA525" s="554"/>
      <c r="AB525" s="554"/>
      <c r="AC525" s="554"/>
      <c r="AD525" s="554"/>
      <c r="AE525" s="554"/>
      <c r="AF525" s="554"/>
      <c r="AG525" s="554"/>
    </row>
    <row r="526">
      <c r="A526" s="549"/>
      <c r="B526" s="554"/>
      <c r="C526" s="554"/>
      <c r="D526" s="554"/>
      <c r="E526" s="554"/>
      <c r="F526" s="561"/>
      <c r="G526" s="554"/>
      <c r="H526" s="554"/>
      <c r="I526" s="554"/>
      <c r="J526" s="554"/>
      <c r="K526" s="554"/>
      <c r="L526" s="554"/>
      <c r="M526" s="554"/>
      <c r="N526" s="554"/>
      <c r="O526" s="554"/>
      <c r="P526" s="554"/>
      <c r="Q526" s="554"/>
      <c r="R526" s="554"/>
      <c r="S526" s="554"/>
      <c r="T526" s="554"/>
      <c r="U526" s="554"/>
      <c r="V526" s="554"/>
      <c r="W526" s="554"/>
      <c r="X526" s="554"/>
      <c r="Y526" s="554"/>
      <c r="Z526" s="554"/>
      <c r="AA526" s="554"/>
      <c r="AB526" s="554"/>
      <c r="AC526" s="554"/>
      <c r="AD526" s="554"/>
      <c r="AE526" s="554"/>
      <c r="AF526" s="554"/>
      <c r="AG526" s="554"/>
    </row>
    <row r="527">
      <c r="A527" s="549"/>
      <c r="B527" s="554"/>
      <c r="C527" s="554"/>
      <c r="D527" s="554"/>
      <c r="E527" s="554"/>
      <c r="F527" s="561"/>
      <c r="G527" s="554"/>
      <c r="H527" s="554"/>
      <c r="I527" s="554"/>
      <c r="J527" s="554"/>
      <c r="K527" s="554"/>
      <c r="L527" s="554"/>
      <c r="M527" s="554"/>
      <c r="N527" s="554"/>
      <c r="O527" s="554"/>
      <c r="P527" s="554"/>
      <c r="Q527" s="554"/>
      <c r="R527" s="554"/>
      <c r="S527" s="554"/>
      <c r="T527" s="554"/>
      <c r="U527" s="554"/>
      <c r="V527" s="554"/>
      <c r="W527" s="554"/>
      <c r="X527" s="554"/>
      <c r="Y527" s="554"/>
      <c r="Z527" s="554"/>
      <c r="AA527" s="554"/>
      <c r="AB527" s="554"/>
      <c r="AC527" s="554"/>
      <c r="AD527" s="554"/>
      <c r="AE527" s="554"/>
      <c r="AF527" s="554"/>
      <c r="AG527" s="554"/>
    </row>
    <row r="528">
      <c r="A528" s="549"/>
      <c r="B528" s="554"/>
      <c r="C528" s="554"/>
      <c r="D528" s="554"/>
      <c r="E528" s="554"/>
      <c r="F528" s="561"/>
      <c r="G528" s="554"/>
      <c r="H528" s="554"/>
      <c r="I528" s="554"/>
      <c r="J528" s="554"/>
      <c r="K528" s="554"/>
      <c r="L528" s="554"/>
      <c r="M528" s="554"/>
      <c r="N528" s="554"/>
      <c r="O528" s="554"/>
      <c r="P528" s="554"/>
      <c r="Q528" s="554"/>
      <c r="R528" s="554"/>
      <c r="S528" s="554"/>
      <c r="T528" s="554"/>
      <c r="U528" s="554"/>
      <c r="V528" s="554"/>
      <c r="W528" s="554"/>
      <c r="X528" s="554"/>
      <c r="Y528" s="554"/>
      <c r="Z528" s="554"/>
      <c r="AA528" s="554"/>
      <c r="AB528" s="554"/>
      <c r="AC528" s="554"/>
      <c r="AD528" s="554"/>
      <c r="AE528" s="554"/>
      <c r="AF528" s="554"/>
      <c r="AG528" s="554"/>
    </row>
    <row r="529">
      <c r="A529" s="549"/>
      <c r="B529" s="554"/>
      <c r="C529" s="554"/>
      <c r="D529" s="554"/>
      <c r="E529" s="554"/>
      <c r="F529" s="561"/>
      <c r="G529" s="554"/>
      <c r="H529" s="554"/>
      <c r="I529" s="554"/>
      <c r="J529" s="554"/>
      <c r="K529" s="554"/>
      <c r="L529" s="554"/>
      <c r="M529" s="554"/>
      <c r="N529" s="554"/>
      <c r="O529" s="554"/>
      <c r="P529" s="554"/>
      <c r="Q529" s="554"/>
      <c r="R529" s="554"/>
      <c r="S529" s="554"/>
      <c r="T529" s="554"/>
      <c r="U529" s="554"/>
      <c r="V529" s="554"/>
      <c r="W529" s="554"/>
      <c r="X529" s="554"/>
      <c r="Y529" s="554"/>
      <c r="Z529" s="554"/>
      <c r="AA529" s="554"/>
      <c r="AB529" s="554"/>
      <c r="AC529" s="554"/>
      <c r="AD529" s="554"/>
      <c r="AE529" s="554"/>
      <c r="AF529" s="554"/>
      <c r="AG529" s="554"/>
    </row>
    <row r="530">
      <c r="A530" s="549"/>
      <c r="B530" s="554"/>
      <c r="C530" s="554"/>
      <c r="D530" s="554"/>
      <c r="E530" s="554"/>
      <c r="F530" s="561"/>
      <c r="G530" s="554"/>
      <c r="H530" s="554"/>
      <c r="I530" s="554"/>
      <c r="J530" s="554"/>
      <c r="K530" s="554"/>
      <c r="L530" s="554"/>
      <c r="M530" s="554"/>
      <c r="N530" s="554"/>
      <c r="O530" s="554"/>
      <c r="P530" s="554"/>
      <c r="Q530" s="554"/>
      <c r="R530" s="554"/>
      <c r="S530" s="554"/>
      <c r="T530" s="554"/>
      <c r="U530" s="554"/>
      <c r="V530" s="554"/>
      <c r="W530" s="554"/>
      <c r="X530" s="554"/>
      <c r="Y530" s="554"/>
      <c r="Z530" s="554"/>
      <c r="AA530" s="554"/>
      <c r="AB530" s="554"/>
      <c r="AC530" s="554"/>
      <c r="AD530" s="554"/>
      <c r="AE530" s="554"/>
      <c r="AF530" s="554"/>
      <c r="AG530" s="554"/>
    </row>
    <row r="531">
      <c r="A531" s="549"/>
      <c r="B531" s="554"/>
      <c r="C531" s="554"/>
      <c r="D531" s="554"/>
      <c r="E531" s="554"/>
      <c r="F531" s="561"/>
      <c r="G531" s="554"/>
      <c r="H531" s="554"/>
      <c r="I531" s="554"/>
      <c r="J531" s="554"/>
      <c r="K531" s="554"/>
      <c r="L531" s="554"/>
      <c r="M531" s="554"/>
      <c r="N531" s="554"/>
      <c r="O531" s="554"/>
      <c r="P531" s="554"/>
      <c r="Q531" s="554"/>
      <c r="R531" s="554"/>
      <c r="S531" s="554"/>
      <c r="T531" s="554"/>
      <c r="U531" s="554"/>
      <c r="V531" s="554"/>
      <c r="W531" s="554"/>
      <c r="X531" s="554"/>
      <c r="Y531" s="554"/>
      <c r="Z531" s="554"/>
      <c r="AA531" s="554"/>
      <c r="AB531" s="554"/>
      <c r="AC531" s="554"/>
      <c r="AD531" s="554"/>
      <c r="AE531" s="554"/>
      <c r="AF531" s="554"/>
      <c r="AG531" s="554"/>
    </row>
    <row r="532">
      <c r="A532" s="549"/>
      <c r="B532" s="554"/>
      <c r="C532" s="554"/>
      <c r="D532" s="554"/>
      <c r="E532" s="554"/>
      <c r="F532" s="561"/>
      <c r="G532" s="554"/>
      <c r="H532" s="554"/>
      <c r="I532" s="554"/>
      <c r="J532" s="554"/>
      <c r="K532" s="554"/>
      <c r="L532" s="554"/>
      <c r="M532" s="554"/>
      <c r="N532" s="554"/>
      <c r="O532" s="554"/>
      <c r="P532" s="554"/>
      <c r="Q532" s="554"/>
      <c r="R532" s="554"/>
      <c r="S532" s="554"/>
      <c r="T532" s="554"/>
      <c r="U532" s="554"/>
      <c r="V532" s="554"/>
      <c r="W532" s="554"/>
      <c r="X532" s="554"/>
      <c r="Y532" s="554"/>
      <c r="Z532" s="554"/>
      <c r="AA532" s="554"/>
      <c r="AB532" s="554"/>
      <c r="AC532" s="554"/>
      <c r="AD532" s="554"/>
      <c r="AE532" s="554"/>
      <c r="AF532" s="554"/>
      <c r="AG532" s="554"/>
    </row>
    <row r="533">
      <c r="A533" s="549"/>
      <c r="B533" s="554"/>
      <c r="C533" s="554"/>
      <c r="D533" s="554"/>
      <c r="E533" s="554"/>
      <c r="F533" s="561"/>
      <c r="G533" s="554"/>
      <c r="H533" s="554"/>
      <c r="I533" s="554"/>
      <c r="J533" s="554"/>
      <c r="K533" s="554"/>
      <c r="L533" s="554"/>
      <c r="M533" s="554"/>
      <c r="N533" s="554"/>
      <c r="O533" s="554"/>
      <c r="P533" s="554"/>
      <c r="Q533" s="554"/>
      <c r="R533" s="554"/>
      <c r="S533" s="554"/>
      <c r="T533" s="554"/>
      <c r="U533" s="554"/>
      <c r="V533" s="554"/>
      <c r="W533" s="554"/>
      <c r="X533" s="554"/>
      <c r="Y533" s="554"/>
      <c r="Z533" s="554"/>
      <c r="AA533" s="554"/>
      <c r="AB533" s="554"/>
      <c r="AC533" s="554"/>
      <c r="AD533" s="554"/>
      <c r="AE533" s="554"/>
      <c r="AF533" s="554"/>
      <c r="AG533" s="554"/>
    </row>
    <row r="534">
      <c r="A534" s="549"/>
      <c r="B534" s="554"/>
      <c r="C534" s="554"/>
      <c r="D534" s="554"/>
      <c r="E534" s="554"/>
      <c r="F534" s="561"/>
      <c r="G534" s="554"/>
      <c r="H534" s="554"/>
      <c r="I534" s="554"/>
      <c r="J534" s="554"/>
      <c r="K534" s="554"/>
      <c r="L534" s="554"/>
      <c r="M534" s="554"/>
      <c r="N534" s="554"/>
      <c r="O534" s="554"/>
      <c r="P534" s="554"/>
      <c r="Q534" s="554"/>
      <c r="R534" s="554"/>
      <c r="S534" s="554"/>
      <c r="T534" s="554"/>
      <c r="U534" s="554"/>
      <c r="V534" s="554"/>
      <c r="W534" s="554"/>
      <c r="X534" s="554"/>
      <c r="Y534" s="554"/>
      <c r="Z534" s="554"/>
      <c r="AA534" s="554"/>
      <c r="AB534" s="554"/>
      <c r="AC534" s="554"/>
      <c r="AD534" s="554"/>
      <c r="AE534" s="554"/>
      <c r="AF534" s="554"/>
      <c r="AG534" s="554"/>
    </row>
    <row r="535">
      <c r="A535" s="549"/>
      <c r="B535" s="554"/>
      <c r="C535" s="554"/>
      <c r="D535" s="554"/>
      <c r="E535" s="554"/>
      <c r="F535" s="561"/>
      <c r="G535" s="554"/>
      <c r="H535" s="554"/>
      <c r="I535" s="554"/>
      <c r="J535" s="554"/>
      <c r="K535" s="554"/>
      <c r="L535" s="554"/>
      <c r="M535" s="554"/>
      <c r="N535" s="554"/>
      <c r="O535" s="554"/>
      <c r="P535" s="554"/>
      <c r="Q535" s="554"/>
      <c r="R535" s="554"/>
      <c r="S535" s="554"/>
      <c r="T535" s="554"/>
      <c r="U535" s="554"/>
      <c r="V535" s="554"/>
      <c r="W535" s="554"/>
      <c r="X535" s="554"/>
      <c r="Y535" s="554"/>
      <c r="Z535" s="554"/>
      <c r="AA535" s="554"/>
      <c r="AB535" s="554"/>
      <c r="AC535" s="554"/>
      <c r="AD535" s="554"/>
      <c r="AE535" s="554"/>
      <c r="AF535" s="554"/>
      <c r="AG535" s="554"/>
    </row>
    <row r="536">
      <c r="A536" s="549"/>
      <c r="B536" s="554"/>
      <c r="C536" s="554"/>
      <c r="D536" s="554"/>
      <c r="E536" s="554"/>
      <c r="F536" s="561"/>
      <c r="G536" s="554"/>
      <c r="H536" s="554"/>
      <c r="I536" s="554"/>
      <c r="J536" s="554"/>
      <c r="K536" s="554"/>
      <c r="L536" s="554"/>
      <c r="M536" s="554"/>
      <c r="N536" s="554"/>
      <c r="O536" s="554"/>
      <c r="P536" s="554"/>
      <c r="Q536" s="554"/>
      <c r="R536" s="554"/>
      <c r="S536" s="554"/>
      <c r="T536" s="554"/>
      <c r="U536" s="554"/>
      <c r="V536" s="554"/>
      <c r="W536" s="554"/>
      <c r="X536" s="554"/>
      <c r="Y536" s="554"/>
      <c r="Z536" s="554"/>
      <c r="AA536" s="554"/>
      <c r="AB536" s="554"/>
      <c r="AC536" s="554"/>
      <c r="AD536" s="554"/>
      <c r="AE536" s="554"/>
      <c r="AF536" s="554"/>
      <c r="AG536" s="554"/>
    </row>
    <row r="537">
      <c r="A537" s="549"/>
      <c r="B537" s="554"/>
      <c r="C537" s="554"/>
      <c r="D537" s="554"/>
      <c r="E537" s="554"/>
      <c r="F537" s="561"/>
      <c r="G537" s="554"/>
      <c r="H537" s="554"/>
      <c r="I537" s="554"/>
      <c r="J537" s="554"/>
      <c r="K537" s="554"/>
      <c r="L537" s="554"/>
      <c r="M537" s="554"/>
      <c r="N537" s="554"/>
      <c r="O537" s="554"/>
      <c r="P537" s="554"/>
      <c r="Q537" s="554"/>
      <c r="R537" s="554"/>
      <c r="S537" s="554"/>
      <c r="T537" s="554"/>
      <c r="U537" s="554"/>
      <c r="V537" s="554"/>
      <c r="W537" s="554"/>
      <c r="X537" s="554"/>
      <c r="Y537" s="554"/>
      <c r="Z537" s="554"/>
      <c r="AA537" s="554"/>
      <c r="AB537" s="554"/>
      <c r="AC537" s="554"/>
      <c r="AD537" s="554"/>
      <c r="AE537" s="554"/>
      <c r="AF537" s="554"/>
      <c r="AG537" s="554"/>
    </row>
    <row r="538">
      <c r="A538" s="549"/>
      <c r="B538" s="554"/>
      <c r="C538" s="554"/>
      <c r="D538" s="554"/>
      <c r="E538" s="554"/>
      <c r="F538" s="561"/>
      <c r="G538" s="554"/>
      <c r="H538" s="554"/>
      <c r="I538" s="554"/>
      <c r="J538" s="554"/>
      <c r="K538" s="554"/>
      <c r="L538" s="554"/>
      <c r="M538" s="554"/>
      <c r="N538" s="554"/>
      <c r="O538" s="554"/>
      <c r="P538" s="554"/>
      <c r="Q538" s="554"/>
      <c r="R538" s="554"/>
      <c r="S538" s="554"/>
      <c r="T538" s="554"/>
      <c r="U538" s="554"/>
      <c r="V538" s="554"/>
      <c r="W538" s="554"/>
      <c r="X538" s="554"/>
      <c r="Y538" s="554"/>
      <c r="Z538" s="554"/>
      <c r="AA538" s="554"/>
      <c r="AB538" s="554"/>
      <c r="AC538" s="554"/>
      <c r="AD538" s="554"/>
      <c r="AE538" s="554"/>
      <c r="AF538" s="554"/>
      <c r="AG538" s="554"/>
    </row>
    <row r="539">
      <c r="A539" s="549"/>
      <c r="B539" s="554"/>
      <c r="C539" s="554"/>
      <c r="D539" s="554"/>
      <c r="E539" s="554"/>
      <c r="F539" s="561"/>
      <c r="G539" s="554"/>
      <c r="H539" s="554"/>
      <c r="I539" s="554"/>
      <c r="J539" s="554"/>
      <c r="K539" s="554"/>
      <c r="L539" s="554"/>
      <c r="M539" s="554"/>
      <c r="N539" s="554"/>
      <c r="O539" s="554"/>
      <c r="P539" s="554"/>
      <c r="Q539" s="554"/>
      <c r="R539" s="554"/>
      <c r="S539" s="554"/>
      <c r="T539" s="554"/>
      <c r="U539" s="554"/>
      <c r="V539" s="554"/>
      <c r="W539" s="554"/>
      <c r="X539" s="554"/>
      <c r="Y539" s="554"/>
      <c r="Z539" s="554"/>
      <c r="AA539" s="554"/>
      <c r="AB539" s="554"/>
      <c r="AC539" s="554"/>
      <c r="AD539" s="554"/>
      <c r="AE539" s="554"/>
      <c r="AF539" s="554"/>
      <c r="AG539" s="554"/>
    </row>
    <row r="540">
      <c r="A540" s="549"/>
      <c r="B540" s="554"/>
      <c r="C540" s="554"/>
      <c r="D540" s="554"/>
      <c r="E540" s="554"/>
      <c r="F540" s="561"/>
      <c r="G540" s="554"/>
      <c r="H540" s="554"/>
      <c r="I540" s="554"/>
      <c r="J540" s="554"/>
      <c r="K540" s="554"/>
      <c r="L540" s="554"/>
      <c r="M540" s="554"/>
      <c r="N540" s="554"/>
      <c r="O540" s="554"/>
      <c r="P540" s="554"/>
      <c r="Q540" s="554"/>
      <c r="R540" s="554"/>
      <c r="S540" s="554"/>
      <c r="T540" s="554"/>
      <c r="U540" s="554"/>
      <c r="V540" s="554"/>
      <c r="W540" s="554"/>
      <c r="X540" s="554"/>
      <c r="Y540" s="554"/>
      <c r="Z540" s="554"/>
      <c r="AA540" s="554"/>
      <c r="AB540" s="554"/>
      <c r="AC540" s="554"/>
      <c r="AD540" s="554"/>
      <c r="AE540" s="554"/>
      <c r="AF540" s="554"/>
      <c r="AG540" s="554"/>
    </row>
    <row r="541">
      <c r="A541" s="549"/>
      <c r="B541" s="554"/>
      <c r="C541" s="554"/>
      <c r="D541" s="554"/>
      <c r="E541" s="554"/>
      <c r="F541" s="561"/>
      <c r="G541" s="554"/>
      <c r="H541" s="554"/>
      <c r="I541" s="554"/>
      <c r="J541" s="554"/>
      <c r="K541" s="554"/>
      <c r="L541" s="554"/>
      <c r="M541" s="554"/>
      <c r="N541" s="554"/>
      <c r="O541" s="554"/>
      <c r="P541" s="554"/>
      <c r="Q541" s="554"/>
      <c r="R541" s="554"/>
      <c r="S541" s="554"/>
      <c r="T541" s="554"/>
      <c r="U541" s="554"/>
      <c r="V541" s="554"/>
      <c r="W541" s="554"/>
      <c r="X541" s="554"/>
      <c r="Y541" s="554"/>
      <c r="Z541" s="554"/>
      <c r="AA541" s="554"/>
      <c r="AB541" s="554"/>
      <c r="AC541" s="554"/>
      <c r="AD541" s="554"/>
      <c r="AE541" s="554"/>
      <c r="AF541" s="554"/>
      <c r="AG541" s="554"/>
    </row>
    <row r="542">
      <c r="A542" s="549"/>
      <c r="B542" s="554"/>
      <c r="C542" s="554"/>
      <c r="D542" s="554"/>
      <c r="E542" s="554"/>
      <c r="F542" s="561"/>
      <c r="G542" s="554"/>
      <c r="H542" s="554"/>
      <c r="I542" s="554"/>
      <c r="J542" s="554"/>
      <c r="K542" s="554"/>
      <c r="L542" s="554"/>
      <c r="M542" s="554"/>
      <c r="N542" s="554"/>
      <c r="O542" s="554"/>
      <c r="P542" s="554"/>
      <c r="Q542" s="554"/>
      <c r="R542" s="554"/>
      <c r="S542" s="554"/>
      <c r="T542" s="554"/>
      <c r="U542" s="554"/>
      <c r="V542" s="554"/>
      <c r="W542" s="554"/>
      <c r="X542" s="554"/>
      <c r="Y542" s="554"/>
      <c r="Z542" s="554"/>
      <c r="AA542" s="554"/>
      <c r="AB542" s="554"/>
      <c r="AC542" s="554"/>
      <c r="AD542" s="554"/>
      <c r="AE542" s="554"/>
      <c r="AF542" s="554"/>
      <c r="AG542" s="554"/>
    </row>
    <row r="543">
      <c r="A543" s="549"/>
      <c r="B543" s="554"/>
      <c r="C543" s="554"/>
      <c r="D543" s="554"/>
      <c r="E543" s="554"/>
      <c r="F543" s="561"/>
      <c r="G543" s="554"/>
      <c r="H543" s="554"/>
      <c r="I543" s="554"/>
      <c r="J543" s="554"/>
      <c r="K543" s="554"/>
      <c r="L543" s="554"/>
      <c r="M543" s="554"/>
      <c r="N543" s="554"/>
      <c r="O543" s="554"/>
      <c r="P543" s="554"/>
      <c r="Q543" s="554"/>
      <c r="R543" s="554"/>
      <c r="S543" s="554"/>
      <c r="T543" s="554"/>
      <c r="U543" s="554"/>
      <c r="V543" s="554"/>
      <c r="W543" s="554"/>
      <c r="X543" s="554"/>
      <c r="Y543" s="554"/>
      <c r="Z543" s="554"/>
      <c r="AA543" s="554"/>
      <c r="AB543" s="554"/>
      <c r="AC543" s="554"/>
      <c r="AD543" s="554"/>
      <c r="AE543" s="554"/>
      <c r="AF543" s="554"/>
      <c r="AG543" s="554"/>
    </row>
    <row r="544">
      <c r="A544" s="549"/>
      <c r="B544" s="554"/>
      <c r="C544" s="554"/>
      <c r="D544" s="554"/>
      <c r="E544" s="554"/>
      <c r="F544" s="561"/>
      <c r="G544" s="554"/>
      <c r="H544" s="554"/>
      <c r="I544" s="554"/>
      <c r="J544" s="554"/>
      <c r="K544" s="554"/>
      <c r="L544" s="554"/>
      <c r="M544" s="554"/>
      <c r="N544" s="554"/>
      <c r="O544" s="554"/>
      <c r="P544" s="554"/>
      <c r="Q544" s="554"/>
      <c r="R544" s="554"/>
      <c r="S544" s="554"/>
      <c r="T544" s="554"/>
      <c r="U544" s="554"/>
      <c r="V544" s="554"/>
      <c r="W544" s="554"/>
      <c r="X544" s="554"/>
      <c r="Y544" s="554"/>
      <c r="Z544" s="554"/>
      <c r="AA544" s="554"/>
      <c r="AB544" s="554"/>
      <c r="AC544" s="554"/>
      <c r="AD544" s="554"/>
      <c r="AE544" s="554"/>
      <c r="AF544" s="554"/>
      <c r="AG544" s="554"/>
    </row>
    <row r="545">
      <c r="A545" s="549"/>
      <c r="B545" s="554"/>
      <c r="C545" s="554"/>
      <c r="D545" s="554"/>
      <c r="E545" s="554"/>
      <c r="F545" s="561"/>
      <c r="G545" s="554"/>
      <c r="H545" s="554"/>
      <c r="I545" s="554"/>
      <c r="J545" s="554"/>
      <c r="K545" s="554"/>
      <c r="L545" s="554"/>
      <c r="M545" s="554"/>
      <c r="N545" s="554"/>
      <c r="O545" s="554"/>
      <c r="P545" s="554"/>
      <c r="Q545" s="554"/>
      <c r="R545" s="554"/>
      <c r="S545" s="554"/>
      <c r="T545" s="554"/>
      <c r="U545" s="554"/>
      <c r="V545" s="554"/>
      <c r="W545" s="554"/>
      <c r="X545" s="554"/>
      <c r="Y545" s="554"/>
      <c r="Z545" s="554"/>
      <c r="AA545" s="554"/>
      <c r="AB545" s="554"/>
      <c r="AC545" s="554"/>
      <c r="AD545" s="554"/>
      <c r="AE545" s="554"/>
      <c r="AF545" s="554"/>
      <c r="AG545" s="554"/>
    </row>
    <row r="546">
      <c r="A546" s="549"/>
      <c r="B546" s="554"/>
      <c r="C546" s="554"/>
      <c r="D546" s="554"/>
      <c r="E546" s="554"/>
      <c r="F546" s="561"/>
      <c r="G546" s="554"/>
      <c r="H546" s="554"/>
      <c r="I546" s="554"/>
      <c r="J546" s="554"/>
      <c r="K546" s="554"/>
      <c r="L546" s="554"/>
      <c r="M546" s="554"/>
      <c r="N546" s="554"/>
      <c r="O546" s="554"/>
      <c r="P546" s="554"/>
      <c r="Q546" s="554"/>
      <c r="R546" s="554"/>
      <c r="S546" s="554"/>
      <c r="T546" s="554"/>
      <c r="U546" s="554"/>
      <c r="V546" s="554"/>
      <c r="W546" s="554"/>
      <c r="X546" s="554"/>
      <c r="Y546" s="554"/>
      <c r="Z546" s="554"/>
      <c r="AA546" s="554"/>
      <c r="AB546" s="554"/>
      <c r="AC546" s="554"/>
      <c r="AD546" s="554"/>
      <c r="AE546" s="554"/>
      <c r="AF546" s="554"/>
      <c r="AG546" s="554"/>
    </row>
    <row r="547">
      <c r="A547" s="549"/>
      <c r="B547" s="554"/>
      <c r="C547" s="554"/>
      <c r="D547" s="554"/>
      <c r="E547" s="554"/>
      <c r="F547" s="561"/>
      <c r="G547" s="554"/>
      <c r="H547" s="554"/>
      <c r="I547" s="554"/>
      <c r="J547" s="554"/>
      <c r="K547" s="554"/>
      <c r="L547" s="554"/>
      <c r="M547" s="554"/>
      <c r="N547" s="554"/>
      <c r="O547" s="554"/>
      <c r="P547" s="554"/>
      <c r="Q547" s="554"/>
      <c r="R547" s="554"/>
      <c r="S547" s="554"/>
      <c r="T547" s="554"/>
      <c r="U547" s="554"/>
      <c r="V547" s="554"/>
      <c r="W547" s="554"/>
      <c r="X547" s="554"/>
      <c r="Y547" s="554"/>
      <c r="Z547" s="554"/>
      <c r="AA547" s="554"/>
      <c r="AB547" s="554"/>
      <c r="AC547" s="554"/>
      <c r="AD547" s="554"/>
      <c r="AE547" s="554"/>
      <c r="AF547" s="554"/>
      <c r="AG547" s="554"/>
    </row>
    <row r="548">
      <c r="A548" s="549"/>
      <c r="B548" s="554"/>
      <c r="C548" s="554"/>
      <c r="D548" s="554"/>
      <c r="E548" s="554"/>
      <c r="F548" s="561"/>
      <c r="G548" s="554"/>
      <c r="H548" s="554"/>
      <c r="I548" s="554"/>
      <c r="J548" s="554"/>
      <c r="K548" s="554"/>
      <c r="L548" s="554"/>
      <c r="M548" s="554"/>
      <c r="N548" s="554"/>
      <c r="O548" s="554"/>
      <c r="P548" s="554"/>
      <c r="Q548" s="554"/>
      <c r="R548" s="554"/>
      <c r="S548" s="554"/>
      <c r="T548" s="554"/>
      <c r="U548" s="554"/>
      <c r="V548" s="554"/>
      <c r="W548" s="554"/>
      <c r="X548" s="554"/>
      <c r="Y548" s="554"/>
      <c r="Z548" s="554"/>
      <c r="AA548" s="554"/>
      <c r="AB548" s="554"/>
      <c r="AC548" s="554"/>
      <c r="AD548" s="554"/>
      <c r="AE548" s="554"/>
      <c r="AF548" s="554"/>
      <c r="AG548" s="554"/>
    </row>
    <row r="549">
      <c r="A549" s="549"/>
      <c r="B549" s="554"/>
      <c r="C549" s="554"/>
      <c r="D549" s="554"/>
      <c r="E549" s="554"/>
      <c r="F549" s="561"/>
      <c r="G549" s="554"/>
      <c r="H549" s="554"/>
      <c r="I549" s="554"/>
      <c r="J549" s="554"/>
      <c r="K549" s="554"/>
      <c r="L549" s="554"/>
      <c r="M549" s="554"/>
      <c r="N549" s="554"/>
      <c r="O549" s="554"/>
      <c r="P549" s="554"/>
      <c r="Q549" s="554"/>
      <c r="R549" s="554"/>
      <c r="S549" s="554"/>
      <c r="T549" s="554"/>
      <c r="U549" s="554"/>
      <c r="V549" s="554"/>
      <c r="W549" s="554"/>
      <c r="X549" s="554"/>
      <c r="Y549" s="554"/>
      <c r="Z549" s="554"/>
      <c r="AA549" s="554"/>
      <c r="AB549" s="554"/>
      <c r="AC549" s="554"/>
      <c r="AD549" s="554"/>
      <c r="AE549" s="554"/>
      <c r="AF549" s="554"/>
      <c r="AG549" s="554"/>
    </row>
    <row r="550">
      <c r="A550" s="549"/>
      <c r="B550" s="554"/>
      <c r="C550" s="554"/>
      <c r="D550" s="554"/>
      <c r="E550" s="554"/>
      <c r="F550" s="561"/>
      <c r="G550" s="554"/>
      <c r="H550" s="554"/>
      <c r="I550" s="554"/>
      <c r="J550" s="554"/>
      <c r="K550" s="554"/>
      <c r="L550" s="554"/>
      <c r="M550" s="554"/>
      <c r="N550" s="554"/>
      <c r="O550" s="554"/>
      <c r="P550" s="554"/>
      <c r="Q550" s="554"/>
      <c r="R550" s="554"/>
      <c r="S550" s="554"/>
      <c r="T550" s="554"/>
      <c r="U550" s="554"/>
      <c r="V550" s="554"/>
      <c r="W550" s="554"/>
      <c r="X550" s="554"/>
      <c r="Y550" s="554"/>
      <c r="Z550" s="554"/>
      <c r="AA550" s="554"/>
      <c r="AB550" s="554"/>
      <c r="AC550" s="554"/>
      <c r="AD550" s="554"/>
      <c r="AE550" s="554"/>
      <c r="AF550" s="554"/>
      <c r="AG550" s="554"/>
    </row>
    <row r="551">
      <c r="A551" s="549"/>
      <c r="B551" s="554"/>
      <c r="C551" s="554"/>
      <c r="D551" s="554"/>
      <c r="E551" s="554"/>
      <c r="F551" s="561"/>
      <c r="G551" s="554"/>
      <c r="H551" s="554"/>
      <c r="I551" s="554"/>
      <c r="J551" s="554"/>
      <c r="K551" s="554"/>
      <c r="L551" s="554"/>
      <c r="M551" s="554"/>
      <c r="N551" s="554"/>
      <c r="O551" s="554"/>
      <c r="P551" s="554"/>
      <c r="Q551" s="554"/>
      <c r="R551" s="554"/>
      <c r="S551" s="554"/>
      <c r="T551" s="554"/>
      <c r="U551" s="554"/>
      <c r="V551" s="554"/>
      <c r="W551" s="554"/>
      <c r="X551" s="554"/>
      <c r="Y551" s="554"/>
      <c r="Z551" s="554"/>
      <c r="AA551" s="554"/>
      <c r="AB551" s="554"/>
      <c r="AC551" s="554"/>
      <c r="AD551" s="554"/>
      <c r="AE551" s="554"/>
      <c r="AF551" s="554"/>
      <c r="AG551" s="554"/>
    </row>
    <row r="552">
      <c r="A552" s="549"/>
      <c r="B552" s="554"/>
      <c r="C552" s="554"/>
      <c r="D552" s="554"/>
      <c r="E552" s="554"/>
      <c r="F552" s="561"/>
      <c r="G552" s="554"/>
      <c r="H552" s="554"/>
      <c r="I552" s="554"/>
      <c r="J552" s="554"/>
      <c r="K552" s="554"/>
      <c r="L552" s="554"/>
      <c r="M552" s="554"/>
      <c r="N552" s="554"/>
      <c r="O552" s="554"/>
      <c r="P552" s="554"/>
      <c r="Q552" s="554"/>
      <c r="R552" s="554"/>
      <c r="S552" s="554"/>
      <c r="T552" s="554"/>
      <c r="U552" s="554"/>
      <c r="V552" s="554"/>
      <c r="W552" s="554"/>
      <c r="X552" s="554"/>
      <c r="Y552" s="554"/>
      <c r="Z552" s="554"/>
      <c r="AA552" s="554"/>
      <c r="AB552" s="554"/>
      <c r="AC552" s="554"/>
      <c r="AD552" s="554"/>
      <c r="AE552" s="554"/>
      <c r="AF552" s="554"/>
      <c r="AG552" s="554"/>
    </row>
    <row r="553">
      <c r="A553" s="549"/>
      <c r="B553" s="554"/>
      <c r="C553" s="554"/>
      <c r="D553" s="554"/>
      <c r="E553" s="554"/>
      <c r="F553" s="561"/>
      <c r="G553" s="554"/>
      <c r="H553" s="554"/>
      <c r="I553" s="554"/>
      <c r="J553" s="554"/>
      <c r="K553" s="554"/>
      <c r="L553" s="554"/>
      <c r="M553" s="554"/>
      <c r="N553" s="554"/>
      <c r="O553" s="554"/>
      <c r="P553" s="554"/>
      <c r="Q553" s="554"/>
      <c r="R553" s="554"/>
      <c r="S553" s="554"/>
      <c r="T553" s="554"/>
      <c r="U553" s="554"/>
      <c r="V553" s="554"/>
      <c r="W553" s="554"/>
      <c r="X553" s="554"/>
      <c r="Y553" s="554"/>
      <c r="Z553" s="554"/>
      <c r="AA553" s="554"/>
      <c r="AB553" s="554"/>
      <c r="AC553" s="554"/>
      <c r="AD553" s="554"/>
      <c r="AE553" s="554"/>
      <c r="AF553" s="554"/>
      <c r="AG553" s="554"/>
    </row>
    <row r="554">
      <c r="A554" s="549"/>
      <c r="B554" s="554"/>
      <c r="C554" s="554"/>
      <c r="D554" s="554"/>
      <c r="E554" s="554"/>
      <c r="F554" s="561"/>
      <c r="G554" s="554"/>
      <c r="H554" s="554"/>
      <c r="I554" s="554"/>
      <c r="J554" s="554"/>
      <c r="K554" s="554"/>
      <c r="L554" s="554"/>
      <c r="M554" s="554"/>
      <c r="N554" s="554"/>
      <c r="O554" s="554"/>
      <c r="P554" s="554"/>
      <c r="Q554" s="554"/>
      <c r="R554" s="554"/>
      <c r="S554" s="554"/>
      <c r="T554" s="554"/>
      <c r="U554" s="554"/>
      <c r="V554" s="554"/>
      <c r="W554" s="554"/>
      <c r="X554" s="554"/>
      <c r="Y554" s="554"/>
      <c r="Z554" s="554"/>
      <c r="AA554" s="554"/>
      <c r="AB554" s="554"/>
      <c r="AC554" s="554"/>
      <c r="AD554" s="554"/>
      <c r="AE554" s="554"/>
      <c r="AF554" s="554"/>
      <c r="AG554" s="554"/>
    </row>
    <row r="555">
      <c r="A555" s="549"/>
      <c r="B555" s="554"/>
      <c r="C555" s="554"/>
      <c r="D555" s="554"/>
      <c r="E555" s="554"/>
      <c r="F555" s="561"/>
      <c r="G555" s="554"/>
      <c r="H555" s="554"/>
      <c r="I555" s="554"/>
      <c r="J555" s="554"/>
      <c r="K555" s="554"/>
      <c r="L555" s="554"/>
      <c r="M555" s="554"/>
      <c r="N555" s="554"/>
      <c r="O555" s="554"/>
      <c r="P555" s="554"/>
      <c r="Q555" s="554"/>
      <c r="R555" s="554"/>
      <c r="S555" s="554"/>
      <c r="T555" s="554"/>
      <c r="U555" s="554"/>
      <c r="V555" s="554"/>
      <c r="W555" s="554"/>
      <c r="X555" s="554"/>
      <c r="Y555" s="554"/>
      <c r="Z555" s="554"/>
      <c r="AA555" s="554"/>
      <c r="AB555" s="554"/>
      <c r="AC555" s="554"/>
      <c r="AD555" s="554"/>
      <c r="AE555" s="554"/>
      <c r="AF555" s="554"/>
      <c r="AG555" s="554"/>
    </row>
    <row r="556">
      <c r="A556" s="549"/>
      <c r="B556" s="554"/>
      <c r="C556" s="554"/>
      <c r="D556" s="554"/>
      <c r="E556" s="554"/>
      <c r="F556" s="561"/>
      <c r="G556" s="554"/>
      <c r="H556" s="554"/>
      <c r="I556" s="554"/>
      <c r="J556" s="554"/>
      <c r="K556" s="554"/>
      <c r="L556" s="554"/>
      <c r="M556" s="554"/>
      <c r="N556" s="554"/>
      <c r="O556" s="554"/>
      <c r="P556" s="554"/>
      <c r="Q556" s="554"/>
      <c r="R556" s="554"/>
      <c r="S556" s="554"/>
      <c r="T556" s="554"/>
      <c r="U556" s="554"/>
      <c r="V556" s="554"/>
      <c r="W556" s="554"/>
      <c r="X556" s="554"/>
      <c r="Y556" s="554"/>
      <c r="Z556" s="554"/>
      <c r="AA556" s="554"/>
      <c r="AB556" s="554"/>
      <c r="AC556" s="554"/>
      <c r="AD556" s="554"/>
      <c r="AE556" s="554"/>
      <c r="AF556" s="554"/>
      <c r="AG556" s="554"/>
    </row>
    <row r="557">
      <c r="A557" s="549"/>
      <c r="B557" s="554"/>
      <c r="C557" s="554"/>
      <c r="D557" s="554"/>
      <c r="E557" s="554"/>
      <c r="F557" s="561"/>
      <c r="G557" s="554"/>
      <c r="H557" s="554"/>
      <c r="I557" s="554"/>
      <c r="J557" s="554"/>
      <c r="K557" s="554"/>
      <c r="L557" s="554"/>
      <c r="M557" s="554"/>
      <c r="N557" s="554"/>
      <c r="O557" s="554"/>
      <c r="P557" s="554"/>
      <c r="Q557" s="554"/>
      <c r="R557" s="554"/>
      <c r="S557" s="554"/>
      <c r="T557" s="554"/>
      <c r="U557" s="554"/>
      <c r="V557" s="554"/>
      <c r="W557" s="554"/>
      <c r="X557" s="554"/>
      <c r="Y557" s="554"/>
      <c r="Z557" s="554"/>
      <c r="AA557" s="554"/>
      <c r="AB557" s="554"/>
      <c r="AC557" s="554"/>
      <c r="AD557" s="554"/>
      <c r="AE557" s="554"/>
      <c r="AF557" s="554"/>
      <c r="AG557" s="554"/>
    </row>
    <row r="558">
      <c r="A558" s="549"/>
      <c r="B558" s="554"/>
      <c r="C558" s="554"/>
      <c r="D558" s="554"/>
      <c r="E558" s="554"/>
      <c r="F558" s="561"/>
      <c r="G558" s="554"/>
      <c r="H558" s="554"/>
      <c r="I558" s="554"/>
      <c r="J558" s="554"/>
      <c r="K558" s="554"/>
      <c r="L558" s="554"/>
      <c r="M558" s="554"/>
      <c r="N558" s="554"/>
      <c r="O558" s="554"/>
      <c r="P558" s="554"/>
      <c r="Q558" s="554"/>
      <c r="R558" s="554"/>
      <c r="S558" s="554"/>
      <c r="T558" s="554"/>
      <c r="U558" s="554"/>
      <c r="V558" s="554"/>
      <c r="W558" s="554"/>
      <c r="X558" s="554"/>
      <c r="Y558" s="554"/>
      <c r="Z558" s="554"/>
      <c r="AA558" s="554"/>
      <c r="AB558" s="554"/>
      <c r="AC558" s="554"/>
      <c r="AD558" s="554"/>
      <c r="AE558" s="554"/>
      <c r="AF558" s="554"/>
      <c r="AG558" s="554"/>
    </row>
    <row r="559">
      <c r="A559" s="549"/>
      <c r="B559" s="554"/>
      <c r="C559" s="554"/>
      <c r="D559" s="554"/>
      <c r="E559" s="554"/>
      <c r="F559" s="561"/>
      <c r="G559" s="554"/>
      <c r="H559" s="554"/>
      <c r="I559" s="554"/>
      <c r="J559" s="554"/>
      <c r="K559" s="554"/>
      <c r="L559" s="554"/>
      <c r="M559" s="554"/>
      <c r="N559" s="554"/>
      <c r="O559" s="554"/>
      <c r="P559" s="554"/>
      <c r="Q559" s="554"/>
      <c r="R559" s="554"/>
      <c r="S559" s="554"/>
      <c r="T559" s="554"/>
      <c r="U559" s="554"/>
      <c r="V559" s="554"/>
      <c r="W559" s="554"/>
      <c r="X559" s="554"/>
      <c r="Y559" s="554"/>
      <c r="Z559" s="554"/>
      <c r="AA559" s="554"/>
      <c r="AB559" s="554"/>
      <c r="AC559" s="554"/>
      <c r="AD559" s="554"/>
      <c r="AE559" s="554"/>
      <c r="AF559" s="554"/>
      <c r="AG559" s="554"/>
    </row>
    <row r="560">
      <c r="A560" s="549"/>
      <c r="B560" s="554"/>
      <c r="C560" s="554"/>
      <c r="D560" s="554"/>
      <c r="E560" s="554"/>
      <c r="F560" s="561"/>
      <c r="G560" s="554"/>
      <c r="H560" s="554"/>
      <c r="I560" s="554"/>
      <c r="J560" s="554"/>
      <c r="K560" s="554"/>
      <c r="L560" s="554"/>
      <c r="M560" s="554"/>
      <c r="N560" s="554"/>
      <c r="O560" s="554"/>
      <c r="P560" s="554"/>
      <c r="Q560" s="554"/>
      <c r="R560" s="554"/>
      <c r="S560" s="554"/>
      <c r="T560" s="554"/>
      <c r="U560" s="554"/>
      <c r="V560" s="554"/>
      <c r="W560" s="554"/>
      <c r="X560" s="554"/>
      <c r="Y560" s="554"/>
      <c r="Z560" s="554"/>
      <c r="AA560" s="554"/>
      <c r="AB560" s="554"/>
      <c r="AC560" s="554"/>
      <c r="AD560" s="554"/>
      <c r="AE560" s="554"/>
      <c r="AF560" s="554"/>
      <c r="AG560" s="554"/>
    </row>
    <row r="561">
      <c r="A561" s="549"/>
      <c r="B561" s="554"/>
      <c r="C561" s="554"/>
      <c r="D561" s="554"/>
      <c r="E561" s="554"/>
      <c r="F561" s="561"/>
      <c r="G561" s="554"/>
      <c r="H561" s="554"/>
      <c r="I561" s="554"/>
      <c r="J561" s="554"/>
      <c r="K561" s="554"/>
      <c r="L561" s="554"/>
      <c r="M561" s="554"/>
      <c r="N561" s="554"/>
      <c r="O561" s="554"/>
      <c r="P561" s="554"/>
      <c r="Q561" s="554"/>
      <c r="R561" s="554"/>
      <c r="S561" s="554"/>
      <c r="T561" s="554"/>
      <c r="U561" s="554"/>
      <c r="V561" s="554"/>
      <c r="W561" s="554"/>
      <c r="X561" s="554"/>
      <c r="Y561" s="554"/>
      <c r="Z561" s="554"/>
      <c r="AA561" s="554"/>
      <c r="AB561" s="554"/>
      <c r="AC561" s="554"/>
      <c r="AD561" s="554"/>
      <c r="AE561" s="554"/>
      <c r="AF561" s="554"/>
      <c r="AG561" s="554"/>
    </row>
    <row r="562">
      <c r="A562" s="549"/>
      <c r="B562" s="554"/>
      <c r="C562" s="554"/>
      <c r="D562" s="554"/>
      <c r="E562" s="554"/>
      <c r="F562" s="561"/>
      <c r="G562" s="554"/>
      <c r="H562" s="554"/>
      <c r="I562" s="554"/>
      <c r="J562" s="554"/>
      <c r="K562" s="554"/>
      <c r="L562" s="554"/>
      <c r="M562" s="554"/>
      <c r="N562" s="554"/>
      <c r="O562" s="554"/>
      <c r="P562" s="554"/>
      <c r="Q562" s="554"/>
      <c r="R562" s="554"/>
      <c r="S562" s="554"/>
      <c r="T562" s="554"/>
      <c r="U562" s="554"/>
      <c r="V562" s="554"/>
      <c r="W562" s="554"/>
      <c r="X562" s="554"/>
      <c r="Y562" s="554"/>
      <c r="Z562" s="554"/>
      <c r="AA562" s="554"/>
      <c r="AB562" s="554"/>
      <c r="AC562" s="554"/>
      <c r="AD562" s="554"/>
      <c r="AE562" s="554"/>
      <c r="AF562" s="554"/>
      <c r="AG562" s="554"/>
    </row>
    <row r="563">
      <c r="A563" s="549"/>
      <c r="B563" s="554"/>
      <c r="C563" s="554"/>
      <c r="D563" s="554"/>
      <c r="E563" s="554"/>
      <c r="F563" s="561"/>
      <c r="G563" s="554"/>
      <c r="H563" s="554"/>
      <c r="I563" s="554"/>
      <c r="J563" s="554"/>
      <c r="K563" s="554"/>
      <c r="L563" s="554"/>
      <c r="M563" s="554"/>
      <c r="N563" s="554"/>
      <c r="O563" s="554"/>
      <c r="P563" s="554"/>
      <c r="Q563" s="554"/>
      <c r="R563" s="554"/>
      <c r="S563" s="554"/>
      <c r="T563" s="554"/>
      <c r="U563" s="554"/>
      <c r="V563" s="554"/>
      <c r="W563" s="554"/>
      <c r="X563" s="554"/>
      <c r="Y563" s="554"/>
      <c r="Z563" s="554"/>
      <c r="AA563" s="554"/>
      <c r="AB563" s="554"/>
      <c r="AC563" s="554"/>
      <c r="AD563" s="554"/>
      <c r="AE563" s="554"/>
      <c r="AF563" s="554"/>
      <c r="AG563" s="554"/>
    </row>
    <row r="564">
      <c r="A564" s="549"/>
      <c r="B564" s="554"/>
      <c r="C564" s="554"/>
      <c r="D564" s="554"/>
      <c r="E564" s="554"/>
      <c r="F564" s="561"/>
      <c r="G564" s="554"/>
      <c r="H564" s="554"/>
      <c r="I564" s="554"/>
      <c r="J564" s="554"/>
      <c r="K564" s="554"/>
      <c r="L564" s="554"/>
      <c r="M564" s="554"/>
      <c r="N564" s="554"/>
      <c r="O564" s="554"/>
      <c r="P564" s="554"/>
      <c r="Q564" s="554"/>
      <c r="R564" s="554"/>
      <c r="S564" s="554"/>
      <c r="T564" s="554"/>
      <c r="U564" s="554"/>
      <c r="V564" s="554"/>
      <c r="W564" s="554"/>
      <c r="X564" s="554"/>
      <c r="Y564" s="554"/>
      <c r="Z564" s="554"/>
      <c r="AA564" s="554"/>
      <c r="AB564" s="554"/>
      <c r="AC564" s="554"/>
      <c r="AD564" s="554"/>
      <c r="AE564" s="554"/>
      <c r="AF564" s="554"/>
      <c r="AG564" s="554"/>
    </row>
    <row r="565">
      <c r="A565" s="549"/>
      <c r="B565" s="554"/>
      <c r="C565" s="554"/>
      <c r="D565" s="554"/>
      <c r="E565" s="554"/>
      <c r="F565" s="561"/>
      <c r="G565" s="554"/>
      <c r="H565" s="554"/>
      <c r="I565" s="554"/>
      <c r="J565" s="554"/>
      <c r="K565" s="554"/>
      <c r="L565" s="554"/>
      <c r="M565" s="554"/>
      <c r="N565" s="554"/>
      <c r="O565" s="554"/>
      <c r="P565" s="554"/>
      <c r="Q565" s="554"/>
      <c r="R565" s="554"/>
      <c r="S565" s="554"/>
      <c r="T565" s="554"/>
      <c r="U565" s="554"/>
      <c r="V565" s="554"/>
      <c r="W565" s="554"/>
      <c r="X565" s="554"/>
      <c r="Y565" s="554"/>
      <c r="Z565" s="554"/>
      <c r="AA565" s="554"/>
      <c r="AB565" s="554"/>
      <c r="AC565" s="554"/>
      <c r="AD565" s="554"/>
      <c r="AE565" s="554"/>
      <c r="AF565" s="554"/>
      <c r="AG565" s="554"/>
    </row>
    <row r="566">
      <c r="A566" s="549"/>
      <c r="B566" s="554"/>
      <c r="C566" s="554"/>
      <c r="D566" s="554"/>
      <c r="E566" s="554"/>
      <c r="F566" s="561"/>
      <c r="G566" s="554"/>
      <c r="H566" s="554"/>
      <c r="I566" s="554"/>
      <c r="J566" s="554"/>
      <c r="K566" s="554"/>
      <c r="L566" s="554"/>
      <c r="M566" s="554"/>
      <c r="N566" s="554"/>
      <c r="O566" s="554"/>
      <c r="P566" s="554"/>
      <c r="Q566" s="554"/>
      <c r="R566" s="554"/>
      <c r="S566" s="554"/>
      <c r="T566" s="554"/>
      <c r="U566" s="554"/>
      <c r="V566" s="554"/>
      <c r="W566" s="554"/>
      <c r="X566" s="554"/>
      <c r="Y566" s="554"/>
      <c r="Z566" s="554"/>
      <c r="AA566" s="554"/>
      <c r="AB566" s="554"/>
      <c r="AC566" s="554"/>
      <c r="AD566" s="554"/>
      <c r="AE566" s="554"/>
      <c r="AF566" s="554"/>
      <c r="AG566" s="554"/>
    </row>
    <row r="567">
      <c r="A567" s="549"/>
      <c r="B567" s="554"/>
      <c r="C567" s="554"/>
      <c r="D567" s="554"/>
      <c r="E567" s="554"/>
      <c r="F567" s="561"/>
      <c r="G567" s="554"/>
      <c r="H567" s="554"/>
      <c r="I567" s="554"/>
      <c r="J567" s="554"/>
      <c r="K567" s="554"/>
      <c r="L567" s="554"/>
      <c r="M567" s="554"/>
      <c r="N567" s="554"/>
      <c r="O567" s="554"/>
      <c r="P567" s="554"/>
      <c r="Q567" s="554"/>
      <c r="R567" s="554"/>
      <c r="S567" s="554"/>
      <c r="T567" s="554"/>
      <c r="U567" s="554"/>
      <c r="V567" s="554"/>
      <c r="W567" s="554"/>
      <c r="X567" s="554"/>
      <c r="Y567" s="554"/>
      <c r="Z567" s="554"/>
      <c r="AA567" s="554"/>
      <c r="AB567" s="554"/>
      <c r="AC567" s="554"/>
      <c r="AD567" s="554"/>
      <c r="AE567" s="554"/>
      <c r="AF567" s="554"/>
      <c r="AG567" s="554"/>
    </row>
    <row r="568">
      <c r="A568" s="549"/>
      <c r="B568" s="554"/>
      <c r="C568" s="554"/>
      <c r="D568" s="554"/>
      <c r="E568" s="554"/>
      <c r="F568" s="561"/>
      <c r="G568" s="554"/>
      <c r="H568" s="554"/>
      <c r="I568" s="554"/>
      <c r="J568" s="554"/>
      <c r="K568" s="554"/>
      <c r="L568" s="554"/>
      <c r="M568" s="554"/>
      <c r="N568" s="554"/>
      <c r="O568" s="554"/>
      <c r="P568" s="554"/>
      <c r="Q568" s="554"/>
      <c r="R568" s="554"/>
      <c r="S568" s="554"/>
      <c r="T568" s="554"/>
      <c r="U568" s="554"/>
      <c r="V568" s="554"/>
      <c r="W568" s="554"/>
      <c r="X568" s="554"/>
      <c r="Y568" s="554"/>
      <c r="Z568" s="554"/>
      <c r="AA568" s="554"/>
      <c r="AB568" s="554"/>
      <c r="AC568" s="554"/>
      <c r="AD568" s="554"/>
      <c r="AE568" s="554"/>
      <c r="AF568" s="554"/>
      <c r="AG568" s="554"/>
    </row>
    <row r="569">
      <c r="A569" s="549"/>
      <c r="B569" s="554"/>
      <c r="C569" s="554"/>
      <c r="D569" s="554"/>
      <c r="E569" s="554"/>
      <c r="F569" s="561"/>
      <c r="G569" s="554"/>
      <c r="H569" s="554"/>
      <c r="I569" s="554"/>
      <c r="J569" s="554"/>
      <c r="K569" s="554"/>
      <c r="L569" s="554"/>
      <c r="M569" s="554"/>
      <c r="N569" s="554"/>
      <c r="O569" s="554"/>
      <c r="P569" s="554"/>
      <c r="Q569" s="554"/>
      <c r="R569" s="554"/>
      <c r="S569" s="554"/>
      <c r="T569" s="554"/>
      <c r="U569" s="554"/>
      <c r="V569" s="554"/>
      <c r="W569" s="554"/>
      <c r="X569" s="554"/>
      <c r="Y569" s="554"/>
      <c r="Z569" s="554"/>
      <c r="AA569" s="554"/>
      <c r="AB569" s="554"/>
      <c r="AC569" s="554"/>
      <c r="AD569" s="554"/>
      <c r="AE569" s="554"/>
      <c r="AF569" s="554"/>
      <c r="AG569" s="554"/>
    </row>
    <row r="570">
      <c r="A570" s="549"/>
      <c r="B570" s="554"/>
      <c r="C570" s="554"/>
      <c r="D570" s="554"/>
      <c r="E570" s="554"/>
      <c r="F570" s="561"/>
      <c r="G570" s="554"/>
      <c r="H570" s="554"/>
      <c r="I570" s="554"/>
      <c r="J570" s="554"/>
      <c r="K570" s="554"/>
      <c r="L570" s="554"/>
      <c r="M570" s="554"/>
      <c r="N570" s="554"/>
      <c r="O570" s="554"/>
      <c r="P570" s="554"/>
      <c r="Q570" s="554"/>
      <c r="R570" s="554"/>
      <c r="S570" s="554"/>
      <c r="T570" s="554"/>
      <c r="U570" s="554"/>
      <c r="V570" s="554"/>
      <c r="W570" s="554"/>
      <c r="X570" s="554"/>
      <c r="Y570" s="554"/>
      <c r="Z570" s="554"/>
      <c r="AA570" s="554"/>
      <c r="AB570" s="554"/>
      <c r="AC570" s="554"/>
      <c r="AD570" s="554"/>
      <c r="AE570" s="554"/>
      <c r="AF570" s="554"/>
      <c r="AG570" s="554"/>
    </row>
    <row r="571">
      <c r="A571" s="549"/>
      <c r="B571" s="554"/>
      <c r="C571" s="554"/>
      <c r="D571" s="554"/>
      <c r="E571" s="554"/>
      <c r="F571" s="561"/>
      <c r="G571" s="554"/>
      <c r="H571" s="554"/>
      <c r="I571" s="554"/>
      <c r="J571" s="554"/>
      <c r="K571" s="554"/>
      <c r="L571" s="554"/>
      <c r="M571" s="554"/>
      <c r="N571" s="554"/>
      <c r="O571" s="554"/>
      <c r="P571" s="554"/>
      <c r="Q571" s="554"/>
      <c r="R571" s="554"/>
      <c r="S571" s="554"/>
      <c r="T571" s="554"/>
      <c r="U571" s="554"/>
      <c r="V571" s="554"/>
      <c r="W571" s="554"/>
      <c r="X571" s="554"/>
      <c r="Y571" s="554"/>
      <c r="Z571" s="554"/>
      <c r="AA571" s="554"/>
      <c r="AB571" s="554"/>
      <c r="AC571" s="554"/>
      <c r="AD571" s="554"/>
      <c r="AE571" s="554"/>
      <c r="AF571" s="554"/>
      <c r="AG571" s="554"/>
    </row>
    <row r="572">
      <c r="A572" s="549"/>
      <c r="B572" s="554"/>
      <c r="C572" s="554"/>
      <c r="D572" s="554"/>
      <c r="E572" s="554"/>
      <c r="F572" s="561"/>
      <c r="G572" s="554"/>
      <c r="H572" s="554"/>
      <c r="I572" s="554"/>
      <c r="J572" s="554"/>
      <c r="K572" s="554"/>
      <c r="L572" s="554"/>
      <c r="M572" s="554"/>
      <c r="N572" s="554"/>
      <c r="O572" s="554"/>
      <c r="P572" s="554"/>
      <c r="Q572" s="554"/>
      <c r="R572" s="554"/>
      <c r="S572" s="554"/>
      <c r="T572" s="554"/>
      <c r="U572" s="554"/>
      <c r="V572" s="554"/>
      <c r="W572" s="554"/>
      <c r="X572" s="554"/>
      <c r="Y572" s="554"/>
      <c r="Z572" s="554"/>
      <c r="AA572" s="554"/>
      <c r="AB572" s="554"/>
      <c r="AC572" s="554"/>
      <c r="AD572" s="554"/>
      <c r="AE572" s="554"/>
      <c r="AF572" s="554"/>
      <c r="AG572" s="554"/>
    </row>
    <row r="573">
      <c r="A573" s="549"/>
      <c r="B573" s="554"/>
      <c r="C573" s="554"/>
      <c r="D573" s="554"/>
      <c r="E573" s="554"/>
      <c r="F573" s="561"/>
      <c r="G573" s="554"/>
      <c r="H573" s="554"/>
      <c r="I573" s="554"/>
      <c r="J573" s="554"/>
      <c r="K573" s="554"/>
      <c r="L573" s="554"/>
      <c r="M573" s="554"/>
      <c r="N573" s="554"/>
      <c r="O573" s="554"/>
      <c r="P573" s="554"/>
      <c r="Q573" s="554"/>
      <c r="R573" s="554"/>
      <c r="S573" s="554"/>
      <c r="T573" s="554"/>
      <c r="U573" s="554"/>
      <c r="V573" s="554"/>
      <c r="W573" s="554"/>
      <c r="X573" s="554"/>
      <c r="Y573" s="554"/>
      <c r="Z573" s="554"/>
      <c r="AA573" s="554"/>
      <c r="AB573" s="554"/>
      <c r="AC573" s="554"/>
      <c r="AD573" s="554"/>
      <c r="AE573" s="554"/>
      <c r="AF573" s="554"/>
      <c r="AG573" s="554"/>
    </row>
    <row r="574">
      <c r="A574" s="549"/>
      <c r="B574" s="554"/>
      <c r="C574" s="554"/>
      <c r="D574" s="554"/>
      <c r="E574" s="554"/>
      <c r="F574" s="561"/>
      <c r="G574" s="554"/>
      <c r="H574" s="554"/>
      <c r="I574" s="554"/>
      <c r="J574" s="554"/>
      <c r="K574" s="554"/>
      <c r="L574" s="554"/>
      <c r="M574" s="554"/>
      <c r="N574" s="554"/>
      <c r="O574" s="554"/>
      <c r="P574" s="554"/>
      <c r="Q574" s="554"/>
      <c r="R574" s="554"/>
      <c r="S574" s="554"/>
      <c r="T574" s="554"/>
      <c r="U574" s="554"/>
      <c r="V574" s="554"/>
      <c r="W574" s="554"/>
      <c r="X574" s="554"/>
      <c r="Y574" s="554"/>
      <c r="Z574" s="554"/>
      <c r="AA574" s="554"/>
      <c r="AB574" s="554"/>
      <c r="AC574" s="554"/>
      <c r="AD574" s="554"/>
      <c r="AE574" s="554"/>
      <c r="AF574" s="554"/>
      <c r="AG574" s="554"/>
    </row>
    <row r="575">
      <c r="A575" s="549"/>
      <c r="B575" s="554"/>
      <c r="C575" s="554"/>
      <c r="D575" s="554"/>
      <c r="E575" s="554"/>
      <c r="F575" s="561"/>
      <c r="G575" s="554"/>
      <c r="H575" s="554"/>
      <c r="I575" s="554"/>
      <c r="J575" s="554"/>
      <c r="K575" s="554"/>
      <c r="L575" s="554"/>
      <c r="M575" s="554"/>
      <c r="N575" s="554"/>
      <c r="O575" s="554"/>
      <c r="P575" s="554"/>
      <c r="Q575" s="554"/>
      <c r="R575" s="554"/>
      <c r="S575" s="554"/>
      <c r="T575" s="554"/>
      <c r="U575" s="554"/>
      <c r="V575" s="554"/>
      <c r="W575" s="554"/>
      <c r="X575" s="554"/>
      <c r="Y575" s="554"/>
      <c r="Z575" s="554"/>
      <c r="AA575" s="554"/>
      <c r="AB575" s="554"/>
      <c r="AC575" s="554"/>
      <c r="AD575" s="554"/>
      <c r="AE575" s="554"/>
      <c r="AF575" s="554"/>
      <c r="AG575" s="554"/>
    </row>
    <row r="576">
      <c r="A576" s="549"/>
      <c r="B576" s="554"/>
      <c r="C576" s="554"/>
      <c r="D576" s="554"/>
      <c r="E576" s="554"/>
      <c r="F576" s="561"/>
      <c r="G576" s="554"/>
      <c r="H576" s="554"/>
      <c r="I576" s="554"/>
      <c r="J576" s="554"/>
      <c r="K576" s="554"/>
      <c r="L576" s="554"/>
      <c r="M576" s="554"/>
      <c r="N576" s="554"/>
      <c r="O576" s="554"/>
      <c r="P576" s="554"/>
      <c r="Q576" s="554"/>
      <c r="R576" s="554"/>
      <c r="S576" s="554"/>
      <c r="T576" s="554"/>
      <c r="U576" s="554"/>
      <c r="V576" s="554"/>
      <c r="W576" s="554"/>
      <c r="X576" s="554"/>
      <c r="Y576" s="554"/>
      <c r="Z576" s="554"/>
      <c r="AA576" s="554"/>
      <c r="AB576" s="554"/>
      <c r="AC576" s="554"/>
      <c r="AD576" s="554"/>
      <c r="AE576" s="554"/>
      <c r="AF576" s="554"/>
      <c r="AG576" s="554"/>
    </row>
    <row r="577">
      <c r="A577" s="549"/>
      <c r="B577" s="554"/>
      <c r="C577" s="554"/>
      <c r="D577" s="554"/>
      <c r="E577" s="554"/>
      <c r="F577" s="561"/>
      <c r="G577" s="554"/>
      <c r="H577" s="554"/>
      <c r="I577" s="554"/>
      <c r="J577" s="554"/>
      <c r="K577" s="554"/>
      <c r="L577" s="554"/>
      <c r="M577" s="554"/>
      <c r="N577" s="554"/>
      <c r="O577" s="554"/>
      <c r="P577" s="554"/>
      <c r="Q577" s="554"/>
      <c r="R577" s="554"/>
      <c r="S577" s="554"/>
      <c r="T577" s="554"/>
      <c r="U577" s="554"/>
      <c r="V577" s="554"/>
      <c r="W577" s="554"/>
      <c r="X577" s="554"/>
      <c r="Y577" s="554"/>
      <c r="Z577" s="554"/>
      <c r="AA577" s="554"/>
      <c r="AB577" s="554"/>
      <c r="AC577" s="554"/>
      <c r="AD577" s="554"/>
      <c r="AE577" s="554"/>
      <c r="AF577" s="554"/>
      <c r="AG577" s="554"/>
    </row>
    <row r="578">
      <c r="A578" s="549"/>
      <c r="B578" s="554"/>
      <c r="C578" s="554"/>
      <c r="D578" s="554"/>
      <c r="E578" s="554"/>
      <c r="F578" s="561"/>
      <c r="G578" s="554"/>
      <c r="H578" s="554"/>
      <c r="I578" s="554"/>
      <c r="J578" s="554"/>
      <c r="K578" s="554"/>
      <c r="L578" s="554"/>
      <c r="M578" s="554"/>
      <c r="N578" s="554"/>
      <c r="O578" s="554"/>
      <c r="P578" s="554"/>
      <c r="Q578" s="554"/>
      <c r="R578" s="554"/>
      <c r="S578" s="554"/>
      <c r="T578" s="554"/>
      <c r="U578" s="554"/>
      <c r="V578" s="554"/>
      <c r="W578" s="554"/>
      <c r="X578" s="554"/>
      <c r="Y578" s="554"/>
      <c r="Z578" s="554"/>
      <c r="AA578" s="554"/>
      <c r="AB578" s="554"/>
      <c r="AC578" s="554"/>
      <c r="AD578" s="554"/>
      <c r="AE578" s="554"/>
      <c r="AF578" s="554"/>
      <c r="AG578" s="554"/>
    </row>
    <row r="579">
      <c r="A579" s="549"/>
      <c r="B579" s="554"/>
      <c r="C579" s="554"/>
      <c r="D579" s="554"/>
      <c r="E579" s="554"/>
      <c r="F579" s="561"/>
      <c r="G579" s="554"/>
      <c r="H579" s="554"/>
      <c r="I579" s="554"/>
      <c r="J579" s="554"/>
      <c r="K579" s="554"/>
      <c r="L579" s="554"/>
      <c r="M579" s="554"/>
      <c r="N579" s="554"/>
      <c r="O579" s="554"/>
      <c r="P579" s="554"/>
      <c r="Q579" s="554"/>
      <c r="R579" s="554"/>
      <c r="S579" s="554"/>
      <c r="T579" s="554"/>
      <c r="U579" s="554"/>
      <c r="V579" s="554"/>
      <c r="W579" s="554"/>
      <c r="X579" s="554"/>
      <c r="Y579" s="554"/>
      <c r="Z579" s="554"/>
      <c r="AA579" s="554"/>
      <c r="AB579" s="554"/>
      <c r="AC579" s="554"/>
      <c r="AD579" s="554"/>
      <c r="AE579" s="554"/>
      <c r="AF579" s="554"/>
      <c r="AG579" s="554"/>
    </row>
    <row r="580">
      <c r="A580" s="549"/>
      <c r="B580" s="554"/>
      <c r="C580" s="554"/>
      <c r="D580" s="554"/>
      <c r="E580" s="554"/>
      <c r="F580" s="561"/>
      <c r="G580" s="554"/>
      <c r="H580" s="554"/>
      <c r="I580" s="554"/>
      <c r="J580" s="554"/>
      <c r="K580" s="554"/>
      <c r="L580" s="554"/>
      <c r="M580" s="554"/>
      <c r="N580" s="554"/>
      <c r="O580" s="554"/>
      <c r="P580" s="554"/>
      <c r="Q580" s="554"/>
      <c r="R580" s="554"/>
      <c r="S580" s="554"/>
      <c r="T580" s="554"/>
      <c r="U580" s="554"/>
      <c r="V580" s="554"/>
      <c r="W580" s="554"/>
      <c r="X580" s="554"/>
      <c r="Y580" s="554"/>
      <c r="Z580" s="554"/>
      <c r="AA580" s="554"/>
      <c r="AB580" s="554"/>
      <c r="AC580" s="554"/>
      <c r="AD580" s="554"/>
      <c r="AE580" s="554"/>
      <c r="AF580" s="554"/>
      <c r="AG580" s="554"/>
    </row>
    <row r="581">
      <c r="A581" s="549"/>
      <c r="B581" s="554"/>
      <c r="C581" s="554"/>
      <c r="D581" s="554"/>
      <c r="E581" s="554"/>
      <c r="F581" s="561"/>
      <c r="G581" s="554"/>
      <c r="H581" s="554"/>
      <c r="I581" s="554"/>
      <c r="J581" s="554"/>
      <c r="K581" s="554"/>
      <c r="L581" s="554"/>
      <c r="M581" s="554"/>
      <c r="N581" s="554"/>
      <c r="O581" s="554"/>
      <c r="P581" s="554"/>
      <c r="Q581" s="554"/>
      <c r="R581" s="554"/>
      <c r="S581" s="554"/>
      <c r="T581" s="554"/>
      <c r="U581" s="554"/>
      <c r="V581" s="554"/>
      <c r="W581" s="554"/>
      <c r="X581" s="554"/>
      <c r="Y581" s="554"/>
      <c r="Z581" s="554"/>
      <c r="AA581" s="554"/>
      <c r="AB581" s="554"/>
      <c r="AC581" s="554"/>
      <c r="AD581" s="554"/>
      <c r="AE581" s="554"/>
      <c r="AF581" s="554"/>
      <c r="AG581" s="554"/>
    </row>
    <row r="582">
      <c r="A582" s="549"/>
      <c r="B582" s="554"/>
      <c r="C582" s="554"/>
      <c r="D582" s="554"/>
      <c r="E582" s="554"/>
      <c r="F582" s="561"/>
      <c r="G582" s="554"/>
      <c r="H582" s="554"/>
      <c r="I582" s="554"/>
      <c r="J582" s="554"/>
      <c r="K582" s="554"/>
      <c r="L582" s="554"/>
      <c r="M582" s="554"/>
      <c r="N582" s="554"/>
      <c r="O582" s="554"/>
      <c r="P582" s="554"/>
      <c r="Q582" s="554"/>
      <c r="R582" s="554"/>
      <c r="S582" s="554"/>
      <c r="T582" s="554"/>
      <c r="U582" s="554"/>
      <c r="V582" s="554"/>
      <c r="W582" s="554"/>
      <c r="X582" s="554"/>
      <c r="Y582" s="554"/>
      <c r="Z582" s="554"/>
      <c r="AA582" s="554"/>
      <c r="AB582" s="554"/>
      <c r="AC582" s="554"/>
      <c r="AD582" s="554"/>
      <c r="AE582" s="554"/>
      <c r="AF582" s="554"/>
      <c r="AG582" s="554"/>
    </row>
    <row r="583">
      <c r="A583" s="549"/>
      <c r="B583" s="554"/>
      <c r="C583" s="554"/>
      <c r="D583" s="554"/>
      <c r="E583" s="554"/>
      <c r="F583" s="561"/>
      <c r="G583" s="554"/>
      <c r="H583" s="554"/>
      <c r="I583" s="554"/>
      <c r="J583" s="554"/>
      <c r="K583" s="554"/>
      <c r="L583" s="554"/>
      <c r="M583" s="554"/>
      <c r="N583" s="554"/>
      <c r="O583" s="554"/>
      <c r="P583" s="554"/>
      <c r="Q583" s="554"/>
      <c r="R583" s="554"/>
      <c r="S583" s="554"/>
      <c r="T583" s="554"/>
      <c r="U583" s="554"/>
      <c r="V583" s="554"/>
      <c r="W583" s="554"/>
      <c r="X583" s="554"/>
      <c r="Y583" s="554"/>
      <c r="Z583" s="554"/>
      <c r="AA583" s="554"/>
      <c r="AB583" s="554"/>
      <c r="AC583" s="554"/>
      <c r="AD583" s="554"/>
      <c r="AE583" s="554"/>
      <c r="AF583" s="554"/>
      <c r="AG583" s="554"/>
    </row>
    <row r="584">
      <c r="A584" s="549"/>
      <c r="B584" s="554"/>
      <c r="C584" s="554"/>
      <c r="D584" s="554"/>
      <c r="E584" s="554"/>
      <c r="F584" s="561"/>
      <c r="G584" s="554"/>
      <c r="H584" s="554"/>
      <c r="I584" s="554"/>
      <c r="J584" s="554"/>
      <c r="K584" s="554"/>
      <c r="L584" s="554"/>
      <c r="M584" s="554"/>
      <c r="N584" s="554"/>
      <c r="O584" s="554"/>
      <c r="P584" s="554"/>
      <c r="Q584" s="554"/>
      <c r="R584" s="554"/>
      <c r="S584" s="554"/>
      <c r="T584" s="554"/>
      <c r="U584" s="554"/>
      <c r="V584" s="554"/>
      <c r="W584" s="554"/>
      <c r="X584" s="554"/>
      <c r="Y584" s="554"/>
      <c r="Z584" s="554"/>
      <c r="AA584" s="554"/>
      <c r="AB584" s="554"/>
      <c r="AC584" s="554"/>
      <c r="AD584" s="554"/>
      <c r="AE584" s="554"/>
      <c r="AF584" s="554"/>
      <c r="AG584" s="554"/>
    </row>
    <row r="585">
      <c r="A585" s="549"/>
      <c r="B585" s="554"/>
      <c r="C585" s="554"/>
      <c r="D585" s="554"/>
      <c r="E585" s="554"/>
      <c r="F585" s="561"/>
      <c r="G585" s="554"/>
      <c r="H585" s="554"/>
      <c r="I585" s="554"/>
      <c r="J585" s="554"/>
      <c r="K585" s="554"/>
      <c r="L585" s="554"/>
      <c r="M585" s="554"/>
      <c r="N585" s="554"/>
      <c r="O585" s="554"/>
      <c r="P585" s="554"/>
      <c r="Q585" s="554"/>
      <c r="R585" s="554"/>
      <c r="S585" s="554"/>
      <c r="T585" s="554"/>
      <c r="U585" s="554"/>
      <c r="V585" s="554"/>
      <c r="W585" s="554"/>
      <c r="X585" s="554"/>
      <c r="Y585" s="554"/>
      <c r="Z585" s="554"/>
      <c r="AA585" s="554"/>
      <c r="AB585" s="554"/>
      <c r="AC585" s="554"/>
      <c r="AD585" s="554"/>
      <c r="AE585" s="554"/>
      <c r="AF585" s="554"/>
      <c r="AG585" s="554"/>
    </row>
    <row r="586">
      <c r="A586" s="549"/>
      <c r="B586" s="554"/>
      <c r="C586" s="554"/>
      <c r="D586" s="554"/>
      <c r="E586" s="554"/>
      <c r="F586" s="561"/>
      <c r="G586" s="554"/>
      <c r="H586" s="554"/>
      <c r="I586" s="554"/>
      <c r="J586" s="554"/>
      <c r="K586" s="554"/>
      <c r="L586" s="554"/>
      <c r="M586" s="554"/>
      <c r="N586" s="554"/>
      <c r="O586" s="554"/>
      <c r="P586" s="554"/>
      <c r="Q586" s="554"/>
      <c r="R586" s="554"/>
      <c r="S586" s="554"/>
      <c r="T586" s="554"/>
      <c r="U586" s="554"/>
      <c r="V586" s="554"/>
      <c r="W586" s="554"/>
      <c r="X586" s="554"/>
      <c r="Y586" s="554"/>
      <c r="Z586" s="554"/>
      <c r="AA586" s="554"/>
      <c r="AB586" s="554"/>
      <c r="AC586" s="554"/>
      <c r="AD586" s="554"/>
      <c r="AE586" s="554"/>
      <c r="AF586" s="554"/>
      <c r="AG586" s="554"/>
    </row>
    <row r="587">
      <c r="A587" s="549"/>
      <c r="B587" s="554"/>
      <c r="C587" s="554"/>
      <c r="D587" s="554"/>
      <c r="E587" s="554"/>
      <c r="F587" s="561"/>
      <c r="G587" s="554"/>
      <c r="H587" s="554"/>
      <c r="I587" s="554"/>
      <c r="J587" s="554"/>
      <c r="K587" s="554"/>
      <c r="L587" s="554"/>
      <c r="M587" s="554"/>
      <c r="N587" s="554"/>
      <c r="O587" s="554"/>
      <c r="P587" s="554"/>
      <c r="Q587" s="554"/>
      <c r="R587" s="554"/>
      <c r="S587" s="554"/>
      <c r="T587" s="554"/>
      <c r="U587" s="554"/>
      <c r="V587" s="554"/>
      <c r="W587" s="554"/>
      <c r="X587" s="554"/>
      <c r="Y587" s="554"/>
      <c r="Z587" s="554"/>
      <c r="AA587" s="554"/>
      <c r="AB587" s="554"/>
      <c r="AC587" s="554"/>
      <c r="AD587" s="554"/>
      <c r="AE587" s="554"/>
      <c r="AF587" s="554"/>
      <c r="AG587" s="554"/>
    </row>
    <row r="588">
      <c r="A588" s="549"/>
      <c r="B588" s="554"/>
      <c r="C588" s="554"/>
      <c r="D588" s="554"/>
      <c r="E588" s="554"/>
      <c r="F588" s="561"/>
      <c r="G588" s="554"/>
      <c r="H588" s="554"/>
      <c r="I588" s="554"/>
      <c r="J588" s="554"/>
      <c r="K588" s="554"/>
      <c r="L588" s="554"/>
      <c r="M588" s="554"/>
      <c r="N588" s="554"/>
      <c r="O588" s="554"/>
      <c r="P588" s="554"/>
      <c r="Q588" s="554"/>
      <c r="R588" s="554"/>
      <c r="S588" s="554"/>
      <c r="T588" s="554"/>
      <c r="U588" s="554"/>
      <c r="V588" s="554"/>
      <c r="W588" s="554"/>
      <c r="X588" s="554"/>
      <c r="Y588" s="554"/>
      <c r="Z588" s="554"/>
      <c r="AA588" s="554"/>
      <c r="AB588" s="554"/>
      <c r="AC588" s="554"/>
      <c r="AD588" s="554"/>
      <c r="AE588" s="554"/>
      <c r="AF588" s="554"/>
      <c r="AG588" s="554"/>
    </row>
    <row r="589">
      <c r="A589" s="549"/>
      <c r="B589" s="554"/>
      <c r="C589" s="554"/>
      <c r="D589" s="554"/>
      <c r="E589" s="554"/>
      <c r="F589" s="561"/>
      <c r="G589" s="554"/>
      <c r="H589" s="554"/>
      <c r="I589" s="554"/>
      <c r="J589" s="554"/>
      <c r="K589" s="554"/>
      <c r="L589" s="554"/>
      <c r="M589" s="554"/>
      <c r="N589" s="554"/>
      <c r="O589" s="554"/>
      <c r="P589" s="554"/>
      <c r="Q589" s="554"/>
      <c r="R589" s="554"/>
      <c r="S589" s="554"/>
      <c r="T589" s="554"/>
      <c r="U589" s="554"/>
      <c r="V589" s="554"/>
      <c r="W589" s="554"/>
      <c r="X589" s="554"/>
      <c r="Y589" s="554"/>
      <c r="Z589" s="554"/>
      <c r="AA589" s="554"/>
      <c r="AB589" s="554"/>
      <c r="AC589" s="554"/>
      <c r="AD589" s="554"/>
      <c r="AE589" s="554"/>
      <c r="AF589" s="554"/>
      <c r="AG589" s="554"/>
    </row>
    <row r="590">
      <c r="A590" s="549"/>
      <c r="B590" s="554"/>
      <c r="C590" s="554"/>
      <c r="D590" s="554"/>
      <c r="E590" s="554"/>
      <c r="F590" s="561"/>
      <c r="G590" s="554"/>
      <c r="H590" s="554"/>
      <c r="I590" s="554"/>
      <c r="J590" s="554"/>
      <c r="K590" s="554"/>
      <c r="L590" s="554"/>
      <c r="M590" s="554"/>
      <c r="N590" s="554"/>
      <c r="O590" s="554"/>
      <c r="P590" s="554"/>
      <c r="Q590" s="554"/>
      <c r="R590" s="554"/>
      <c r="S590" s="554"/>
      <c r="T590" s="554"/>
      <c r="U590" s="554"/>
      <c r="V590" s="554"/>
      <c r="W590" s="554"/>
      <c r="X590" s="554"/>
      <c r="Y590" s="554"/>
      <c r="Z590" s="554"/>
      <c r="AA590" s="554"/>
      <c r="AB590" s="554"/>
      <c r="AC590" s="554"/>
      <c r="AD590" s="554"/>
      <c r="AE590" s="554"/>
      <c r="AF590" s="554"/>
      <c r="AG590" s="554"/>
    </row>
    <row r="591">
      <c r="A591" s="549"/>
      <c r="B591" s="554"/>
      <c r="C591" s="554"/>
      <c r="D591" s="554"/>
      <c r="E591" s="554"/>
      <c r="F591" s="561"/>
      <c r="G591" s="554"/>
      <c r="H591" s="554"/>
      <c r="I591" s="554"/>
      <c r="J591" s="554"/>
      <c r="K591" s="554"/>
      <c r="L591" s="554"/>
      <c r="M591" s="554"/>
      <c r="N591" s="554"/>
      <c r="O591" s="554"/>
      <c r="P591" s="554"/>
      <c r="Q591" s="554"/>
      <c r="R591" s="554"/>
      <c r="S591" s="554"/>
      <c r="T591" s="554"/>
      <c r="U591" s="554"/>
      <c r="V591" s="554"/>
      <c r="W591" s="554"/>
      <c r="X591" s="554"/>
      <c r="Y591" s="554"/>
      <c r="Z591" s="554"/>
      <c r="AA591" s="554"/>
      <c r="AB591" s="554"/>
      <c r="AC591" s="554"/>
      <c r="AD591" s="554"/>
      <c r="AE591" s="554"/>
      <c r="AF591" s="554"/>
      <c r="AG591" s="554"/>
    </row>
    <row r="592">
      <c r="A592" s="549"/>
      <c r="B592" s="554"/>
      <c r="C592" s="554"/>
      <c r="D592" s="554"/>
      <c r="E592" s="554"/>
      <c r="F592" s="561"/>
      <c r="G592" s="554"/>
      <c r="H592" s="554"/>
      <c r="I592" s="554"/>
      <c r="J592" s="554"/>
      <c r="K592" s="554"/>
      <c r="L592" s="554"/>
      <c r="M592" s="554"/>
      <c r="N592" s="554"/>
      <c r="O592" s="554"/>
      <c r="P592" s="554"/>
      <c r="Q592" s="554"/>
      <c r="R592" s="554"/>
      <c r="S592" s="554"/>
      <c r="T592" s="554"/>
      <c r="U592" s="554"/>
      <c r="V592" s="554"/>
      <c r="W592" s="554"/>
      <c r="X592" s="554"/>
      <c r="Y592" s="554"/>
      <c r="Z592" s="554"/>
      <c r="AA592" s="554"/>
      <c r="AB592" s="554"/>
      <c r="AC592" s="554"/>
      <c r="AD592" s="554"/>
      <c r="AE592" s="554"/>
      <c r="AF592" s="554"/>
      <c r="AG592" s="554"/>
    </row>
    <row r="593">
      <c r="A593" s="549"/>
      <c r="B593" s="554"/>
      <c r="C593" s="554"/>
      <c r="D593" s="554"/>
      <c r="E593" s="554"/>
      <c r="F593" s="561"/>
      <c r="G593" s="554"/>
      <c r="H593" s="554"/>
      <c r="I593" s="554"/>
      <c r="J593" s="554"/>
      <c r="K593" s="554"/>
      <c r="L593" s="554"/>
      <c r="M593" s="554"/>
      <c r="N593" s="554"/>
      <c r="O593" s="554"/>
      <c r="P593" s="554"/>
      <c r="Q593" s="554"/>
      <c r="R593" s="554"/>
      <c r="S593" s="554"/>
      <c r="T593" s="554"/>
      <c r="U593" s="554"/>
      <c r="V593" s="554"/>
      <c r="W593" s="554"/>
      <c r="X593" s="554"/>
      <c r="Y593" s="554"/>
      <c r="Z593" s="554"/>
      <c r="AA593" s="554"/>
      <c r="AB593" s="554"/>
      <c r="AC593" s="554"/>
      <c r="AD593" s="554"/>
      <c r="AE593" s="554"/>
      <c r="AF593" s="554"/>
      <c r="AG593" s="554"/>
    </row>
    <row r="594">
      <c r="A594" s="549"/>
      <c r="B594" s="554"/>
      <c r="C594" s="554"/>
      <c r="D594" s="554"/>
      <c r="E594" s="554"/>
      <c r="F594" s="561"/>
      <c r="G594" s="554"/>
      <c r="H594" s="554"/>
      <c r="I594" s="554"/>
      <c r="J594" s="554"/>
      <c r="K594" s="554"/>
      <c r="L594" s="554"/>
      <c r="M594" s="554"/>
      <c r="N594" s="554"/>
      <c r="O594" s="554"/>
      <c r="P594" s="554"/>
      <c r="Q594" s="554"/>
      <c r="R594" s="554"/>
      <c r="S594" s="554"/>
      <c r="T594" s="554"/>
      <c r="U594" s="554"/>
      <c r="V594" s="554"/>
      <c r="W594" s="554"/>
      <c r="X594" s="554"/>
      <c r="Y594" s="554"/>
      <c r="Z594" s="554"/>
      <c r="AA594" s="554"/>
      <c r="AB594" s="554"/>
      <c r="AC594" s="554"/>
      <c r="AD594" s="554"/>
      <c r="AE594" s="554"/>
      <c r="AF594" s="554"/>
      <c r="AG594" s="554"/>
    </row>
    <row r="595">
      <c r="A595" s="549"/>
      <c r="B595" s="554"/>
      <c r="C595" s="554"/>
      <c r="D595" s="554"/>
      <c r="E595" s="554"/>
      <c r="F595" s="561"/>
      <c r="G595" s="554"/>
      <c r="H595" s="554"/>
      <c r="I595" s="554"/>
      <c r="J595" s="554"/>
      <c r="K595" s="554"/>
      <c r="L595" s="554"/>
      <c r="M595" s="554"/>
      <c r="N595" s="554"/>
      <c r="O595" s="554"/>
      <c r="P595" s="554"/>
      <c r="Q595" s="554"/>
      <c r="R595" s="554"/>
      <c r="S595" s="554"/>
      <c r="T595" s="554"/>
      <c r="U595" s="554"/>
      <c r="V595" s="554"/>
      <c r="W595" s="554"/>
      <c r="X595" s="554"/>
      <c r="Y595" s="554"/>
      <c r="Z595" s="554"/>
      <c r="AA595" s="554"/>
      <c r="AB595" s="554"/>
      <c r="AC595" s="554"/>
      <c r="AD595" s="554"/>
      <c r="AE595" s="554"/>
      <c r="AF595" s="554"/>
      <c r="AG595" s="554"/>
    </row>
    <row r="596">
      <c r="A596" s="549"/>
      <c r="B596" s="554"/>
      <c r="C596" s="554"/>
      <c r="D596" s="554"/>
      <c r="E596" s="554"/>
      <c r="F596" s="561"/>
      <c r="G596" s="554"/>
      <c r="H596" s="554"/>
      <c r="I596" s="554"/>
      <c r="J596" s="554"/>
      <c r="K596" s="554"/>
      <c r="L596" s="554"/>
      <c r="M596" s="554"/>
      <c r="N596" s="554"/>
      <c r="O596" s="554"/>
      <c r="P596" s="554"/>
      <c r="Q596" s="554"/>
      <c r="R596" s="554"/>
      <c r="S596" s="554"/>
      <c r="T596" s="554"/>
      <c r="U596" s="554"/>
      <c r="V596" s="554"/>
      <c r="W596" s="554"/>
      <c r="X596" s="554"/>
      <c r="Y596" s="554"/>
      <c r="Z596" s="554"/>
      <c r="AA596" s="554"/>
      <c r="AB596" s="554"/>
      <c r="AC596" s="554"/>
      <c r="AD596" s="554"/>
      <c r="AE596" s="554"/>
      <c r="AF596" s="554"/>
      <c r="AG596" s="554"/>
    </row>
    <row r="597">
      <c r="A597" s="549"/>
      <c r="B597" s="554"/>
      <c r="C597" s="554"/>
      <c r="D597" s="554"/>
      <c r="E597" s="554"/>
      <c r="F597" s="561"/>
      <c r="G597" s="554"/>
      <c r="H597" s="554"/>
      <c r="I597" s="554"/>
      <c r="J597" s="554"/>
      <c r="K597" s="554"/>
      <c r="L597" s="554"/>
      <c r="M597" s="554"/>
      <c r="N597" s="554"/>
      <c r="O597" s="554"/>
      <c r="P597" s="554"/>
      <c r="Q597" s="554"/>
      <c r="R597" s="554"/>
      <c r="S597" s="554"/>
      <c r="T597" s="554"/>
      <c r="U597" s="554"/>
      <c r="V597" s="554"/>
      <c r="W597" s="554"/>
      <c r="X597" s="554"/>
      <c r="Y597" s="554"/>
      <c r="Z597" s="554"/>
      <c r="AA597" s="554"/>
      <c r="AB597" s="554"/>
      <c r="AC597" s="554"/>
      <c r="AD597" s="554"/>
      <c r="AE597" s="554"/>
      <c r="AF597" s="554"/>
      <c r="AG597" s="554"/>
    </row>
    <row r="598">
      <c r="A598" s="549"/>
      <c r="B598" s="554"/>
      <c r="C598" s="554"/>
      <c r="D598" s="554"/>
      <c r="E598" s="554"/>
      <c r="F598" s="561"/>
      <c r="G598" s="554"/>
      <c r="H598" s="554"/>
      <c r="I598" s="554"/>
      <c r="J598" s="554"/>
      <c r="K598" s="554"/>
      <c r="L598" s="554"/>
      <c r="M598" s="554"/>
      <c r="N598" s="554"/>
      <c r="O598" s="554"/>
      <c r="P598" s="554"/>
      <c r="Q598" s="554"/>
      <c r="R598" s="554"/>
      <c r="S598" s="554"/>
      <c r="T598" s="554"/>
      <c r="U598" s="554"/>
      <c r="V598" s="554"/>
      <c r="W598" s="554"/>
      <c r="X598" s="554"/>
      <c r="Y598" s="554"/>
      <c r="Z598" s="554"/>
      <c r="AA598" s="554"/>
      <c r="AB598" s="554"/>
      <c r="AC598" s="554"/>
      <c r="AD598" s="554"/>
      <c r="AE598" s="554"/>
      <c r="AF598" s="554"/>
      <c r="AG598" s="554"/>
    </row>
    <row r="599">
      <c r="A599" s="549"/>
      <c r="B599" s="554"/>
      <c r="C599" s="554"/>
      <c r="D599" s="554"/>
      <c r="E599" s="554"/>
      <c r="F599" s="561"/>
      <c r="G599" s="554"/>
      <c r="H599" s="554"/>
      <c r="I599" s="554"/>
      <c r="J599" s="554"/>
      <c r="K599" s="554"/>
      <c r="L599" s="554"/>
      <c r="M599" s="554"/>
      <c r="N599" s="554"/>
      <c r="O599" s="554"/>
      <c r="P599" s="554"/>
      <c r="Q599" s="554"/>
      <c r="R599" s="554"/>
      <c r="S599" s="554"/>
      <c r="T599" s="554"/>
      <c r="U599" s="554"/>
      <c r="V599" s="554"/>
      <c r="W599" s="554"/>
      <c r="X599" s="554"/>
      <c r="Y599" s="554"/>
      <c r="Z599" s="554"/>
      <c r="AA599" s="554"/>
      <c r="AB599" s="554"/>
      <c r="AC599" s="554"/>
      <c r="AD599" s="554"/>
      <c r="AE599" s="554"/>
      <c r="AF599" s="554"/>
      <c r="AG599" s="554"/>
    </row>
    <row r="600">
      <c r="A600" s="549"/>
      <c r="B600" s="554"/>
      <c r="C600" s="554"/>
      <c r="D600" s="554"/>
      <c r="E600" s="554"/>
      <c r="F600" s="561"/>
      <c r="G600" s="554"/>
      <c r="H600" s="554"/>
      <c r="I600" s="554"/>
      <c r="J600" s="554"/>
      <c r="K600" s="554"/>
      <c r="L600" s="554"/>
      <c r="M600" s="554"/>
      <c r="N600" s="554"/>
      <c r="O600" s="554"/>
      <c r="P600" s="554"/>
      <c r="Q600" s="554"/>
      <c r="R600" s="554"/>
      <c r="S600" s="554"/>
      <c r="T600" s="554"/>
      <c r="U600" s="554"/>
      <c r="V600" s="554"/>
      <c r="W600" s="554"/>
      <c r="X600" s="554"/>
      <c r="Y600" s="554"/>
      <c r="Z600" s="554"/>
      <c r="AA600" s="554"/>
      <c r="AB600" s="554"/>
      <c r="AC600" s="554"/>
      <c r="AD600" s="554"/>
      <c r="AE600" s="554"/>
      <c r="AF600" s="554"/>
      <c r="AG600" s="554"/>
    </row>
    <row r="601">
      <c r="A601" s="549"/>
      <c r="B601" s="554"/>
      <c r="C601" s="554"/>
      <c r="D601" s="554"/>
      <c r="E601" s="554"/>
      <c r="F601" s="561"/>
      <c r="G601" s="554"/>
      <c r="H601" s="554"/>
      <c r="I601" s="554"/>
      <c r="J601" s="554"/>
      <c r="K601" s="554"/>
      <c r="L601" s="554"/>
      <c r="M601" s="554"/>
      <c r="N601" s="554"/>
      <c r="O601" s="554"/>
      <c r="P601" s="554"/>
      <c r="Q601" s="554"/>
      <c r="R601" s="554"/>
      <c r="S601" s="554"/>
      <c r="T601" s="554"/>
      <c r="U601" s="554"/>
      <c r="V601" s="554"/>
      <c r="W601" s="554"/>
      <c r="X601" s="554"/>
      <c r="Y601" s="554"/>
      <c r="Z601" s="554"/>
      <c r="AA601" s="554"/>
      <c r="AB601" s="554"/>
      <c r="AC601" s="554"/>
      <c r="AD601" s="554"/>
      <c r="AE601" s="554"/>
      <c r="AF601" s="554"/>
      <c r="AG601" s="554"/>
    </row>
    <row r="602">
      <c r="A602" s="549"/>
      <c r="B602" s="554"/>
      <c r="C602" s="554"/>
      <c r="D602" s="554"/>
      <c r="E602" s="554"/>
      <c r="F602" s="561"/>
      <c r="G602" s="554"/>
      <c r="H602" s="554"/>
      <c r="I602" s="554"/>
      <c r="J602" s="554"/>
      <c r="K602" s="554"/>
      <c r="L602" s="554"/>
      <c r="M602" s="554"/>
      <c r="N602" s="554"/>
      <c r="O602" s="554"/>
      <c r="P602" s="554"/>
      <c r="Q602" s="554"/>
      <c r="R602" s="554"/>
      <c r="S602" s="554"/>
      <c r="T602" s="554"/>
      <c r="U602" s="554"/>
      <c r="V602" s="554"/>
      <c r="W602" s="554"/>
      <c r="X602" s="554"/>
      <c r="Y602" s="554"/>
      <c r="Z602" s="554"/>
      <c r="AA602" s="554"/>
      <c r="AB602" s="554"/>
      <c r="AC602" s="554"/>
      <c r="AD602" s="554"/>
      <c r="AE602" s="554"/>
      <c r="AF602" s="554"/>
      <c r="AG602" s="554"/>
    </row>
    <row r="603">
      <c r="A603" s="549"/>
      <c r="B603" s="554"/>
      <c r="C603" s="554"/>
      <c r="D603" s="554"/>
      <c r="E603" s="554"/>
      <c r="F603" s="561"/>
      <c r="G603" s="554"/>
      <c r="H603" s="554"/>
      <c r="I603" s="554"/>
      <c r="J603" s="554"/>
      <c r="K603" s="554"/>
      <c r="L603" s="554"/>
      <c r="M603" s="554"/>
      <c r="N603" s="554"/>
      <c r="O603" s="554"/>
      <c r="P603" s="554"/>
      <c r="Q603" s="554"/>
      <c r="R603" s="554"/>
      <c r="S603" s="554"/>
      <c r="T603" s="554"/>
      <c r="U603" s="554"/>
      <c r="V603" s="554"/>
      <c r="W603" s="554"/>
      <c r="X603" s="554"/>
      <c r="Y603" s="554"/>
      <c r="Z603" s="554"/>
      <c r="AA603" s="554"/>
      <c r="AB603" s="554"/>
      <c r="AC603" s="554"/>
      <c r="AD603" s="554"/>
      <c r="AE603" s="554"/>
      <c r="AF603" s="554"/>
      <c r="AG603" s="554"/>
    </row>
    <row r="604">
      <c r="A604" s="549"/>
      <c r="B604" s="554"/>
      <c r="C604" s="554"/>
      <c r="D604" s="554"/>
      <c r="E604" s="554"/>
      <c r="F604" s="561"/>
      <c r="G604" s="554"/>
      <c r="H604" s="554"/>
      <c r="I604" s="554"/>
      <c r="J604" s="554"/>
      <c r="K604" s="554"/>
      <c r="L604" s="554"/>
      <c r="M604" s="554"/>
      <c r="N604" s="554"/>
      <c r="O604" s="554"/>
      <c r="P604" s="554"/>
      <c r="Q604" s="554"/>
      <c r="R604" s="554"/>
      <c r="S604" s="554"/>
      <c r="T604" s="554"/>
      <c r="U604" s="554"/>
      <c r="V604" s="554"/>
      <c r="W604" s="554"/>
      <c r="X604" s="554"/>
      <c r="Y604" s="554"/>
      <c r="Z604" s="554"/>
      <c r="AA604" s="554"/>
      <c r="AB604" s="554"/>
      <c r="AC604" s="554"/>
      <c r="AD604" s="554"/>
      <c r="AE604" s="554"/>
      <c r="AF604" s="554"/>
      <c r="AG604" s="554"/>
    </row>
    <row r="605">
      <c r="A605" s="549"/>
      <c r="B605" s="554"/>
      <c r="C605" s="554"/>
      <c r="D605" s="554"/>
      <c r="E605" s="554"/>
      <c r="F605" s="561"/>
      <c r="G605" s="554"/>
      <c r="H605" s="554"/>
      <c r="I605" s="554"/>
      <c r="J605" s="554"/>
      <c r="K605" s="554"/>
      <c r="L605" s="554"/>
      <c r="M605" s="554"/>
      <c r="N605" s="554"/>
      <c r="O605" s="554"/>
      <c r="P605" s="554"/>
      <c r="Q605" s="554"/>
      <c r="R605" s="554"/>
      <c r="S605" s="554"/>
      <c r="T605" s="554"/>
      <c r="U605" s="554"/>
      <c r="V605" s="554"/>
      <c r="W605" s="554"/>
      <c r="X605" s="554"/>
      <c r="Y605" s="554"/>
      <c r="Z605" s="554"/>
      <c r="AA605" s="554"/>
      <c r="AB605" s="554"/>
      <c r="AC605" s="554"/>
      <c r="AD605" s="554"/>
      <c r="AE605" s="554"/>
      <c r="AF605" s="554"/>
      <c r="AG605" s="554"/>
    </row>
    <row r="606">
      <c r="A606" s="549"/>
      <c r="B606" s="554"/>
      <c r="C606" s="554"/>
      <c r="D606" s="554"/>
      <c r="E606" s="554"/>
      <c r="F606" s="561"/>
      <c r="G606" s="554"/>
      <c r="H606" s="554"/>
      <c r="I606" s="554"/>
      <c r="J606" s="554"/>
      <c r="K606" s="554"/>
      <c r="L606" s="554"/>
      <c r="M606" s="554"/>
      <c r="N606" s="554"/>
      <c r="O606" s="554"/>
      <c r="P606" s="554"/>
      <c r="Q606" s="554"/>
      <c r="R606" s="554"/>
      <c r="S606" s="554"/>
      <c r="T606" s="554"/>
      <c r="U606" s="554"/>
      <c r="V606" s="554"/>
      <c r="W606" s="554"/>
      <c r="X606" s="554"/>
      <c r="Y606" s="554"/>
      <c r="Z606" s="554"/>
      <c r="AA606" s="554"/>
      <c r="AB606" s="554"/>
      <c r="AC606" s="554"/>
      <c r="AD606" s="554"/>
      <c r="AE606" s="554"/>
      <c r="AF606" s="554"/>
      <c r="AG606" s="554"/>
    </row>
    <row r="607">
      <c r="A607" s="549"/>
      <c r="B607" s="554"/>
      <c r="C607" s="554"/>
      <c r="D607" s="554"/>
      <c r="E607" s="554"/>
      <c r="F607" s="561"/>
      <c r="G607" s="554"/>
      <c r="H607" s="554"/>
      <c r="I607" s="554"/>
      <c r="J607" s="554"/>
      <c r="K607" s="554"/>
      <c r="L607" s="554"/>
      <c r="M607" s="554"/>
      <c r="N607" s="554"/>
      <c r="O607" s="554"/>
      <c r="P607" s="554"/>
      <c r="Q607" s="554"/>
      <c r="R607" s="554"/>
      <c r="S607" s="554"/>
      <c r="T607" s="554"/>
      <c r="U607" s="554"/>
      <c r="V607" s="554"/>
      <c r="W607" s="554"/>
      <c r="X607" s="554"/>
      <c r="Y607" s="554"/>
      <c r="Z607" s="554"/>
      <c r="AA607" s="554"/>
      <c r="AB607" s="554"/>
      <c r="AC607" s="554"/>
      <c r="AD607" s="554"/>
      <c r="AE607" s="554"/>
      <c r="AF607" s="554"/>
      <c r="AG607" s="554"/>
    </row>
    <row r="608">
      <c r="A608" s="549"/>
      <c r="B608" s="554"/>
      <c r="C608" s="554"/>
      <c r="D608" s="554"/>
      <c r="E608" s="554"/>
      <c r="F608" s="561"/>
      <c r="G608" s="554"/>
      <c r="H608" s="554"/>
      <c r="I608" s="554"/>
      <c r="J608" s="554"/>
      <c r="K608" s="554"/>
      <c r="L608" s="554"/>
      <c r="M608" s="554"/>
      <c r="N608" s="554"/>
      <c r="O608" s="554"/>
      <c r="P608" s="554"/>
      <c r="Q608" s="554"/>
      <c r="R608" s="554"/>
      <c r="S608" s="554"/>
      <c r="T608" s="554"/>
      <c r="U608" s="554"/>
      <c r="V608" s="554"/>
      <c r="W608" s="554"/>
      <c r="X608" s="554"/>
      <c r="Y608" s="554"/>
      <c r="Z608" s="554"/>
      <c r="AA608" s="554"/>
      <c r="AB608" s="554"/>
      <c r="AC608" s="554"/>
      <c r="AD608" s="554"/>
      <c r="AE608" s="554"/>
      <c r="AF608" s="554"/>
      <c r="AG608" s="554"/>
    </row>
    <row r="609">
      <c r="A609" s="549"/>
      <c r="B609" s="554"/>
      <c r="C609" s="554"/>
      <c r="D609" s="554"/>
      <c r="E609" s="554"/>
      <c r="F609" s="561"/>
      <c r="G609" s="554"/>
      <c r="H609" s="554"/>
      <c r="I609" s="554"/>
      <c r="J609" s="554"/>
      <c r="K609" s="554"/>
      <c r="L609" s="554"/>
      <c r="M609" s="554"/>
      <c r="N609" s="554"/>
      <c r="O609" s="554"/>
      <c r="P609" s="554"/>
      <c r="Q609" s="554"/>
      <c r="R609" s="554"/>
      <c r="S609" s="554"/>
      <c r="T609" s="554"/>
      <c r="U609" s="554"/>
      <c r="V609" s="554"/>
      <c r="W609" s="554"/>
      <c r="X609" s="554"/>
      <c r="Y609" s="554"/>
      <c r="Z609" s="554"/>
      <c r="AA609" s="554"/>
      <c r="AB609" s="554"/>
      <c r="AC609" s="554"/>
      <c r="AD609" s="554"/>
      <c r="AE609" s="554"/>
      <c r="AF609" s="554"/>
      <c r="AG609" s="554"/>
    </row>
    <row r="610">
      <c r="A610" s="549"/>
      <c r="B610" s="554"/>
      <c r="C610" s="554"/>
      <c r="D610" s="554"/>
      <c r="E610" s="554"/>
      <c r="F610" s="561"/>
      <c r="G610" s="554"/>
      <c r="H610" s="554"/>
      <c r="I610" s="554"/>
      <c r="J610" s="554"/>
      <c r="K610" s="554"/>
      <c r="L610" s="554"/>
      <c r="M610" s="554"/>
      <c r="N610" s="554"/>
      <c r="O610" s="554"/>
      <c r="P610" s="554"/>
      <c r="Q610" s="554"/>
      <c r="R610" s="554"/>
      <c r="S610" s="554"/>
      <c r="T610" s="554"/>
      <c r="U610" s="554"/>
      <c r="V610" s="554"/>
      <c r="W610" s="554"/>
      <c r="X610" s="554"/>
      <c r="Y610" s="554"/>
      <c r="Z610" s="554"/>
      <c r="AA610" s="554"/>
      <c r="AB610" s="554"/>
      <c r="AC610" s="554"/>
      <c r="AD610" s="554"/>
      <c r="AE610" s="554"/>
      <c r="AF610" s="554"/>
      <c r="AG610" s="554"/>
    </row>
    <row r="611">
      <c r="A611" s="549"/>
      <c r="B611" s="554"/>
      <c r="C611" s="554"/>
      <c r="D611" s="554"/>
      <c r="E611" s="554"/>
      <c r="F611" s="561"/>
      <c r="G611" s="554"/>
      <c r="H611" s="554"/>
      <c r="I611" s="554"/>
      <c r="J611" s="554"/>
      <c r="K611" s="554"/>
      <c r="L611" s="554"/>
      <c r="M611" s="554"/>
      <c r="N611" s="554"/>
      <c r="O611" s="554"/>
      <c r="P611" s="554"/>
      <c r="Q611" s="554"/>
      <c r="R611" s="554"/>
      <c r="S611" s="554"/>
      <c r="T611" s="554"/>
      <c r="U611" s="554"/>
      <c r="V611" s="554"/>
      <c r="W611" s="554"/>
      <c r="X611" s="554"/>
      <c r="Y611" s="554"/>
      <c r="Z611" s="554"/>
      <c r="AA611" s="554"/>
      <c r="AB611" s="554"/>
      <c r="AC611" s="554"/>
      <c r="AD611" s="554"/>
      <c r="AE611" s="554"/>
      <c r="AF611" s="554"/>
      <c r="AG611" s="554"/>
    </row>
    <row r="612">
      <c r="A612" s="549"/>
      <c r="B612" s="554"/>
      <c r="C612" s="554"/>
      <c r="D612" s="554"/>
      <c r="E612" s="554"/>
      <c r="F612" s="561"/>
      <c r="G612" s="554"/>
      <c r="H612" s="554"/>
      <c r="I612" s="554"/>
      <c r="J612" s="554"/>
      <c r="K612" s="554"/>
      <c r="L612" s="554"/>
      <c r="M612" s="554"/>
      <c r="N612" s="554"/>
      <c r="O612" s="554"/>
      <c r="P612" s="554"/>
      <c r="Q612" s="554"/>
      <c r="R612" s="554"/>
      <c r="S612" s="554"/>
      <c r="T612" s="554"/>
      <c r="U612" s="554"/>
      <c r="V612" s="554"/>
      <c r="W612" s="554"/>
      <c r="X612" s="554"/>
      <c r="Y612" s="554"/>
      <c r="Z612" s="554"/>
      <c r="AA612" s="554"/>
      <c r="AB612" s="554"/>
      <c r="AC612" s="554"/>
      <c r="AD612" s="554"/>
      <c r="AE612" s="554"/>
      <c r="AF612" s="554"/>
      <c r="AG612" s="554"/>
    </row>
    <row r="613">
      <c r="A613" s="549"/>
      <c r="B613" s="554"/>
      <c r="C613" s="554"/>
      <c r="D613" s="554"/>
      <c r="E613" s="554"/>
      <c r="F613" s="561"/>
      <c r="G613" s="554"/>
      <c r="H613" s="554"/>
      <c r="I613" s="554"/>
      <c r="J613" s="554"/>
      <c r="K613" s="554"/>
      <c r="L613" s="554"/>
      <c r="M613" s="554"/>
      <c r="N613" s="554"/>
      <c r="O613" s="554"/>
      <c r="P613" s="554"/>
      <c r="Q613" s="554"/>
      <c r="R613" s="554"/>
      <c r="S613" s="554"/>
      <c r="T613" s="554"/>
      <c r="U613" s="554"/>
      <c r="V613" s="554"/>
      <c r="W613" s="554"/>
      <c r="X613" s="554"/>
      <c r="Y613" s="554"/>
      <c r="Z613" s="554"/>
      <c r="AA613" s="554"/>
      <c r="AB613" s="554"/>
      <c r="AC613" s="554"/>
      <c r="AD613" s="554"/>
      <c r="AE613" s="554"/>
      <c r="AF613" s="554"/>
      <c r="AG613" s="554"/>
    </row>
    <row r="614">
      <c r="A614" s="549"/>
      <c r="B614" s="554"/>
      <c r="C614" s="554"/>
      <c r="D614" s="554"/>
      <c r="E614" s="554"/>
      <c r="F614" s="561"/>
      <c r="G614" s="554"/>
      <c r="H614" s="554"/>
      <c r="I614" s="554"/>
      <c r="J614" s="554"/>
      <c r="K614" s="554"/>
      <c r="L614" s="554"/>
      <c r="M614" s="554"/>
      <c r="N614" s="554"/>
      <c r="O614" s="554"/>
      <c r="P614" s="554"/>
      <c r="Q614" s="554"/>
      <c r="R614" s="554"/>
      <c r="S614" s="554"/>
      <c r="T614" s="554"/>
      <c r="U614" s="554"/>
      <c r="V614" s="554"/>
      <c r="W614" s="554"/>
      <c r="X614" s="554"/>
      <c r="Y614" s="554"/>
      <c r="Z614" s="554"/>
      <c r="AA614" s="554"/>
      <c r="AB614" s="554"/>
      <c r="AC614" s="554"/>
      <c r="AD614" s="554"/>
      <c r="AE614" s="554"/>
      <c r="AF614" s="554"/>
      <c r="AG614" s="554"/>
    </row>
    <row r="615">
      <c r="A615" s="549"/>
      <c r="B615" s="554"/>
      <c r="C615" s="554"/>
      <c r="D615" s="554"/>
      <c r="E615" s="554"/>
      <c r="F615" s="561"/>
      <c r="G615" s="554"/>
      <c r="H615" s="554"/>
      <c r="I615" s="554"/>
      <c r="J615" s="554"/>
      <c r="K615" s="554"/>
      <c r="L615" s="554"/>
      <c r="M615" s="554"/>
      <c r="N615" s="554"/>
      <c r="O615" s="554"/>
      <c r="P615" s="554"/>
      <c r="Q615" s="554"/>
      <c r="R615" s="554"/>
      <c r="S615" s="554"/>
      <c r="T615" s="554"/>
      <c r="U615" s="554"/>
      <c r="V615" s="554"/>
      <c r="W615" s="554"/>
      <c r="X615" s="554"/>
      <c r="Y615" s="554"/>
      <c r="Z615" s="554"/>
      <c r="AA615" s="554"/>
      <c r="AB615" s="554"/>
      <c r="AC615" s="554"/>
      <c r="AD615" s="554"/>
      <c r="AE615" s="554"/>
      <c r="AF615" s="554"/>
      <c r="AG615" s="554"/>
    </row>
    <row r="616">
      <c r="A616" s="549"/>
      <c r="B616" s="554"/>
      <c r="C616" s="554"/>
      <c r="D616" s="554"/>
      <c r="E616" s="554"/>
      <c r="F616" s="561"/>
      <c r="G616" s="554"/>
      <c r="H616" s="554"/>
      <c r="I616" s="554"/>
      <c r="J616" s="554"/>
      <c r="K616" s="554"/>
      <c r="L616" s="554"/>
      <c r="M616" s="554"/>
      <c r="N616" s="554"/>
      <c r="O616" s="554"/>
      <c r="P616" s="554"/>
      <c r="Q616" s="554"/>
      <c r="R616" s="554"/>
      <c r="S616" s="554"/>
      <c r="T616" s="554"/>
      <c r="U616" s="554"/>
      <c r="V616" s="554"/>
      <c r="W616" s="554"/>
      <c r="X616" s="554"/>
      <c r="Y616" s="554"/>
      <c r="Z616" s="554"/>
      <c r="AA616" s="554"/>
      <c r="AB616" s="554"/>
      <c r="AC616" s="554"/>
      <c r="AD616" s="554"/>
      <c r="AE616" s="554"/>
      <c r="AF616" s="554"/>
      <c r="AG616" s="554"/>
    </row>
    <row r="617">
      <c r="A617" s="549"/>
      <c r="B617" s="554"/>
      <c r="C617" s="554"/>
      <c r="D617" s="554"/>
      <c r="E617" s="554"/>
      <c r="F617" s="561"/>
      <c r="G617" s="554"/>
      <c r="H617" s="554"/>
      <c r="I617" s="554"/>
      <c r="J617" s="554"/>
      <c r="K617" s="554"/>
      <c r="L617" s="554"/>
      <c r="M617" s="554"/>
      <c r="N617" s="554"/>
      <c r="O617" s="554"/>
      <c r="P617" s="554"/>
      <c r="Q617" s="554"/>
      <c r="R617" s="554"/>
      <c r="S617" s="554"/>
      <c r="T617" s="554"/>
      <c r="U617" s="554"/>
      <c r="V617" s="554"/>
      <c r="W617" s="554"/>
      <c r="X617" s="554"/>
      <c r="Y617" s="554"/>
      <c r="Z617" s="554"/>
      <c r="AA617" s="554"/>
      <c r="AB617" s="554"/>
      <c r="AC617" s="554"/>
      <c r="AD617" s="554"/>
      <c r="AE617" s="554"/>
      <c r="AF617" s="554"/>
      <c r="AG617" s="554"/>
    </row>
    <row r="618">
      <c r="A618" s="549"/>
      <c r="B618" s="554"/>
      <c r="C618" s="554"/>
      <c r="D618" s="554"/>
      <c r="E618" s="554"/>
      <c r="F618" s="561"/>
      <c r="G618" s="554"/>
      <c r="H618" s="554"/>
      <c r="I618" s="554"/>
      <c r="J618" s="554"/>
      <c r="K618" s="554"/>
      <c r="L618" s="554"/>
      <c r="M618" s="554"/>
      <c r="N618" s="554"/>
      <c r="O618" s="554"/>
      <c r="P618" s="554"/>
      <c r="Q618" s="554"/>
      <c r="R618" s="554"/>
      <c r="S618" s="554"/>
      <c r="T618" s="554"/>
      <c r="U618" s="554"/>
      <c r="V618" s="554"/>
      <c r="W618" s="554"/>
      <c r="X618" s="554"/>
      <c r="Y618" s="554"/>
      <c r="Z618" s="554"/>
      <c r="AA618" s="554"/>
      <c r="AB618" s="554"/>
      <c r="AC618" s="554"/>
      <c r="AD618" s="554"/>
      <c r="AE618" s="554"/>
      <c r="AF618" s="554"/>
      <c r="AG618" s="554"/>
    </row>
    <row r="619">
      <c r="A619" s="549"/>
      <c r="B619" s="554"/>
      <c r="C619" s="554"/>
      <c r="D619" s="554"/>
      <c r="E619" s="554"/>
      <c r="F619" s="561"/>
      <c r="G619" s="554"/>
      <c r="H619" s="554"/>
      <c r="I619" s="554"/>
      <c r="J619" s="554"/>
      <c r="K619" s="554"/>
      <c r="L619" s="554"/>
      <c r="M619" s="554"/>
      <c r="N619" s="554"/>
      <c r="O619" s="554"/>
      <c r="P619" s="554"/>
      <c r="Q619" s="554"/>
      <c r="R619" s="554"/>
      <c r="S619" s="554"/>
      <c r="T619" s="554"/>
      <c r="U619" s="554"/>
      <c r="V619" s="554"/>
      <c r="W619" s="554"/>
      <c r="X619" s="554"/>
      <c r="Y619" s="554"/>
      <c r="Z619" s="554"/>
      <c r="AA619" s="554"/>
      <c r="AB619" s="554"/>
      <c r="AC619" s="554"/>
      <c r="AD619" s="554"/>
      <c r="AE619" s="554"/>
      <c r="AF619" s="554"/>
      <c r="AG619" s="554"/>
    </row>
    <row r="620">
      <c r="A620" s="549"/>
      <c r="B620" s="554"/>
      <c r="C620" s="554"/>
      <c r="D620" s="554"/>
      <c r="E620" s="554"/>
      <c r="F620" s="561"/>
      <c r="G620" s="554"/>
      <c r="H620" s="554"/>
      <c r="I620" s="554"/>
      <c r="J620" s="554"/>
      <c r="K620" s="554"/>
      <c r="L620" s="554"/>
      <c r="M620" s="554"/>
      <c r="N620" s="554"/>
      <c r="O620" s="554"/>
      <c r="P620" s="554"/>
      <c r="Q620" s="554"/>
      <c r="R620" s="554"/>
      <c r="S620" s="554"/>
      <c r="T620" s="554"/>
      <c r="U620" s="554"/>
      <c r="V620" s="554"/>
      <c r="W620" s="554"/>
      <c r="X620" s="554"/>
      <c r="Y620" s="554"/>
      <c r="Z620" s="554"/>
      <c r="AA620" s="554"/>
      <c r="AB620" s="554"/>
      <c r="AC620" s="554"/>
      <c r="AD620" s="554"/>
      <c r="AE620" s="554"/>
      <c r="AF620" s="554"/>
      <c r="AG620" s="554"/>
    </row>
    <row r="621">
      <c r="A621" s="549"/>
      <c r="B621" s="554"/>
      <c r="C621" s="554"/>
      <c r="D621" s="554"/>
      <c r="E621" s="554"/>
      <c r="F621" s="561"/>
      <c r="G621" s="554"/>
      <c r="H621" s="554"/>
      <c r="I621" s="554"/>
      <c r="J621" s="554"/>
      <c r="K621" s="554"/>
      <c r="L621" s="554"/>
      <c r="M621" s="554"/>
      <c r="N621" s="554"/>
      <c r="O621" s="554"/>
      <c r="P621" s="554"/>
      <c r="Q621" s="554"/>
      <c r="R621" s="554"/>
      <c r="S621" s="554"/>
      <c r="T621" s="554"/>
      <c r="U621" s="554"/>
      <c r="V621" s="554"/>
      <c r="W621" s="554"/>
      <c r="X621" s="554"/>
      <c r="Y621" s="554"/>
      <c r="Z621" s="554"/>
      <c r="AA621" s="554"/>
      <c r="AB621" s="554"/>
      <c r="AC621" s="554"/>
      <c r="AD621" s="554"/>
      <c r="AE621" s="554"/>
      <c r="AF621" s="554"/>
      <c r="AG621" s="554"/>
    </row>
    <row r="622">
      <c r="A622" s="549"/>
      <c r="B622" s="554"/>
      <c r="C622" s="554"/>
      <c r="D622" s="554"/>
      <c r="E622" s="554"/>
      <c r="F622" s="561"/>
      <c r="G622" s="554"/>
      <c r="H622" s="554"/>
      <c r="I622" s="554"/>
      <c r="J622" s="554"/>
      <c r="K622" s="554"/>
      <c r="L622" s="554"/>
      <c r="M622" s="554"/>
      <c r="N622" s="554"/>
      <c r="O622" s="554"/>
      <c r="P622" s="554"/>
      <c r="Q622" s="554"/>
      <c r="R622" s="554"/>
      <c r="S622" s="554"/>
      <c r="T622" s="554"/>
      <c r="U622" s="554"/>
      <c r="V622" s="554"/>
      <c r="W622" s="554"/>
      <c r="X622" s="554"/>
      <c r="Y622" s="554"/>
      <c r="Z622" s="554"/>
      <c r="AA622" s="554"/>
      <c r="AB622" s="554"/>
      <c r="AC622" s="554"/>
      <c r="AD622" s="554"/>
      <c r="AE622" s="554"/>
      <c r="AF622" s="554"/>
      <c r="AG622" s="554"/>
    </row>
    <row r="623">
      <c r="A623" s="549"/>
      <c r="B623" s="554"/>
      <c r="C623" s="554"/>
      <c r="D623" s="554"/>
      <c r="E623" s="554"/>
      <c r="F623" s="561"/>
      <c r="G623" s="554"/>
      <c r="H623" s="554"/>
      <c r="I623" s="554"/>
      <c r="J623" s="554"/>
      <c r="K623" s="554"/>
      <c r="L623" s="554"/>
      <c r="M623" s="554"/>
      <c r="N623" s="554"/>
      <c r="O623" s="554"/>
      <c r="P623" s="554"/>
      <c r="Q623" s="554"/>
      <c r="R623" s="554"/>
      <c r="S623" s="554"/>
      <c r="T623" s="554"/>
      <c r="U623" s="554"/>
      <c r="V623" s="554"/>
      <c r="W623" s="554"/>
      <c r="X623" s="554"/>
      <c r="Y623" s="554"/>
      <c r="Z623" s="554"/>
      <c r="AA623" s="554"/>
      <c r="AB623" s="554"/>
      <c r="AC623" s="554"/>
      <c r="AD623" s="554"/>
      <c r="AE623" s="554"/>
      <c r="AF623" s="554"/>
      <c r="AG623" s="554"/>
    </row>
    <row r="624">
      <c r="A624" s="549"/>
      <c r="B624" s="554"/>
      <c r="C624" s="554"/>
      <c r="D624" s="554"/>
      <c r="E624" s="554"/>
      <c r="F624" s="561"/>
      <c r="G624" s="554"/>
      <c r="H624" s="554"/>
      <c r="I624" s="554"/>
      <c r="J624" s="554"/>
      <c r="K624" s="554"/>
      <c r="L624" s="554"/>
      <c r="M624" s="554"/>
      <c r="N624" s="554"/>
      <c r="O624" s="554"/>
      <c r="P624" s="554"/>
      <c r="Q624" s="554"/>
      <c r="R624" s="554"/>
      <c r="S624" s="554"/>
      <c r="T624" s="554"/>
      <c r="U624" s="554"/>
      <c r="V624" s="554"/>
      <c r="W624" s="554"/>
      <c r="X624" s="554"/>
      <c r="Y624" s="554"/>
      <c r="Z624" s="554"/>
      <c r="AA624" s="554"/>
      <c r="AB624" s="554"/>
      <c r="AC624" s="554"/>
      <c r="AD624" s="554"/>
      <c r="AE624" s="554"/>
      <c r="AF624" s="554"/>
      <c r="AG624" s="554"/>
    </row>
    <row r="625">
      <c r="A625" s="549"/>
      <c r="B625" s="554"/>
      <c r="C625" s="554"/>
      <c r="D625" s="554"/>
      <c r="E625" s="554"/>
      <c r="F625" s="561"/>
      <c r="G625" s="554"/>
      <c r="H625" s="554"/>
      <c r="I625" s="554"/>
      <c r="J625" s="554"/>
      <c r="K625" s="554"/>
      <c r="L625" s="554"/>
      <c r="M625" s="554"/>
      <c r="N625" s="554"/>
      <c r="O625" s="554"/>
      <c r="P625" s="554"/>
      <c r="Q625" s="554"/>
      <c r="R625" s="554"/>
      <c r="S625" s="554"/>
      <c r="T625" s="554"/>
      <c r="U625" s="554"/>
      <c r="V625" s="554"/>
      <c r="W625" s="554"/>
      <c r="X625" s="554"/>
      <c r="Y625" s="554"/>
      <c r="Z625" s="554"/>
      <c r="AA625" s="554"/>
      <c r="AB625" s="554"/>
      <c r="AC625" s="554"/>
      <c r="AD625" s="554"/>
      <c r="AE625" s="554"/>
      <c r="AF625" s="554"/>
      <c r="AG625" s="554"/>
    </row>
    <row r="626">
      <c r="A626" s="549"/>
      <c r="B626" s="554"/>
      <c r="C626" s="554"/>
      <c r="D626" s="554"/>
      <c r="E626" s="554"/>
      <c r="F626" s="561"/>
      <c r="G626" s="554"/>
      <c r="H626" s="554"/>
      <c r="I626" s="554"/>
      <c r="J626" s="554"/>
      <c r="K626" s="554"/>
      <c r="L626" s="554"/>
      <c r="M626" s="554"/>
      <c r="N626" s="554"/>
      <c r="O626" s="554"/>
      <c r="P626" s="554"/>
      <c r="Q626" s="554"/>
      <c r="R626" s="554"/>
      <c r="S626" s="554"/>
      <c r="T626" s="554"/>
      <c r="U626" s="554"/>
      <c r="V626" s="554"/>
      <c r="W626" s="554"/>
      <c r="X626" s="554"/>
      <c r="Y626" s="554"/>
      <c r="Z626" s="554"/>
      <c r="AA626" s="554"/>
      <c r="AB626" s="554"/>
      <c r="AC626" s="554"/>
      <c r="AD626" s="554"/>
      <c r="AE626" s="554"/>
      <c r="AF626" s="554"/>
      <c r="AG626" s="554"/>
    </row>
    <row r="627">
      <c r="A627" s="549"/>
      <c r="B627" s="554"/>
      <c r="C627" s="554"/>
      <c r="D627" s="554"/>
      <c r="E627" s="554"/>
      <c r="F627" s="561"/>
      <c r="G627" s="554"/>
      <c r="H627" s="554"/>
      <c r="I627" s="554"/>
      <c r="J627" s="554"/>
      <c r="K627" s="554"/>
      <c r="L627" s="554"/>
      <c r="M627" s="554"/>
      <c r="N627" s="554"/>
      <c r="O627" s="554"/>
      <c r="P627" s="554"/>
      <c r="Q627" s="554"/>
      <c r="R627" s="554"/>
      <c r="S627" s="554"/>
      <c r="T627" s="554"/>
      <c r="U627" s="554"/>
      <c r="V627" s="554"/>
      <c r="W627" s="554"/>
      <c r="X627" s="554"/>
      <c r="Y627" s="554"/>
      <c r="Z627" s="554"/>
      <c r="AA627" s="554"/>
      <c r="AB627" s="554"/>
      <c r="AC627" s="554"/>
      <c r="AD627" s="554"/>
      <c r="AE627" s="554"/>
      <c r="AF627" s="554"/>
      <c r="AG627" s="554"/>
    </row>
    <row r="628">
      <c r="A628" s="549"/>
      <c r="B628" s="554"/>
      <c r="C628" s="554"/>
      <c r="D628" s="554"/>
      <c r="E628" s="554"/>
      <c r="F628" s="561"/>
      <c r="G628" s="554"/>
      <c r="H628" s="554"/>
      <c r="I628" s="554"/>
      <c r="J628" s="554"/>
      <c r="K628" s="554"/>
      <c r="L628" s="554"/>
      <c r="M628" s="554"/>
      <c r="N628" s="554"/>
      <c r="O628" s="554"/>
      <c r="P628" s="554"/>
      <c r="Q628" s="554"/>
      <c r="R628" s="554"/>
      <c r="S628" s="554"/>
      <c r="T628" s="554"/>
      <c r="U628" s="554"/>
      <c r="V628" s="554"/>
      <c r="W628" s="554"/>
      <c r="X628" s="554"/>
      <c r="Y628" s="554"/>
      <c r="Z628" s="554"/>
      <c r="AA628" s="554"/>
      <c r="AB628" s="554"/>
      <c r="AC628" s="554"/>
      <c r="AD628" s="554"/>
      <c r="AE628" s="554"/>
      <c r="AF628" s="554"/>
      <c r="AG628" s="554"/>
    </row>
    <row r="629">
      <c r="A629" s="549"/>
      <c r="B629" s="554"/>
      <c r="C629" s="554"/>
      <c r="D629" s="554"/>
      <c r="E629" s="554"/>
      <c r="F629" s="561"/>
      <c r="G629" s="554"/>
      <c r="H629" s="554"/>
      <c r="I629" s="554"/>
      <c r="J629" s="554"/>
      <c r="K629" s="554"/>
      <c r="L629" s="554"/>
      <c r="M629" s="554"/>
      <c r="N629" s="554"/>
      <c r="O629" s="554"/>
      <c r="P629" s="554"/>
      <c r="Q629" s="554"/>
      <c r="R629" s="554"/>
      <c r="S629" s="554"/>
      <c r="T629" s="554"/>
      <c r="U629" s="554"/>
      <c r="V629" s="554"/>
      <c r="W629" s="554"/>
      <c r="X629" s="554"/>
      <c r="Y629" s="554"/>
      <c r="Z629" s="554"/>
      <c r="AA629" s="554"/>
      <c r="AB629" s="554"/>
      <c r="AC629" s="554"/>
      <c r="AD629" s="554"/>
      <c r="AE629" s="554"/>
      <c r="AF629" s="554"/>
      <c r="AG629" s="554"/>
    </row>
    <row r="630">
      <c r="A630" s="549"/>
      <c r="B630" s="554"/>
      <c r="C630" s="554"/>
      <c r="D630" s="554"/>
      <c r="E630" s="554"/>
      <c r="F630" s="561"/>
      <c r="G630" s="554"/>
      <c r="H630" s="554"/>
      <c r="I630" s="554"/>
      <c r="J630" s="554"/>
      <c r="K630" s="554"/>
      <c r="L630" s="554"/>
      <c r="M630" s="554"/>
      <c r="N630" s="554"/>
      <c r="O630" s="554"/>
      <c r="P630" s="554"/>
      <c r="Q630" s="554"/>
      <c r="R630" s="554"/>
      <c r="S630" s="554"/>
      <c r="T630" s="554"/>
      <c r="U630" s="554"/>
      <c r="V630" s="554"/>
      <c r="W630" s="554"/>
      <c r="X630" s="554"/>
      <c r="Y630" s="554"/>
      <c r="Z630" s="554"/>
      <c r="AA630" s="554"/>
      <c r="AB630" s="554"/>
      <c r="AC630" s="554"/>
      <c r="AD630" s="554"/>
      <c r="AE630" s="554"/>
      <c r="AF630" s="554"/>
      <c r="AG630" s="554"/>
    </row>
    <row r="631">
      <c r="A631" s="549"/>
      <c r="B631" s="554"/>
      <c r="C631" s="554"/>
      <c r="D631" s="554"/>
      <c r="E631" s="554"/>
      <c r="F631" s="561"/>
      <c r="G631" s="554"/>
      <c r="H631" s="554"/>
      <c r="I631" s="554"/>
      <c r="J631" s="554"/>
      <c r="K631" s="554"/>
      <c r="L631" s="554"/>
      <c r="M631" s="554"/>
      <c r="N631" s="554"/>
      <c r="O631" s="554"/>
      <c r="P631" s="554"/>
      <c r="Q631" s="554"/>
      <c r="R631" s="554"/>
      <c r="S631" s="554"/>
      <c r="T631" s="554"/>
      <c r="U631" s="554"/>
      <c r="V631" s="554"/>
      <c r="W631" s="554"/>
      <c r="X631" s="554"/>
      <c r="Y631" s="554"/>
      <c r="Z631" s="554"/>
      <c r="AA631" s="554"/>
      <c r="AB631" s="554"/>
      <c r="AC631" s="554"/>
      <c r="AD631" s="554"/>
      <c r="AE631" s="554"/>
      <c r="AF631" s="554"/>
      <c r="AG631" s="554"/>
    </row>
    <row r="632">
      <c r="A632" s="549"/>
      <c r="B632" s="554"/>
      <c r="C632" s="554"/>
      <c r="D632" s="554"/>
      <c r="E632" s="554"/>
      <c r="F632" s="561"/>
      <c r="G632" s="554"/>
      <c r="H632" s="554"/>
      <c r="I632" s="554"/>
      <c r="J632" s="554"/>
      <c r="K632" s="554"/>
      <c r="L632" s="554"/>
      <c r="M632" s="554"/>
      <c r="N632" s="554"/>
      <c r="O632" s="554"/>
      <c r="P632" s="554"/>
      <c r="Q632" s="554"/>
      <c r="R632" s="554"/>
      <c r="S632" s="554"/>
      <c r="T632" s="554"/>
      <c r="U632" s="554"/>
      <c r="V632" s="554"/>
      <c r="W632" s="554"/>
      <c r="X632" s="554"/>
      <c r="Y632" s="554"/>
      <c r="Z632" s="554"/>
      <c r="AA632" s="554"/>
      <c r="AB632" s="554"/>
      <c r="AC632" s="554"/>
      <c r="AD632" s="554"/>
      <c r="AE632" s="554"/>
      <c r="AF632" s="554"/>
      <c r="AG632" s="554"/>
    </row>
    <row r="633">
      <c r="A633" s="549"/>
      <c r="B633" s="554"/>
      <c r="C633" s="554"/>
      <c r="D633" s="554"/>
      <c r="E633" s="554"/>
      <c r="F633" s="561"/>
      <c r="G633" s="554"/>
      <c r="H633" s="554"/>
      <c r="I633" s="554"/>
      <c r="J633" s="554"/>
      <c r="K633" s="554"/>
      <c r="L633" s="554"/>
      <c r="M633" s="554"/>
      <c r="N633" s="554"/>
      <c r="O633" s="554"/>
      <c r="P633" s="554"/>
      <c r="Q633" s="554"/>
      <c r="R633" s="554"/>
      <c r="S633" s="554"/>
      <c r="T633" s="554"/>
      <c r="U633" s="554"/>
      <c r="V633" s="554"/>
      <c r="W633" s="554"/>
      <c r="X633" s="554"/>
      <c r="Y633" s="554"/>
      <c r="Z633" s="554"/>
      <c r="AA633" s="554"/>
      <c r="AB633" s="554"/>
      <c r="AC633" s="554"/>
      <c r="AD633" s="554"/>
      <c r="AE633" s="554"/>
      <c r="AF633" s="554"/>
      <c r="AG633" s="554"/>
    </row>
    <row r="634">
      <c r="A634" s="549"/>
      <c r="B634" s="554"/>
      <c r="C634" s="554"/>
      <c r="D634" s="554"/>
      <c r="E634" s="554"/>
      <c r="F634" s="561"/>
      <c r="G634" s="554"/>
      <c r="H634" s="554"/>
      <c r="I634" s="554"/>
      <c r="J634" s="554"/>
      <c r="K634" s="554"/>
      <c r="L634" s="554"/>
      <c r="M634" s="554"/>
      <c r="N634" s="554"/>
      <c r="O634" s="554"/>
      <c r="P634" s="554"/>
      <c r="Q634" s="554"/>
      <c r="R634" s="554"/>
      <c r="S634" s="554"/>
      <c r="T634" s="554"/>
      <c r="U634" s="554"/>
      <c r="V634" s="554"/>
      <c r="W634" s="554"/>
      <c r="X634" s="554"/>
      <c r="Y634" s="554"/>
      <c r="Z634" s="554"/>
      <c r="AA634" s="554"/>
      <c r="AB634" s="554"/>
      <c r="AC634" s="554"/>
      <c r="AD634" s="554"/>
      <c r="AE634" s="554"/>
      <c r="AF634" s="554"/>
      <c r="AG634" s="554"/>
    </row>
    <row r="635">
      <c r="A635" s="549"/>
      <c r="B635" s="554"/>
      <c r="C635" s="554"/>
      <c r="D635" s="554"/>
      <c r="E635" s="554"/>
      <c r="F635" s="561"/>
      <c r="G635" s="554"/>
      <c r="H635" s="554"/>
      <c r="I635" s="554"/>
      <c r="J635" s="554"/>
      <c r="K635" s="554"/>
      <c r="L635" s="554"/>
      <c r="M635" s="554"/>
      <c r="N635" s="554"/>
      <c r="O635" s="554"/>
      <c r="P635" s="554"/>
      <c r="Q635" s="554"/>
      <c r="R635" s="554"/>
      <c r="S635" s="554"/>
      <c r="T635" s="554"/>
      <c r="U635" s="554"/>
      <c r="V635" s="554"/>
      <c r="W635" s="554"/>
      <c r="X635" s="554"/>
      <c r="Y635" s="554"/>
      <c r="Z635" s="554"/>
      <c r="AA635" s="554"/>
      <c r="AB635" s="554"/>
      <c r="AC635" s="554"/>
      <c r="AD635" s="554"/>
      <c r="AE635" s="554"/>
      <c r="AF635" s="554"/>
      <c r="AG635" s="554"/>
    </row>
    <row r="636">
      <c r="A636" s="549"/>
      <c r="B636" s="554"/>
      <c r="C636" s="554"/>
      <c r="D636" s="554"/>
      <c r="E636" s="554"/>
      <c r="F636" s="561"/>
      <c r="G636" s="554"/>
      <c r="H636" s="554"/>
      <c r="I636" s="554"/>
      <c r="J636" s="554"/>
      <c r="K636" s="554"/>
      <c r="L636" s="554"/>
      <c r="M636" s="554"/>
      <c r="N636" s="554"/>
      <c r="O636" s="554"/>
      <c r="P636" s="554"/>
      <c r="Q636" s="554"/>
      <c r="R636" s="554"/>
      <c r="S636" s="554"/>
      <c r="T636" s="554"/>
      <c r="U636" s="554"/>
      <c r="V636" s="554"/>
      <c r="W636" s="554"/>
      <c r="X636" s="554"/>
      <c r="Y636" s="554"/>
      <c r="Z636" s="554"/>
      <c r="AA636" s="554"/>
      <c r="AB636" s="554"/>
      <c r="AC636" s="554"/>
      <c r="AD636" s="554"/>
      <c r="AE636" s="554"/>
      <c r="AF636" s="554"/>
      <c r="AG636" s="554"/>
    </row>
    <row r="637">
      <c r="A637" s="549"/>
      <c r="B637" s="554"/>
      <c r="C637" s="554"/>
      <c r="D637" s="554"/>
      <c r="E637" s="554"/>
      <c r="F637" s="561"/>
      <c r="G637" s="554"/>
      <c r="H637" s="554"/>
      <c r="I637" s="554"/>
      <c r="J637" s="554"/>
      <c r="K637" s="554"/>
      <c r="L637" s="554"/>
      <c r="M637" s="554"/>
      <c r="N637" s="554"/>
      <c r="O637" s="554"/>
      <c r="P637" s="554"/>
      <c r="Q637" s="554"/>
      <c r="R637" s="554"/>
      <c r="S637" s="554"/>
      <c r="T637" s="554"/>
      <c r="U637" s="554"/>
      <c r="V637" s="554"/>
      <c r="W637" s="554"/>
      <c r="X637" s="554"/>
      <c r="Y637" s="554"/>
      <c r="Z637" s="554"/>
      <c r="AA637" s="554"/>
      <c r="AB637" s="554"/>
      <c r="AC637" s="554"/>
      <c r="AD637" s="554"/>
      <c r="AE637" s="554"/>
      <c r="AF637" s="554"/>
      <c r="AG637" s="554"/>
    </row>
    <row r="638">
      <c r="A638" s="549"/>
      <c r="B638" s="554"/>
      <c r="C638" s="554"/>
      <c r="D638" s="554"/>
      <c r="E638" s="554"/>
      <c r="F638" s="561"/>
      <c r="G638" s="554"/>
      <c r="H638" s="554"/>
      <c r="I638" s="554"/>
      <c r="J638" s="554"/>
      <c r="K638" s="554"/>
      <c r="L638" s="554"/>
      <c r="M638" s="554"/>
      <c r="N638" s="554"/>
      <c r="O638" s="554"/>
      <c r="P638" s="554"/>
      <c r="Q638" s="554"/>
      <c r="R638" s="554"/>
      <c r="S638" s="554"/>
      <c r="T638" s="554"/>
      <c r="U638" s="554"/>
      <c r="V638" s="554"/>
      <c r="W638" s="554"/>
      <c r="X638" s="554"/>
      <c r="Y638" s="554"/>
      <c r="Z638" s="554"/>
      <c r="AA638" s="554"/>
      <c r="AB638" s="554"/>
      <c r="AC638" s="554"/>
      <c r="AD638" s="554"/>
      <c r="AE638" s="554"/>
      <c r="AF638" s="554"/>
      <c r="AG638" s="554"/>
    </row>
    <row r="639">
      <c r="A639" s="549"/>
      <c r="B639" s="554"/>
      <c r="C639" s="554"/>
      <c r="D639" s="554"/>
      <c r="E639" s="554"/>
      <c r="F639" s="561"/>
      <c r="G639" s="554"/>
      <c r="H639" s="554"/>
      <c r="I639" s="554"/>
      <c r="J639" s="554"/>
      <c r="K639" s="554"/>
      <c r="L639" s="554"/>
      <c r="M639" s="554"/>
      <c r="N639" s="554"/>
      <c r="O639" s="554"/>
      <c r="P639" s="554"/>
      <c r="Q639" s="554"/>
      <c r="R639" s="554"/>
      <c r="S639" s="554"/>
      <c r="T639" s="554"/>
      <c r="U639" s="554"/>
      <c r="V639" s="554"/>
      <c r="W639" s="554"/>
      <c r="X639" s="554"/>
      <c r="Y639" s="554"/>
      <c r="Z639" s="554"/>
      <c r="AA639" s="554"/>
      <c r="AB639" s="554"/>
      <c r="AC639" s="554"/>
      <c r="AD639" s="554"/>
      <c r="AE639" s="554"/>
      <c r="AF639" s="554"/>
      <c r="AG639" s="554"/>
    </row>
    <row r="640">
      <c r="A640" s="549"/>
      <c r="B640" s="554"/>
      <c r="C640" s="554"/>
      <c r="D640" s="554"/>
      <c r="E640" s="554"/>
      <c r="F640" s="561"/>
      <c r="G640" s="554"/>
      <c r="H640" s="554"/>
      <c r="I640" s="554"/>
      <c r="J640" s="554"/>
      <c r="K640" s="554"/>
      <c r="L640" s="554"/>
      <c r="M640" s="554"/>
      <c r="N640" s="554"/>
      <c r="O640" s="554"/>
      <c r="P640" s="554"/>
      <c r="Q640" s="554"/>
      <c r="R640" s="554"/>
      <c r="S640" s="554"/>
      <c r="T640" s="554"/>
      <c r="U640" s="554"/>
      <c r="V640" s="554"/>
      <c r="W640" s="554"/>
      <c r="X640" s="554"/>
      <c r="Y640" s="554"/>
      <c r="Z640" s="554"/>
      <c r="AA640" s="554"/>
      <c r="AB640" s="554"/>
      <c r="AC640" s="554"/>
      <c r="AD640" s="554"/>
      <c r="AE640" s="554"/>
      <c r="AF640" s="554"/>
      <c r="AG640" s="554"/>
    </row>
    <row r="641">
      <c r="A641" s="549"/>
      <c r="B641" s="554"/>
      <c r="C641" s="554"/>
      <c r="D641" s="554"/>
      <c r="E641" s="554"/>
      <c r="F641" s="561"/>
      <c r="G641" s="554"/>
      <c r="H641" s="554"/>
      <c r="I641" s="554"/>
      <c r="J641" s="554"/>
      <c r="K641" s="554"/>
      <c r="L641" s="554"/>
      <c r="M641" s="554"/>
      <c r="N641" s="554"/>
      <c r="O641" s="554"/>
      <c r="P641" s="554"/>
      <c r="Q641" s="554"/>
      <c r="R641" s="554"/>
      <c r="S641" s="554"/>
      <c r="T641" s="554"/>
      <c r="U641" s="554"/>
      <c r="V641" s="554"/>
      <c r="W641" s="554"/>
      <c r="X641" s="554"/>
      <c r="Y641" s="554"/>
      <c r="Z641" s="554"/>
      <c r="AA641" s="554"/>
      <c r="AB641" s="554"/>
      <c r="AC641" s="554"/>
      <c r="AD641" s="554"/>
      <c r="AE641" s="554"/>
      <c r="AF641" s="554"/>
      <c r="AG641" s="554"/>
    </row>
    <row r="642">
      <c r="A642" s="549"/>
      <c r="B642" s="554"/>
      <c r="C642" s="554"/>
      <c r="D642" s="554"/>
      <c r="E642" s="554"/>
      <c r="F642" s="561"/>
      <c r="G642" s="554"/>
      <c r="H642" s="554"/>
      <c r="I642" s="554"/>
      <c r="J642" s="554"/>
      <c r="K642" s="554"/>
      <c r="L642" s="554"/>
      <c r="M642" s="554"/>
      <c r="N642" s="554"/>
      <c r="O642" s="554"/>
      <c r="P642" s="554"/>
      <c r="Q642" s="554"/>
      <c r="R642" s="554"/>
      <c r="S642" s="554"/>
      <c r="T642" s="554"/>
      <c r="U642" s="554"/>
      <c r="V642" s="554"/>
      <c r="W642" s="554"/>
      <c r="X642" s="554"/>
      <c r="Y642" s="554"/>
      <c r="Z642" s="554"/>
      <c r="AA642" s="554"/>
      <c r="AB642" s="554"/>
      <c r="AC642" s="554"/>
      <c r="AD642" s="554"/>
      <c r="AE642" s="554"/>
      <c r="AF642" s="554"/>
      <c r="AG642" s="554"/>
    </row>
    <row r="643">
      <c r="A643" s="549"/>
      <c r="B643" s="554"/>
      <c r="C643" s="554"/>
      <c r="D643" s="554"/>
      <c r="E643" s="554"/>
      <c r="F643" s="561"/>
      <c r="G643" s="554"/>
      <c r="H643" s="554"/>
      <c r="I643" s="554"/>
      <c r="J643" s="554"/>
      <c r="K643" s="554"/>
      <c r="L643" s="554"/>
      <c r="M643" s="554"/>
      <c r="N643" s="554"/>
      <c r="O643" s="554"/>
      <c r="P643" s="554"/>
      <c r="Q643" s="554"/>
      <c r="R643" s="554"/>
      <c r="S643" s="554"/>
      <c r="T643" s="554"/>
      <c r="U643" s="554"/>
      <c r="V643" s="554"/>
      <c r="W643" s="554"/>
      <c r="X643" s="554"/>
      <c r="Y643" s="554"/>
      <c r="Z643" s="554"/>
      <c r="AA643" s="554"/>
      <c r="AB643" s="554"/>
      <c r="AC643" s="554"/>
      <c r="AD643" s="554"/>
      <c r="AE643" s="554"/>
      <c r="AF643" s="554"/>
      <c r="AG643" s="554"/>
    </row>
    <row r="644">
      <c r="A644" s="549"/>
      <c r="B644" s="554"/>
      <c r="C644" s="554"/>
      <c r="D644" s="554"/>
      <c r="E644" s="554"/>
      <c r="F644" s="561"/>
      <c r="G644" s="554"/>
      <c r="H644" s="554"/>
      <c r="I644" s="554"/>
      <c r="J644" s="554"/>
      <c r="K644" s="554"/>
      <c r="L644" s="554"/>
      <c r="M644" s="554"/>
      <c r="N644" s="554"/>
      <c r="O644" s="554"/>
      <c r="P644" s="554"/>
      <c r="Q644" s="554"/>
      <c r="R644" s="554"/>
      <c r="S644" s="554"/>
      <c r="T644" s="554"/>
      <c r="U644" s="554"/>
      <c r="V644" s="554"/>
      <c r="W644" s="554"/>
      <c r="X644" s="554"/>
      <c r="Y644" s="554"/>
      <c r="Z644" s="554"/>
      <c r="AA644" s="554"/>
      <c r="AB644" s="554"/>
      <c r="AC644" s="554"/>
      <c r="AD644" s="554"/>
      <c r="AE644" s="554"/>
      <c r="AF644" s="554"/>
      <c r="AG644" s="554"/>
    </row>
    <row r="645">
      <c r="A645" s="549"/>
      <c r="B645" s="554"/>
      <c r="C645" s="554"/>
      <c r="D645" s="554"/>
      <c r="E645" s="554"/>
      <c r="F645" s="561"/>
      <c r="G645" s="554"/>
      <c r="H645" s="554"/>
      <c r="I645" s="554"/>
      <c r="J645" s="554"/>
      <c r="K645" s="554"/>
      <c r="L645" s="554"/>
      <c r="M645" s="554"/>
      <c r="N645" s="554"/>
      <c r="O645" s="554"/>
      <c r="P645" s="554"/>
      <c r="Q645" s="554"/>
      <c r="R645" s="554"/>
      <c r="S645" s="554"/>
      <c r="T645" s="554"/>
      <c r="U645" s="554"/>
      <c r="V645" s="554"/>
      <c r="W645" s="554"/>
      <c r="X645" s="554"/>
      <c r="Y645" s="554"/>
      <c r="Z645" s="554"/>
      <c r="AA645" s="554"/>
      <c r="AB645" s="554"/>
      <c r="AC645" s="554"/>
      <c r="AD645" s="554"/>
      <c r="AE645" s="554"/>
      <c r="AF645" s="554"/>
      <c r="AG645" s="554"/>
    </row>
    <row r="646">
      <c r="A646" s="549"/>
      <c r="B646" s="554"/>
      <c r="C646" s="554"/>
      <c r="D646" s="554"/>
      <c r="E646" s="554"/>
      <c r="F646" s="561"/>
      <c r="G646" s="554"/>
      <c r="H646" s="554"/>
      <c r="I646" s="554"/>
      <c r="J646" s="554"/>
      <c r="K646" s="554"/>
      <c r="L646" s="554"/>
      <c r="M646" s="554"/>
      <c r="N646" s="554"/>
      <c r="O646" s="554"/>
      <c r="P646" s="554"/>
      <c r="Q646" s="554"/>
      <c r="R646" s="554"/>
      <c r="S646" s="554"/>
      <c r="T646" s="554"/>
      <c r="U646" s="554"/>
      <c r="V646" s="554"/>
      <c r="W646" s="554"/>
      <c r="X646" s="554"/>
      <c r="Y646" s="554"/>
      <c r="Z646" s="554"/>
      <c r="AA646" s="554"/>
      <c r="AB646" s="554"/>
      <c r="AC646" s="554"/>
      <c r="AD646" s="554"/>
      <c r="AE646" s="554"/>
      <c r="AF646" s="554"/>
      <c r="AG646" s="554"/>
    </row>
    <row r="647">
      <c r="A647" s="549"/>
      <c r="B647" s="554"/>
      <c r="C647" s="554"/>
      <c r="D647" s="554"/>
      <c r="E647" s="554"/>
      <c r="F647" s="561"/>
      <c r="G647" s="554"/>
      <c r="H647" s="554"/>
      <c r="I647" s="554"/>
      <c r="J647" s="554"/>
      <c r="K647" s="554"/>
      <c r="L647" s="554"/>
      <c r="M647" s="554"/>
      <c r="N647" s="554"/>
      <c r="O647" s="554"/>
      <c r="P647" s="554"/>
      <c r="Q647" s="554"/>
      <c r="R647" s="554"/>
      <c r="S647" s="554"/>
      <c r="T647" s="554"/>
      <c r="U647" s="554"/>
      <c r="V647" s="554"/>
      <c r="W647" s="554"/>
      <c r="X647" s="554"/>
      <c r="Y647" s="554"/>
      <c r="Z647" s="554"/>
      <c r="AA647" s="554"/>
      <c r="AB647" s="554"/>
      <c r="AC647" s="554"/>
      <c r="AD647" s="554"/>
      <c r="AE647" s="554"/>
      <c r="AF647" s="554"/>
      <c r="AG647" s="554"/>
    </row>
    <row r="648">
      <c r="A648" s="549"/>
      <c r="B648" s="554"/>
      <c r="C648" s="554"/>
      <c r="D648" s="554"/>
      <c r="E648" s="554"/>
      <c r="F648" s="561"/>
      <c r="G648" s="554"/>
      <c r="H648" s="554"/>
      <c r="I648" s="554"/>
      <c r="J648" s="554"/>
      <c r="K648" s="554"/>
      <c r="L648" s="554"/>
      <c r="M648" s="554"/>
      <c r="N648" s="554"/>
      <c r="O648" s="554"/>
      <c r="P648" s="554"/>
      <c r="Q648" s="554"/>
      <c r="R648" s="554"/>
      <c r="S648" s="554"/>
      <c r="T648" s="554"/>
      <c r="U648" s="554"/>
      <c r="V648" s="554"/>
      <c r="W648" s="554"/>
      <c r="X648" s="554"/>
      <c r="Y648" s="554"/>
      <c r="Z648" s="554"/>
      <c r="AA648" s="554"/>
      <c r="AB648" s="554"/>
      <c r="AC648" s="554"/>
      <c r="AD648" s="554"/>
      <c r="AE648" s="554"/>
      <c r="AF648" s="554"/>
      <c r="AG648" s="554"/>
    </row>
    <row r="649">
      <c r="A649" s="549"/>
      <c r="B649" s="554"/>
      <c r="C649" s="554"/>
      <c r="D649" s="554"/>
      <c r="E649" s="554"/>
      <c r="F649" s="561"/>
      <c r="G649" s="554"/>
      <c r="H649" s="554"/>
      <c r="I649" s="554"/>
      <c r="J649" s="554"/>
      <c r="K649" s="554"/>
      <c r="L649" s="554"/>
      <c r="M649" s="554"/>
      <c r="N649" s="554"/>
      <c r="O649" s="554"/>
      <c r="P649" s="554"/>
      <c r="Q649" s="554"/>
      <c r="R649" s="554"/>
      <c r="S649" s="554"/>
      <c r="T649" s="554"/>
      <c r="U649" s="554"/>
      <c r="V649" s="554"/>
      <c r="W649" s="554"/>
      <c r="X649" s="554"/>
      <c r="Y649" s="554"/>
      <c r="Z649" s="554"/>
      <c r="AA649" s="554"/>
      <c r="AB649" s="554"/>
      <c r="AC649" s="554"/>
      <c r="AD649" s="554"/>
      <c r="AE649" s="554"/>
      <c r="AF649" s="554"/>
      <c r="AG649" s="554"/>
    </row>
    <row r="650">
      <c r="A650" s="549"/>
      <c r="B650" s="554"/>
      <c r="C650" s="554"/>
      <c r="D650" s="554"/>
      <c r="E650" s="554"/>
      <c r="F650" s="561"/>
      <c r="G650" s="554"/>
      <c r="H650" s="554"/>
      <c r="I650" s="554"/>
      <c r="J650" s="554"/>
      <c r="K650" s="554"/>
      <c r="L650" s="554"/>
      <c r="M650" s="554"/>
      <c r="N650" s="554"/>
      <c r="O650" s="554"/>
      <c r="P650" s="554"/>
      <c r="Q650" s="554"/>
      <c r="R650" s="554"/>
      <c r="S650" s="554"/>
      <c r="T650" s="554"/>
      <c r="U650" s="554"/>
      <c r="V650" s="554"/>
      <c r="W650" s="554"/>
      <c r="X650" s="554"/>
      <c r="Y650" s="554"/>
      <c r="Z650" s="554"/>
      <c r="AA650" s="554"/>
      <c r="AB650" s="554"/>
      <c r="AC650" s="554"/>
      <c r="AD650" s="554"/>
      <c r="AE650" s="554"/>
      <c r="AF650" s="554"/>
      <c r="AG650" s="554"/>
    </row>
    <row r="651">
      <c r="A651" s="549"/>
      <c r="B651" s="554"/>
      <c r="C651" s="554"/>
      <c r="D651" s="554"/>
      <c r="E651" s="554"/>
      <c r="F651" s="561"/>
      <c r="G651" s="554"/>
      <c r="H651" s="554"/>
      <c r="I651" s="554"/>
      <c r="J651" s="554"/>
      <c r="K651" s="554"/>
      <c r="L651" s="554"/>
      <c r="M651" s="554"/>
      <c r="N651" s="554"/>
      <c r="O651" s="554"/>
      <c r="P651" s="554"/>
      <c r="Q651" s="554"/>
      <c r="R651" s="554"/>
      <c r="S651" s="554"/>
      <c r="T651" s="554"/>
      <c r="U651" s="554"/>
      <c r="V651" s="554"/>
      <c r="W651" s="554"/>
      <c r="X651" s="554"/>
      <c r="Y651" s="554"/>
      <c r="Z651" s="554"/>
      <c r="AA651" s="554"/>
      <c r="AB651" s="554"/>
      <c r="AC651" s="554"/>
      <c r="AD651" s="554"/>
      <c r="AE651" s="554"/>
      <c r="AF651" s="554"/>
      <c r="AG651" s="554"/>
    </row>
    <row r="652">
      <c r="A652" s="549"/>
      <c r="B652" s="554"/>
      <c r="C652" s="554"/>
      <c r="D652" s="554"/>
      <c r="E652" s="554"/>
      <c r="F652" s="561"/>
      <c r="G652" s="554"/>
      <c r="H652" s="554"/>
      <c r="I652" s="554"/>
      <c r="J652" s="554"/>
      <c r="K652" s="554"/>
      <c r="L652" s="554"/>
      <c r="M652" s="554"/>
      <c r="N652" s="554"/>
      <c r="O652" s="554"/>
      <c r="P652" s="554"/>
      <c r="Q652" s="554"/>
      <c r="R652" s="554"/>
      <c r="S652" s="554"/>
      <c r="T652" s="554"/>
      <c r="U652" s="554"/>
      <c r="V652" s="554"/>
      <c r="W652" s="554"/>
      <c r="X652" s="554"/>
      <c r="Y652" s="554"/>
      <c r="Z652" s="554"/>
      <c r="AA652" s="554"/>
      <c r="AB652" s="554"/>
      <c r="AC652" s="554"/>
      <c r="AD652" s="554"/>
      <c r="AE652" s="554"/>
      <c r="AF652" s="554"/>
      <c r="AG652" s="554"/>
    </row>
    <row r="653">
      <c r="A653" s="549"/>
      <c r="B653" s="554"/>
      <c r="C653" s="554"/>
      <c r="D653" s="554"/>
      <c r="E653" s="554"/>
      <c r="F653" s="561"/>
      <c r="G653" s="554"/>
      <c r="H653" s="554"/>
      <c r="I653" s="554"/>
      <c r="J653" s="554"/>
      <c r="K653" s="554"/>
      <c r="L653" s="554"/>
      <c r="M653" s="554"/>
      <c r="N653" s="554"/>
      <c r="O653" s="554"/>
      <c r="P653" s="554"/>
      <c r="Q653" s="554"/>
      <c r="R653" s="554"/>
      <c r="S653" s="554"/>
      <c r="T653" s="554"/>
      <c r="U653" s="554"/>
      <c r="V653" s="554"/>
      <c r="W653" s="554"/>
      <c r="X653" s="554"/>
      <c r="Y653" s="554"/>
      <c r="Z653" s="554"/>
      <c r="AA653" s="554"/>
      <c r="AB653" s="554"/>
      <c r="AC653" s="554"/>
      <c r="AD653" s="554"/>
      <c r="AE653" s="554"/>
      <c r="AF653" s="554"/>
      <c r="AG653" s="554"/>
    </row>
    <row r="654">
      <c r="A654" s="549"/>
      <c r="B654" s="554"/>
      <c r="C654" s="554"/>
      <c r="D654" s="554"/>
      <c r="E654" s="554"/>
      <c r="F654" s="561"/>
      <c r="G654" s="554"/>
      <c r="H654" s="554"/>
      <c r="I654" s="554"/>
      <c r="J654" s="554"/>
      <c r="K654" s="554"/>
      <c r="L654" s="554"/>
      <c r="M654" s="554"/>
      <c r="N654" s="554"/>
      <c r="O654" s="554"/>
      <c r="P654" s="554"/>
      <c r="Q654" s="554"/>
      <c r="R654" s="554"/>
      <c r="S654" s="554"/>
      <c r="T654" s="554"/>
      <c r="U654" s="554"/>
      <c r="V654" s="554"/>
      <c r="W654" s="554"/>
      <c r="X654" s="554"/>
      <c r="Y654" s="554"/>
      <c r="Z654" s="554"/>
      <c r="AA654" s="554"/>
      <c r="AB654" s="554"/>
      <c r="AC654" s="554"/>
      <c r="AD654" s="554"/>
      <c r="AE654" s="554"/>
      <c r="AF654" s="554"/>
      <c r="AG654" s="554"/>
    </row>
    <row r="655">
      <c r="A655" s="549"/>
      <c r="B655" s="554"/>
      <c r="C655" s="554"/>
      <c r="D655" s="554"/>
      <c r="E655" s="554"/>
      <c r="F655" s="561"/>
      <c r="G655" s="554"/>
      <c r="H655" s="554"/>
      <c r="I655" s="554"/>
      <c r="J655" s="554"/>
      <c r="K655" s="554"/>
      <c r="L655" s="554"/>
      <c r="M655" s="554"/>
      <c r="N655" s="554"/>
      <c r="O655" s="554"/>
      <c r="P655" s="554"/>
      <c r="Q655" s="554"/>
      <c r="R655" s="554"/>
      <c r="S655" s="554"/>
      <c r="T655" s="554"/>
      <c r="U655" s="554"/>
      <c r="V655" s="554"/>
      <c r="W655" s="554"/>
      <c r="X655" s="554"/>
      <c r="Y655" s="554"/>
      <c r="Z655" s="554"/>
      <c r="AA655" s="554"/>
      <c r="AB655" s="554"/>
      <c r="AC655" s="554"/>
      <c r="AD655" s="554"/>
      <c r="AE655" s="554"/>
      <c r="AF655" s="554"/>
      <c r="AG655" s="554"/>
    </row>
    <row r="656">
      <c r="A656" s="549"/>
      <c r="B656" s="554"/>
      <c r="C656" s="554"/>
      <c r="D656" s="554"/>
      <c r="E656" s="554"/>
      <c r="F656" s="561"/>
      <c r="G656" s="554"/>
      <c r="H656" s="554"/>
      <c r="I656" s="554"/>
      <c r="J656" s="554"/>
      <c r="K656" s="554"/>
      <c r="L656" s="554"/>
      <c r="M656" s="554"/>
      <c r="N656" s="554"/>
      <c r="O656" s="554"/>
      <c r="P656" s="554"/>
      <c r="Q656" s="554"/>
      <c r="R656" s="554"/>
      <c r="S656" s="554"/>
      <c r="T656" s="554"/>
      <c r="U656" s="554"/>
      <c r="V656" s="554"/>
      <c r="W656" s="554"/>
      <c r="X656" s="554"/>
      <c r="Y656" s="554"/>
      <c r="Z656" s="554"/>
      <c r="AA656" s="554"/>
      <c r="AB656" s="554"/>
      <c r="AC656" s="554"/>
      <c r="AD656" s="554"/>
      <c r="AE656" s="554"/>
      <c r="AF656" s="554"/>
      <c r="AG656" s="554"/>
    </row>
    <row r="657">
      <c r="A657" s="549"/>
      <c r="B657" s="554"/>
      <c r="C657" s="554"/>
      <c r="D657" s="554"/>
      <c r="E657" s="554"/>
      <c r="F657" s="561"/>
      <c r="G657" s="554"/>
      <c r="H657" s="554"/>
      <c r="I657" s="554"/>
      <c r="J657" s="554"/>
      <c r="K657" s="554"/>
      <c r="L657" s="554"/>
      <c r="M657" s="554"/>
      <c r="N657" s="554"/>
      <c r="O657" s="554"/>
      <c r="P657" s="554"/>
      <c r="Q657" s="554"/>
      <c r="R657" s="554"/>
      <c r="S657" s="554"/>
      <c r="T657" s="554"/>
      <c r="U657" s="554"/>
      <c r="V657" s="554"/>
      <c r="W657" s="554"/>
      <c r="X657" s="554"/>
      <c r="Y657" s="554"/>
      <c r="Z657" s="554"/>
      <c r="AA657" s="554"/>
      <c r="AB657" s="554"/>
      <c r="AC657" s="554"/>
      <c r="AD657" s="554"/>
      <c r="AE657" s="554"/>
      <c r="AF657" s="554"/>
      <c r="AG657" s="554"/>
    </row>
    <row r="658">
      <c r="A658" s="549"/>
      <c r="B658" s="554"/>
      <c r="C658" s="554"/>
      <c r="D658" s="554"/>
      <c r="E658" s="554"/>
      <c r="F658" s="561"/>
      <c r="G658" s="554"/>
      <c r="H658" s="554"/>
      <c r="I658" s="554"/>
      <c r="J658" s="554"/>
      <c r="K658" s="554"/>
      <c r="L658" s="554"/>
      <c r="M658" s="554"/>
      <c r="N658" s="554"/>
      <c r="O658" s="554"/>
      <c r="P658" s="554"/>
      <c r="Q658" s="554"/>
      <c r="R658" s="554"/>
      <c r="S658" s="554"/>
      <c r="T658" s="554"/>
      <c r="U658" s="554"/>
      <c r="V658" s="554"/>
      <c r="W658" s="554"/>
      <c r="X658" s="554"/>
      <c r="Y658" s="554"/>
      <c r="Z658" s="554"/>
      <c r="AA658" s="554"/>
      <c r="AB658" s="554"/>
      <c r="AC658" s="554"/>
      <c r="AD658" s="554"/>
      <c r="AE658" s="554"/>
      <c r="AF658" s="554"/>
      <c r="AG658" s="554"/>
    </row>
    <row r="659">
      <c r="A659" s="549"/>
      <c r="B659" s="554"/>
      <c r="C659" s="554"/>
      <c r="D659" s="554"/>
      <c r="E659" s="554"/>
      <c r="F659" s="561"/>
      <c r="G659" s="554"/>
      <c r="H659" s="554"/>
      <c r="I659" s="554"/>
      <c r="J659" s="554"/>
      <c r="K659" s="554"/>
      <c r="L659" s="554"/>
      <c r="M659" s="554"/>
      <c r="N659" s="554"/>
      <c r="O659" s="554"/>
      <c r="P659" s="554"/>
      <c r="Q659" s="554"/>
      <c r="R659" s="554"/>
      <c r="S659" s="554"/>
      <c r="T659" s="554"/>
      <c r="U659" s="554"/>
      <c r="V659" s="554"/>
      <c r="W659" s="554"/>
      <c r="X659" s="554"/>
      <c r="Y659" s="554"/>
      <c r="Z659" s="554"/>
      <c r="AA659" s="554"/>
      <c r="AB659" s="554"/>
      <c r="AC659" s="554"/>
      <c r="AD659" s="554"/>
      <c r="AE659" s="554"/>
      <c r="AF659" s="554"/>
      <c r="AG659" s="554"/>
    </row>
    <row r="660">
      <c r="A660" s="549"/>
      <c r="B660" s="554"/>
      <c r="C660" s="554"/>
      <c r="D660" s="554"/>
      <c r="E660" s="554"/>
      <c r="F660" s="561"/>
      <c r="G660" s="554"/>
      <c r="H660" s="554"/>
      <c r="I660" s="554"/>
      <c r="J660" s="554"/>
      <c r="K660" s="554"/>
      <c r="L660" s="554"/>
      <c r="M660" s="554"/>
      <c r="N660" s="554"/>
      <c r="O660" s="554"/>
      <c r="P660" s="554"/>
      <c r="Q660" s="554"/>
      <c r="R660" s="554"/>
      <c r="S660" s="554"/>
      <c r="T660" s="554"/>
      <c r="U660" s="554"/>
      <c r="V660" s="554"/>
      <c r="W660" s="554"/>
      <c r="X660" s="554"/>
      <c r="Y660" s="554"/>
      <c r="Z660" s="554"/>
      <c r="AA660" s="554"/>
      <c r="AB660" s="554"/>
      <c r="AC660" s="554"/>
      <c r="AD660" s="554"/>
      <c r="AE660" s="554"/>
      <c r="AF660" s="554"/>
      <c r="AG660" s="554"/>
    </row>
    <row r="661">
      <c r="A661" s="549"/>
      <c r="B661" s="554"/>
      <c r="C661" s="554"/>
      <c r="D661" s="554"/>
      <c r="E661" s="554"/>
      <c r="F661" s="561"/>
      <c r="G661" s="554"/>
      <c r="H661" s="554"/>
      <c r="I661" s="554"/>
      <c r="J661" s="554"/>
      <c r="K661" s="554"/>
      <c r="L661" s="554"/>
      <c r="M661" s="554"/>
      <c r="N661" s="554"/>
      <c r="O661" s="554"/>
      <c r="P661" s="554"/>
      <c r="Q661" s="554"/>
      <c r="R661" s="554"/>
      <c r="S661" s="554"/>
      <c r="T661" s="554"/>
      <c r="U661" s="554"/>
      <c r="V661" s="554"/>
      <c r="W661" s="554"/>
      <c r="X661" s="554"/>
      <c r="Y661" s="554"/>
      <c r="Z661" s="554"/>
      <c r="AA661" s="554"/>
      <c r="AB661" s="554"/>
      <c r="AC661" s="554"/>
      <c r="AD661" s="554"/>
      <c r="AE661" s="554"/>
      <c r="AF661" s="554"/>
      <c r="AG661" s="554"/>
    </row>
    <row r="662">
      <c r="A662" s="549"/>
      <c r="B662" s="554"/>
      <c r="C662" s="554"/>
      <c r="D662" s="554"/>
      <c r="E662" s="554"/>
      <c r="F662" s="561"/>
      <c r="G662" s="554"/>
      <c r="H662" s="554"/>
      <c r="I662" s="554"/>
      <c r="J662" s="554"/>
      <c r="K662" s="554"/>
      <c r="L662" s="554"/>
      <c r="M662" s="554"/>
      <c r="N662" s="554"/>
      <c r="O662" s="554"/>
      <c r="P662" s="554"/>
      <c r="Q662" s="554"/>
      <c r="R662" s="554"/>
      <c r="S662" s="554"/>
      <c r="T662" s="554"/>
      <c r="U662" s="554"/>
      <c r="V662" s="554"/>
      <c r="W662" s="554"/>
      <c r="X662" s="554"/>
      <c r="Y662" s="554"/>
      <c r="Z662" s="554"/>
      <c r="AA662" s="554"/>
      <c r="AB662" s="554"/>
      <c r="AC662" s="554"/>
      <c r="AD662" s="554"/>
      <c r="AE662" s="554"/>
      <c r="AF662" s="554"/>
      <c r="AG662" s="554"/>
    </row>
    <row r="663">
      <c r="A663" s="549"/>
      <c r="B663" s="554"/>
      <c r="C663" s="554"/>
      <c r="D663" s="554"/>
      <c r="E663" s="554"/>
      <c r="F663" s="561"/>
      <c r="G663" s="554"/>
      <c r="H663" s="554"/>
      <c r="I663" s="554"/>
      <c r="J663" s="554"/>
      <c r="K663" s="554"/>
      <c r="L663" s="554"/>
      <c r="M663" s="554"/>
      <c r="N663" s="554"/>
      <c r="O663" s="554"/>
      <c r="P663" s="554"/>
      <c r="Q663" s="554"/>
      <c r="R663" s="554"/>
      <c r="S663" s="554"/>
      <c r="T663" s="554"/>
      <c r="U663" s="554"/>
      <c r="V663" s="554"/>
      <c r="W663" s="554"/>
      <c r="X663" s="554"/>
      <c r="Y663" s="554"/>
      <c r="Z663" s="554"/>
      <c r="AA663" s="554"/>
      <c r="AB663" s="554"/>
      <c r="AC663" s="554"/>
      <c r="AD663" s="554"/>
      <c r="AE663" s="554"/>
      <c r="AF663" s="554"/>
      <c r="AG663" s="554"/>
    </row>
    <row r="664">
      <c r="A664" s="549"/>
      <c r="B664" s="554"/>
      <c r="C664" s="554"/>
      <c r="D664" s="554"/>
      <c r="E664" s="554"/>
      <c r="F664" s="561"/>
      <c r="G664" s="554"/>
      <c r="H664" s="554"/>
      <c r="I664" s="554"/>
      <c r="J664" s="554"/>
      <c r="K664" s="554"/>
      <c r="L664" s="554"/>
      <c r="M664" s="554"/>
      <c r="N664" s="554"/>
      <c r="O664" s="554"/>
      <c r="P664" s="554"/>
      <c r="Q664" s="554"/>
      <c r="R664" s="554"/>
      <c r="S664" s="554"/>
      <c r="T664" s="554"/>
      <c r="U664" s="554"/>
      <c r="V664" s="554"/>
      <c r="W664" s="554"/>
      <c r="X664" s="554"/>
      <c r="Y664" s="554"/>
      <c r="Z664" s="554"/>
      <c r="AA664" s="554"/>
      <c r="AB664" s="554"/>
      <c r="AC664" s="554"/>
      <c r="AD664" s="554"/>
      <c r="AE664" s="554"/>
      <c r="AF664" s="554"/>
      <c r="AG664" s="554"/>
    </row>
    <row r="665">
      <c r="A665" s="549"/>
      <c r="B665" s="554"/>
      <c r="C665" s="554"/>
      <c r="D665" s="554"/>
      <c r="E665" s="554"/>
      <c r="F665" s="561"/>
      <c r="G665" s="554"/>
      <c r="H665" s="554"/>
      <c r="I665" s="554"/>
      <c r="J665" s="554"/>
      <c r="K665" s="554"/>
      <c r="L665" s="554"/>
      <c r="M665" s="554"/>
      <c r="N665" s="554"/>
      <c r="O665" s="554"/>
      <c r="P665" s="554"/>
      <c r="Q665" s="554"/>
      <c r="R665" s="554"/>
      <c r="S665" s="554"/>
      <c r="T665" s="554"/>
      <c r="U665" s="554"/>
      <c r="V665" s="554"/>
      <c r="W665" s="554"/>
      <c r="X665" s="554"/>
      <c r="Y665" s="554"/>
      <c r="Z665" s="554"/>
      <c r="AA665" s="554"/>
      <c r="AB665" s="554"/>
      <c r="AC665" s="554"/>
      <c r="AD665" s="554"/>
      <c r="AE665" s="554"/>
      <c r="AF665" s="554"/>
      <c r="AG665" s="554"/>
    </row>
    <row r="666">
      <c r="A666" s="549"/>
      <c r="B666" s="554"/>
      <c r="C666" s="554"/>
      <c r="D666" s="554"/>
      <c r="E666" s="554"/>
      <c r="F666" s="561"/>
      <c r="G666" s="554"/>
      <c r="H666" s="554"/>
      <c r="I666" s="554"/>
      <c r="J666" s="554"/>
      <c r="K666" s="554"/>
      <c r="L666" s="554"/>
      <c r="M666" s="554"/>
      <c r="N666" s="554"/>
      <c r="O666" s="554"/>
      <c r="P666" s="554"/>
      <c r="Q666" s="554"/>
      <c r="R666" s="554"/>
      <c r="S666" s="554"/>
      <c r="T666" s="554"/>
      <c r="U666" s="554"/>
      <c r="V666" s="554"/>
      <c r="W666" s="554"/>
      <c r="X666" s="554"/>
      <c r="Y666" s="554"/>
      <c r="Z666" s="554"/>
      <c r="AA666" s="554"/>
      <c r="AB666" s="554"/>
      <c r="AC666" s="554"/>
      <c r="AD666" s="554"/>
      <c r="AE666" s="554"/>
      <c r="AF666" s="554"/>
      <c r="AG666" s="554"/>
    </row>
    <row r="667">
      <c r="A667" s="549"/>
      <c r="B667" s="554"/>
      <c r="C667" s="554"/>
      <c r="D667" s="554"/>
      <c r="E667" s="554"/>
      <c r="F667" s="561"/>
      <c r="G667" s="554"/>
      <c r="H667" s="554"/>
      <c r="I667" s="554"/>
      <c r="J667" s="554"/>
      <c r="K667" s="554"/>
      <c r="L667" s="554"/>
      <c r="M667" s="554"/>
      <c r="N667" s="554"/>
      <c r="O667" s="554"/>
      <c r="P667" s="554"/>
      <c r="Q667" s="554"/>
      <c r="R667" s="554"/>
      <c r="S667" s="554"/>
      <c r="T667" s="554"/>
      <c r="U667" s="554"/>
      <c r="V667" s="554"/>
      <c r="W667" s="554"/>
      <c r="X667" s="554"/>
      <c r="Y667" s="554"/>
      <c r="Z667" s="554"/>
      <c r="AA667" s="554"/>
      <c r="AB667" s="554"/>
      <c r="AC667" s="554"/>
      <c r="AD667" s="554"/>
      <c r="AE667" s="554"/>
      <c r="AF667" s="554"/>
      <c r="AG667" s="554"/>
    </row>
    <row r="668">
      <c r="A668" s="549"/>
      <c r="B668" s="554"/>
      <c r="C668" s="554"/>
      <c r="D668" s="554"/>
      <c r="E668" s="554"/>
      <c r="F668" s="561"/>
      <c r="G668" s="554"/>
      <c r="H668" s="554"/>
      <c r="I668" s="554"/>
      <c r="J668" s="554"/>
      <c r="K668" s="554"/>
      <c r="L668" s="554"/>
      <c r="M668" s="554"/>
      <c r="N668" s="554"/>
      <c r="O668" s="554"/>
      <c r="P668" s="554"/>
      <c r="Q668" s="554"/>
      <c r="R668" s="554"/>
      <c r="S668" s="554"/>
      <c r="T668" s="554"/>
      <c r="U668" s="554"/>
      <c r="V668" s="554"/>
      <c r="W668" s="554"/>
      <c r="X668" s="554"/>
      <c r="Y668" s="554"/>
      <c r="Z668" s="554"/>
      <c r="AA668" s="554"/>
      <c r="AB668" s="554"/>
      <c r="AC668" s="554"/>
      <c r="AD668" s="554"/>
      <c r="AE668" s="554"/>
      <c r="AF668" s="554"/>
      <c r="AG668" s="554"/>
    </row>
    <row r="669">
      <c r="A669" s="549"/>
      <c r="B669" s="554"/>
      <c r="C669" s="554"/>
      <c r="D669" s="554"/>
      <c r="E669" s="554"/>
      <c r="F669" s="561"/>
      <c r="G669" s="554"/>
      <c r="H669" s="554"/>
      <c r="I669" s="554"/>
      <c r="J669" s="554"/>
      <c r="K669" s="554"/>
      <c r="L669" s="554"/>
      <c r="M669" s="554"/>
      <c r="N669" s="554"/>
      <c r="O669" s="554"/>
      <c r="P669" s="554"/>
      <c r="Q669" s="554"/>
      <c r="R669" s="554"/>
      <c r="S669" s="554"/>
      <c r="T669" s="554"/>
      <c r="U669" s="554"/>
      <c r="V669" s="554"/>
      <c r="W669" s="554"/>
      <c r="X669" s="554"/>
      <c r="Y669" s="554"/>
      <c r="Z669" s="554"/>
      <c r="AA669" s="554"/>
      <c r="AB669" s="554"/>
      <c r="AC669" s="554"/>
      <c r="AD669" s="554"/>
      <c r="AE669" s="554"/>
      <c r="AF669" s="554"/>
      <c r="AG669" s="554"/>
    </row>
    <row r="670">
      <c r="A670" s="549"/>
      <c r="B670" s="554"/>
      <c r="C670" s="554"/>
      <c r="D670" s="554"/>
      <c r="E670" s="554"/>
      <c r="F670" s="561"/>
      <c r="G670" s="554"/>
      <c r="H670" s="554"/>
      <c r="I670" s="554"/>
      <c r="J670" s="554"/>
      <c r="K670" s="554"/>
      <c r="L670" s="554"/>
      <c r="M670" s="554"/>
      <c r="N670" s="554"/>
      <c r="O670" s="554"/>
      <c r="P670" s="554"/>
      <c r="Q670" s="554"/>
      <c r="R670" s="554"/>
      <c r="S670" s="554"/>
      <c r="T670" s="554"/>
      <c r="U670" s="554"/>
      <c r="V670" s="554"/>
      <c r="W670" s="554"/>
      <c r="X670" s="554"/>
      <c r="Y670" s="554"/>
      <c r="Z670" s="554"/>
      <c r="AA670" s="554"/>
      <c r="AB670" s="554"/>
      <c r="AC670" s="554"/>
      <c r="AD670" s="554"/>
      <c r="AE670" s="554"/>
      <c r="AF670" s="554"/>
      <c r="AG670" s="554"/>
    </row>
    <row r="671">
      <c r="A671" s="549"/>
      <c r="B671" s="554"/>
      <c r="C671" s="554"/>
      <c r="D671" s="554"/>
      <c r="E671" s="554"/>
      <c r="F671" s="561"/>
      <c r="G671" s="554"/>
      <c r="H671" s="554"/>
      <c r="I671" s="554"/>
      <c r="J671" s="554"/>
      <c r="K671" s="554"/>
      <c r="L671" s="554"/>
      <c r="M671" s="554"/>
      <c r="N671" s="554"/>
      <c r="O671" s="554"/>
      <c r="P671" s="554"/>
      <c r="Q671" s="554"/>
      <c r="R671" s="554"/>
      <c r="S671" s="554"/>
      <c r="T671" s="554"/>
      <c r="U671" s="554"/>
      <c r="V671" s="554"/>
      <c r="W671" s="554"/>
      <c r="X671" s="554"/>
      <c r="Y671" s="554"/>
      <c r="Z671" s="554"/>
      <c r="AA671" s="554"/>
      <c r="AB671" s="554"/>
      <c r="AC671" s="554"/>
      <c r="AD671" s="554"/>
      <c r="AE671" s="554"/>
      <c r="AF671" s="554"/>
      <c r="AG671" s="554"/>
    </row>
    <row r="672">
      <c r="A672" s="549"/>
      <c r="B672" s="554"/>
      <c r="C672" s="554"/>
      <c r="D672" s="554"/>
      <c r="E672" s="554"/>
      <c r="F672" s="561"/>
      <c r="G672" s="554"/>
      <c r="H672" s="554"/>
      <c r="I672" s="554"/>
      <c r="J672" s="554"/>
      <c r="K672" s="554"/>
      <c r="L672" s="554"/>
      <c r="M672" s="554"/>
      <c r="N672" s="554"/>
      <c r="O672" s="554"/>
      <c r="P672" s="554"/>
      <c r="Q672" s="554"/>
      <c r="R672" s="554"/>
      <c r="S672" s="554"/>
      <c r="T672" s="554"/>
      <c r="U672" s="554"/>
      <c r="V672" s="554"/>
      <c r="W672" s="554"/>
      <c r="X672" s="554"/>
      <c r="Y672" s="554"/>
      <c r="Z672" s="554"/>
      <c r="AA672" s="554"/>
      <c r="AB672" s="554"/>
      <c r="AC672" s="554"/>
      <c r="AD672" s="554"/>
      <c r="AE672" s="554"/>
      <c r="AF672" s="554"/>
      <c r="AG672" s="554"/>
    </row>
    <row r="673">
      <c r="A673" s="549"/>
      <c r="B673" s="554"/>
      <c r="C673" s="554"/>
      <c r="D673" s="554"/>
      <c r="E673" s="554"/>
      <c r="F673" s="561"/>
      <c r="G673" s="554"/>
      <c r="H673" s="554"/>
      <c r="I673" s="554"/>
      <c r="J673" s="554"/>
      <c r="K673" s="554"/>
      <c r="L673" s="554"/>
      <c r="M673" s="554"/>
      <c r="N673" s="554"/>
      <c r="O673" s="554"/>
      <c r="P673" s="554"/>
      <c r="Q673" s="554"/>
      <c r="R673" s="554"/>
      <c r="S673" s="554"/>
      <c r="T673" s="554"/>
      <c r="U673" s="554"/>
      <c r="V673" s="554"/>
      <c r="W673" s="554"/>
      <c r="X673" s="554"/>
      <c r="Y673" s="554"/>
      <c r="Z673" s="554"/>
      <c r="AA673" s="554"/>
      <c r="AB673" s="554"/>
      <c r="AC673" s="554"/>
      <c r="AD673" s="554"/>
      <c r="AE673" s="554"/>
      <c r="AF673" s="554"/>
      <c r="AG673" s="554"/>
    </row>
    <row r="674">
      <c r="A674" s="549"/>
      <c r="B674" s="554"/>
      <c r="C674" s="554"/>
      <c r="D674" s="554"/>
      <c r="E674" s="554"/>
      <c r="F674" s="561"/>
      <c r="G674" s="554"/>
      <c r="H674" s="554"/>
      <c r="I674" s="554"/>
      <c r="J674" s="554"/>
      <c r="K674" s="554"/>
      <c r="L674" s="554"/>
      <c r="M674" s="554"/>
      <c r="N674" s="554"/>
      <c r="O674" s="554"/>
      <c r="P674" s="554"/>
      <c r="Q674" s="554"/>
      <c r="R674" s="554"/>
      <c r="S674" s="554"/>
      <c r="T674" s="554"/>
      <c r="U674" s="554"/>
      <c r="V674" s="554"/>
      <c r="W674" s="554"/>
      <c r="X674" s="554"/>
      <c r="Y674" s="554"/>
      <c r="Z674" s="554"/>
      <c r="AA674" s="554"/>
      <c r="AB674" s="554"/>
      <c r="AC674" s="554"/>
      <c r="AD674" s="554"/>
      <c r="AE674" s="554"/>
      <c r="AF674" s="554"/>
      <c r="AG674" s="554"/>
    </row>
    <row r="675">
      <c r="A675" s="549"/>
      <c r="B675" s="554"/>
      <c r="C675" s="554"/>
      <c r="D675" s="554"/>
      <c r="E675" s="554"/>
      <c r="F675" s="561"/>
      <c r="G675" s="554"/>
      <c r="H675" s="554"/>
      <c r="I675" s="554"/>
      <c r="J675" s="554"/>
      <c r="K675" s="554"/>
      <c r="L675" s="554"/>
      <c r="M675" s="554"/>
      <c r="N675" s="554"/>
      <c r="O675" s="554"/>
      <c r="P675" s="554"/>
      <c r="Q675" s="554"/>
      <c r="R675" s="554"/>
      <c r="S675" s="554"/>
      <c r="T675" s="554"/>
      <c r="U675" s="554"/>
      <c r="V675" s="554"/>
      <c r="W675" s="554"/>
      <c r="X675" s="554"/>
      <c r="Y675" s="554"/>
      <c r="Z675" s="554"/>
      <c r="AA675" s="554"/>
      <c r="AB675" s="554"/>
      <c r="AC675" s="554"/>
      <c r="AD675" s="554"/>
      <c r="AE675" s="554"/>
      <c r="AF675" s="554"/>
      <c r="AG675" s="554"/>
    </row>
    <row r="676">
      <c r="A676" s="549"/>
      <c r="B676" s="554"/>
      <c r="C676" s="554"/>
      <c r="D676" s="554"/>
      <c r="E676" s="554"/>
      <c r="F676" s="561"/>
      <c r="G676" s="554"/>
      <c r="H676" s="554"/>
      <c r="I676" s="554"/>
      <c r="J676" s="554"/>
      <c r="K676" s="554"/>
      <c r="L676" s="554"/>
      <c r="M676" s="554"/>
      <c r="N676" s="554"/>
      <c r="O676" s="554"/>
      <c r="P676" s="554"/>
      <c r="Q676" s="554"/>
      <c r="R676" s="554"/>
      <c r="S676" s="554"/>
      <c r="T676" s="554"/>
      <c r="U676" s="554"/>
      <c r="V676" s="554"/>
      <c r="W676" s="554"/>
      <c r="X676" s="554"/>
      <c r="Y676" s="554"/>
      <c r="Z676" s="554"/>
      <c r="AA676" s="554"/>
      <c r="AB676" s="554"/>
      <c r="AC676" s="554"/>
      <c r="AD676" s="554"/>
      <c r="AE676" s="554"/>
      <c r="AF676" s="554"/>
      <c r="AG676" s="554"/>
    </row>
    <row r="677">
      <c r="A677" s="549"/>
      <c r="B677" s="554"/>
      <c r="C677" s="554"/>
      <c r="D677" s="554"/>
      <c r="E677" s="554"/>
      <c r="F677" s="561"/>
      <c r="G677" s="554"/>
      <c r="H677" s="554"/>
      <c r="I677" s="554"/>
      <c r="J677" s="554"/>
      <c r="K677" s="554"/>
      <c r="L677" s="554"/>
      <c r="M677" s="554"/>
      <c r="N677" s="554"/>
      <c r="O677" s="554"/>
      <c r="P677" s="554"/>
      <c r="Q677" s="554"/>
      <c r="R677" s="554"/>
      <c r="S677" s="554"/>
      <c r="T677" s="554"/>
      <c r="U677" s="554"/>
      <c r="V677" s="554"/>
      <c r="W677" s="554"/>
      <c r="X677" s="554"/>
      <c r="Y677" s="554"/>
      <c r="Z677" s="554"/>
      <c r="AA677" s="554"/>
      <c r="AB677" s="554"/>
      <c r="AC677" s="554"/>
      <c r="AD677" s="554"/>
      <c r="AE677" s="554"/>
      <c r="AF677" s="554"/>
      <c r="AG677" s="554"/>
    </row>
    <row r="678">
      <c r="A678" s="549"/>
      <c r="B678" s="554"/>
      <c r="C678" s="554"/>
      <c r="D678" s="554"/>
      <c r="E678" s="554"/>
      <c r="F678" s="561"/>
      <c r="G678" s="554"/>
      <c r="H678" s="554"/>
      <c r="I678" s="554"/>
      <c r="J678" s="554"/>
      <c r="K678" s="554"/>
      <c r="L678" s="554"/>
      <c r="M678" s="554"/>
      <c r="N678" s="554"/>
      <c r="O678" s="554"/>
      <c r="P678" s="554"/>
      <c r="Q678" s="554"/>
      <c r="R678" s="554"/>
      <c r="S678" s="554"/>
      <c r="T678" s="554"/>
      <c r="U678" s="554"/>
      <c r="V678" s="554"/>
      <c r="W678" s="554"/>
      <c r="X678" s="554"/>
      <c r="Y678" s="554"/>
      <c r="Z678" s="554"/>
      <c r="AA678" s="554"/>
      <c r="AB678" s="554"/>
      <c r="AC678" s="554"/>
      <c r="AD678" s="554"/>
      <c r="AE678" s="554"/>
      <c r="AF678" s="554"/>
      <c r="AG678" s="554"/>
    </row>
    <row r="679">
      <c r="A679" s="549"/>
      <c r="B679" s="554"/>
      <c r="C679" s="554"/>
      <c r="D679" s="554"/>
      <c r="E679" s="554"/>
      <c r="F679" s="561"/>
      <c r="G679" s="554"/>
      <c r="H679" s="554"/>
      <c r="I679" s="554"/>
      <c r="J679" s="554"/>
      <c r="K679" s="554"/>
      <c r="L679" s="554"/>
      <c r="M679" s="554"/>
      <c r="N679" s="554"/>
      <c r="O679" s="554"/>
      <c r="P679" s="554"/>
      <c r="Q679" s="554"/>
      <c r="R679" s="554"/>
      <c r="S679" s="554"/>
      <c r="T679" s="554"/>
      <c r="U679" s="554"/>
      <c r="V679" s="554"/>
      <c r="W679" s="554"/>
      <c r="X679" s="554"/>
      <c r="Y679" s="554"/>
      <c r="Z679" s="554"/>
      <c r="AA679" s="554"/>
      <c r="AB679" s="554"/>
      <c r="AC679" s="554"/>
      <c r="AD679" s="554"/>
      <c r="AE679" s="554"/>
      <c r="AF679" s="554"/>
      <c r="AG679" s="554"/>
    </row>
    <row r="680">
      <c r="A680" s="549"/>
      <c r="B680" s="554"/>
      <c r="C680" s="554"/>
      <c r="D680" s="554"/>
      <c r="E680" s="554"/>
      <c r="F680" s="561"/>
      <c r="G680" s="554"/>
      <c r="H680" s="554"/>
      <c r="I680" s="554"/>
      <c r="J680" s="554"/>
      <c r="K680" s="554"/>
      <c r="L680" s="554"/>
      <c r="M680" s="554"/>
      <c r="N680" s="554"/>
      <c r="O680" s="554"/>
      <c r="P680" s="554"/>
      <c r="Q680" s="554"/>
      <c r="R680" s="554"/>
      <c r="S680" s="554"/>
      <c r="T680" s="554"/>
      <c r="U680" s="554"/>
      <c r="V680" s="554"/>
      <c r="W680" s="554"/>
      <c r="X680" s="554"/>
      <c r="Y680" s="554"/>
      <c r="Z680" s="554"/>
      <c r="AA680" s="554"/>
      <c r="AB680" s="554"/>
      <c r="AC680" s="554"/>
      <c r="AD680" s="554"/>
      <c r="AE680" s="554"/>
      <c r="AF680" s="554"/>
      <c r="AG680" s="554"/>
    </row>
    <row r="681">
      <c r="A681" s="549"/>
      <c r="B681" s="554"/>
      <c r="C681" s="554"/>
      <c r="D681" s="554"/>
      <c r="E681" s="554"/>
      <c r="F681" s="561"/>
      <c r="G681" s="554"/>
      <c r="H681" s="554"/>
      <c r="I681" s="554"/>
      <c r="J681" s="554"/>
      <c r="K681" s="554"/>
      <c r="L681" s="554"/>
      <c r="M681" s="554"/>
      <c r="N681" s="554"/>
      <c r="O681" s="554"/>
      <c r="P681" s="554"/>
      <c r="Q681" s="554"/>
      <c r="R681" s="554"/>
      <c r="S681" s="554"/>
      <c r="T681" s="554"/>
      <c r="U681" s="554"/>
      <c r="V681" s="554"/>
      <c r="W681" s="554"/>
      <c r="X681" s="554"/>
      <c r="Y681" s="554"/>
      <c r="Z681" s="554"/>
      <c r="AA681" s="554"/>
      <c r="AB681" s="554"/>
      <c r="AC681" s="554"/>
      <c r="AD681" s="554"/>
      <c r="AE681" s="554"/>
      <c r="AF681" s="554"/>
      <c r="AG681" s="554"/>
    </row>
    <row r="682">
      <c r="A682" s="549"/>
      <c r="B682" s="554"/>
      <c r="C682" s="554"/>
      <c r="D682" s="554"/>
      <c r="E682" s="554"/>
      <c r="F682" s="561"/>
      <c r="G682" s="554"/>
      <c r="H682" s="554"/>
      <c r="I682" s="554"/>
      <c r="J682" s="554"/>
      <c r="K682" s="554"/>
      <c r="L682" s="554"/>
      <c r="M682" s="554"/>
      <c r="N682" s="554"/>
      <c r="O682" s="554"/>
      <c r="P682" s="554"/>
      <c r="Q682" s="554"/>
      <c r="R682" s="554"/>
      <c r="S682" s="554"/>
      <c r="T682" s="554"/>
      <c r="U682" s="554"/>
      <c r="V682" s="554"/>
      <c r="W682" s="554"/>
      <c r="X682" s="554"/>
      <c r="Y682" s="554"/>
      <c r="Z682" s="554"/>
      <c r="AA682" s="554"/>
      <c r="AB682" s="554"/>
      <c r="AC682" s="554"/>
      <c r="AD682" s="554"/>
      <c r="AE682" s="554"/>
      <c r="AF682" s="554"/>
      <c r="AG682" s="554"/>
    </row>
    <row r="683">
      <c r="A683" s="549"/>
      <c r="B683" s="554"/>
      <c r="C683" s="554"/>
      <c r="D683" s="554"/>
      <c r="E683" s="554"/>
      <c r="F683" s="561"/>
      <c r="G683" s="554"/>
      <c r="H683" s="554"/>
      <c r="I683" s="554"/>
      <c r="J683" s="554"/>
      <c r="K683" s="554"/>
      <c r="L683" s="554"/>
      <c r="M683" s="554"/>
      <c r="N683" s="554"/>
      <c r="O683" s="554"/>
      <c r="P683" s="554"/>
      <c r="Q683" s="554"/>
      <c r="R683" s="554"/>
      <c r="S683" s="554"/>
      <c r="T683" s="554"/>
      <c r="U683" s="554"/>
      <c r="V683" s="554"/>
      <c r="W683" s="554"/>
      <c r="X683" s="554"/>
      <c r="Y683" s="554"/>
      <c r="Z683" s="554"/>
      <c r="AA683" s="554"/>
      <c r="AB683" s="554"/>
      <c r="AC683" s="554"/>
      <c r="AD683" s="554"/>
      <c r="AE683" s="554"/>
      <c r="AF683" s="554"/>
      <c r="AG683" s="554"/>
    </row>
    <row r="684">
      <c r="A684" s="549"/>
      <c r="B684" s="554"/>
      <c r="C684" s="554"/>
      <c r="D684" s="554"/>
      <c r="E684" s="554"/>
      <c r="F684" s="561"/>
      <c r="G684" s="554"/>
      <c r="H684" s="554"/>
      <c r="I684" s="554"/>
      <c r="J684" s="554"/>
      <c r="K684" s="554"/>
      <c r="L684" s="554"/>
      <c r="M684" s="554"/>
      <c r="N684" s="554"/>
      <c r="O684" s="554"/>
      <c r="P684" s="554"/>
      <c r="Q684" s="554"/>
      <c r="R684" s="554"/>
      <c r="S684" s="554"/>
      <c r="T684" s="554"/>
      <c r="U684" s="554"/>
      <c r="V684" s="554"/>
      <c r="W684" s="554"/>
      <c r="X684" s="554"/>
      <c r="Y684" s="554"/>
      <c r="Z684" s="554"/>
      <c r="AA684" s="554"/>
      <c r="AB684" s="554"/>
      <c r="AC684" s="554"/>
      <c r="AD684" s="554"/>
      <c r="AE684" s="554"/>
      <c r="AF684" s="554"/>
      <c r="AG684" s="554"/>
    </row>
    <row r="685">
      <c r="A685" s="549"/>
      <c r="B685" s="554"/>
      <c r="C685" s="554"/>
      <c r="D685" s="554"/>
      <c r="E685" s="554"/>
      <c r="F685" s="561"/>
      <c r="G685" s="554"/>
      <c r="H685" s="554"/>
      <c r="I685" s="554"/>
      <c r="J685" s="554"/>
      <c r="K685" s="554"/>
      <c r="L685" s="554"/>
      <c r="M685" s="554"/>
      <c r="N685" s="554"/>
      <c r="O685" s="554"/>
      <c r="P685" s="554"/>
      <c r="Q685" s="554"/>
      <c r="R685" s="554"/>
      <c r="S685" s="554"/>
      <c r="T685" s="554"/>
      <c r="U685" s="554"/>
      <c r="V685" s="554"/>
      <c r="W685" s="554"/>
      <c r="X685" s="554"/>
      <c r="Y685" s="554"/>
      <c r="Z685" s="554"/>
      <c r="AA685" s="554"/>
      <c r="AB685" s="554"/>
      <c r="AC685" s="554"/>
      <c r="AD685" s="554"/>
      <c r="AE685" s="554"/>
      <c r="AF685" s="554"/>
      <c r="AG685" s="554"/>
    </row>
    <row r="686">
      <c r="A686" s="549"/>
      <c r="B686" s="554"/>
      <c r="C686" s="554"/>
      <c r="D686" s="554"/>
      <c r="E686" s="554"/>
      <c r="F686" s="561"/>
      <c r="G686" s="554"/>
      <c r="H686" s="554"/>
      <c r="I686" s="554"/>
      <c r="J686" s="554"/>
      <c r="K686" s="554"/>
      <c r="L686" s="554"/>
      <c r="M686" s="554"/>
      <c r="N686" s="554"/>
      <c r="O686" s="554"/>
      <c r="P686" s="554"/>
      <c r="Q686" s="554"/>
      <c r="R686" s="554"/>
      <c r="S686" s="554"/>
      <c r="T686" s="554"/>
      <c r="U686" s="554"/>
      <c r="V686" s="554"/>
      <c r="W686" s="554"/>
      <c r="X686" s="554"/>
      <c r="Y686" s="554"/>
      <c r="Z686" s="554"/>
      <c r="AA686" s="554"/>
      <c r="AB686" s="554"/>
      <c r="AC686" s="554"/>
      <c r="AD686" s="554"/>
      <c r="AE686" s="554"/>
      <c r="AF686" s="554"/>
      <c r="AG686" s="554"/>
    </row>
    <row r="687">
      <c r="A687" s="549"/>
      <c r="B687" s="554"/>
      <c r="C687" s="554"/>
      <c r="D687" s="554"/>
      <c r="E687" s="554"/>
      <c r="F687" s="561"/>
      <c r="G687" s="554"/>
      <c r="H687" s="554"/>
      <c r="I687" s="554"/>
      <c r="J687" s="554"/>
      <c r="K687" s="554"/>
      <c r="L687" s="554"/>
      <c r="M687" s="554"/>
      <c r="N687" s="554"/>
      <c r="O687" s="554"/>
      <c r="P687" s="554"/>
      <c r="Q687" s="554"/>
      <c r="R687" s="554"/>
      <c r="S687" s="554"/>
      <c r="T687" s="554"/>
      <c r="U687" s="554"/>
      <c r="V687" s="554"/>
      <c r="W687" s="554"/>
      <c r="X687" s="554"/>
      <c r="Y687" s="554"/>
      <c r="Z687" s="554"/>
      <c r="AA687" s="554"/>
      <c r="AB687" s="554"/>
      <c r="AC687" s="554"/>
      <c r="AD687" s="554"/>
      <c r="AE687" s="554"/>
      <c r="AF687" s="554"/>
      <c r="AG687" s="554"/>
    </row>
    <row r="688">
      <c r="A688" s="549"/>
      <c r="B688" s="554"/>
      <c r="C688" s="554"/>
      <c r="D688" s="554"/>
      <c r="E688" s="554"/>
      <c r="F688" s="561"/>
      <c r="G688" s="554"/>
      <c r="H688" s="554"/>
      <c r="I688" s="554"/>
      <c r="J688" s="554"/>
      <c r="K688" s="554"/>
      <c r="L688" s="554"/>
      <c r="M688" s="554"/>
      <c r="N688" s="554"/>
      <c r="O688" s="554"/>
      <c r="P688" s="554"/>
      <c r="Q688" s="554"/>
      <c r="R688" s="554"/>
      <c r="S688" s="554"/>
      <c r="T688" s="554"/>
      <c r="U688" s="554"/>
      <c r="V688" s="554"/>
      <c r="W688" s="554"/>
      <c r="X688" s="554"/>
      <c r="Y688" s="554"/>
      <c r="Z688" s="554"/>
      <c r="AA688" s="554"/>
      <c r="AB688" s="554"/>
      <c r="AC688" s="554"/>
      <c r="AD688" s="554"/>
      <c r="AE688" s="554"/>
      <c r="AF688" s="554"/>
      <c r="AG688" s="554"/>
    </row>
    <row r="689">
      <c r="A689" s="549"/>
      <c r="B689" s="554"/>
      <c r="C689" s="554"/>
      <c r="D689" s="554"/>
      <c r="E689" s="554"/>
      <c r="F689" s="561"/>
      <c r="G689" s="554"/>
      <c r="H689" s="554"/>
      <c r="I689" s="554"/>
      <c r="J689" s="554"/>
      <c r="K689" s="554"/>
      <c r="L689" s="554"/>
      <c r="M689" s="554"/>
      <c r="N689" s="554"/>
      <c r="O689" s="554"/>
      <c r="P689" s="554"/>
      <c r="Q689" s="554"/>
      <c r="R689" s="554"/>
      <c r="S689" s="554"/>
      <c r="T689" s="554"/>
      <c r="U689" s="554"/>
      <c r="V689" s="554"/>
      <c r="W689" s="554"/>
      <c r="X689" s="554"/>
      <c r="Y689" s="554"/>
      <c r="Z689" s="554"/>
      <c r="AA689" s="554"/>
      <c r="AB689" s="554"/>
      <c r="AC689" s="554"/>
      <c r="AD689" s="554"/>
      <c r="AE689" s="554"/>
      <c r="AF689" s="554"/>
      <c r="AG689" s="554"/>
    </row>
    <row r="690">
      <c r="A690" s="549"/>
      <c r="B690" s="554"/>
      <c r="C690" s="554"/>
      <c r="D690" s="554"/>
      <c r="E690" s="554"/>
      <c r="F690" s="561"/>
      <c r="G690" s="554"/>
      <c r="H690" s="554"/>
      <c r="I690" s="554"/>
      <c r="J690" s="554"/>
      <c r="K690" s="554"/>
      <c r="L690" s="554"/>
      <c r="M690" s="554"/>
      <c r="N690" s="554"/>
      <c r="O690" s="554"/>
      <c r="P690" s="554"/>
      <c r="Q690" s="554"/>
      <c r="R690" s="554"/>
      <c r="S690" s="554"/>
      <c r="T690" s="554"/>
      <c r="U690" s="554"/>
      <c r="V690" s="554"/>
      <c r="W690" s="554"/>
      <c r="X690" s="554"/>
      <c r="Y690" s="554"/>
      <c r="Z690" s="554"/>
      <c r="AA690" s="554"/>
      <c r="AB690" s="554"/>
      <c r="AC690" s="554"/>
      <c r="AD690" s="554"/>
      <c r="AE690" s="554"/>
      <c r="AF690" s="554"/>
      <c r="AG690" s="554"/>
    </row>
    <row r="691">
      <c r="A691" s="549"/>
      <c r="B691" s="554"/>
      <c r="C691" s="554"/>
      <c r="D691" s="554"/>
      <c r="E691" s="554"/>
      <c r="F691" s="561"/>
      <c r="G691" s="554"/>
      <c r="H691" s="554"/>
      <c r="I691" s="554"/>
      <c r="J691" s="554"/>
      <c r="K691" s="554"/>
      <c r="L691" s="554"/>
      <c r="M691" s="554"/>
      <c r="N691" s="554"/>
      <c r="O691" s="554"/>
      <c r="P691" s="554"/>
      <c r="Q691" s="554"/>
      <c r="R691" s="554"/>
      <c r="S691" s="554"/>
      <c r="T691" s="554"/>
      <c r="U691" s="554"/>
      <c r="V691" s="554"/>
      <c r="W691" s="554"/>
      <c r="X691" s="554"/>
      <c r="Y691" s="554"/>
      <c r="Z691" s="554"/>
      <c r="AA691" s="554"/>
      <c r="AB691" s="554"/>
      <c r="AC691" s="554"/>
      <c r="AD691" s="554"/>
      <c r="AE691" s="554"/>
      <c r="AF691" s="554"/>
      <c r="AG691" s="554"/>
    </row>
    <row r="692">
      <c r="A692" s="549"/>
      <c r="B692" s="554"/>
      <c r="C692" s="554"/>
      <c r="D692" s="554"/>
      <c r="E692" s="554"/>
      <c r="F692" s="561"/>
      <c r="G692" s="554"/>
      <c r="H692" s="554"/>
      <c r="I692" s="554"/>
      <c r="J692" s="554"/>
      <c r="K692" s="554"/>
      <c r="L692" s="554"/>
      <c r="M692" s="554"/>
      <c r="N692" s="554"/>
      <c r="O692" s="554"/>
      <c r="P692" s="554"/>
      <c r="Q692" s="554"/>
      <c r="R692" s="554"/>
      <c r="S692" s="554"/>
      <c r="T692" s="554"/>
      <c r="U692" s="554"/>
      <c r="V692" s="554"/>
      <c r="W692" s="554"/>
      <c r="X692" s="554"/>
      <c r="Y692" s="554"/>
      <c r="Z692" s="554"/>
      <c r="AA692" s="554"/>
      <c r="AB692" s="554"/>
      <c r="AC692" s="554"/>
      <c r="AD692" s="554"/>
      <c r="AE692" s="554"/>
      <c r="AF692" s="554"/>
      <c r="AG692" s="554"/>
    </row>
    <row r="693">
      <c r="A693" s="549"/>
      <c r="B693" s="554"/>
      <c r="C693" s="554"/>
      <c r="D693" s="554"/>
      <c r="E693" s="554"/>
      <c r="F693" s="561"/>
      <c r="G693" s="554"/>
      <c r="H693" s="554"/>
      <c r="I693" s="554"/>
      <c r="J693" s="554"/>
      <c r="K693" s="554"/>
      <c r="L693" s="554"/>
      <c r="M693" s="554"/>
      <c r="N693" s="554"/>
      <c r="O693" s="554"/>
      <c r="P693" s="554"/>
      <c r="Q693" s="554"/>
      <c r="R693" s="554"/>
      <c r="S693" s="554"/>
      <c r="T693" s="554"/>
      <c r="U693" s="554"/>
      <c r="V693" s="554"/>
      <c r="W693" s="554"/>
      <c r="X693" s="554"/>
      <c r="Y693" s="554"/>
      <c r="Z693" s="554"/>
      <c r="AA693" s="554"/>
      <c r="AB693" s="554"/>
      <c r="AC693" s="554"/>
      <c r="AD693" s="554"/>
      <c r="AE693" s="554"/>
      <c r="AF693" s="554"/>
      <c r="AG693" s="554"/>
    </row>
    <row r="694">
      <c r="A694" s="549"/>
      <c r="B694" s="554"/>
      <c r="C694" s="554"/>
      <c r="D694" s="554"/>
      <c r="E694" s="554"/>
      <c r="F694" s="561"/>
      <c r="G694" s="554"/>
      <c r="H694" s="554"/>
      <c r="I694" s="554"/>
      <c r="J694" s="554"/>
      <c r="K694" s="554"/>
      <c r="L694" s="554"/>
      <c r="M694" s="554"/>
      <c r="N694" s="554"/>
      <c r="O694" s="554"/>
      <c r="P694" s="554"/>
      <c r="Q694" s="554"/>
      <c r="R694" s="554"/>
      <c r="S694" s="554"/>
      <c r="T694" s="554"/>
      <c r="U694" s="554"/>
      <c r="V694" s="554"/>
      <c r="W694" s="554"/>
      <c r="X694" s="554"/>
      <c r="Y694" s="554"/>
      <c r="Z694" s="554"/>
      <c r="AA694" s="554"/>
      <c r="AB694" s="554"/>
      <c r="AC694" s="554"/>
      <c r="AD694" s="554"/>
      <c r="AE694" s="554"/>
      <c r="AF694" s="554"/>
      <c r="AG694" s="554"/>
    </row>
    <row r="695">
      <c r="A695" s="549"/>
      <c r="B695" s="554"/>
      <c r="C695" s="554"/>
      <c r="D695" s="554"/>
      <c r="E695" s="554"/>
      <c r="F695" s="561"/>
      <c r="G695" s="554"/>
      <c r="H695" s="554"/>
      <c r="I695" s="554"/>
      <c r="J695" s="554"/>
      <c r="K695" s="554"/>
      <c r="L695" s="554"/>
      <c r="M695" s="554"/>
      <c r="N695" s="554"/>
      <c r="O695" s="554"/>
      <c r="P695" s="554"/>
      <c r="Q695" s="554"/>
      <c r="R695" s="554"/>
      <c r="S695" s="554"/>
      <c r="T695" s="554"/>
      <c r="U695" s="554"/>
      <c r="V695" s="554"/>
      <c r="W695" s="554"/>
      <c r="X695" s="554"/>
      <c r="Y695" s="554"/>
      <c r="Z695" s="554"/>
      <c r="AA695" s="554"/>
      <c r="AB695" s="554"/>
      <c r="AC695" s="554"/>
      <c r="AD695" s="554"/>
      <c r="AE695" s="554"/>
      <c r="AF695" s="554"/>
      <c r="AG695" s="554"/>
    </row>
    <row r="696">
      <c r="A696" s="549"/>
      <c r="B696" s="554"/>
      <c r="C696" s="554"/>
      <c r="D696" s="554"/>
      <c r="E696" s="554"/>
      <c r="F696" s="561"/>
      <c r="G696" s="554"/>
      <c r="H696" s="554"/>
      <c r="I696" s="554"/>
      <c r="J696" s="554"/>
      <c r="K696" s="554"/>
      <c r="L696" s="554"/>
      <c r="M696" s="554"/>
      <c r="N696" s="554"/>
      <c r="O696" s="554"/>
      <c r="P696" s="554"/>
      <c r="Q696" s="554"/>
      <c r="R696" s="554"/>
      <c r="S696" s="554"/>
      <c r="T696" s="554"/>
      <c r="U696" s="554"/>
      <c r="V696" s="554"/>
      <c r="W696" s="554"/>
      <c r="X696" s="554"/>
      <c r="Y696" s="554"/>
      <c r="Z696" s="554"/>
      <c r="AA696" s="554"/>
      <c r="AB696" s="554"/>
      <c r="AC696" s="554"/>
      <c r="AD696" s="554"/>
      <c r="AE696" s="554"/>
      <c r="AF696" s="554"/>
      <c r="AG696" s="554"/>
    </row>
    <row r="697">
      <c r="A697" s="549"/>
      <c r="B697" s="554"/>
      <c r="C697" s="554"/>
      <c r="D697" s="554"/>
      <c r="E697" s="554"/>
      <c r="F697" s="561"/>
      <c r="G697" s="554"/>
      <c r="H697" s="554"/>
      <c r="I697" s="554"/>
      <c r="J697" s="554"/>
      <c r="K697" s="554"/>
      <c r="L697" s="554"/>
      <c r="M697" s="554"/>
      <c r="N697" s="554"/>
      <c r="O697" s="554"/>
      <c r="P697" s="554"/>
      <c r="Q697" s="554"/>
      <c r="R697" s="554"/>
      <c r="S697" s="554"/>
      <c r="T697" s="554"/>
      <c r="U697" s="554"/>
      <c r="V697" s="554"/>
      <c r="W697" s="554"/>
      <c r="X697" s="554"/>
      <c r="Y697" s="554"/>
      <c r="Z697" s="554"/>
      <c r="AA697" s="554"/>
      <c r="AB697" s="554"/>
      <c r="AC697" s="554"/>
      <c r="AD697" s="554"/>
      <c r="AE697" s="554"/>
      <c r="AF697" s="554"/>
      <c r="AG697" s="554"/>
    </row>
    <row r="698">
      <c r="A698" s="549"/>
      <c r="B698" s="554"/>
      <c r="C698" s="554"/>
      <c r="D698" s="554"/>
      <c r="E698" s="554"/>
      <c r="F698" s="561"/>
      <c r="G698" s="554"/>
      <c r="H698" s="554"/>
      <c r="I698" s="554"/>
      <c r="J698" s="554"/>
      <c r="K698" s="554"/>
      <c r="L698" s="554"/>
      <c r="M698" s="554"/>
      <c r="N698" s="554"/>
      <c r="O698" s="554"/>
      <c r="P698" s="554"/>
      <c r="Q698" s="554"/>
      <c r="R698" s="554"/>
      <c r="S698" s="554"/>
      <c r="T698" s="554"/>
      <c r="U698" s="554"/>
      <c r="V698" s="554"/>
      <c r="W698" s="554"/>
      <c r="X698" s="554"/>
      <c r="Y698" s="554"/>
      <c r="Z698" s="554"/>
      <c r="AA698" s="554"/>
      <c r="AB698" s="554"/>
      <c r="AC698" s="554"/>
      <c r="AD698" s="554"/>
      <c r="AE698" s="554"/>
      <c r="AF698" s="554"/>
      <c r="AG698" s="554"/>
    </row>
    <row r="699">
      <c r="A699" s="549"/>
      <c r="B699" s="554"/>
      <c r="C699" s="554"/>
      <c r="D699" s="554"/>
      <c r="E699" s="554"/>
      <c r="F699" s="561"/>
      <c r="G699" s="554"/>
      <c r="H699" s="554"/>
      <c r="I699" s="554"/>
      <c r="J699" s="554"/>
      <c r="K699" s="554"/>
      <c r="L699" s="554"/>
      <c r="M699" s="554"/>
      <c r="N699" s="554"/>
      <c r="O699" s="554"/>
      <c r="P699" s="554"/>
      <c r="Q699" s="554"/>
      <c r="R699" s="554"/>
      <c r="S699" s="554"/>
      <c r="T699" s="554"/>
      <c r="U699" s="554"/>
      <c r="V699" s="554"/>
      <c r="W699" s="554"/>
      <c r="X699" s="554"/>
      <c r="Y699" s="554"/>
      <c r="Z699" s="554"/>
      <c r="AA699" s="554"/>
      <c r="AB699" s="554"/>
      <c r="AC699" s="554"/>
      <c r="AD699" s="554"/>
      <c r="AE699" s="554"/>
      <c r="AF699" s="554"/>
      <c r="AG699" s="554"/>
    </row>
    <row r="700">
      <c r="A700" s="549"/>
      <c r="B700" s="554"/>
      <c r="C700" s="554"/>
      <c r="D700" s="554"/>
      <c r="E700" s="554"/>
      <c r="F700" s="561"/>
      <c r="G700" s="554"/>
      <c r="H700" s="554"/>
      <c r="I700" s="554"/>
      <c r="J700" s="554"/>
      <c r="K700" s="554"/>
      <c r="L700" s="554"/>
      <c r="M700" s="554"/>
      <c r="N700" s="554"/>
      <c r="O700" s="554"/>
      <c r="P700" s="554"/>
      <c r="Q700" s="554"/>
      <c r="R700" s="554"/>
      <c r="S700" s="554"/>
      <c r="T700" s="554"/>
      <c r="U700" s="554"/>
      <c r="V700" s="554"/>
      <c r="W700" s="554"/>
      <c r="X700" s="554"/>
      <c r="Y700" s="554"/>
      <c r="Z700" s="554"/>
      <c r="AA700" s="554"/>
      <c r="AB700" s="554"/>
      <c r="AC700" s="554"/>
      <c r="AD700" s="554"/>
      <c r="AE700" s="554"/>
      <c r="AF700" s="554"/>
      <c r="AG700" s="554"/>
    </row>
    <row r="701">
      <c r="A701" s="549"/>
      <c r="B701" s="554"/>
      <c r="C701" s="554"/>
      <c r="D701" s="554"/>
      <c r="E701" s="554"/>
      <c r="F701" s="561"/>
      <c r="G701" s="554"/>
      <c r="H701" s="554"/>
      <c r="I701" s="554"/>
      <c r="J701" s="554"/>
      <c r="K701" s="554"/>
      <c r="L701" s="554"/>
      <c r="M701" s="554"/>
      <c r="N701" s="554"/>
      <c r="O701" s="554"/>
      <c r="P701" s="554"/>
      <c r="Q701" s="554"/>
      <c r="R701" s="554"/>
      <c r="S701" s="554"/>
      <c r="T701" s="554"/>
      <c r="U701" s="554"/>
      <c r="V701" s="554"/>
      <c r="W701" s="554"/>
      <c r="X701" s="554"/>
      <c r="Y701" s="554"/>
      <c r="Z701" s="554"/>
      <c r="AA701" s="554"/>
      <c r="AB701" s="554"/>
      <c r="AC701" s="554"/>
      <c r="AD701" s="554"/>
      <c r="AE701" s="554"/>
      <c r="AF701" s="554"/>
      <c r="AG701" s="554"/>
    </row>
    <row r="702">
      <c r="A702" s="549"/>
      <c r="B702" s="554"/>
      <c r="C702" s="554"/>
      <c r="D702" s="554"/>
      <c r="E702" s="554"/>
      <c r="F702" s="561"/>
      <c r="G702" s="554"/>
      <c r="H702" s="554"/>
      <c r="I702" s="554"/>
      <c r="J702" s="554"/>
      <c r="K702" s="554"/>
      <c r="L702" s="554"/>
      <c r="M702" s="554"/>
      <c r="N702" s="554"/>
      <c r="O702" s="554"/>
      <c r="P702" s="554"/>
      <c r="Q702" s="554"/>
      <c r="R702" s="554"/>
      <c r="S702" s="554"/>
      <c r="T702" s="554"/>
      <c r="U702" s="554"/>
      <c r="V702" s="554"/>
      <c r="W702" s="554"/>
      <c r="X702" s="554"/>
      <c r="Y702" s="554"/>
      <c r="Z702" s="554"/>
      <c r="AA702" s="554"/>
      <c r="AB702" s="554"/>
      <c r="AC702" s="554"/>
      <c r="AD702" s="554"/>
      <c r="AE702" s="554"/>
      <c r="AF702" s="554"/>
      <c r="AG702" s="554"/>
    </row>
    <row r="703">
      <c r="A703" s="549"/>
      <c r="B703" s="554"/>
      <c r="C703" s="554"/>
      <c r="D703" s="554"/>
      <c r="E703" s="554"/>
      <c r="F703" s="561"/>
      <c r="G703" s="554"/>
      <c r="H703" s="554"/>
      <c r="I703" s="554"/>
      <c r="J703" s="554"/>
      <c r="K703" s="554"/>
      <c r="L703" s="554"/>
      <c r="M703" s="554"/>
      <c r="N703" s="554"/>
      <c r="O703" s="554"/>
      <c r="P703" s="554"/>
      <c r="Q703" s="554"/>
      <c r="R703" s="554"/>
      <c r="S703" s="554"/>
      <c r="T703" s="554"/>
      <c r="U703" s="554"/>
      <c r="V703" s="554"/>
      <c r="W703" s="554"/>
      <c r="X703" s="554"/>
      <c r="Y703" s="554"/>
      <c r="Z703" s="554"/>
      <c r="AA703" s="554"/>
      <c r="AB703" s="554"/>
      <c r="AC703" s="554"/>
      <c r="AD703" s="554"/>
      <c r="AE703" s="554"/>
      <c r="AF703" s="554"/>
      <c r="AG703" s="554"/>
    </row>
    <row r="704">
      <c r="A704" s="549"/>
      <c r="B704" s="554"/>
      <c r="C704" s="554"/>
      <c r="D704" s="554"/>
      <c r="E704" s="554"/>
      <c r="F704" s="561"/>
      <c r="G704" s="554"/>
      <c r="H704" s="554"/>
      <c r="I704" s="554"/>
      <c r="J704" s="554"/>
      <c r="K704" s="554"/>
      <c r="L704" s="554"/>
      <c r="M704" s="554"/>
      <c r="N704" s="554"/>
      <c r="O704" s="554"/>
      <c r="P704" s="554"/>
      <c r="Q704" s="554"/>
      <c r="R704" s="554"/>
      <c r="S704" s="554"/>
      <c r="T704" s="554"/>
      <c r="U704" s="554"/>
      <c r="V704" s="554"/>
      <c r="W704" s="554"/>
      <c r="X704" s="554"/>
      <c r="Y704" s="554"/>
      <c r="Z704" s="554"/>
      <c r="AA704" s="554"/>
      <c r="AB704" s="554"/>
      <c r="AC704" s="554"/>
      <c r="AD704" s="554"/>
      <c r="AE704" s="554"/>
      <c r="AF704" s="554"/>
      <c r="AG704" s="554"/>
    </row>
    <row r="705">
      <c r="A705" s="549"/>
      <c r="B705" s="554"/>
      <c r="C705" s="554"/>
      <c r="D705" s="554"/>
      <c r="E705" s="554"/>
      <c r="F705" s="561"/>
      <c r="G705" s="554"/>
      <c r="H705" s="554"/>
      <c r="I705" s="554"/>
      <c r="J705" s="554"/>
      <c r="K705" s="554"/>
      <c r="L705" s="554"/>
      <c r="M705" s="554"/>
      <c r="N705" s="554"/>
      <c r="O705" s="554"/>
      <c r="P705" s="554"/>
      <c r="Q705" s="554"/>
      <c r="R705" s="554"/>
      <c r="S705" s="554"/>
      <c r="T705" s="554"/>
      <c r="U705" s="554"/>
      <c r="V705" s="554"/>
      <c r="W705" s="554"/>
      <c r="X705" s="554"/>
      <c r="Y705" s="554"/>
      <c r="Z705" s="554"/>
      <c r="AA705" s="554"/>
      <c r="AB705" s="554"/>
      <c r="AC705" s="554"/>
      <c r="AD705" s="554"/>
      <c r="AE705" s="554"/>
      <c r="AF705" s="554"/>
      <c r="AG705" s="554"/>
    </row>
    <row r="706">
      <c r="A706" s="549"/>
      <c r="B706" s="554"/>
      <c r="C706" s="554"/>
      <c r="D706" s="554"/>
      <c r="E706" s="554"/>
      <c r="F706" s="561"/>
      <c r="G706" s="554"/>
      <c r="H706" s="554"/>
      <c r="I706" s="554"/>
      <c r="J706" s="554"/>
      <c r="K706" s="554"/>
      <c r="L706" s="554"/>
      <c r="M706" s="554"/>
      <c r="N706" s="554"/>
      <c r="O706" s="554"/>
      <c r="P706" s="554"/>
      <c r="Q706" s="554"/>
      <c r="R706" s="554"/>
      <c r="S706" s="554"/>
      <c r="T706" s="554"/>
      <c r="U706" s="554"/>
      <c r="V706" s="554"/>
      <c r="W706" s="554"/>
      <c r="X706" s="554"/>
      <c r="Y706" s="554"/>
      <c r="Z706" s="554"/>
      <c r="AA706" s="554"/>
      <c r="AB706" s="554"/>
      <c r="AC706" s="554"/>
      <c r="AD706" s="554"/>
      <c r="AE706" s="554"/>
      <c r="AF706" s="554"/>
      <c r="AG706" s="554"/>
    </row>
    <row r="707">
      <c r="A707" s="549"/>
      <c r="B707" s="554"/>
      <c r="C707" s="554"/>
      <c r="D707" s="554"/>
      <c r="E707" s="554"/>
      <c r="F707" s="561"/>
      <c r="G707" s="554"/>
      <c r="H707" s="554"/>
      <c r="I707" s="554"/>
      <c r="J707" s="554"/>
      <c r="K707" s="554"/>
      <c r="L707" s="554"/>
      <c r="M707" s="554"/>
      <c r="N707" s="554"/>
      <c r="O707" s="554"/>
      <c r="P707" s="554"/>
      <c r="Q707" s="554"/>
      <c r="R707" s="554"/>
      <c r="S707" s="554"/>
      <c r="T707" s="554"/>
      <c r="U707" s="554"/>
      <c r="V707" s="554"/>
      <c r="W707" s="554"/>
      <c r="X707" s="554"/>
      <c r="Y707" s="554"/>
      <c r="Z707" s="554"/>
      <c r="AA707" s="554"/>
      <c r="AB707" s="554"/>
      <c r="AC707" s="554"/>
      <c r="AD707" s="554"/>
      <c r="AE707" s="554"/>
      <c r="AF707" s="554"/>
      <c r="AG707" s="554"/>
    </row>
    <row r="708">
      <c r="A708" s="549"/>
      <c r="B708" s="554"/>
      <c r="C708" s="554"/>
      <c r="D708" s="554"/>
      <c r="E708" s="554"/>
      <c r="F708" s="561"/>
      <c r="G708" s="554"/>
      <c r="H708" s="554"/>
      <c r="I708" s="554"/>
      <c r="J708" s="554"/>
      <c r="K708" s="554"/>
      <c r="L708" s="554"/>
      <c r="M708" s="554"/>
      <c r="N708" s="554"/>
      <c r="O708" s="554"/>
      <c r="P708" s="554"/>
      <c r="Q708" s="554"/>
      <c r="R708" s="554"/>
      <c r="S708" s="554"/>
      <c r="T708" s="554"/>
      <c r="U708" s="554"/>
      <c r="V708" s="554"/>
      <c r="W708" s="554"/>
      <c r="X708" s="554"/>
      <c r="Y708" s="554"/>
      <c r="Z708" s="554"/>
      <c r="AA708" s="554"/>
      <c r="AB708" s="554"/>
      <c r="AC708" s="554"/>
      <c r="AD708" s="554"/>
      <c r="AE708" s="554"/>
      <c r="AF708" s="554"/>
      <c r="AG708" s="554"/>
    </row>
    <row r="709">
      <c r="A709" s="549"/>
      <c r="B709" s="554"/>
      <c r="C709" s="554"/>
      <c r="D709" s="554"/>
      <c r="E709" s="554"/>
      <c r="F709" s="561"/>
      <c r="G709" s="554"/>
      <c r="H709" s="554"/>
      <c r="I709" s="554"/>
      <c r="J709" s="554"/>
      <c r="K709" s="554"/>
      <c r="L709" s="554"/>
      <c r="M709" s="554"/>
      <c r="N709" s="554"/>
      <c r="O709" s="554"/>
      <c r="P709" s="554"/>
      <c r="Q709" s="554"/>
      <c r="R709" s="554"/>
      <c r="S709" s="554"/>
      <c r="T709" s="554"/>
      <c r="U709" s="554"/>
      <c r="V709" s="554"/>
      <c r="W709" s="554"/>
      <c r="X709" s="554"/>
      <c r="Y709" s="554"/>
      <c r="Z709" s="554"/>
      <c r="AA709" s="554"/>
      <c r="AB709" s="554"/>
      <c r="AC709" s="554"/>
      <c r="AD709" s="554"/>
      <c r="AE709" s="554"/>
      <c r="AF709" s="554"/>
      <c r="AG709" s="554"/>
    </row>
    <row r="710">
      <c r="A710" s="549"/>
      <c r="B710" s="554"/>
      <c r="C710" s="554"/>
      <c r="D710" s="554"/>
      <c r="E710" s="554"/>
      <c r="F710" s="561"/>
      <c r="G710" s="554"/>
      <c r="H710" s="554"/>
      <c r="I710" s="554"/>
      <c r="J710" s="554"/>
      <c r="K710" s="554"/>
      <c r="L710" s="554"/>
      <c r="M710" s="554"/>
      <c r="N710" s="554"/>
      <c r="O710" s="554"/>
      <c r="P710" s="554"/>
      <c r="Q710" s="554"/>
      <c r="R710" s="554"/>
      <c r="S710" s="554"/>
      <c r="T710" s="554"/>
      <c r="U710" s="554"/>
      <c r="V710" s="554"/>
      <c r="W710" s="554"/>
      <c r="X710" s="554"/>
      <c r="Y710" s="554"/>
      <c r="Z710" s="554"/>
      <c r="AA710" s="554"/>
      <c r="AB710" s="554"/>
      <c r="AC710" s="554"/>
      <c r="AD710" s="554"/>
      <c r="AE710" s="554"/>
      <c r="AF710" s="554"/>
      <c r="AG710" s="554"/>
    </row>
    <row r="711">
      <c r="A711" s="549"/>
      <c r="B711" s="554"/>
      <c r="C711" s="554"/>
      <c r="D711" s="554"/>
      <c r="E711" s="554"/>
      <c r="F711" s="561"/>
      <c r="G711" s="554"/>
      <c r="H711" s="554"/>
      <c r="I711" s="554"/>
      <c r="J711" s="554"/>
      <c r="K711" s="554"/>
      <c r="L711" s="554"/>
      <c r="M711" s="554"/>
      <c r="N711" s="554"/>
      <c r="O711" s="554"/>
      <c r="P711" s="554"/>
      <c r="Q711" s="554"/>
      <c r="R711" s="554"/>
      <c r="S711" s="554"/>
      <c r="T711" s="554"/>
      <c r="U711" s="554"/>
      <c r="V711" s="554"/>
      <c r="W711" s="554"/>
      <c r="X711" s="554"/>
      <c r="Y711" s="554"/>
      <c r="Z711" s="554"/>
      <c r="AA711" s="554"/>
      <c r="AB711" s="554"/>
      <c r="AC711" s="554"/>
      <c r="AD711" s="554"/>
      <c r="AE711" s="554"/>
      <c r="AF711" s="554"/>
      <c r="AG711" s="554"/>
    </row>
    <row r="712">
      <c r="A712" s="549"/>
      <c r="B712" s="554"/>
      <c r="C712" s="554"/>
      <c r="D712" s="554"/>
      <c r="E712" s="554"/>
      <c r="F712" s="561"/>
      <c r="G712" s="554"/>
      <c r="H712" s="554"/>
      <c r="I712" s="554"/>
      <c r="J712" s="554"/>
      <c r="K712" s="554"/>
      <c r="L712" s="554"/>
      <c r="M712" s="554"/>
      <c r="N712" s="554"/>
      <c r="O712" s="554"/>
      <c r="P712" s="554"/>
      <c r="Q712" s="554"/>
      <c r="R712" s="554"/>
      <c r="S712" s="554"/>
      <c r="T712" s="554"/>
      <c r="U712" s="554"/>
      <c r="V712" s="554"/>
      <c r="W712" s="554"/>
      <c r="X712" s="554"/>
      <c r="Y712" s="554"/>
      <c r="Z712" s="554"/>
      <c r="AA712" s="554"/>
      <c r="AB712" s="554"/>
      <c r="AC712" s="554"/>
      <c r="AD712" s="554"/>
      <c r="AE712" s="554"/>
      <c r="AF712" s="554"/>
      <c r="AG712" s="554"/>
    </row>
    <row r="713">
      <c r="A713" s="549"/>
      <c r="B713" s="554"/>
      <c r="C713" s="554"/>
      <c r="D713" s="554"/>
      <c r="E713" s="554"/>
      <c r="F713" s="561"/>
      <c r="G713" s="554"/>
      <c r="H713" s="554"/>
      <c r="I713" s="554"/>
      <c r="J713" s="554"/>
      <c r="K713" s="554"/>
      <c r="L713" s="554"/>
      <c r="M713" s="554"/>
      <c r="N713" s="554"/>
      <c r="O713" s="554"/>
      <c r="P713" s="554"/>
      <c r="Q713" s="554"/>
      <c r="R713" s="554"/>
      <c r="S713" s="554"/>
      <c r="T713" s="554"/>
      <c r="U713" s="554"/>
      <c r="V713" s="554"/>
      <c r="W713" s="554"/>
      <c r="X713" s="554"/>
      <c r="Y713" s="554"/>
      <c r="Z713" s="554"/>
      <c r="AA713" s="554"/>
      <c r="AB713" s="554"/>
      <c r="AC713" s="554"/>
      <c r="AD713" s="554"/>
      <c r="AE713" s="554"/>
      <c r="AF713" s="554"/>
      <c r="AG713" s="554"/>
    </row>
    <row r="714">
      <c r="A714" s="549"/>
      <c r="B714" s="554"/>
      <c r="C714" s="554"/>
      <c r="D714" s="554"/>
      <c r="E714" s="554"/>
      <c r="F714" s="561"/>
      <c r="G714" s="554"/>
      <c r="H714" s="554"/>
      <c r="I714" s="554"/>
      <c r="J714" s="554"/>
      <c r="K714" s="554"/>
      <c r="L714" s="554"/>
      <c r="M714" s="554"/>
      <c r="N714" s="554"/>
      <c r="O714" s="554"/>
      <c r="P714" s="554"/>
      <c r="Q714" s="554"/>
      <c r="R714" s="554"/>
      <c r="S714" s="554"/>
      <c r="T714" s="554"/>
      <c r="U714" s="554"/>
      <c r="V714" s="554"/>
      <c r="W714" s="554"/>
      <c r="X714" s="554"/>
      <c r="Y714" s="554"/>
      <c r="Z714" s="554"/>
      <c r="AA714" s="554"/>
      <c r="AB714" s="554"/>
      <c r="AC714" s="554"/>
      <c r="AD714" s="554"/>
      <c r="AE714" s="554"/>
      <c r="AF714" s="554"/>
      <c r="AG714" s="554"/>
    </row>
    <row r="715">
      <c r="A715" s="549"/>
      <c r="B715" s="554"/>
      <c r="C715" s="554"/>
      <c r="D715" s="554"/>
      <c r="E715" s="554"/>
      <c r="F715" s="561"/>
      <c r="G715" s="554"/>
      <c r="H715" s="554"/>
      <c r="I715" s="554"/>
      <c r="J715" s="554"/>
      <c r="K715" s="554"/>
      <c r="L715" s="554"/>
      <c r="M715" s="554"/>
      <c r="N715" s="554"/>
      <c r="O715" s="554"/>
      <c r="P715" s="554"/>
      <c r="Q715" s="554"/>
      <c r="R715" s="554"/>
      <c r="S715" s="554"/>
      <c r="T715" s="554"/>
      <c r="U715" s="554"/>
      <c r="V715" s="554"/>
      <c r="W715" s="554"/>
      <c r="X715" s="554"/>
      <c r="Y715" s="554"/>
      <c r="Z715" s="554"/>
      <c r="AA715" s="554"/>
      <c r="AB715" s="554"/>
      <c r="AC715" s="554"/>
      <c r="AD715" s="554"/>
      <c r="AE715" s="554"/>
      <c r="AF715" s="554"/>
      <c r="AG715" s="554"/>
    </row>
    <row r="716">
      <c r="A716" s="549"/>
      <c r="B716" s="554"/>
      <c r="C716" s="554"/>
      <c r="D716" s="554"/>
      <c r="E716" s="554"/>
      <c r="F716" s="561"/>
      <c r="G716" s="554"/>
      <c r="H716" s="554"/>
      <c r="I716" s="554"/>
      <c r="J716" s="554"/>
      <c r="K716" s="554"/>
      <c r="L716" s="554"/>
      <c r="M716" s="554"/>
      <c r="N716" s="554"/>
      <c r="O716" s="554"/>
      <c r="P716" s="554"/>
      <c r="Q716" s="554"/>
      <c r="R716" s="554"/>
      <c r="S716" s="554"/>
      <c r="T716" s="554"/>
      <c r="U716" s="554"/>
      <c r="V716" s="554"/>
      <c r="W716" s="554"/>
      <c r="X716" s="554"/>
      <c r="Y716" s="554"/>
      <c r="Z716" s="554"/>
      <c r="AA716" s="554"/>
      <c r="AB716" s="554"/>
      <c r="AC716" s="554"/>
      <c r="AD716" s="554"/>
      <c r="AE716" s="554"/>
      <c r="AF716" s="554"/>
      <c r="AG716" s="554"/>
    </row>
    <row r="717">
      <c r="A717" s="549"/>
      <c r="B717" s="554"/>
      <c r="C717" s="554"/>
      <c r="D717" s="554"/>
      <c r="E717" s="554"/>
      <c r="F717" s="561"/>
      <c r="G717" s="554"/>
      <c r="H717" s="554"/>
      <c r="I717" s="554"/>
      <c r="J717" s="554"/>
      <c r="K717" s="554"/>
      <c r="L717" s="554"/>
      <c r="M717" s="554"/>
      <c r="N717" s="554"/>
      <c r="O717" s="554"/>
      <c r="P717" s="554"/>
      <c r="Q717" s="554"/>
      <c r="R717" s="554"/>
      <c r="S717" s="554"/>
      <c r="T717" s="554"/>
      <c r="U717" s="554"/>
      <c r="V717" s="554"/>
      <c r="W717" s="554"/>
      <c r="X717" s="554"/>
      <c r="Y717" s="554"/>
      <c r="Z717" s="554"/>
      <c r="AA717" s="554"/>
      <c r="AB717" s="554"/>
      <c r="AC717" s="554"/>
      <c r="AD717" s="554"/>
      <c r="AE717" s="554"/>
      <c r="AF717" s="554"/>
      <c r="AG717" s="554"/>
    </row>
    <row r="718">
      <c r="A718" s="549"/>
      <c r="B718" s="554"/>
      <c r="C718" s="554"/>
      <c r="D718" s="554"/>
      <c r="E718" s="554"/>
      <c r="F718" s="561"/>
      <c r="G718" s="554"/>
      <c r="H718" s="554"/>
      <c r="I718" s="554"/>
      <c r="J718" s="554"/>
      <c r="K718" s="554"/>
      <c r="L718" s="554"/>
      <c r="M718" s="554"/>
      <c r="N718" s="554"/>
      <c r="O718" s="554"/>
      <c r="P718" s="554"/>
      <c r="Q718" s="554"/>
      <c r="R718" s="554"/>
      <c r="S718" s="554"/>
      <c r="T718" s="554"/>
      <c r="U718" s="554"/>
      <c r="V718" s="554"/>
      <c r="W718" s="554"/>
      <c r="X718" s="554"/>
      <c r="Y718" s="554"/>
      <c r="Z718" s="554"/>
      <c r="AA718" s="554"/>
      <c r="AB718" s="554"/>
      <c r="AC718" s="554"/>
      <c r="AD718" s="554"/>
      <c r="AE718" s="554"/>
      <c r="AF718" s="554"/>
      <c r="AG718" s="554"/>
    </row>
    <row r="719">
      <c r="A719" s="549"/>
      <c r="B719" s="554"/>
      <c r="C719" s="554"/>
      <c r="D719" s="554"/>
      <c r="E719" s="554"/>
      <c r="F719" s="561"/>
      <c r="G719" s="554"/>
      <c r="H719" s="554"/>
      <c r="I719" s="554"/>
      <c r="J719" s="554"/>
      <c r="K719" s="554"/>
      <c r="L719" s="554"/>
      <c r="M719" s="554"/>
      <c r="N719" s="554"/>
      <c r="O719" s="554"/>
      <c r="P719" s="554"/>
      <c r="Q719" s="554"/>
      <c r="R719" s="554"/>
      <c r="S719" s="554"/>
      <c r="T719" s="554"/>
      <c r="U719" s="554"/>
      <c r="V719" s="554"/>
      <c r="W719" s="554"/>
      <c r="X719" s="554"/>
      <c r="Y719" s="554"/>
      <c r="Z719" s="554"/>
      <c r="AA719" s="554"/>
      <c r="AB719" s="554"/>
      <c r="AC719" s="554"/>
      <c r="AD719" s="554"/>
      <c r="AE719" s="554"/>
      <c r="AF719" s="554"/>
      <c r="AG719" s="554"/>
    </row>
    <row r="720">
      <c r="A720" s="549"/>
      <c r="B720" s="554"/>
      <c r="C720" s="554"/>
      <c r="D720" s="554"/>
      <c r="E720" s="554"/>
      <c r="F720" s="561"/>
      <c r="G720" s="554"/>
      <c r="H720" s="554"/>
      <c r="I720" s="554"/>
      <c r="J720" s="554"/>
      <c r="K720" s="554"/>
      <c r="L720" s="554"/>
      <c r="M720" s="554"/>
      <c r="N720" s="554"/>
      <c r="O720" s="554"/>
      <c r="P720" s="554"/>
      <c r="Q720" s="554"/>
      <c r="R720" s="554"/>
      <c r="S720" s="554"/>
      <c r="T720" s="554"/>
      <c r="U720" s="554"/>
      <c r="V720" s="554"/>
      <c r="W720" s="554"/>
      <c r="X720" s="554"/>
      <c r="Y720" s="554"/>
      <c r="Z720" s="554"/>
      <c r="AA720" s="554"/>
      <c r="AB720" s="554"/>
      <c r="AC720" s="554"/>
      <c r="AD720" s="554"/>
      <c r="AE720" s="554"/>
      <c r="AF720" s="554"/>
      <c r="AG720" s="554"/>
    </row>
    <row r="721">
      <c r="A721" s="549"/>
      <c r="B721" s="554"/>
      <c r="C721" s="554"/>
      <c r="D721" s="554"/>
      <c r="E721" s="554"/>
      <c r="F721" s="561"/>
      <c r="G721" s="554"/>
      <c r="H721" s="554"/>
      <c r="I721" s="554"/>
      <c r="J721" s="554"/>
      <c r="K721" s="554"/>
      <c r="L721" s="554"/>
      <c r="M721" s="554"/>
      <c r="N721" s="554"/>
      <c r="O721" s="554"/>
      <c r="P721" s="554"/>
      <c r="Q721" s="554"/>
      <c r="R721" s="554"/>
      <c r="S721" s="554"/>
      <c r="T721" s="554"/>
      <c r="U721" s="554"/>
      <c r="V721" s="554"/>
      <c r="W721" s="554"/>
      <c r="X721" s="554"/>
      <c r="Y721" s="554"/>
      <c r="Z721" s="554"/>
      <c r="AA721" s="554"/>
      <c r="AB721" s="554"/>
      <c r="AC721" s="554"/>
      <c r="AD721" s="554"/>
      <c r="AE721" s="554"/>
      <c r="AF721" s="554"/>
      <c r="AG721" s="554"/>
    </row>
    <row r="722">
      <c r="A722" s="549"/>
      <c r="B722" s="554"/>
      <c r="C722" s="554"/>
      <c r="D722" s="554"/>
      <c r="E722" s="554"/>
      <c r="F722" s="561"/>
      <c r="G722" s="554"/>
      <c r="H722" s="554"/>
      <c r="I722" s="554"/>
      <c r="J722" s="554"/>
      <c r="K722" s="554"/>
      <c r="L722" s="554"/>
      <c r="M722" s="554"/>
      <c r="N722" s="554"/>
      <c r="O722" s="554"/>
      <c r="P722" s="554"/>
      <c r="Q722" s="554"/>
      <c r="R722" s="554"/>
      <c r="S722" s="554"/>
      <c r="T722" s="554"/>
      <c r="U722" s="554"/>
      <c r="V722" s="554"/>
      <c r="W722" s="554"/>
      <c r="X722" s="554"/>
      <c r="Y722" s="554"/>
      <c r="Z722" s="554"/>
      <c r="AA722" s="554"/>
      <c r="AB722" s="554"/>
      <c r="AC722" s="554"/>
      <c r="AD722" s="554"/>
      <c r="AE722" s="554"/>
      <c r="AF722" s="554"/>
      <c r="AG722" s="554"/>
    </row>
    <row r="723">
      <c r="A723" s="549"/>
      <c r="B723" s="554"/>
      <c r="C723" s="554"/>
      <c r="D723" s="554"/>
      <c r="E723" s="554"/>
      <c r="F723" s="561"/>
      <c r="G723" s="554"/>
      <c r="H723" s="554"/>
      <c r="I723" s="554"/>
      <c r="J723" s="554"/>
      <c r="K723" s="554"/>
      <c r="L723" s="554"/>
      <c r="M723" s="554"/>
      <c r="N723" s="554"/>
      <c r="O723" s="554"/>
      <c r="P723" s="554"/>
      <c r="Q723" s="554"/>
      <c r="R723" s="554"/>
      <c r="S723" s="554"/>
      <c r="T723" s="554"/>
      <c r="U723" s="554"/>
      <c r="V723" s="554"/>
      <c r="W723" s="554"/>
      <c r="X723" s="554"/>
      <c r="Y723" s="554"/>
      <c r="Z723" s="554"/>
      <c r="AA723" s="554"/>
      <c r="AB723" s="554"/>
      <c r="AC723" s="554"/>
      <c r="AD723" s="554"/>
      <c r="AE723" s="554"/>
      <c r="AF723" s="554"/>
      <c r="AG723" s="554"/>
    </row>
    <row r="724">
      <c r="A724" s="549"/>
      <c r="B724" s="554"/>
      <c r="C724" s="554"/>
      <c r="D724" s="554"/>
      <c r="E724" s="554"/>
      <c r="F724" s="561"/>
      <c r="G724" s="554"/>
      <c r="H724" s="554"/>
      <c r="I724" s="554"/>
      <c r="J724" s="554"/>
      <c r="K724" s="554"/>
      <c r="L724" s="554"/>
      <c r="M724" s="554"/>
      <c r="N724" s="554"/>
      <c r="O724" s="554"/>
      <c r="P724" s="554"/>
      <c r="Q724" s="554"/>
      <c r="R724" s="554"/>
      <c r="S724" s="554"/>
      <c r="T724" s="554"/>
      <c r="U724" s="554"/>
      <c r="V724" s="554"/>
      <c r="W724" s="554"/>
      <c r="X724" s="554"/>
      <c r="Y724" s="554"/>
      <c r="Z724" s="554"/>
      <c r="AA724" s="554"/>
      <c r="AB724" s="554"/>
      <c r="AC724" s="554"/>
      <c r="AD724" s="554"/>
      <c r="AE724" s="554"/>
      <c r="AF724" s="554"/>
      <c r="AG724" s="554"/>
    </row>
    <row r="725">
      <c r="A725" s="549"/>
      <c r="B725" s="554"/>
      <c r="C725" s="554"/>
      <c r="D725" s="554"/>
      <c r="E725" s="554"/>
      <c r="F725" s="561"/>
      <c r="G725" s="554"/>
      <c r="H725" s="554"/>
      <c r="I725" s="554"/>
      <c r="J725" s="554"/>
      <c r="K725" s="554"/>
      <c r="L725" s="554"/>
      <c r="M725" s="554"/>
      <c r="N725" s="554"/>
      <c r="O725" s="554"/>
      <c r="P725" s="554"/>
      <c r="Q725" s="554"/>
      <c r="R725" s="554"/>
      <c r="S725" s="554"/>
      <c r="T725" s="554"/>
      <c r="U725" s="554"/>
      <c r="V725" s="554"/>
      <c r="W725" s="554"/>
      <c r="X725" s="554"/>
      <c r="Y725" s="554"/>
      <c r="Z725" s="554"/>
      <c r="AA725" s="554"/>
      <c r="AB725" s="554"/>
      <c r="AC725" s="554"/>
      <c r="AD725" s="554"/>
      <c r="AE725" s="554"/>
      <c r="AF725" s="554"/>
      <c r="AG725" s="554"/>
    </row>
    <row r="726">
      <c r="A726" s="549"/>
      <c r="B726" s="554"/>
      <c r="C726" s="554"/>
      <c r="D726" s="554"/>
      <c r="E726" s="554"/>
      <c r="F726" s="561"/>
      <c r="G726" s="554"/>
      <c r="H726" s="554"/>
      <c r="I726" s="554"/>
      <c r="J726" s="554"/>
      <c r="K726" s="554"/>
      <c r="L726" s="554"/>
      <c r="M726" s="554"/>
      <c r="N726" s="554"/>
      <c r="O726" s="554"/>
      <c r="P726" s="554"/>
      <c r="Q726" s="554"/>
      <c r="R726" s="554"/>
      <c r="S726" s="554"/>
      <c r="T726" s="554"/>
      <c r="U726" s="554"/>
      <c r="V726" s="554"/>
      <c r="W726" s="554"/>
      <c r="X726" s="554"/>
      <c r="Y726" s="554"/>
      <c r="Z726" s="554"/>
      <c r="AA726" s="554"/>
      <c r="AB726" s="554"/>
      <c r="AC726" s="554"/>
      <c r="AD726" s="554"/>
      <c r="AE726" s="554"/>
      <c r="AF726" s="554"/>
      <c r="AG726" s="554"/>
    </row>
    <row r="727">
      <c r="A727" s="549"/>
      <c r="B727" s="554"/>
      <c r="C727" s="554"/>
      <c r="D727" s="554"/>
      <c r="E727" s="554"/>
      <c r="F727" s="561"/>
      <c r="G727" s="554"/>
      <c r="H727" s="554"/>
      <c r="I727" s="554"/>
      <c r="J727" s="554"/>
      <c r="K727" s="554"/>
      <c r="L727" s="554"/>
      <c r="M727" s="554"/>
      <c r="N727" s="554"/>
      <c r="O727" s="554"/>
      <c r="P727" s="554"/>
      <c r="Q727" s="554"/>
      <c r="R727" s="554"/>
      <c r="S727" s="554"/>
      <c r="T727" s="554"/>
      <c r="U727" s="554"/>
      <c r="V727" s="554"/>
      <c r="W727" s="554"/>
      <c r="X727" s="554"/>
      <c r="Y727" s="554"/>
      <c r="Z727" s="554"/>
      <c r="AA727" s="554"/>
      <c r="AB727" s="554"/>
      <c r="AC727" s="554"/>
      <c r="AD727" s="554"/>
      <c r="AE727" s="554"/>
      <c r="AF727" s="554"/>
      <c r="AG727" s="554"/>
    </row>
    <row r="728">
      <c r="A728" s="549"/>
      <c r="B728" s="554"/>
      <c r="C728" s="554"/>
      <c r="D728" s="554"/>
      <c r="E728" s="554"/>
      <c r="F728" s="561"/>
      <c r="G728" s="554"/>
      <c r="H728" s="554"/>
      <c r="I728" s="554"/>
      <c r="J728" s="554"/>
      <c r="K728" s="554"/>
      <c r="L728" s="554"/>
      <c r="M728" s="554"/>
      <c r="N728" s="554"/>
      <c r="O728" s="554"/>
      <c r="P728" s="554"/>
      <c r="Q728" s="554"/>
      <c r="R728" s="554"/>
      <c r="S728" s="554"/>
      <c r="T728" s="554"/>
      <c r="U728" s="554"/>
      <c r="V728" s="554"/>
      <c r="W728" s="554"/>
      <c r="X728" s="554"/>
      <c r="Y728" s="554"/>
      <c r="Z728" s="554"/>
      <c r="AA728" s="554"/>
      <c r="AB728" s="554"/>
      <c r="AC728" s="554"/>
      <c r="AD728" s="554"/>
      <c r="AE728" s="554"/>
      <c r="AF728" s="554"/>
      <c r="AG728" s="554"/>
    </row>
    <row r="729">
      <c r="A729" s="549"/>
      <c r="B729" s="554"/>
      <c r="C729" s="554"/>
      <c r="D729" s="554"/>
      <c r="E729" s="554"/>
      <c r="F729" s="561"/>
      <c r="G729" s="554"/>
      <c r="H729" s="554"/>
      <c r="I729" s="554"/>
      <c r="J729" s="554"/>
      <c r="K729" s="554"/>
      <c r="L729" s="554"/>
      <c r="M729" s="554"/>
      <c r="N729" s="554"/>
      <c r="O729" s="554"/>
      <c r="P729" s="554"/>
      <c r="Q729" s="554"/>
      <c r="R729" s="554"/>
      <c r="S729" s="554"/>
      <c r="T729" s="554"/>
      <c r="U729" s="554"/>
      <c r="V729" s="554"/>
      <c r="W729" s="554"/>
      <c r="X729" s="554"/>
      <c r="Y729" s="554"/>
      <c r="Z729" s="554"/>
      <c r="AA729" s="554"/>
      <c r="AB729" s="554"/>
      <c r="AC729" s="554"/>
      <c r="AD729" s="554"/>
      <c r="AE729" s="554"/>
      <c r="AF729" s="554"/>
      <c r="AG729" s="554"/>
    </row>
    <row r="730">
      <c r="A730" s="549"/>
      <c r="B730" s="554"/>
      <c r="C730" s="554"/>
      <c r="D730" s="554"/>
      <c r="E730" s="554"/>
      <c r="F730" s="561"/>
      <c r="G730" s="554"/>
      <c r="H730" s="554"/>
      <c r="I730" s="554"/>
      <c r="J730" s="554"/>
      <c r="K730" s="554"/>
      <c r="L730" s="554"/>
      <c r="M730" s="554"/>
      <c r="N730" s="554"/>
      <c r="O730" s="554"/>
      <c r="P730" s="554"/>
      <c r="Q730" s="554"/>
      <c r="R730" s="554"/>
      <c r="S730" s="554"/>
      <c r="T730" s="554"/>
      <c r="U730" s="554"/>
      <c r="V730" s="554"/>
      <c r="W730" s="554"/>
      <c r="X730" s="554"/>
      <c r="Y730" s="554"/>
      <c r="Z730" s="554"/>
      <c r="AA730" s="554"/>
      <c r="AB730" s="554"/>
      <c r="AC730" s="554"/>
      <c r="AD730" s="554"/>
      <c r="AE730" s="554"/>
      <c r="AF730" s="554"/>
      <c r="AG730" s="554"/>
    </row>
    <row r="731">
      <c r="A731" s="549"/>
      <c r="B731" s="554"/>
      <c r="C731" s="554"/>
      <c r="D731" s="554"/>
      <c r="E731" s="554"/>
      <c r="F731" s="561"/>
      <c r="G731" s="554"/>
      <c r="H731" s="554"/>
      <c r="I731" s="554"/>
      <c r="J731" s="554"/>
      <c r="K731" s="554"/>
      <c r="L731" s="554"/>
      <c r="M731" s="554"/>
      <c r="N731" s="554"/>
      <c r="O731" s="554"/>
      <c r="P731" s="554"/>
      <c r="Q731" s="554"/>
      <c r="R731" s="554"/>
      <c r="S731" s="554"/>
      <c r="T731" s="554"/>
      <c r="U731" s="554"/>
      <c r="V731" s="554"/>
      <c r="W731" s="554"/>
      <c r="X731" s="554"/>
      <c r="Y731" s="554"/>
      <c r="Z731" s="554"/>
      <c r="AA731" s="554"/>
      <c r="AB731" s="554"/>
      <c r="AC731" s="554"/>
      <c r="AD731" s="554"/>
      <c r="AE731" s="554"/>
      <c r="AF731" s="554"/>
      <c r="AG731" s="554"/>
    </row>
    <row r="732">
      <c r="A732" s="549"/>
      <c r="B732" s="554"/>
      <c r="C732" s="554"/>
      <c r="D732" s="554"/>
      <c r="E732" s="554"/>
      <c r="F732" s="561"/>
      <c r="G732" s="554"/>
      <c r="H732" s="554"/>
      <c r="I732" s="554"/>
      <c r="J732" s="554"/>
      <c r="K732" s="554"/>
      <c r="L732" s="554"/>
      <c r="M732" s="554"/>
      <c r="N732" s="554"/>
      <c r="O732" s="554"/>
      <c r="P732" s="554"/>
      <c r="Q732" s="554"/>
      <c r="R732" s="554"/>
      <c r="S732" s="554"/>
      <c r="T732" s="554"/>
      <c r="U732" s="554"/>
      <c r="V732" s="554"/>
      <c r="W732" s="554"/>
      <c r="X732" s="554"/>
      <c r="Y732" s="554"/>
      <c r="Z732" s="554"/>
      <c r="AA732" s="554"/>
      <c r="AB732" s="554"/>
      <c r="AC732" s="554"/>
      <c r="AD732" s="554"/>
      <c r="AE732" s="554"/>
      <c r="AF732" s="554"/>
      <c r="AG732" s="554"/>
    </row>
    <row r="733">
      <c r="A733" s="549"/>
      <c r="B733" s="554"/>
      <c r="C733" s="554"/>
      <c r="D733" s="554"/>
      <c r="E733" s="554"/>
      <c r="F733" s="561"/>
      <c r="G733" s="554"/>
      <c r="H733" s="554"/>
      <c r="I733" s="554"/>
      <c r="J733" s="554"/>
      <c r="K733" s="554"/>
      <c r="L733" s="554"/>
      <c r="M733" s="554"/>
      <c r="N733" s="554"/>
      <c r="O733" s="554"/>
      <c r="P733" s="554"/>
      <c r="Q733" s="554"/>
      <c r="R733" s="554"/>
      <c r="S733" s="554"/>
      <c r="T733" s="554"/>
      <c r="U733" s="554"/>
      <c r="V733" s="554"/>
      <c r="W733" s="554"/>
      <c r="X733" s="554"/>
      <c r="Y733" s="554"/>
      <c r="Z733" s="554"/>
      <c r="AA733" s="554"/>
      <c r="AB733" s="554"/>
      <c r="AC733" s="554"/>
      <c r="AD733" s="554"/>
      <c r="AE733" s="554"/>
      <c r="AF733" s="554"/>
      <c r="AG733" s="554"/>
    </row>
    <row r="734">
      <c r="A734" s="549"/>
      <c r="B734" s="554"/>
      <c r="C734" s="554"/>
      <c r="D734" s="554"/>
      <c r="E734" s="554"/>
      <c r="F734" s="561"/>
      <c r="G734" s="554"/>
      <c r="H734" s="554"/>
      <c r="I734" s="554"/>
      <c r="J734" s="554"/>
      <c r="K734" s="554"/>
      <c r="L734" s="554"/>
      <c r="M734" s="554"/>
      <c r="N734" s="554"/>
      <c r="O734" s="554"/>
      <c r="P734" s="554"/>
      <c r="Q734" s="554"/>
      <c r="R734" s="554"/>
      <c r="S734" s="554"/>
      <c r="T734" s="554"/>
      <c r="U734" s="554"/>
      <c r="V734" s="554"/>
      <c r="W734" s="554"/>
      <c r="X734" s="554"/>
      <c r="Y734" s="554"/>
      <c r="Z734" s="554"/>
      <c r="AA734" s="554"/>
      <c r="AB734" s="554"/>
      <c r="AC734" s="554"/>
      <c r="AD734" s="554"/>
      <c r="AE734" s="554"/>
      <c r="AF734" s="554"/>
      <c r="AG734" s="554"/>
    </row>
    <row r="735">
      <c r="A735" s="549"/>
      <c r="B735" s="554"/>
      <c r="C735" s="554"/>
      <c r="D735" s="554"/>
      <c r="E735" s="554"/>
      <c r="F735" s="561"/>
      <c r="G735" s="554"/>
      <c r="H735" s="554"/>
      <c r="I735" s="554"/>
      <c r="J735" s="554"/>
      <c r="K735" s="554"/>
      <c r="L735" s="554"/>
      <c r="M735" s="554"/>
      <c r="N735" s="554"/>
      <c r="O735" s="554"/>
      <c r="P735" s="554"/>
      <c r="Q735" s="554"/>
      <c r="R735" s="554"/>
      <c r="S735" s="554"/>
      <c r="T735" s="554"/>
      <c r="U735" s="554"/>
      <c r="V735" s="554"/>
      <c r="W735" s="554"/>
      <c r="X735" s="554"/>
      <c r="Y735" s="554"/>
      <c r="Z735" s="554"/>
      <c r="AA735" s="554"/>
      <c r="AB735" s="554"/>
      <c r="AC735" s="554"/>
      <c r="AD735" s="554"/>
      <c r="AE735" s="554"/>
      <c r="AF735" s="554"/>
      <c r="AG735" s="554"/>
    </row>
    <row r="736">
      <c r="A736" s="549"/>
      <c r="B736" s="554"/>
      <c r="C736" s="554"/>
      <c r="D736" s="554"/>
      <c r="E736" s="554"/>
      <c r="F736" s="561"/>
      <c r="G736" s="554"/>
      <c r="H736" s="554"/>
      <c r="I736" s="554"/>
      <c r="J736" s="554"/>
      <c r="K736" s="554"/>
      <c r="L736" s="554"/>
      <c r="M736" s="554"/>
      <c r="N736" s="554"/>
      <c r="O736" s="554"/>
      <c r="P736" s="554"/>
      <c r="Q736" s="554"/>
      <c r="R736" s="554"/>
      <c r="S736" s="554"/>
      <c r="T736" s="554"/>
      <c r="U736" s="554"/>
      <c r="V736" s="554"/>
      <c r="W736" s="554"/>
      <c r="X736" s="554"/>
      <c r="Y736" s="554"/>
      <c r="Z736" s="554"/>
      <c r="AA736" s="554"/>
      <c r="AB736" s="554"/>
      <c r="AC736" s="554"/>
      <c r="AD736" s="554"/>
      <c r="AE736" s="554"/>
      <c r="AF736" s="554"/>
      <c r="AG736" s="554"/>
    </row>
    <row r="737">
      <c r="A737" s="549"/>
      <c r="B737" s="554"/>
      <c r="C737" s="554"/>
      <c r="D737" s="554"/>
      <c r="E737" s="554"/>
      <c r="F737" s="561"/>
      <c r="G737" s="554"/>
      <c r="H737" s="554"/>
      <c r="I737" s="554"/>
      <c r="J737" s="554"/>
      <c r="K737" s="554"/>
      <c r="L737" s="554"/>
      <c r="M737" s="554"/>
      <c r="N737" s="554"/>
      <c r="O737" s="554"/>
      <c r="P737" s="554"/>
      <c r="Q737" s="554"/>
      <c r="R737" s="554"/>
      <c r="S737" s="554"/>
      <c r="T737" s="554"/>
      <c r="U737" s="554"/>
      <c r="V737" s="554"/>
      <c r="W737" s="554"/>
      <c r="X737" s="554"/>
      <c r="Y737" s="554"/>
      <c r="Z737" s="554"/>
      <c r="AA737" s="554"/>
      <c r="AB737" s="554"/>
      <c r="AC737" s="554"/>
      <c r="AD737" s="554"/>
      <c r="AE737" s="554"/>
      <c r="AF737" s="554"/>
      <c r="AG737" s="554"/>
    </row>
    <row r="738">
      <c r="A738" s="549"/>
      <c r="B738" s="554"/>
      <c r="C738" s="554"/>
      <c r="D738" s="554"/>
      <c r="E738" s="554"/>
      <c r="F738" s="561"/>
      <c r="G738" s="554"/>
      <c r="H738" s="554"/>
      <c r="I738" s="554"/>
      <c r="J738" s="554"/>
      <c r="K738" s="554"/>
      <c r="L738" s="554"/>
      <c r="M738" s="554"/>
      <c r="N738" s="554"/>
      <c r="O738" s="554"/>
      <c r="P738" s="554"/>
      <c r="Q738" s="554"/>
      <c r="R738" s="554"/>
      <c r="S738" s="554"/>
      <c r="T738" s="554"/>
      <c r="U738" s="554"/>
      <c r="V738" s="554"/>
      <c r="W738" s="554"/>
      <c r="X738" s="554"/>
      <c r="Y738" s="554"/>
      <c r="Z738" s="554"/>
      <c r="AA738" s="554"/>
      <c r="AB738" s="554"/>
      <c r="AC738" s="554"/>
      <c r="AD738" s="554"/>
      <c r="AE738" s="554"/>
      <c r="AF738" s="554"/>
      <c r="AG738" s="554"/>
    </row>
    <row r="739">
      <c r="A739" s="549"/>
      <c r="B739" s="554"/>
      <c r="C739" s="554"/>
      <c r="D739" s="554"/>
      <c r="E739" s="554"/>
      <c r="F739" s="561"/>
      <c r="G739" s="554"/>
      <c r="H739" s="554"/>
      <c r="I739" s="554"/>
      <c r="J739" s="554"/>
      <c r="K739" s="554"/>
      <c r="L739" s="554"/>
      <c r="M739" s="554"/>
      <c r="N739" s="554"/>
      <c r="O739" s="554"/>
      <c r="P739" s="554"/>
      <c r="Q739" s="554"/>
      <c r="R739" s="554"/>
      <c r="S739" s="554"/>
      <c r="T739" s="554"/>
      <c r="U739" s="554"/>
      <c r="V739" s="554"/>
      <c r="W739" s="554"/>
      <c r="X739" s="554"/>
      <c r="Y739" s="554"/>
      <c r="Z739" s="554"/>
      <c r="AA739" s="554"/>
      <c r="AB739" s="554"/>
      <c r="AC739" s="554"/>
      <c r="AD739" s="554"/>
      <c r="AE739" s="554"/>
      <c r="AF739" s="554"/>
      <c r="AG739" s="554"/>
    </row>
    <row r="740">
      <c r="A740" s="549"/>
      <c r="B740" s="554"/>
      <c r="C740" s="554"/>
      <c r="D740" s="554"/>
      <c r="E740" s="554"/>
      <c r="F740" s="561"/>
      <c r="G740" s="554"/>
      <c r="H740" s="554"/>
      <c r="I740" s="554"/>
      <c r="J740" s="554"/>
      <c r="K740" s="554"/>
      <c r="L740" s="554"/>
      <c r="M740" s="554"/>
      <c r="N740" s="554"/>
      <c r="O740" s="554"/>
      <c r="P740" s="554"/>
      <c r="Q740" s="554"/>
      <c r="R740" s="554"/>
      <c r="S740" s="554"/>
      <c r="T740" s="554"/>
      <c r="U740" s="554"/>
      <c r="V740" s="554"/>
      <c r="W740" s="554"/>
      <c r="X740" s="554"/>
      <c r="Y740" s="554"/>
      <c r="Z740" s="554"/>
      <c r="AA740" s="554"/>
      <c r="AB740" s="554"/>
      <c r="AC740" s="554"/>
      <c r="AD740" s="554"/>
      <c r="AE740" s="554"/>
      <c r="AF740" s="554"/>
      <c r="AG740" s="554"/>
    </row>
    <row r="741">
      <c r="A741" s="549"/>
      <c r="B741" s="554"/>
      <c r="C741" s="554"/>
      <c r="D741" s="554"/>
      <c r="E741" s="554"/>
      <c r="F741" s="561"/>
      <c r="G741" s="554"/>
      <c r="H741" s="554"/>
      <c r="I741" s="554"/>
      <c r="J741" s="554"/>
      <c r="K741" s="554"/>
      <c r="L741" s="554"/>
      <c r="M741" s="554"/>
      <c r="N741" s="554"/>
      <c r="O741" s="554"/>
      <c r="P741" s="554"/>
      <c r="Q741" s="554"/>
      <c r="R741" s="554"/>
      <c r="S741" s="554"/>
      <c r="T741" s="554"/>
      <c r="U741" s="554"/>
      <c r="V741" s="554"/>
      <c r="W741" s="554"/>
      <c r="X741" s="554"/>
      <c r="Y741" s="554"/>
      <c r="Z741" s="554"/>
      <c r="AA741" s="554"/>
      <c r="AB741" s="554"/>
      <c r="AC741" s="554"/>
      <c r="AD741" s="554"/>
      <c r="AE741" s="554"/>
      <c r="AF741" s="554"/>
      <c r="AG741" s="554"/>
    </row>
    <row r="742">
      <c r="A742" s="549"/>
      <c r="B742" s="554"/>
      <c r="C742" s="554"/>
      <c r="D742" s="554"/>
      <c r="E742" s="554"/>
      <c r="F742" s="561"/>
      <c r="G742" s="554"/>
      <c r="H742" s="554"/>
      <c r="I742" s="554"/>
      <c r="J742" s="554"/>
      <c r="K742" s="554"/>
      <c r="L742" s="554"/>
      <c r="M742" s="554"/>
      <c r="N742" s="554"/>
      <c r="O742" s="554"/>
      <c r="P742" s="554"/>
      <c r="Q742" s="554"/>
      <c r="R742" s="554"/>
      <c r="S742" s="554"/>
      <c r="T742" s="554"/>
      <c r="U742" s="554"/>
      <c r="V742" s="554"/>
      <c r="W742" s="554"/>
      <c r="X742" s="554"/>
      <c r="Y742" s="554"/>
      <c r="Z742" s="554"/>
      <c r="AA742" s="554"/>
      <c r="AB742" s="554"/>
      <c r="AC742" s="554"/>
      <c r="AD742" s="554"/>
      <c r="AE742" s="554"/>
      <c r="AF742" s="554"/>
      <c r="AG742" s="554"/>
    </row>
    <row r="743">
      <c r="A743" s="549"/>
      <c r="B743" s="554"/>
      <c r="C743" s="554"/>
      <c r="D743" s="554"/>
      <c r="E743" s="554"/>
      <c r="F743" s="561"/>
      <c r="G743" s="554"/>
      <c r="H743" s="554"/>
      <c r="I743" s="554"/>
      <c r="J743" s="554"/>
      <c r="K743" s="554"/>
      <c r="L743" s="554"/>
      <c r="M743" s="554"/>
      <c r="N743" s="554"/>
      <c r="O743" s="554"/>
      <c r="P743" s="554"/>
      <c r="Q743" s="554"/>
      <c r="R743" s="554"/>
      <c r="S743" s="554"/>
      <c r="T743" s="554"/>
      <c r="U743" s="554"/>
      <c r="V743" s="554"/>
      <c r="W743" s="554"/>
      <c r="X743" s="554"/>
      <c r="Y743" s="554"/>
      <c r="Z743" s="554"/>
      <c r="AA743" s="554"/>
      <c r="AB743" s="554"/>
      <c r="AC743" s="554"/>
      <c r="AD743" s="554"/>
      <c r="AE743" s="554"/>
      <c r="AF743" s="554"/>
      <c r="AG743" s="554"/>
    </row>
    <row r="744">
      <c r="A744" s="549"/>
      <c r="B744" s="554"/>
      <c r="C744" s="554"/>
      <c r="D744" s="554"/>
      <c r="E744" s="554"/>
      <c r="F744" s="561"/>
      <c r="G744" s="554"/>
      <c r="H744" s="554"/>
      <c r="I744" s="554"/>
      <c r="J744" s="554"/>
      <c r="K744" s="554"/>
      <c r="L744" s="554"/>
      <c r="M744" s="554"/>
      <c r="N744" s="554"/>
      <c r="O744" s="554"/>
      <c r="P744" s="554"/>
      <c r="Q744" s="554"/>
      <c r="R744" s="554"/>
      <c r="S744" s="554"/>
      <c r="T744" s="554"/>
      <c r="U744" s="554"/>
      <c r="V744" s="554"/>
      <c r="W744" s="554"/>
      <c r="X744" s="554"/>
      <c r="Y744" s="554"/>
      <c r="Z744" s="554"/>
      <c r="AA744" s="554"/>
      <c r="AB744" s="554"/>
      <c r="AC744" s="554"/>
      <c r="AD744" s="554"/>
      <c r="AE744" s="554"/>
      <c r="AF744" s="554"/>
      <c r="AG744" s="554"/>
    </row>
    <row r="745">
      <c r="A745" s="549"/>
      <c r="B745" s="554"/>
      <c r="C745" s="554"/>
      <c r="D745" s="554"/>
      <c r="E745" s="554"/>
      <c r="F745" s="561"/>
      <c r="G745" s="554"/>
      <c r="H745" s="554"/>
      <c r="I745" s="554"/>
      <c r="J745" s="554"/>
      <c r="K745" s="554"/>
      <c r="L745" s="554"/>
      <c r="M745" s="554"/>
      <c r="N745" s="554"/>
      <c r="O745" s="554"/>
      <c r="P745" s="554"/>
      <c r="Q745" s="554"/>
      <c r="R745" s="554"/>
      <c r="S745" s="554"/>
      <c r="T745" s="554"/>
      <c r="U745" s="554"/>
      <c r="V745" s="554"/>
      <c r="W745" s="554"/>
      <c r="X745" s="554"/>
      <c r="Y745" s="554"/>
      <c r="Z745" s="554"/>
      <c r="AA745" s="554"/>
      <c r="AB745" s="554"/>
      <c r="AC745" s="554"/>
      <c r="AD745" s="554"/>
      <c r="AE745" s="554"/>
      <c r="AF745" s="554"/>
      <c r="AG745" s="554"/>
    </row>
    <row r="746">
      <c r="A746" s="549"/>
      <c r="B746" s="554"/>
      <c r="C746" s="554"/>
      <c r="D746" s="554"/>
      <c r="E746" s="554"/>
      <c r="F746" s="561"/>
      <c r="G746" s="554"/>
      <c r="H746" s="554"/>
      <c r="I746" s="554"/>
      <c r="J746" s="554"/>
      <c r="K746" s="554"/>
      <c r="L746" s="554"/>
      <c r="M746" s="554"/>
      <c r="N746" s="554"/>
      <c r="O746" s="554"/>
      <c r="P746" s="554"/>
      <c r="Q746" s="554"/>
      <c r="R746" s="554"/>
      <c r="S746" s="554"/>
      <c r="T746" s="554"/>
      <c r="U746" s="554"/>
      <c r="V746" s="554"/>
      <c r="W746" s="554"/>
      <c r="X746" s="554"/>
      <c r="Y746" s="554"/>
      <c r="Z746" s="554"/>
      <c r="AA746" s="554"/>
      <c r="AB746" s="554"/>
      <c r="AC746" s="554"/>
      <c r="AD746" s="554"/>
      <c r="AE746" s="554"/>
      <c r="AF746" s="554"/>
      <c r="AG746" s="554"/>
    </row>
    <row r="747">
      <c r="A747" s="549"/>
      <c r="B747" s="554"/>
      <c r="C747" s="554"/>
      <c r="D747" s="554"/>
      <c r="E747" s="554"/>
      <c r="F747" s="561"/>
      <c r="G747" s="554"/>
      <c r="H747" s="554"/>
      <c r="I747" s="554"/>
      <c r="J747" s="554"/>
      <c r="K747" s="554"/>
      <c r="L747" s="554"/>
      <c r="M747" s="554"/>
      <c r="N747" s="554"/>
      <c r="O747" s="554"/>
      <c r="P747" s="554"/>
      <c r="Q747" s="554"/>
      <c r="R747" s="554"/>
      <c r="S747" s="554"/>
      <c r="T747" s="554"/>
      <c r="U747" s="554"/>
      <c r="V747" s="554"/>
      <c r="W747" s="554"/>
      <c r="X747" s="554"/>
      <c r="Y747" s="554"/>
      <c r="Z747" s="554"/>
      <c r="AA747" s="554"/>
      <c r="AB747" s="554"/>
      <c r="AC747" s="554"/>
      <c r="AD747" s="554"/>
      <c r="AE747" s="554"/>
      <c r="AF747" s="554"/>
      <c r="AG747" s="554"/>
    </row>
    <row r="748">
      <c r="A748" s="549"/>
      <c r="B748" s="554"/>
      <c r="C748" s="554"/>
      <c r="D748" s="554"/>
      <c r="E748" s="554"/>
      <c r="F748" s="561"/>
      <c r="G748" s="554"/>
      <c r="H748" s="554"/>
      <c r="I748" s="554"/>
      <c r="J748" s="554"/>
      <c r="K748" s="554"/>
      <c r="L748" s="554"/>
      <c r="M748" s="554"/>
      <c r="N748" s="554"/>
      <c r="O748" s="554"/>
      <c r="P748" s="554"/>
      <c r="Q748" s="554"/>
      <c r="R748" s="554"/>
      <c r="S748" s="554"/>
      <c r="T748" s="554"/>
      <c r="U748" s="554"/>
      <c r="V748" s="554"/>
      <c r="W748" s="554"/>
      <c r="X748" s="554"/>
      <c r="Y748" s="554"/>
      <c r="Z748" s="554"/>
      <c r="AA748" s="554"/>
      <c r="AB748" s="554"/>
      <c r="AC748" s="554"/>
      <c r="AD748" s="554"/>
      <c r="AE748" s="554"/>
      <c r="AF748" s="554"/>
      <c r="AG748" s="554"/>
    </row>
    <row r="749">
      <c r="A749" s="549"/>
      <c r="B749" s="554"/>
      <c r="C749" s="554"/>
      <c r="D749" s="554"/>
      <c r="E749" s="554"/>
      <c r="F749" s="561"/>
      <c r="G749" s="554"/>
      <c r="H749" s="554"/>
      <c r="I749" s="554"/>
      <c r="J749" s="554"/>
      <c r="K749" s="554"/>
      <c r="L749" s="554"/>
      <c r="M749" s="554"/>
      <c r="N749" s="554"/>
      <c r="O749" s="554"/>
      <c r="P749" s="554"/>
      <c r="Q749" s="554"/>
      <c r="R749" s="554"/>
      <c r="S749" s="554"/>
      <c r="T749" s="554"/>
      <c r="U749" s="554"/>
      <c r="V749" s="554"/>
      <c r="W749" s="554"/>
      <c r="X749" s="554"/>
      <c r="Y749" s="554"/>
      <c r="Z749" s="554"/>
      <c r="AA749" s="554"/>
      <c r="AB749" s="554"/>
      <c r="AC749" s="554"/>
      <c r="AD749" s="554"/>
      <c r="AE749" s="554"/>
      <c r="AF749" s="554"/>
      <c r="AG749" s="554"/>
    </row>
    <row r="750">
      <c r="A750" s="549"/>
      <c r="B750" s="554"/>
      <c r="C750" s="554"/>
      <c r="D750" s="554"/>
      <c r="E750" s="554"/>
      <c r="F750" s="561"/>
      <c r="G750" s="554"/>
      <c r="H750" s="554"/>
      <c r="I750" s="554"/>
      <c r="J750" s="554"/>
      <c r="K750" s="554"/>
      <c r="L750" s="554"/>
      <c r="M750" s="554"/>
      <c r="N750" s="554"/>
      <c r="O750" s="554"/>
      <c r="P750" s="554"/>
      <c r="Q750" s="554"/>
      <c r="R750" s="554"/>
      <c r="S750" s="554"/>
      <c r="T750" s="554"/>
      <c r="U750" s="554"/>
      <c r="V750" s="554"/>
      <c r="W750" s="554"/>
      <c r="X750" s="554"/>
      <c r="Y750" s="554"/>
      <c r="Z750" s="554"/>
      <c r="AA750" s="554"/>
      <c r="AB750" s="554"/>
      <c r="AC750" s="554"/>
      <c r="AD750" s="554"/>
      <c r="AE750" s="554"/>
      <c r="AF750" s="554"/>
      <c r="AG750" s="554"/>
    </row>
    <row r="751">
      <c r="A751" s="549"/>
      <c r="B751" s="554"/>
      <c r="C751" s="554"/>
      <c r="D751" s="554"/>
      <c r="E751" s="554"/>
      <c r="F751" s="561"/>
      <c r="G751" s="554"/>
      <c r="H751" s="554"/>
      <c r="I751" s="554"/>
      <c r="J751" s="554"/>
      <c r="K751" s="554"/>
      <c r="L751" s="554"/>
      <c r="M751" s="554"/>
      <c r="N751" s="554"/>
      <c r="O751" s="554"/>
      <c r="P751" s="554"/>
      <c r="Q751" s="554"/>
      <c r="R751" s="554"/>
      <c r="S751" s="554"/>
      <c r="T751" s="554"/>
      <c r="U751" s="554"/>
      <c r="V751" s="554"/>
      <c r="W751" s="554"/>
      <c r="X751" s="554"/>
      <c r="Y751" s="554"/>
      <c r="Z751" s="554"/>
      <c r="AA751" s="554"/>
      <c r="AB751" s="554"/>
      <c r="AC751" s="554"/>
      <c r="AD751" s="554"/>
      <c r="AE751" s="554"/>
      <c r="AF751" s="554"/>
      <c r="AG751" s="554"/>
    </row>
    <row r="752">
      <c r="A752" s="549"/>
      <c r="B752" s="554"/>
      <c r="C752" s="554"/>
      <c r="D752" s="554"/>
      <c r="E752" s="554"/>
      <c r="F752" s="561"/>
      <c r="G752" s="554"/>
      <c r="H752" s="554"/>
      <c r="I752" s="554"/>
      <c r="J752" s="554"/>
      <c r="K752" s="554"/>
      <c r="L752" s="554"/>
      <c r="M752" s="554"/>
      <c r="N752" s="554"/>
      <c r="O752" s="554"/>
      <c r="P752" s="554"/>
      <c r="Q752" s="554"/>
      <c r="R752" s="554"/>
      <c r="S752" s="554"/>
      <c r="T752" s="554"/>
      <c r="U752" s="554"/>
      <c r="V752" s="554"/>
      <c r="W752" s="554"/>
      <c r="X752" s="554"/>
      <c r="Y752" s="554"/>
      <c r="Z752" s="554"/>
      <c r="AA752" s="554"/>
      <c r="AB752" s="554"/>
      <c r="AC752" s="554"/>
      <c r="AD752" s="554"/>
      <c r="AE752" s="554"/>
      <c r="AF752" s="554"/>
      <c r="AG752" s="554"/>
    </row>
    <row r="753">
      <c r="A753" s="549"/>
      <c r="B753" s="554"/>
      <c r="C753" s="554"/>
      <c r="D753" s="554"/>
      <c r="E753" s="554"/>
      <c r="F753" s="561"/>
      <c r="G753" s="554"/>
      <c r="H753" s="554"/>
      <c r="I753" s="554"/>
      <c r="J753" s="554"/>
      <c r="K753" s="554"/>
      <c r="L753" s="554"/>
      <c r="M753" s="554"/>
      <c r="N753" s="554"/>
      <c r="O753" s="554"/>
      <c r="P753" s="554"/>
      <c r="Q753" s="554"/>
      <c r="R753" s="554"/>
      <c r="S753" s="554"/>
      <c r="T753" s="554"/>
      <c r="U753" s="554"/>
      <c r="V753" s="554"/>
      <c r="W753" s="554"/>
      <c r="X753" s="554"/>
      <c r="Y753" s="554"/>
      <c r="Z753" s="554"/>
      <c r="AA753" s="554"/>
      <c r="AB753" s="554"/>
      <c r="AC753" s="554"/>
      <c r="AD753" s="554"/>
      <c r="AE753" s="554"/>
      <c r="AF753" s="554"/>
      <c r="AG753" s="554"/>
    </row>
    <row r="754">
      <c r="A754" s="549"/>
      <c r="B754" s="554"/>
      <c r="C754" s="554"/>
      <c r="D754" s="554"/>
      <c r="E754" s="554"/>
      <c r="F754" s="561"/>
      <c r="G754" s="554"/>
      <c r="H754" s="554"/>
      <c r="I754" s="554"/>
      <c r="J754" s="554"/>
      <c r="K754" s="554"/>
      <c r="L754" s="554"/>
      <c r="M754" s="554"/>
      <c r="N754" s="554"/>
      <c r="O754" s="554"/>
      <c r="P754" s="554"/>
      <c r="Q754" s="554"/>
      <c r="R754" s="554"/>
      <c r="S754" s="554"/>
      <c r="T754" s="554"/>
      <c r="U754" s="554"/>
      <c r="V754" s="554"/>
      <c r="W754" s="554"/>
      <c r="X754" s="554"/>
      <c r="Y754" s="554"/>
      <c r="Z754" s="554"/>
      <c r="AA754" s="554"/>
      <c r="AB754" s="554"/>
      <c r="AC754" s="554"/>
      <c r="AD754" s="554"/>
      <c r="AE754" s="554"/>
      <c r="AF754" s="554"/>
      <c r="AG754" s="554"/>
    </row>
    <row r="755">
      <c r="A755" s="549"/>
      <c r="B755" s="554"/>
      <c r="C755" s="554"/>
      <c r="D755" s="554"/>
      <c r="E755" s="554"/>
      <c r="F755" s="561"/>
      <c r="G755" s="554"/>
      <c r="H755" s="554"/>
      <c r="I755" s="554"/>
      <c r="J755" s="554"/>
      <c r="K755" s="554"/>
      <c r="L755" s="554"/>
      <c r="M755" s="554"/>
      <c r="N755" s="554"/>
      <c r="O755" s="554"/>
      <c r="P755" s="554"/>
      <c r="Q755" s="554"/>
      <c r="R755" s="554"/>
      <c r="S755" s="554"/>
      <c r="T755" s="554"/>
      <c r="U755" s="554"/>
      <c r="V755" s="554"/>
      <c r="W755" s="554"/>
      <c r="X755" s="554"/>
      <c r="Y755" s="554"/>
      <c r="Z755" s="554"/>
      <c r="AA755" s="554"/>
      <c r="AB755" s="554"/>
      <c r="AC755" s="554"/>
      <c r="AD755" s="554"/>
      <c r="AE755" s="554"/>
      <c r="AF755" s="554"/>
      <c r="AG755" s="554"/>
    </row>
    <row r="756">
      <c r="A756" s="549"/>
      <c r="B756" s="554"/>
      <c r="C756" s="554"/>
      <c r="D756" s="554"/>
      <c r="E756" s="554"/>
      <c r="F756" s="561"/>
      <c r="G756" s="554"/>
      <c r="H756" s="554"/>
      <c r="I756" s="554"/>
      <c r="J756" s="554"/>
      <c r="K756" s="554"/>
      <c r="L756" s="554"/>
      <c r="M756" s="554"/>
      <c r="N756" s="554"/>
      <c r="O756" s="554"/>
      <c r="P756" s="554"/>
      <c r="Q756" s="554"/>
      <c r="R756" s="554"/>
      <c r="S756" s="554"/>
      <c r="T756" s="554"/>
      <c r="U756" s="554"/>
      <c r="V756" s="554"/>
      <c r="W756" s="554"/>
      <c r="X756" s="554"/>
      <c r="Y756" s="554"/>
      <c r="Z756" s="554"/>
      <c r="AA756" s="554"/>
      <c r="AB756" s="554"/>
      <c r="AC756" s="554"/>
      <c r="AD756" s="554"/>
      <c r="AE756" s="554"/>
      <c r="AF756" s="554"/>
      <c r="AG756" s="554"/>
    </row>
    <row r="757">
      <c r="A757" s="549"/>
      <c r="B757" s="554"/>
      <c r="C757" s="554"/>
      <c r="D757" s="554"/>
      <c r="E757" s="554"/>
      <c r="F757" s="561"/>
      <c r="G757" s="554"/>
      <c r="H757" s="554"/>
      <c r="I757" s="554"/>
      <c r="J757" s="554"/>
      <c r="K757" s="554"/>
      <c r="L757" s="554"/>
      <c r="M757" s="554"/>
      <c r="N757" s="554"/>
      <c r="O757" s="554"/>
      <c r="P757" s="554"/>
      <c r="Q757" s="554"/>
      <c r="R757" s="554"/>
      <c r="S757" s="554"/>
      <c r="T757" s="554"/>
      <c r="U757" s="554"/>
      <c r="V757" s="554"/>
      <c r="W757" s="554"/>
      <c r="X757" s="554"/>
      <c r="Y757" s="554"/>
      <c r="Z757" s="554"/>
      <c r="AA757" s="554"/>
      <c r="AB757" s="554"/>
      <c r="AC757" s="554"/>
      <c r="AD757" s="554"/>
      <c r="AE757" s="554"/>
      <c r="AF757" s="554"/>
      <c r="AG757" s="554"/>
    </row>
    <row r="758">
      <c r="A758" s="549"/>
      <c r="B758" s="554"/>
      <c r="C758" s="554"/>
      <c r="D758" s="554"/>
      <c r="E758" s="554"/>
      <c r="F758" s="561"/>
      <c r="G758" s="554"/>
      <c r="H758" s="554"/>
      <c r="I758" s="554"/>
      <c r="J758" s="554"/>
      <c r="K758" s="554"/>
      <c r="L758" s="554"/>
      <c r="M758" s="554"/>
      <c r="N758" s="554"/>
      <c r="O758" s="554"/>
      <c r="P758" s="554"/>
      <c r="Q758" s="554"/>
      <c r="R758" s="554"/>
      <c r="S758" s="554"/>
      <c r="T758" s="554"/>
      <c r="U758" s="554"/>
      <c r="V758" s="554"/>
      <c r="W758" s="554"/>
      <c r="X758" s="554"/>
      <c r="Y758" s="554"/>
      <c r="Z758" s="554"/>
      <c r="AA758" s="554"/>
      <c r="AB758" s="554"/>
      <c r="AC758" s="554"/>
      <c r="AD758" s="554"/>
      <c r="AE758" s="554"/>
      <c r="AF758" s="554"/>
      <c r="AG758" s="554"/>
    </row>
    <row r="759">
      <c r="A759" s="549"/>
      <c r="B759" s="554"/>
      <c r="C759" s="554"/>
      <c r="D759" s="554"/>
      <c r="E759" s="554"/>
      <c r="F759" s="561"/>
      <c r="G759" s="554"/>
      <c r="H759" s="554"/>
      <c r="I759" s="554"/>
      <c r="J759" s="554"/>
      <c r="K759" s="554"/>
      <c r="L759" s="554"/>
      <c r="M759" s="554"/>
      <c r="N759" s="554"/>
      <c r="O759" s="554"/>
      <c r="P759" s="554"/>
      <c r="Q759" s="554"/>
      <c r="R759" s="554"/>
      <c r="S759" s="554"/>
      <c r="T759" s="554"/>
      <c r="U759" s="554"/>
      <c r="V759" s="554"/>
      <c r="W759" s="554"/>
      <c r="X759" s="554"/>
      <c r="Y759" s="554"/>
      <c r="Z759" s="554"/>
      <c r="AA759" s="554"/>
      <c r="AB759" s="554"/>
      <c r="AC759" s="554"/>
      <c r="AD759" s="554"/>
      <c r="AE759" s="554"/>
      <c r="AF759" s="554"/>
      <c r="AG759" s="554"/>
    </row>
    <row r="760">
      <c r="A760" s="549"/>
      <c r="B760" s="554"/>
      <c r="C760" s="554"/>
      <c r="D760" s="554"/>
      <c r="E760" s="554"/>
      <c r="F760" s="561"/>
      <c r="G760" s="554"/>
      <c r="H760" s="554"/>
      <c r="I760" s="554"/>
      <c r="J760" s="554"/>
      <c r="K760" s="554"/>
      <c r="L760" s="554"/>
      <c r="M760" s="554"/>
      <c r="N760" s="554"/>
      <c r="O760" s="554"/>
      <c r="P760" s="554"/>
      <c r="Q760" s="554"/>
      <c r="R760" s="554"/>
      <c r="S760" s="554"/>
      <c r="T760" s="554"/>
      <c r="U760" s="554"/>
      <c r="V760" s="554"/>
      <c r="W760" s="554"/>
      <c r="X760" s="554"/>
      <c r="Y760" s="554"/>
      <c r="Z760" s="554"/>
      <c r="AA760" s="554"/>
      <c r="AB760" s="554"/>
      <c r="AC760" s="554"/>
      <c r="AD760" s="554"/>
      <c r="AE760" s="554"/>
      <c r="AF760" s="554"/>
      <c r="AG760" s="554"/>
    </row>
    <row r="761">
      <c r="A761" s="549"/>
      <c r="B761" s="554"/>
      <c r="C761" s="554"/>
      <c r="D761" s="554"/>
      <c r="E761" s="554"/>
      <c r="F761" s="561"/>
      <c r="G761" s="554"/>
      <c r="H761" s="554"/>
      <c r="I761" s="554"/>
      <c r="J761" s="554"/>
      <c r="K761" s="554"/>
      <c r="L761" s="554"/>
      <c r="M761" s="554"/>
      <c r="N761" s="554"/>
      <c r="O761" s="554"/>
      <c r="P761" s="554"/>
      <c r="Q761" s="554"/>
      <c r="R761" s="554"/>
      <c r="S761" s="554"/>
      <c r="T761" s="554"/>
      <c r="U761" s="554"/>
      <c r="V761" s="554"/>
      <c r="W761" s="554"/>
      <c r="X761" s="554"/>
      <c r="Y761" s="554"/>
      <c r="Z761" s="554"/>
      <c r="AA761" s="554"/>
      <c r="AB761" s="554"/>
      <c r="AC761" s="554"/>
      <c r="AD761" s="554"/>
      <c r="AE761" s="554"/>
      <c r="AF761" s="554"/>
      <c r="AG761" s="554"/>
    </row>
    <row r="762">
      <c r="A762" s="549"/>
      <c r="B762" s="554"/>
      <c r="C762" s="554"/>
      <c r="D762" s="554"/>
      <c r="E762" s="554"/>
      <c r="F762" s="561"/>
      <c r="G762" s="554"/>
      <c r="H762" s="554"/>
      <c r="I762" s="554"/>
      <c r="J762" s="554"/>
      <c r="K762" s="554"/>
      <c r="L762" s="554"/>
      <c r="M762" s="554"/>
      <c r="N762" s="554"/>
      <c r="O762" s="554"/>
      <c r="P762" s="554"/>
      <c r="Q762" s="554"/>
      <c r="R762" s="554"/>
      <c r="S762" s="554"/>
      <c r="T762" s="554"/>
      <c r="U762" s="554"/>
      <c r="V762" s="554"/>
      <c r="W762" s="554"/>
      <c r="X762" s="554"/>
      <c r="Y762" s="554"/>
      <c r="Z762" s="554"/>
      <c r="AA762" s="554"/>
      <c r="AB762" s="554"/>
      <c r="AC762" s="554"/>
      <c r="AD762" s="554"/>
      <c r="AE762" s="554"/>
      <c r="AF762" s="554"/>
      <c r="AG762" s="554"/>
    </row>
    <row r="763">
      <c r="A763" s="549"/>
      <c r="B763" s="554"/>
      <c r="C763" s="554"/>
      <c r="D763" s="554"/>
      <c r="E763" s="554"/>
      <c r="F763" s="561"/>
      <c r="G763" s="554"/>
      <c r="H763" s="554"/>
      <c r="I763" s="554"/>
      <c r="J763" s="554"/>
      <c r="K763" s="554"/>
      <c r="L763" s="554"/>
      <c r="M763" s="554"/>
      <c r="N763" s="554"/>
      <c r="O763" s="554"/>
      <c r="P763" s="554"/>
      <c r="Q763" s="554"/>
      <c r="R763" s="554"/>
      <c r="S763" s="554"/>
      <c r="T763" s="554"/>
      <c r="U763" s="554"/>
      <c r="V763" s="554"/>
      <c r="W763" s="554"/>
      <c r="X763" s="554"/>
      <c r="Y763" s="554"/>
      <c r="Z763" s="554"/>
      <c r="AA763" s="554"/>
      <c r="AB763" s="554"/>
      <c r="AC763" s="554"/>
      <c r="AD763" s="554"/>
      <c r="AE763" s="554"/>
      <c r="AF763" s="554"/>
      <c r="AG763" s="554"/>
    </row>
    <row r="764">
      <c r="A764" s="549"/>
      <c r="B764" s="554"/>
      <c r="C764" s="554"/>
      <c r="D764" s="554"/>
      <c r="E764" s="554"/>
      <c r="F764" s="561"/>
      <c r="G764" s="554"/>
      <c r="H764" s="554"/>
      <c r="I764" s="554"/>
      <c r="J764" s="554"/>
      <c r="K764" s="554"/>
      <c r="L764" s="554"/>
      <c r="M764" s="554"/>
      <c r="N764" s="554"/>
      <c r="O764" s="554"/>
      <c r="P764" s="554"/>
      <c r="Q764" s="554"/>
      <c r="R764" s="554"/>
      <c r="S764" s="554"/>
      <c r="T764" s="554"/>
      <c r="U764" s="554"/>
      <c r="V764" s="554"/>
      <c r="W764" s="554"/>
      <c r="X764" s="554"/>
      <c r="Y764" s="554"/>
      <c r="Z764" s="554"/>
      <c r="AA764" s="554"/>
      <c r="AB764" s="554"/>
      <c r="AC764" s="554"/>
      <c r="AD764" s="554"/>
      <c r="AE764" s="554"/>
      <c r="AF764" s="554"/>
      <c r="AG764" s="554"/>
    </row>
    <row r="765">
      <c r="A765" s="549"/>
      <c r="B765" s="554"/>
      <c r="C765" s="554"/>
      <c r="D765" s="554"/>
      <c r="E765" s="554"/>
      <c r="F765" s="561"/>
      <c r="G765" s="554"/>
      <c r="H765" s="554"/>
      <c r="I765" s="554"/>
      <c r="J765" s="554"/>
      <c r="K765" s="554"/>
      <c r="L765" s="554"/>
      <c r="M765" s="554"/>
      <c r="N765" s="554"/>
      <c r="O765" s="554"/>
      <c r="P765" s="554"/>
      <c r="Q765" s="554"/>
      <c r="R765" s="554"/>
      <c r="S765" s="554"/>
      <c r="T765" s="554"/>
      <c r="U765" s="554"/>
      <c r="V765" s="554"/>
      <c r="W765" s="554"/>
      <c r="X765" s="554"/>
      <c r="Y765" s="554"/>
      <c r="Z765" s="554"/>
      <c r="AA765" s="554"/>
      <c r="AB765" s="554"/>
      <c r="AC765" s="554"/>
      <c r="AD765" s="554"/>
      <c r="AE765" s="554"/>
      <c r="AF765" s="554"/>
      <c r="AG765" s="554"/>
    </row>
    <row r="766">
      <c r="A766" s="549"/>
      <c r="B766" s="554"/>
      <c r="C766" s="554"/>
      <c r="D766" s="554"/>
      <c r="E766" s="554"/>
      <c r="F766" s="561"/>
      <c r="G766" s="554"/>
      <c r="H766" s="554"/>
      <c r="I766" s="554"/>
      <c r="J766" s="554"/>
      <c r="K766" s="554"/>
      <c r="L766" s="554"/>
      <c r="M766" s="554"/>
      <c r="N766" s="554"/>
      <c r="O766" s="554"/>
      <c r="P766" s="554"/>
      <c r="Q766" s="554"/>
      <c r="R766" s="554"/>
      <c r="S766" s="554"/>
      <c r="T766" s="554"/>
      <c r="U766" s="554"/>
      <c r="V766" s="554"/>
      <c r="W766" s="554"/>
      <c r="X766" s="554"/>
      <c r="Y766" s="554"/>
      <c r="Z766" s="554"/>
      <c r="AA766" s="554"/>
      <c r="AB766" s="554"/>
      <c r="AC766" s="554"/>
      <c r="AD766" s="554"/>
      <c r="AE766" s="554"/>
      <c r="AF766" s="554"/>
      <c r="AG766" s="554"/>
    </row>
    <row r="767">
      <c r="A767" s="549"/>
      <c r="B767" s="554"/>
      <c r="C767" s="554"/>
      <c r="D767" s="554"/>
      <c r="E767" s="554"/>
      <c r="F767" s="561"/>
      <c r="G767" s="554"/>
      <c r="H767" s="554"/>
      <c r="I767" s="554"/>
      <c r="J767" s="554"/>
      <c r="K767" s="554"/>
      <c r="L767" s="554"/>
      <c r="M767" s="554"/>
      <c r="N767" s="554"/>
      <c r="O767" s="554"/>
      <c r="P767" s="554"/>
      <c r="Q767" s="554"/>
      <c r="R767" s="554"/>
      <c r="S767" s="554"/>
      <c r="T767" s="554"/>
      <c r="U767" s="554"/>
      <c r="V767" s="554"/>
      <c r="W767" s="554"/>
      <c r="X767" s="554"/>
      <c r="Y767" s="554"/>
      <c r="Z767" s="554"/>
      <c r="AA767" s="554"/>
      <c r="AB767" s="554"/>
      <c r="AC767" s="554"/>
      <c r="AD767" s="554"/>
      <c r="AE767" s="554"/>
      <c r="AF767" s="554"/>
      <c r="AG767" s="554"/>
    </row>
    <row r="768">
      <c r="A768" s="549"/>
      <c r="B768" s="554"/>
      <c r="C768" s="554"/>
      <c r="D768" s="554"/>
      <c r="E768" s="554"/>
      <c r="F768" s="561"/>
      <c r="G768" s="554"/>
      <c r="H768" s="554"/>
      <c r="I768" s="554"/>
      <c r="J768" s="554"/>
      <c r="K768" s="554"/>
      <c r="L768" s="554"/>
      <c r="M768" s="554"/>
      <c r="N768" s="554"/>
      <c r="O768" s="554"/>
      <c r="P768" s="554"/>
      <c r="Q768" s="554"/>
      <c r="R768" s="554"/>
      <c r="S768" s="554"/>
      <c r="T768" s="554"/>
      <c r="U768" s="554"/>
      <c r="V768" s="554"/>
      <c r="W768" s="554"/>
      <c r="X768" s="554"/>
      <c r="Y768" s="554"/>
      <c r="Z768" s="554"/>
      <c r="AA768" s="554"/>
      <c r="AB768" s="554"/>
      <c r="AC768" s="554"/>
      <c r="AD768" s="554"/>
      <c r="AE768" s="554"/>
      <c r="AF768" s="554"/>
      <c r="AG768" s="554"/>
    </row>
    <row r="769">
      <c r="A769" s="549"/>
      <c r="B769" s="554"/>
      <c r="C769" s="554"/>
      <c r="D769" s="554"/>
      <c r="E769" s="554"/>
      <c r="F769" s="561"/>
      <c r="G769" s="554"/>
      <c r="H769" s="554"/>
      <c r="I769" s="554"/>
      <c r="J769" s="554"/>
      <c r="K769" s="554"/>
      <c r="L769" s="554"/>
      <c r="M769" s="554"/>
      <c r="N769" s="554"/>
      <c r="O769" s="554"/>
      <c r="P769" s="554"/>
      <c r="Q769" s="554"/>
      <c r="R769" s="554"/>
      <c r="S769" s="554"/>
      <c r="T769" s="554"/>
      <c r="U769" s="554"/>
      <c r="V769" s="554"/>
      <c r="W769" s="554"/>
      <c r="X769" s="554"/>
      <c r="Y769" s="554"/>
      <c r="Z769" s="554"/>
      <c r="AA769" s="554"/>
      <c r="AB769" s="554"/>
      <c r="AC769" s="554"/>
      <c r="AD769" s="554"/>
      <c r="AE769" s="554"/>
      <c r="AF769" s="554"/>
      <c r="AG769" s="554"/>
    </row>
    <row r="770">
      <c r="A770" s="549"/>
      <c r="B770" s="554"/>
      <c r="C770" s="554"/>
      <c r="D770" s="554"/>
      <c r="E770" s="554"/>
      <c r="F770" s="561"/>
      <c r="G770" s="554"/>
      <c r="H770" s="554"/>
      <c r="I770" s="554"/>
      <c r="J770" s="554"/>
      <c r="K770" s="554"/>
      <c r="L770" s="554"/>
      <c r="M770" s="554"/>
      <c r="N770" s="554"/>
      <c r="O770" s="554"/>
      <c r="P770" s="554"/>
      <c r="Q770" s="554"/>
      <c r="R770" s="554"/>
      <c r="S770" s="554"/>
      <c r="T770" s="554"/>
      <c r="U770" s="554"/>
      <c r="V770" s="554"/>
      <c r="W770" s="554"/>
      <c r="X770" s="554"/>
      <c r="Y770" s="554"/>
      <c r="Z770" s="554"/>
      <c r="AA770" s="554"/>
      <c r="AB770" s="554"/>
      <c r="AC770" s="554"/>
      <c r="AD770" s="554"/>
      <c r="AE770" s="554"/>
      <c r="AF770" s="554"/>
      <c r="AG770" s="554"/>
    </row>
    <row r="771">
      <c r="A771" s="549"/>
      <c r="B771" s="554"/>
      <c r="C771" s="554"/>
      <c r="D771" s="554"/>
      <c r="E771" s="554"/>
      <c r="F771" s="561"/>
      <c r="G771" s="554"/>
      <c r="H771" s="554"/>
      <c r="I771" s="554"/>
      <c r="J771" s="554"/>
      <c r="K771" s="554"/>
      <c r="L771" s="554"/>
      <c r="M771" s="554"/>
      <c r="N771" s="554"/>
      <c r="O771" s="554"/>
      <c r="P771" s="554"/>
      <c r="Q771" s="554"/>
      <c r="R771" s="554"/>
      <c r="S771" s="554"/>
      <c r="T771" s="554"/>
      <c r="U771" s="554"/>
      <c r="V771" s="554"/>
      <c r="W771" s="554"/>
      <c r="X771" s="554"/>
      <c r="Y771" s="554"/>
      <c r="Z771" s="554"/>
      <c r="AA771" s="554"/>
      <c r="AB771" s="554"/>
      <c r="AC771" s="554"/>
      <c r="AD771" s="554"/>
      <c r="AE771" s="554"/>
      <c r="AF771" s="554"/>
      <c r="AG771" s="554"/>
    </row>
    <row r="772">
      <c r="A772" s="549"/>
      <c r="B772" s="554"/>
      <c r="C772" s="554"/>
      <c r="D772" s="554"/>
      <c r="E772" s="554"/>
      <c r="F772" s="561"/>
      <c r="G772" s="554"/>
      <c r="H772" s="554"/>
      <c r="I772" s="554"/>
      <c r="J772" s="554"/>
      <c r="K772" s="554"/>
      <c r="L772" s="554"/>
      <c r="M772" s="554"/>
      <c r="N772" s="554"/>
      <c r="O772" s="554"/>
      <c r="P772" s="554"/>
      <c r="Q772" s="554"/>
      <c r="R772" s="554"/>
      <c r="S772" s="554"/>
      <c r="T772" s="554"/>
      <c r="U772" s="554"/>
      <c r="V772" s="554"/>
      <c r="W772" s="554"/>
      <c r="X772" s="554"/>
      <c r="Y772" s="554"/>
      <c r="Z772" s="554"/>
      <c r="AA772" s="554"/>
      <c r="AB772" s="554"/>
      <c r="AC772" s="554"/>
      <c r="AD772" s="554"/>
      <c r="AE772" s="554"/>
      <c r="AF772" s="554"/>
      <c r="AG772" s="554"/>
    </row>
    <row r="773">
      <c r="A773" s="549"/>
      <c r="B773" s="554"/>
      <c r="C773" s="554"/>
      <c r="D773" s="554"/>
      <c r="E773" s="554"/>
      <c r="F773" s="561"/>
      <c r="G773" s="554"/>
      <c r="H773" s="554"/>
      <c r="I773" s="554"/>
      <c r="J773" s="554"/>
      <c r="K773" s="554"/>
      <c r="L773" s="554"/>
      <c r="M773" s="554"/>
      <c r="N773" s="554"/>
      <c r="O773" s="554"/>
      <c r="P773" s="554"/>
      <c r="Q773" s="554"/>
      <c r="R773" s="554"/>
      <c r="S773" s="554"/>
      <c r="T773" s="554"/>
      <c r="U773" s="554"/>
      <c r="V773" s="554"/>
      <c r="W773" s="554"/>
      <c r="X773" s="554"/>
      <c r="Y773" s="554"/>
      <c r="Z773" s="554"/>
      <c r="AA773" s="554"/>
      <c r="AB773" s="554"/>
      <c r="AC773" s="554"/>
      <c r="AD773" s="554"/>
      <c r="AE773" s="554"/>
      <c r="AF773" s="554"/>
      <c r="AG773" s="554"/>
    </row>
    <row r="774">
      <c r="A774" s="549"/>
      <c r="B774" s="554"/>
      <c r="C774" s="554"/>
      <c r="D774" s="554"/>
      <c r="E774" s="554"/>
      <c r="F774" s="561"/>
      <c r="G774" s="554"/>
      <c r="H774" s="554"/>
      <c r="I774" s="554"/>
      <c r="J774" s="554"/>
      <c r="K774" s="554"/>
      <c r="L774" s="554"/>
      <c r="M774" s="554"/>
      <c r="N774" s="554"/>
      <c r="O774" s="554"/>
      <c r="P774" s="554"/>
      <c r="Q774" s="554"/>
      <c r="R774" s="554"/>
      <c r="S774" s="554"/>
      <c r="T774" s="554"/>
      <c r="U774" s="554"/>
      <c r="V774" s="554"/>
      <c r="W774" s="554"/>
      <c r="X774" s="554"/>
      <c r="Y774" s="554"/>
      <c r="Z774" s="554"/>
      <c r="AA774" s="554"/>
      <c r="AB774" s="554"/>
      <c r="AC774" s="554"/>
      <c r="AD774" s="554"/>
      <c r="AE774" s="554"/>
      <c r="AF774" s="554"/>
      <c r="AG774" s="554"/>
    </row>
    <row r="775">
      <c r="A775" s="549"/>
      <c r="B775" s="554"/>
      <c r="C775" s="554"/>
      <c r="D775" s="554"/>
      <c r="E775" s="554"/>
      <c r="F775" s="561"/>
      <c r="G775" s="554"/>
      <c r="H775" s="554"/>
      <c r="I775" s="554"/>
      <c r="J775" s="554"/>
      <c r="K775" s="554"/>
      <c r="L775" s="554"/>
      <c r="M775" s="554"/>
      <c r="N775" s="554"/>
      <c r="O775" s="554"/>
      <c r="P775" s="554"/>
      <c r="Q775" s="554"/>
      <c r="R775" s="554"/>
      <c r="S775" s="554"/>
      <c r="T775" s="554"/>
      <c r="U775" s="554"/>
      <c r="V775" s="554"/>
      <c r="W775" s="554"/>
      <c r="X775" s="554"/>
      <c r="Y775" s="554"/>
      <c r="Z775" s="554"/>
      <c r="AA775" s="554"/>
      <c r="AB775" s="554"/>
      <c r="AC775" s="554"/>
      <c r="AD775" s="554"/>
      <c r="AE775" s="554"/>
      <c r="AF775" s="554"/>
      <c r="AG775" s="554"/>
    </row>
    <row r="776">
      <c r="A776" s="549"/>
      <c r="B776" s="554"/>
      <c r="C776" s="554"/>
      <c r="D776" s="554"/>
      <c r="E776" s="554"/>
      <c r="F776" s="561"/>
      <c r="G776" s="554"/>
      <c r="H776" s="554"/>
      <c r="I776" s="554"/>
      <c r="J776" s="554"/>
      <c r="K776" s="554"/>
      <c r="L776" s="554"/>
      <c r="M776" s="554"/>
      <c r="N776" s="554"/>
      <c r="O776" s="554"/>
      <c r="P776" s="554"/>
      <c r="Q776" s="554"/>
      <c r="R776" s="554"/>
      <c r="S776" s="554"/>
      <c r="T776" s="554"/>
      <c r="U776" s="554"/>
      <c r="V776" s="554"/>
      <c r="W776" s="554"/>
      <c r="X776" s="554"/>
      <c r="Y776" s="554"/>
      <c r="Z776" s="554"/>
      <c r="AA776" s="554"/>
      <c r="AB776" s="554"/>
      <c r="AC776" s="554"/>
      <c r="AD776" s="554"/>
      <c r="AE776" s="554"/>
      <c r="AF776" s="554"/>
      <c r="AG776" s="554"/>
    </row>
    <row r="777">
      <c r="A777" s="549"/>
      <c r="B777" s="554"/>
      <c r="C777" s="554"/>
      <c r="D777" s="554"/>
      <c r="E777" s="554"/>
      <c r="F777" s="561"/>
      <c r="G777" s="554"/>
      <c r="H777" s="554"/>
      <c r="I777" s="554"/>
      <c r="J777" s="554"/>
      <c r="K777" s="554"/>
      <c r="L777" s="554"/>
      <c r="M777" s="554"/>
      <c r="N777" s="554"/>
      <c r="O777" s="554"/>
      <c r="P777" s="554"/>
      <c r="Q777" s="554"/>
      <c r="R777" s="554"/>
      <c r="S777" s="554"/>
      <c r="T777" s="554"/>
      <c r="U777" s="554"/>
      <c r="V777" s="554"/>
      <c r="W777" s="554"/>
      <c r="X777" s="554"/>
      <c r="Y777" s="554"/>
      <c r="Z777" s="554"/>
      <c r="AA777" s="554"/>
      <c r="AB777" s="554"/>
      <c r="AC777" s="554"/>
      <c r="AD777" s="554"/>
      <c r="AE777" s="554"/>
      <c r="AF777" s="554"/>
      <c r="AG777" s="554"/>
    </row>
    <row r="778">
      <c r="A778" s="549"/>
      <c r="B778" s="554"/>
      <c r="C778" s="554"/>
      <c r="D778" s="554"/>
      <c r="E778" s="554"/>
      <c r="F778" s="561"/>
      <c r="G778" s="554"/>
      <c r="H778" s="554"/>
      <c r="I778" s="554"/>
      <c r="J778" s="554"/>
      <c r="K778" s="554"/>
      <c r="L778" s="554"/>
      <c r="M778" s="554"/>
      <c r="N778" s="554"/>
      <c r="O778" s="554"/>
      <c r="P778" s="554"/>
      <c r="Q778" s="554"/>
      <c r="R778" s="554"/>
      <c r="S778" s="554"/>
      <c r="T778" s="554"/>
      <c r="U778" s="554"/>
      <c r="V778" s="554"/>
      <c r="W778" s="554"/>
      <c r="X778" s="554"/>
      <c r="Y778" s="554"/>
      <c r="Z778" s="554"/>
      <c r="AA778" s="554"/>
      <c r="AB778" s="554"/>
      <c r="AC778" s="554"/>
      <c r="AD778" s="554"/>
      <c r="AE778" s="554"/>
      <c r="AF778" s="554"/>
      <c r="AG778" s="554"/>
    </row>
    <row r="779">
      <c r="A779" s="549"/>
      <c r="B779" s="554"/>
      <c r="C779" s="554"/>
      <c r="D779" s="554"/>
      <c r="E779" s="554"/>
      <c r="F779" s="561"/>
      <c r="G779" s="554"/>
      <c r="H779" s="554"/>
      <c r="I779" s="554"/>
      <c r="J779" s="554"/>
      <c r="K779" s="554"/>
      <c r="L779" s="554"/>
      <c r="M779" s="554"/>
      <c r="N779" s="554"/>
      <c r="O779" s="554"/>
      <c r="P779" s="554"/>
      <c r="Q779" s="554"/>
      <c r="R779" s="554"/>
      <c r="S779" s="554"/>
      <c r="T779" s="554"/>
      <c r="U779" s="554"/>
      <c r="V779" s="554"/>
      <c r="W779" s="554"/>
      <c r="X779" s="554"/>
      <c r="Y779" s="554"/>
      <c r="Z779" s="554"/>
      <c r="AA779" s="554"/>
      <c r="AB779" s="554"/>
      <c r="AC779" s="554"/>
      <c r="AD779" s="554"/>
      <c r="AE779" s="554"/>
      <c r="AF779" s="554"/>
      <c r="AG779" s="554"/>
    </row>
    <row r="780">
      <c r="A780" s="549"/>
      <c r="B780" s="554"/>
      <c r="C780" s="554"/>
      <c r="D780" s="554"/>
      <c r="E780" s="554"/>
      <c r="F780" s="561"/>
      <c r="G780" s="554"/>
      <c r="H780" s="554"/>
      <c r="I780" s="554"/>
      <c r="J780" s="554"/>
      <c r="K780" s="554"/>
      <c r="L780" s="554"/>
      <c r="M780" s="554"/>
      <c r="N780" s="554"/>
      <c r="O780" s="554"/>
      <c r="P780" s="554"/>
      <c r="Q780" s="554"/>
      <c r="R780" s="554"/>
      <c r="S780" s="554"/>
      <c r="T780" s="554"/>
      <c r="U780" s="554"/>
      <c r="V780" s="554"/>
      <c r="W780" s="554"/>
      <c r="X780" s="554"/>
      <c r="Y780" s="554"/>
      <c r="Z780" s="554"/>
      <c r="AA780" s="554"/>
      <c r="AB780" s="554"/>
      <c r="AC780" s="554"/>
      <c r="AD780" s="554"/>
      <c r="AE780" s="554"/>
      <c r="AF780" s="554"/>
      <c r="AG780" s="554"/>
    </row>
    <row r="781">
      <c r="A781" s="549"/>
      <c r="B781" s="554"/>
      <c r="C781" s="554"/>
      <c r="D781" s="554"/>
      <c r="E781" s="554"/>
      <c r="F781" s="561"/>
      <c r="G781" s="554"/>
      <c r="H781" s="554"/>
      <c r="I781" s="554"/>
      <c r="J781" s="554"/>
      <c r="K781" s="554"/>
      <c r="L781" s="554"/>
      <c r="M781" s="554"/>
      <c r="N781" s="554"/>
      <c r="O781" s="554"/>
      <c r="P781" s="554"/>
      <c r="Q781" s="554"/>
      <c r="R781" s="554"/>
      <c r="S781" s="554"/>
      <c r="T781" s="554"/>
      <c r="U781" s="554"/>
      <c r="V781" s="554"/>
      <c r="W781" s="554"/>
      <c r="X781" s="554"/>
      <c r="Y781" s="554"/>
      <c r="Z781" s="554"/>
      <c r="AA781" s="554"/>
      <c r="AB781" s="554"/>
      <c r="AC781" s="554"/>
      <c r="AD781" s="554"/>
      <c r="AE781" s="554"/>
      <c r="AF781" s="554"/>
      <c r="AG781" s="554"/>
    </row>
    <row r="782">
      <c r="A782" s="549"/>
      <c r="B782" s="554"/>
      <c r="C782" s="554"/>
      <c r="D782" s="554"/>
      <c r="E782" s="554"/>
      <c r="F782" s="561"/>
      <c r="G782" s="554"/>
      <c r="H782" s="554"/>
      <c r="I782" s="554"/>
      <c r="J782" s="554"/>
      <c r="K782" s="554"/>
      <c r="L782" s="554"/>
      <c r="M782" s="554"/>
      <c r="N782" s="554"/>
      <c r="O782" s="554"/>
      <c r="P782" s="554"/>
      <c r="Q782" s="554"/>
      <c r="R782" s="554"/>
      <c r="S782" s="554"/>
      <c r="T782" s="554"/>
      <c r="U782" s="554"/>
      <c r="V782" s="554"/>
      <c r="W782" s="554"/>
      <c r="X782" s="554"/>
      <c r="Y782" s="554"/>
      <c r="Z782" s="554"/>
      <c r="AA782" s="554"/>
      <c r="AB782" s="554"/>
      <c r="AC782" s="554"/>
      <c r="AD782" s="554"/>
      <c r="AE782" s="554"/>
      <c r="AF782" s="554"/>
      <c r="AG782" s="554"/>
    </row>
    <row r="783">
      <c r="A783" s="549"/>
      <c r="B783" s="554"/>
      <c r="C783" s="554"/>
      <c r="D783" s="554"/>
      <c r="E783" s="554"/>
      <c r="F783" s="561"/>
      <c r="G783" s="554"/>
      <c r="H783" s="554"/>
      <c r="I783" s="554"/>
      <c r="J783" s="554"/>
      <c r="K783" s="554"/>
      <c r="L783" s="554"/>
      <c r="M783" s="554"/>
      <c r="N783" s="554"/>
      <c r="O783" s="554"/>
      <c r="P783" s="554"/>
      <c r="Q783" s="554"/>
      <c r="R783" s="554"/>
      <c r="S783" s="554"/>
      <c r="T783" s="554"/>
      <c r="U783" s="554"/>
      <c r="V783" s="554"/>
      <c r="W783" s="554"/>
      <c r="X783" s="554"/>
      <c r="Y783" s="554"/>
      <c r="Z783" s="554"/>
      <c r="AA783" s="554"/>
      <c r="AB783" s="554"/>
      <c r="AC783" s="554"/>
      <c r="AD783" s="554"/>
      <c r="AE783" s="554"/>
      <c r="AF783" s="554"/>
      <c r="AG783" s="554"/>
    </row>
    <row r="784">
      <c r="A784" s="549"/>
      <c r="B784" s="554"/>
      <c r="C784" s="554"/>
      <c r="D784" s="554"/>
      <c r="E784" s="554"/>
      <c r="F784" s="561"/>
      <c r="G784" s="554"/>
      <c r="H784" s="554"/>
      <c r="I784" s="554"/>
      <c r="J784" s="554"/>
      <c r="K784" s="554"/>
      <c r="L784" s="554"/>
      <c r="M784" s="554"/>
      <c r="N784" s="554"/>
      <c r="O784" s="554"/>
      <c r="P784" s="554"/>
      <c r="Q784" s="554"/>
      <c r="R784" s="554"/>
      <c r="S784" s="554"/>
      <c r="T784" s="554"/>
      <c r="U784" s="554"/>
      <c r="V784" s="554"/>
      <c r="W784" s="554"/>
      <c r="X784" s="554"/>
      <c r="Y784" s="554"/>
      <c r="Z784" s="554"/>
      <c r="AA784" s="554"/>
      <c r="AB784" s="554"/>
      <c r="AC784" s="554"/>
      <c r="AD784" s="554"/>
      <c r="AE784" s="554"/>
      <c r="AF784" s="554"/>
      <c r="AG784" s="554"/>
    </row>
    <row r="785">
      <c r="A785" s="549"/>
      <c r="B785" s="554"/>
      <c r="C785" s="554"/>
      <c r="D785" s="554"/>
      <c r="E785" s="554"/>
      <c r="F785" s="561"/>
      <c r="G785" s="554"/>
      <c r="H785" s="554"/>
      <c r="I785" s="554"/>
      <c r="J785" s="554"/>
      <c r="K785" s="554"/>
      <c r="L785" s="554"/>
      <c r="M785" s="554"/>
      <c r="N785" s="554"/>
      <c r="O785" s="554"/>
      <c r="P785" s="554"/>
      <c r="Q785" s="554"/>
      <c r="R785" s="554"/>
      <c r="S785" s="554"/>
      <c r="T785" s="554"/>
      <c r="U785" s="554"/>
      <c r="V785" s="554"/>
      <c r="W785" s="554"/>
      <c r="X785" s="554"/>
      <c r="Y785" s="554"/>
      <c r="Z785" s="554"/>
      <c r="AA785" s="554"/>
      <c r="AB785" s="554"/>
      <c r="AC785" s="554"/>
      <c r="AD785" s="554"/>
      <c r="AE785" s="554"/>
      <c r="AF785" s="554"/>
      <c r="AG785" s="554"/>
    </row>
    <row r="786">
      <c r="A786" s="549"/>
      <c r="B786" s="554"/>
      <c r="C786" s="554"/>
      <c r="D786" s="554"/>
      <c r="E786" s="554"/>
      <c r="F786" s="561"/>
      <c r="G786" s="554"/>
      <c r="H786" s="554"/>
      <c r="I786" s="554"/>
      <c r="J786" s="554"/>
      <c r="K786" s="554"/>
      <c r="L786" s="554"/>
      <c r="M786" s="554"/>
      <c r="N786" s="554"/>
      <c r="O786" s="554"/>
      <c r="P786" s="554"/>
      <c r="Q786" s="554"/>
      <c r="R786" s="554"/>
      <c r="S786" s="554"/>
      <c r="T786" s="554"/>
      <c r="U786" s="554"/>
      <c r="V786" s="554"/>
      <c r="W786" s="554"/>
      <c r="X786" s="554"/>
      <c r="Y786" s="554"/>
      <c r="Z786" s="554"/>
      <c r="AA786" s="554"/>
      <c r="AB786" s="554"/>
      <c r="AC786" s="554"/>
      <c r="AD786" s="554"/>
      <c r="AE786" s="554"/>
      <c r="AF786" s="554"/>
      <c r="AG786" s="554"/>
    </row>
    <row r="787">
      <c r="A787" s="549"/>
      <c r="B787" s="554"/>
      <c r="C787" s="554"/>
      <c r="D787" s="554"/>
      <c r="E787" s="554"/>
      <c r="F787" s="561"/>
      <c r="G787" s="554"/>
      <c r="H787" s="554"/>
      <c r="I787" s="554"/>
      <c r="J787" s="554"/>
      <c r="K787" s="554"/>
      <c r="L787" s="554"/>
      <c r="M787" s="554"/>
      <c r="N787" s="554"/>
      <c r="O787" s="554"/>
      <c r="P787" s="554"/>
      <c r="Q787" s="554"/>
      <c r="R787" s="554"/>
      <c r="S787" s="554"/>
      <c r="T787" s="554"/>
      <c r="U787" s="554"/>
      <c r="V787" s="554"/>
      <c r="W787" s="554"/>
      <c r="X787" s="554"/>
      <c r="Y787" s="554"/>
      <c r="Z787" s="554"/>
      <c r="AA787" s="554"/>
      <c r="AB787" s="554"/>
      <c r="AC787" s="554"/>
      <c r="AD787" s="554"/>
      <c r="AE787" s="554"/>
      <c r="AF787" s="554"/>
      <c r="AG787" s="554"/>
    </row>
    <row r="788">
      <c r="A788" s="549"/>
      <c r="B788" s="554"/>
      <c r="C788" s="554"/>
      <c r="D788" s="554"/>
      <c r="E788" s="554"/>
      <c r="F788" s="561"/>
      <c r="G788" s="554"/>
      <c r="H788" s="554"/>
      <c r="I788" s="554"/>
      <c r="J788" s="554"/>
      <c r="K788" s="554"/>
      <c r="L788" s="554"/>
      <c r="M788" s="554"/>
      <c r="N788" s="554"/>
      <c r="O788" s="554"/>
      <c r="P788" s="554"/>
      <c r="Q788" s="554"/>
      <c r="R788" s="554"/>
      <c r="S788" s="554"/>
      <c r="T788" s="554"/>
      <c r="U788" s="554"/>
      <c r="V788" s="554"/>
      <c r="W788" s="554"/>
      <c r="X788" s="554"/>
      <c r="Y788" s="554"/>
      <c r="Z788" s="554"/>
      <c r="AA788" s="554"/>
      <c r="AB788" s="554"/>
      <c r="AC788" s="554"/>
      <c r="AD788" s="554"/>
      <c r="AE788" s="554"/>
      <c r="AF788" s="554"/>
      <c r="AG788" s="554"/>
    </row>
    <row r="789">
      <c r="A789" s="549"/>
      <c r="B789" s="554"/>
      <c r="C789" s="554"/>
      <c r="D789" s="554"/>
      <c r="E789" s="554"/>
      <c r="F789" s="561"/>
      <c r="G789" s="554"/>
      <c r="H789" s="554"/>
      <c r="I789" s="554"/>
      <c r="J789" s="554"/>
      <c r="K789" s="554"/>
      <c r="L789" s="554"/>
      <c r="M789" s="554"/>
      <c r="N789" s="554"/>
      <c r="O789" s="554"/>
      <c r="P789" s="554"/>
      <c r="Q789" s="554"/>
      <c r="R789" s="554"/>
      <c r="S789" s="554"/>
      <c r="T789" s="554"/>
      <c r="U789" s="554"/>
      <c r="V789" s="554"/>
      <c r="W789" s="554"/>
      <c r="X789" s="554"/>
      <c r="Y789" s="554"/>
      <c r="Z789" s="554"/>
      <c r="AA789" s="554"/>
      <c r="AB789" s="554"/>
      <c r="AC789" s="554"/>
      <c r="AD789" s="554"/>
      <c r="AE789" s="554"/>
      <c r="AF789" s="554"/>
      <c r="AG789" s="554"/>
    </row>
    <row r="790">
      <c r="A790" s="549"/>
      <c r="B790" s="554"/>
      <c r="C790" s="554"/>
      <c r="D790" s="554"/>
      <c r="E790" s="554"/>
      <c r="F790" s="561"/>
      <c r="G790" s="554"/>
      <c r="H790" s="554"/>
      <c r="I790" s="554"/>
      <c r="J790" s="554"/>
      <c r="K790" s="554"/>
      <c r="L790" s="554"/>
      <c r="M790" s="554"/>
      <c r="N790" s="554"/>
      <c r="O790" s="554"/>
      <c r="P790" s="554"/>
      <c r="Q790" s="554"/>
      <c r="R790" s="554"/>
      <c r="S790" s="554"/>
      <c r="T790" s="554"/>
      <c r="U790" s="554"/>
      <c r="V790" s="554"/>
      <c r="W790" s="554"/>
      <c r="X790" s="554"/>
      <c r="Y790" s="554"/>
      <c r="Z790" s="554"/>
      <c r="AA790" s="554"/>
      <c r="AB790" s="554"/>
      <c r="AC790" s="554"/>
      <c r="AD790" s="554"/>
      <c r="AE790" s="554"/>
      <c r="AF790" s="554"/>
      <c r="AG790" s="554"/>
    </row>
    <row r="791">
      <c r="A791" s="549"/>
      <c r="B791" s="554"/>
      <c r="C791" s="554"/>
      <c r="D791" s="554"/>
      <c r="E791" s="554"/>
      <c r="F791" s="561"/>
      <c r="G791" s="554"/>
      <c r="H791" s="554"/>
      <c r="I791" s="554"/>
      <c r="J791" s="554"/>
      <c r="K791" s="554"/>
      <c r="L791" s="554"/>
      <c r="M791" s="554"/>
      <c r="N791" s="554"/>
      <c r="O791" s="554"/>
      <c r="P791" s="554"/>
      <c r="Q791" s="554"/>
      <c r="R791" s="554"/>
      <c r="S791" s="554"/>
      <c r="T791" s="554"/>
      <c r="U791" s="554"/>
      <c r="V791" s="554"/>
      <c r="W791" s="554"/>
      <c r="X791" s="554"/>
      <c r="Y791" s="554"/>
      <c r="Z791" s="554"/>
      <c r="AA791" s="554"/>
      <c r="AB791" s="554"/>
      <c r="AC791" s="554"/>
      <c r="AD791" s="554"/>
      <c r="AE791" s="554"/>
      <c r="AF791" s="554"/>
      <c r="AG791" s="554"/>
    </row>
    <row r="792">
      <c r="A792" s="549"/>
      <c r="B792" s="554"/>
      <c r="C792" s="554"/>
      <c r="D792" s="554"/>
      <c r="E792" s="554"/>
      <c r="F792" s="561"/>
      <c r="G792" s="554"/>
      <c r="H792" s="554"/>
      <c r="I792" s="554"/>
      <c r="J792" s="554"/>
      <c r="K792" s="554"/>
      <c r="L792" s="554"/>
      <c r="M792" s="554"/>
      <c r="N792" s="554"/>
      <c r="O792" s="554"/>
      <c r="P792" s="554"/>
      <c r="Q792" s="554"/>
      <c r="R792" s="554"/>
      <c r="S792" s="554"/>
      <c r="T792" s="554"/>
      <c r="U792" s="554"/>
      <c r="V792" s="554"/>
      <c r="W792" s="554"/>
      <c r="X792" s="554"/>
      <c r="Y792" s="554"/>
      <c r="Z792" s="554"/>
      <c r="AA792" s="554"/>
      <c r="AB792" s="554"/>
      <c r="AC792" s="554"/>
      <c r="AD792" s="554"/>
      <c r="AE792" s="554"/>
      <c r="AF792" s="554"/>
      <c r="AG792" s="554"/>
    </row>
    <row r="793">
      <c r="A793" s="549"/>
      <c r="B793" s="554"/>
      <c r="C793" s="554"/>
      <c r="D793" s="554"/>
      <c r="E793" s="554"/>
      <c r="F793" s="561"/>
      <c r="G793" s="554"/>
      <c r="H793" s="554"/>
      <c r="I793" s="554"/>
      <c r="J793" s="554"/>
      <c r="K793" s="554"/>
      <c r="L793" s="554"/>
      <c r="M793" s="554"/>
      <c r="N793" s="554"/>
      <c r="O793" s="554"/>
      <c r="P793" s="554"/>
      <c r="Q793" s="554"/>
      <c r="R793" s="554"/>
      <c r="S793" s="554"/>
      <c r="T793" s="554"/>
      <c r="U793" s="554"/>
      <c r="V793" s="554"/>
      <c r="W793" s="554"/>
      <c r="X793" s="554"/>
      <c r="Y793" s="554"/>
      <c r="Z793" s="554"/>
      <c r="AA793" s="554"/>
      <c r="AB793" s="554"/>
      <c r="AC793" s="554"/>
      <c r="AD793" s="554"/>
      <c r="AE793" s="554"/>
      <c r="AF793" s="554"/>
      <c r="AG793" s="554"/>
    </row>
    <row r="794">
      <c r="A794" s="549"/>
      <c r="B794" s="554"/>
      <c r="C794" s="554"/>
      <c r="D794" s="554"/>
      <c r="E794" s="554"/>
      <c r="F794" s="561"/>
      <c r="G794" s="554"/>
      <c r="H794" s="554"/>
      <c r="I794" s="554"/>
      <c r="J794" s="554"/>
      <c r="K794" s="554"/>
      <c r="L794" s="554"/>
      <c r="M794" s="554"/>
      <c r="N794" s="554"/>
      <c r="O794" s="554"/>
      <c r="P794" s="554"/>
      <c r="Q794" s="554"/>
      <c r="R794" s="554"/>
      <c r="S794" s="554"/>
      <c r="T794" s="554"/>
      <c r="U794" s="554"/>
      <c r="V794" s="554"/>
      <c r="W794" s="554"/>
      <c r="X794" s="554"/>
      <c r="Y794" s="554"/>
      <c r="Z794" s="554"/>
      <c r="AA794" s="554"/>
      <c r="AB794" s="554"/>
      <c r="AC794" s="554"/>
      <c r="AD794" s="554"/>
      <c r="AE794" s="554"/>
      <c r="AF794" s="554"/>
      <c r="AG794" s="554"/>
    </row>
    <row r="795">
      <c r="A795" s="549"/>
      <c r="B795" s="554"/>
      <c r="C795" s="554"/>
      <c r="D795" s="554"/>
      <c r="E795" s="554"/>
      <c r="F795" s="561"/>
      <c r="G795" s="554"/>
      <c r="H795" s="554"/>
      <c r="I795" s="554"/>
      <c r="J795" s="554"/>
      <c r="K795" s="554"/>
      <c r="L795" s="554"/>
      <c r="M795" s="554"/>
      <c r="N795" s="554"/>
      <c r="O795" s="554"/>
      <c r="P795" s="554"/>
      <c r="Q795" s="554"/>
      <c r="R795" s="554"/>
      <c r="S795" s="554"/>
      <c r="T795" s="554"/>
      <c r="U795" s="554"/>
      <c r="V795" s="554"/>
      <c r="W795" s="554"/>
      <c r="X795" s="554"/>
      <c r="Y795" s="554"/>
      <c r="Z795" s="554"/>
      <c r="AA795" s="554"/>
      <c r="AB795" s="554"/>
      <c r="AC795" s="554"/>
      <c r="AD795" s="554"/>
      <c r="AE795" s="554"/>
      <c r="AF795" s="554"/>
      <c r="AG795" s="554"/>
    </row>
    <row r="796">
      <c r="A796" s="549"/>
      <c r="B796" s="554"/>
      <c r="C796" s="554"/>
      <c r="D796" s="554"/>
      <c r="E796" s="554"/>
      <c r="F796" s="561"/>
      <c r="G796" s="554"/>
      <c r="H796" s="554"/>
      <c r="I796" s="554"/>
      <c r="J796" s="554"/>
      <c r="K796" s="554"/>
      <c r="L796" s="554"/>
      <c r="M796" s="554"/>
      <c r="N796" s="554"/>
      <c r="O796" s="554"/>
      <c r="P796" s="554"/>
      <c r="Q796" s="554"/>
      <c r="R796" s="554"/>
      <c r="S796" s="554"/>
      <c r="T796" s="554"/>
      <c r="U796" s="554"/>
      <c r="V796" s="554"/>
      <c r="W796" s="554"/>
      <c r="X796" s="554"/>
      <c r="Y796" s="554"/>
      <c r="Z796" s="554"/>
      <c r="AA796" s="554"/>
      <c r="AB796" s="554"/>
      <c r="AC796" s="554"/>
      <c r="AD796" s="554"/>
      <c r="AE796" s="554"/>
      <c r="AF796" s="554"/>
      <c r="AG796" s="554"/>
    </row>
    <row r="797">
      <c r="A797" s="549"/>
      <c r="B797" s="554"/>
      <c r="C797" s="554"/>
      <c r="D797" s="554"/>
      <c r="E797" s="554"/>
      <c r="F797" s="561"/>
      <c r="G797" s="554"/>
      <c r="H797" s="554"/>
      <c r="I797" s="554"/>
      <c r="J797" s="554"/>
      <c r="K797" s="554"/>
      <c r="L797" s="554"/>
      <c r="M797" s="554"/>
      <c r="N797" s="554"/>
      <c r="O797" s="554"/>
      <c r="P797" s="554"/>
      <c r="Q797" s="554"/>
      <c r="R797" s="554"/>
      <c r="S797" s="554"/>
      <c r="T797" s="554"/>
      <c r="U797" s="554"/>
      <c r="V797" s="554"/>
      <c r="W797" s="554"/>
      <c r="X797" s="554"/>
      <c r="Y797" s="554"/>
      <c r="Z797" s="554"/>
      <c r="AA797" s="554"/>
      <c r="AB797" s="554"/>
      <c r="AC797" s="554"/>
      <c r="AD797" s="554"/>
      <c r="AE797" s="554"/>
      <c r="AF797" s="554"/>
      <c r="AG797" s="554"/>
    </row>
    <row r="798">
      <c r="A798" s="549"/>
      <c r="B798" s="554"/>
      <c r="C798" s="554"/>
      <c r="D798" s="554"/>
      <c r="E798" s="554"/>
      <c r="F798" s="561"/>
      <c r="G798" s="554"/>
      <c r="H798" s="554"/>
      <c r="I798" s="554"/>
      <c r="J798" s="554"/>
      <c r="K798" s="554"/>
      <c r="L798" s="554"/>
      <c r="M798" s="554"/>
      <c r="N798" s="554"/>
      <c r="O798" s="554"/>
      <c r="P798" s="554"/>
      <c r="Q798" s="554"/>
      <c r="R798" s="554"/>
      <c r="S798" s="554"/>
      <c r="T798" s="554"/>
      <c r="U798" s="554"/>
      <c r="V798" s="554"/>
      <c r="W798" s="554"/>
      <c r="X798" s="554"/>
      <c r="Y798" s="554"/>
      <c r="Z798" s="554"/>
      <c r="AA798" s="554"/>
      <c r="AB798" s="554"/>
      <c r="AC798" s="554"/>
      <c r="AD798" s="554"/>
      <c r="AE798" s="554"/>
      <c r="AF798" s="554"/>
      <c r="AG798" s="554"/>
    </row>
    <row r="799">
      <c r="A799" s="549"/>
      <c r="B799" s="554"/>
      <c r="C799" s="554"/>
      <c r="D799" s="554"/>
      <c r="E799" s="554"/>
      <c r="F799" s="561"/>
      <c r="G799" s="554"/>
      <c r="H799" s="554"/>
      <c r="I799" s="554"/>
      <c r="J799" s="554"/>
      <c r="K799" s="554"/>
      <c r="L799" s="554"/>
      <c r="M799" s="554"/>
      <c r="N799" s="554"/>
      <c r="O799" s="554"/>
      <c r="P799" s="554"/>
      <c r="Q799" s="554"/>
      <c r="R799" s="554"/>
      <c r="S799" s="554"/>
      <c r="T799" s="554"/>
      <c r="U799" s="554"/>
      <c r="V799" s="554"/>
      <c r="W799" s="554"/>
      <c r="X799" s="554"/>
      <c r="Y799" s="554"/>
      <c r="Z799" s="554"/>
      <c r="AA799" s="554"/>
      <c r="AB799" s="554"/>
      <c r="AC799" s="554"/>
      <c r="AD799" s="554"/>
      <c r="AE799" s="554"/>
      <c r="AF799" s="554"/>
      <c r="AG799" s="554"/>
    </row>
    <row r="800">
      <c r="A800" s="549"/>
      <c r="B800" s="554"/>
      <c r="C800" s="554"/>
      <c r="D800" s="554"/>
      <c r="E800" s="554"/>
      <c r="F800" s="561"/>
      <c r="G800" s="554"/>
      <c r="H800" s="554"/>
      <c r="I800" s="554"/>
      <c r="J800" s="554"/>
      <c r="K800" s="554"/>
      <c r="L800" s="554"/>
      <c r="M800" s="554"/>
      <c r="N800" s="554"/>
      <c r="O800" s="554"/>
      <c r="P800" s="554"/>
      <c r="Q800" s="554"/>
      <c r="R800" s="554"/>
      <c r="S800" s="554"/>
      <c r="T800" s="554"/>
      <c r="U800" s="554"/>
      <c r="V800" s="554"/>
      <c r="W800" s="554"/>
      <c r="X800" s="554"/>
      <c r="Y800" s="554"/>
      <c r="Z800" s="554"/>
      <c r="AA800" s="554"/>
      <c r="AB800" s="554"/>
      <c r="AC800" s="554"/>
      <c r="AD800" s="554"/>
      <c r="AE800" s="554"/>
      <c r="AF800" s="554"/>
      <c r="AG800" s="554"/>
    </row>
    <row r="801">
      <c r="A801" s="549"/>
      <c r="B801" s="554"/>
      <c r="C801" s="554"/>
      <c r="D801" s="554"/>
      <c r="E801" s="554"/>
      <c r="F801" s="561"/>
      <c r="G801" s="554"/>
      <c r="H801" s="554"/>
      <c r="I801" s="554"/>
      <c r="J801" s="554"/>
      <c r="K801" s="554"/>
      <c r="L801" s="554"/>
      <c r="M801" s="554"/>
      <c r="N801" s="554"/>
      <c r="O801" s="554"/>
      <c r="P801" s="554"/>
      <c r="Q801" s="554"/>
      <c r="R801" s="554"/>
      <c r="S801" s="554"/>
      <c r="T801" s="554"/>
      <c r="U801" s="554"/>
      <c r="V801" s="554"/>
      <c r="W801" s="554"/>
      <c r="X801" s="554"/>
      <c r="Y801" s="554"/>
      <c r="Z801" s="554"/>
      <c r="AA801" s="554"/>
      <c r="AB801" s="554"/>
      <c r="AC801" s="554"/>
      <c r="AD801" s="554"/>
      <c r="AE801" s="554"/>
      <c r="AF801" s="554"/>
      <c r="AG801" s="554"/>
    </row>
    <row r="802">
      <c r="A802" s="549"/>
      <c r="B802" s="554"/>
      <c r="C802" s="554"/>
      <c r="D802" s="554"/>
      <c r="E802" s="554"/>
      <c r="F802" s="561"/>
      <c r="G802" s="554"/>
      <c r="H802" s="554"/>
      <c r="I802" s="554"/>
      <c r="J802" s="554"/>
      <c r="K802" s="554"/>
      <c r="L802" s="554"/>
      <c r="M802" s="554"/>
      <c r="N802" s="554"/>
      <c r="O802" s="554"/>
      <c r="P802" s="554"/>
      <c r="Q802" s="554"/>
      <c r="R802" s="554"/>
      <c r="S802" s="554"/>
      <c r="T802" s="554"/>
      <c r="U802" s="554"/>
      <c r="V802" s="554"/>
      <c r="W802" s="554"/>
      <c r="X802" s="554"/>
      <c r="Y802" s="554"/>
      <c r="Z802" s="554"/>
      <c r="AA802" s="554"/>
      <c r="AB802" s="554"/>
      <c r="AC802" s="554"/>
      <c r="AD802" s="554"/>
      <c r="AE802" s="554"/>
      <c r="AF802" s="554"/>
      <c r="AG802" s="554"/>
    </row>
    <row r="803">
      <c r="A803" s="549"/>
      <c r="B803" s="554"/>
      <c r="C803" s="554"/>
      <c r="D803" s="554"/>
      <c r="E803" s="554"/>
      <c r="F803" s="561"/>
      <c r="G803" s="554"/>
      <c r="H803" s="554"/>
      <c r="I803" s="554"/>
      <c r="J803" s="554"/>
      <c r="K803" s="554"/>
      <c r="L803" s="554"/>
      <c r="M803" s="554"/>
      <c r="N803" s="554"/>
      <c r="O803" s="554"/>
      <c r="P803" s="554"/>
      <c r="Q803" s="554"/>
      <c r="R803" s="554"/>
      <c r="S803" s="554"/>
      <c r="T803" s="554"/>
      <c r="U803" s="554"/>
      <c r="V803" s="554"/>
      <c r="W803" s="554"/>
      <c r="X803" s="554"/>
      <c r="Y803" s="554"/>
      <c r="Z803" s="554"/>
      <c r="AA803" s="554"/>
      <c r="AB803" s="554"/>
      <c r="AC803" s="554"/>
      <c r="AD803" s="554"/>
      <c r="AE803" s="554"/>
      <c r="AF803" s="554"/>
      <c r="AG803" s="554"/>
    </row>
    <row r="804">
      <c r="A804" s="549"/>
      <c r="B804" s="554"/>
      <c r="C804" s="554"/>
      <c r="D804" s="554"/>
      <c r="E804" s="554"/>
      <c r="F804" s="561"/>
      <c r="G804" s="554"/>
      <c r="H804" s="554"/>
      <c r="I804" s="554"/>
      <c r="J804" s="554"/>
      <c r="K804" s="554"/>
      <c r="L804" s="554"/>
      <c r="M804" s="554"/>
      <c r="N804" s="554"/>
      <c r="O804" s="554"/>
      <c r="P804" s="554"/>
      <c r="Q804" s="554"/>
      <c r="R804" s="554"/>
      <c r="S804" s="554"/>
      <c r="T804" s="554"/>
      <c r="U804" s="554"/>
      <c r="V804" s="554"/>
      <c r="W804" s="554"/>
      <c r="X804" s="554"/>
      <c r="Y804" s="554"/>
      <c r="Z804" s="554"/>
      <c r="AA804" s="554"/>
      <c r="AB804" s="554"/>
      <c r="AC804" s="554"/>
      <c r="AD804" s="554"/>
      <c r="AE804" s="554"/>
      <c r="AF804" s="554"/>
      <c r="AG804" s="554"/>
    </row>
    <row r="805">
      <c r="A805" s="549"/>
      <c r="B805" s="554"/>
      <c r="C805" s="554"/>
      <c r="D805" s="554"/>
      <c r="E805" s="554"/>
      <c r="F805" s="561"/>
      <c r="G805" s="554"/>
      <c r="H805" s="554"/>
      <c r="I805" s="554"/>
      <c r="J805" s="554"/>
      <c r="K805" s="554"/>
      <c r="L805" s="554"/>
      <c r="M805" s="554"/>
      <c r="N805" s="554"/>
      <c r="O805" s="554"/>
      <c r="P805" s="554"/>
      <c r="Q805" s="554"/>
      <c r="R805" s="554"/>
      <c r="S805" s="554"/>
      <c r="T805" s="554"/>
      <c r="U805" s="554"/>
      <c r="V805" s="554"/>
      <c r="W805" s="554"/>
      <c r="X805" s="554"/>
      <c r="Y805" s="554"/>
      <c r="Z805" s="554"/>
      <c r="AA805" s="554"/>
      <c r="AB805" s="554"/>
      <c r="AC805" s="554"/>
      <c r="AD805" s="554"/>
      <c r="AE805" s="554"/>
      <c r="AF805" s="554"/>
      <c r="AG805" s="554"/>
    </row>
    <row r="806">
      <c r="A806" s="549"/>
      <c r="B806" s="554"/>
      <c r="C806" s="554"/>
      <c r="D806" s="554"/>
      <c r="E806" s="554"/>
      <c r="F806" s="561"/>
      <c r="G806" s="554"/>
      <c r="H806" s="554"/>
      <c r="I806" s="554"/>
      <c r="J806" s="554"/>
      <c r="K806" s="554"/>
      <c r="L806" s="554"/>
      <c r="M806" s="554"/>
      <c r="N806" s="554"/>
      <c r="O806" s="554"/>
      <c r="P806" s="554"/>
      <c r="Q806" s="554"/>
      <c r="R806" s="554"/>
      <c r="S806" s="554"/>
      <c r="T806" s="554"/>
      <c r="U806" s="554"/>
      <c r="V806" s="554"/>
      <c r="W806" s="554"/>
      <c r="X806" s="554"/>
      <c r="Y806" s="554"/>
      <c r="Z806" s="554"/>
      <c r="AA806" s="554"/>
      <c r="AB806" s="554"/>
      <c r="AC806" s="554"/>
      <c r="AD806" s="554"/>
      <c r="AE806" s="554"/>
      <c r="AF806" s="554"/>
      <c r="AG806" s="554"/>
    </row>
    <row r="807">
      <c r="A807" s="549"/>
      <c r="B807" s="554"/>
      <c r="C807" s="554"/>
      <c r="D807" s="554"/>
      <c r="E807" s="554"/>
      <c r="F807" s="561"/>
      <c r="G807" s="554"/>
      <c r="H807" s="554"/>
      <c r="I807" s="554"/>
      <c r="J807" s="554"/>
      <c r="K807" s="554"/>
      <c r="L807" s="554"/>
      <c r="M807" s="554"/>
      <c r="N807" s="554"/>
      <c r="O807" s="554"/>
      <c r="P807" s="554"/>
      <c r="Q807" s="554"/>
      <c r="R807" s="554"/>
      <c r="S807" s="554"/>
      <c r="T807" s="554"/>
      <c r="U807" s="554"/>
      <c r="V807" s="554"/>
      <c r="W807" s="554"/>
      <c r="X807" s="554"/>
      <c r="Y807" s="554"/>
      <c r="Z807" s="554"/>
      <c r="AA807" s="554"/>
      <c r="AB807" s="554"/>
      <c r="AC807" s="554"/>
      <c r="AD807" s="554"/>
      <c r="AE807" s="554"/>
      <c r="AF807" s="554"/>
      <c r="AG807" s="554"/>
    </row>
    <row r="808">
      <c r="A808" s="549"/>
      <c r="B808" s="554"/>
      <c r="C808" s="554"/>
      <c r="D808" s="554"/>
      <c r="E808" s="554"/>
      <c r="F808" s="561"/>
      <c r="G808" s="554"/>
      <c r="H808" s="554"/>
      <c r="I808" s="554"/>
      <c r="J808" s="554"/>
      <c r="K808" s="554"/>
      <c r="L808" s="554"/>
      <c r="M808" s="554"/>
      <c r="N808" s="554"/>
      <c r="O808" s="554"/>
      <c r="P808" s="554"/>
      <c r="Q808" s="554"/>
      <c r="R808" s="554"/>
      <c r="S808" s="554"/>
      <c r="T808" s="554"/>
      <c r="U808" s="554"/>
      <c r="V808" s="554"/>
      <c r="W808" s="554"/>
      <c r="X808" s="554"/>
      <c r="Y808" s="554"/>
      <c r="Z808" s="554"/>
      <c r="AA808" s="554"/>
      <c r="AB808" s="554"/>
      <c r="AC808" s="554"/>
      <c r="AD808" s="554"/>
      <c r="AE808" s="554"/>
      <c r="AF808" s="554"/>
      <c r="AG808" s="554"/>
    </row>
    <row r="809">
      <c r="A809" s="549"/>
      <c r="B809" s="554"/>
      <c r="C809" s="554"/>
      <c r="D809" s="554"/>
      <c r="E809" s="554"/>
      <c r="F809" s="561"/>
      <c r="G809" s="554"/>
      <c r="H809" s="554"/>
      <c r="I809" s="554"/>
      <c r="J809" s="554"/>
      <c r="K809" s="554"/>
      <c r="L809" s="554"/>
      <c r="M809" s="554"/>
      <c r="N809" s="554"/>
      <c r="O809" s="554"/>
      <c r="P809" s="554"/>
      <c r="Q809" s="554"/>
      <c r="R809" s="554"/>
      <c r="S809" s="554"/>
      <c r="T809" s="554"/>
      <c r="U809" s="554"/>
      <c r="V809" s="554"/>
      <c r="W809" s="554"/>
      <c r="X809" s="554"/>
      <c r="Y809" s="554"/>
      <c r="Z809" s="554"/>
      <c r="AA809" s="554"/>
      <c r="AB809" s="554"/>
      <c r="AC809" s="554"/>
      <c r="AD809" s="554"/>
      <c r="AE809" s="554"/>
      <c r="AF809" s="554"/>
      <c r="AG809" s="554"/>
    </row>
    <row r="810">
      <c r="A810" s="549"/>
      <c r="B810" s="554"/>
      <c r="C810" s="554"/>
      <c r="D810" s="554"/>
      <c r="E810" s="554"/>
      <c r="F810" s="561"/>
      <c r="G810" s="554"/>
      <c r="H810" s="554"/>
      <c r="I810" s="554"/>
      <c r="J810" s="554"/>
      <c r="K810" s="554"/>
      <c r="L810" s="554"/>
      <c r="M810" s="554"/>
      <c r="N810" s="554"/>
      <c r="O810" s="554"/>
      <c r="P810" s="554"/>
      <c r="Q810" s="554"/>
      <c r="R810" s="554"/>
      <c r="S810" s="554"/>
      <c r="T810" s="554"/>
      <c r="U810" s="554"/>
      <c r="V810" s="554"/>
      <c r="W810" s="554"/>
      <c r="X810" s="554"/>
      <c r="Y810" s="554"/>
      <c r="Z810" s="554"/>
      <c r="AA810" s="554"/>
      <c r="AB810" s="554"/>
      <c r="AC810" s="554"/>
      <c r="AD810" s="554"/>
      <c r="AE810" s="554"/>
      <c r="AF810" s="554"/>
      <c r="AG810" s="554"/>
    </row>
    <row r="811">
      <c r="A811" s="549"/>
      <c r="B811" s="554"/>
      <c r="C811" s="554"/>
      <c r="D811" s="554"/>
      <c r="E811" s="554"/>
      <c r="F811" s="561"/>
      <c r="G811" s="554"/>
      <c r="H811" s="554"/>
      <c r="I811" s="554"/>
      <c r="J811" s="554"/>
      <c r="K811" s="554"/>
      <c r="L811" s="554"/>
      <c r="M811" s="554"/>
      <c r="N811" s="554"/>
      <c r="O811" s="554"/>
      <c r="P811" s="554"/>
      <c r="Q811" s="554"/>
      <c r="R811" s="554"/>
      <c r="S811" s="554"/>
      <c r="T811" s="554"/>
      <c r="U811" s="554"/>
      <c r="V811" s="554"/>
      <c r="W811" s="554"/>
      <c r="X811" s="554"/>
      <c r="Y811" s="554"/>
      <c r="Z811" s="554"/>
      <c r="AA811" s="554"/>
      <c r="AB811" s="554"/>
      <c r="AC811" s="554"/>
      <c r="AD811" s="554"/>
      <c r="AE811" s="554"/>
      <c r="AF811" s="554"/>
      <c r="AG811" s="554"/>
    </row>
    <row r="812">
      <c r="A812" s="549"/>
      <c r="B812" s="554"/>
      <c r="C812" s="554"/>
      <c r="D812" s="554"/>
      <c r="E812" s="554"/>
      <c r="F812" s="561"/>
      <c r="G812" s="554"/>
      <c r="H812" s="554"/>
      <c r="I812" s="554"/>
      <c r="J812" s="554"/>
      <c r="K812" s="554"/>
      <c r="L812" s="554"/>
      <c r="M812" s="554"/>
      <c r="N812" s="554"/>
      <c r="O812" s="554"/>
      <c r="P812" s="554"/>
      <c r="Q812" s="554"/>
      <c r="R812" s="554"/>
      <c r="S812" s="554"/>
      <c r="T812" s="554"/>
      <c r="U812" s="554"/>
      <c r="V812" s="554"/>
      <c r="W812" s="554"/>
      <c r="X812" s="554"/>
      <c r="Y812" s="554"/>
      <c r="Z812" s="554"/>
      <c r="AA812" s="554"/>
      <c r="AB812" s="554"/>
      <c r="AC812" s="554"/>
      <c r="AD812" s="554"/>
      <c r="AE812" s="554"/>
      <c r="AF812" s="554"/>
      <c r="AG812" s="554"/>
    </row>
    <row r="813">
      <c r="A813" s="549"/>
      <c r="B813" s="554"/>
      <c r="C813" s="554"/>
      <c r="D813" s="554"/>
      <c r="E813" s="554"/>
      <c r="F813" s="561"/>
      <c r="G813" s="554"/>
      <c r="H813" s="554"/>
      <c r="I813" s="554"/>
      <c r="J813" s="554"/>
      <c r="K813" s="554"/>
      <c r="L813" s="554"/>
      <c r="M813" s="554"/>
      <c r="N813" s="554"/>
      <c r="O813" s="554"/>
      <c r="P813" s="554"/>
      <c r="Q813" s="554"/>
      <c r="R813" s="554"/>
      <c r="S813" s="554"/>
      <c r="T813" s="554"/>
      <c r="U813" s="554"/>
      <c r="V813" s="554"/>
      <c r="W813" s="554"/>
      <c r="X813" s="554"/>
      <c r="Y813" s="554"/>
      <c r="Z813" s="554"/>
      <c r="AA813" s="554"/>
      <c r="AB813" s="554"/>
      <c r="AC813" s="554"/>
      <c r="AD813" s="554"/>
      <c r="AE813" s="554"/>
      <c r="AF813" s="554"/>
      <c r="AG813" s="554"/>
    </row>
    <row r="814">
      <c r="A814" s="549"/>
      <c r="B814" s="554"/>
      <c r="C814" s="554"/>
      <c r="D814" s="554"/>
      <c r="E814" s="554"/>
      <c r="F814" s="561"/>
      <c r="G814" s="554"/>
      <c r="H814" s="554"/>
      <c r="I814" s="554"/>
      <c r="J814" s="554"/>
      <c r="K814" s="554"/>
      <c r="L814" s="554"/>
      <c r="M814" s="554"/>
      <c r="N814" s="554"/>
      <c r="O814" s="554"/>
      <c r="P814" s="554"/>
      <c r="Q814" s="554"/>
      <c r="R814" s="554"/>
      <c r="S814" s="554"/>
      <c r="T814" s="554"/>
      <c r="U814" s="554"/>
      <c r="V814" s="554"/>
      <c r="W814" s="554"/>
      <c r="X814" s="554"/>
      <c r="Y814" s="554"/>
      <c r="Z814" s="554"/>
      <c r="AA814" s="554"/>
      <c r="AB814" s="554"/>
      <c r="AC814" s="554"/>
      <c r="AD814" s="554"/>
      <c r="AE814" s="554"/>
      <c r="AF814" s="554"/>
      <c r="AG814" s="554"/>
    </row>
    <row r="815">
      <c r="A815" s="549"/>
      <c r="B815" s="554"/>
      <c r="C815" s="554"/>
      <c r="D815" s="554"/>
      <c r="E815" s="554"/>
      <c r="F815" s="561"/>
      <c r="G815" s="554"/>
      <c r="H815" s="554"/>
      <c r="I815" s="554"/>
      <c r="J815" s="554"/>
      <c r="K815" s="554"/>
      <c r="L815" s="554"/>
      <c r="M815" s="554"/>
      <c r="N815" s="554"/>
      <c r="O815" s="554"/>
      <c r="P815" s="554"/>
      <c r="Q815" s="554"/>
      <c r="R815" s="554"/>
      <c r="S815" s="554"/>
      <c r="T815" s="554"/>
      <c r="U815" s="554"/>
      <c r="V815" s="554"/>
      <c r="W815" s="554"/>
      <c r="X815" s="554"/>
      <c r="Y815" s="554"/>
      <c r="Z815" s="554"/>
      <c r="AA815" s="554"/>
      <c r="AB815" s="554"/>
      <c r="AC815" s="554"/>
      <c r="AD815" s="554"/>
      <c r="AE815" s="554"/>
      <c r="AF815" s="554"/>
      <c r="AG815" s="554"/>
    </row>
    <row r="816">
      <c r="A816" s="549"/>
      <c r="B816" s="554"/>
      <c r="C816" s="554"/>
      <c r="D816" s="554"/>
      <c r="E816" s="554"/>
      <c r="F816" s="561"/>
      <c r="G816" s="554"/>
      <c r="H816" s="554"/>
      <c r="I816" s="554"/>
      <c r="J816" s="554"/>
      <c r="K816" s="554"/>
      <c r="L816" s="554"/>
      <c r="M816" s="554"/>
      <c r="N816" s="554"/>
      <c r="O816" s="554"/>
      <c r="P816" s="554"/>
      <c r="Q816" s="554"/>
      <c r="R816" s="554"/>
      <c r="S816" s="554"/>
      <c r="T816" s="554"/>
      <c r="U816" s="554"/>
      <c r="V816" s="554"/>
      <c r="W816" s="554"/>
      <c r="X816" s="554"/>
      <c r="Y816" s="554"/>
      <c r="Z816" s="554"/>
      <c r="AA816" s="554"/>
      <c r="AB816" s="554"/>
      <c r="AC816" s="554"/>
      <c r="AD816" s="554"/>
      <c r="AE816" s="554"/>
      <c r="AF816" s="554"/>
      <c r="AG816" s="554"/>
    </row>
    <row r="817">
      <c r="A817" s="549"/>
      <c r="B817" s="554"/>
      <c r="C817" s="554"/>
      <c r="D817" s="554"/>
      <c r="E817" s="554"/>
      <c r="F817" s="561"/>
      <c r="G817" s="554"/>
      <c r="H817" s="554"/>
      <c r="I817" s="554"/>
      <c r="J817" s="554"/>
      <c r="K817" s="554"/>
      <c r="L817" s="554"/>
      <c r="M817" s="554"/>
      <c r="N817" s="554"/>
      <c r="O817" s="554"/>
      <c r="P817" s="554"/>
      <c r="Q817" s="554"/>
      <c r="R817" s="554"/>
      <c r="S817" s="554"/>
      <c r="T817" s="554"/>
      <c r="U817" s="554"/>
      <c r="V817" s="554"/>
      <c r="W817" s="554"/>
      <c r="X817" s="554"/>
      <c r="Y817" s="554"/>
      <c r="Z817" s="554"/>
      <c r="AA817" s="554"/>
      <c r="AB817" s="554"/>
      <c r="AC817" s="554"/>
      <c r="AD817" s="554"/>
      <c r="AE817" s="554"/>
      <c r="AF817" s="554"/>
      <c r="AG817" s="554"/>
    </row>
    <row r="818">
      <c r="A818" s="549"/>
      <c r="B818" s="554"/>
      <c r="C818" s="554"/>
      <c r="D818" s="554"/>
      <c r="E818" s="554"/>
      <c r="F818" s="561"/>
      <c r="G818" s="554"/>
      <c r="H818" s="554"/>
      <c r="I818" s="554"/>
      <c r="J818" s="554"/>
      <c r="K818" s="554"/>
      <c r="L818" s="554"/>
      <c r="M818" s="554"/>
      <c r="N818" s="554"/>
      <c r="O818" s="554"/>
      <c r="P818" s="554"/>
      <c r="Q818" s="554"/>
      <c r="R818" s="554"/>
      <c r="S818" s="554"/>
      <c r="T818" s="554"/>
      <c r="U818" s="554"/>
      <c r="V818" s="554"/>
      <c r="W818" s="554"/>
      <c r="X818" s="554"/>
      <c r="Y818" s="554"/>
      <c r="Z818" s="554"/>
      <c r="AA818" s="554"/>
      <c r="AB818" s="554"/>
      <c r="AC818" s="554"/>
      <c r="AD818" s="554"/>
      <c r="AE818" s="554"/>
      <c r="AF818" s="554"/>
      <c r="AG818" s="554"/>
    </row>
    <row r="819">
      <c r="A819" s="549"/>
      <c r="B819" s="554"/>
      <c r="C819" s="554"/>
      <c r="D819" s="554"/>
      <c r="E819" s="554"/>
      <c r="F819" s="561"/>
      <c r="G819" s="554"/>
      <c r="H819" s="554"/>
      <c r="I819" s="554"/>
      <c r="J819" s="554"/>
      <c r="K819" s="554"/>
      <c r="L819" s="554"/>
      <c r="M819" s="554"/>
      <c r="N819" s="554"/>
      <c r="O819" s="554"/>
      <c r="P819" s="554"/>
      <c r="Q819" s="554"/>
      <c r="R819" s="554"/>
      <c r="S819" s="554"/>
      <c r="T819" s="554"/>
      <c r="U819" s="554"/>
      <c r="V819" s="554"/>
      <c r="W819" s="554"/>
      <c r="X819" s="554"/>
      <c r="Y819" s="554"/>
      <c r="Z819" s="554"/>
      <c r="AA819" s="554"/>
      <c r="AB819" s="554"/>
      <c r="AC819" s="554"/>
      <c r="AD819" s="554"/>
      <c r="AE819" s="554"/>
      <c r="AF819" s="554"/>
      <c r="AG819" s="554"/>
    </row>
    <row r="820">
      <c r="A820" s="549"/>
      <c r="B820" s="554"/>
      <c r="C820" s="554"/>
      <c r="D820" s="554"/>
      <c r="E820" s="554"/>
      <c r="F820" s="561"/>
      <c r="G820" s="554"/>
      <c r="H820" s="554"/>
      <c r="I820" s="554"/>
      <c r="J820" s="554"/>
      <c r="K820" s="554"/>
      <c r="L820" s="554"/>
      <c r="M820" s="554"/>
      <c r="N820" s="554"/>
      <c r="O820" s="554"/>
      <c r="P820" s="554"/>
      <c r="Q820" s="554"/>
      <c r="R820" s="554"/>
      <c r="S820" s="554"/>
      <c r="T820" s="554"/>
      <c r="U820" s="554"/>
      <c r="V820" s="554"/>
      <c r="W820" s="554"/>
      <c r="X820" s="554"/>
      <c r="Y820" s="554"/>
      <c r="Z820" s="554"/>
      <c r="AA820" s="554"/>
      <c r="AB820" s="554"/>
      <c r="AC820" s="554"/>
      <c r="AD820" s="554"/>
      <c r="AE820" s="554"/>
      <c r="AF820" s="554"/>
      <c r="AG820" s="554"/>
    </row>
    <row r="821">
      <c r="A821" s="549"/>
      <c r="B821" s="554"/>
      <c r="C821" s="554"/>
      <c r="D821" s="554"/>
      <c r="E821" s="554"/>
      <c r="F821" s="561"/>
      <c r="G821" s="554"/>
      <c r="H821" s="554"/>
      <c r="I821" s="554"/>
      <c r="J821" s="554"/>
      <c r="K821" s="554"/>
      <c r="L821" s="554"/>
      <c r="M821" s="554"/>
      <c r="N821" s="554"/>
      <c r="O821" s="554"/>
      <c r="P821" s="554"/>
      <c r="Q821" s="554"/>
      <c r="R821" s="554"/>
      <c r="S821" s="554"/>
      <c r="T821" s="554"/>
      <c r="U821" s="554"/>
      <c r="V821" s="554"/>
      <c r="W821" s="554"/>
      <c r="X821" s="554"/>
      <c r="Y821" s="554"/>
      <c r="Z821" s="554"/>
      <c r="AA821" s="554"/>
      <c r="AB821" s="554"/>
      <c r="AC821" s="554"/>
      <c r="AD821" s="554"/>
      <c r="AE821" s="554"/>
      <c r="AF821" s="554"/>
      <c r="AG821" s="554"/>
    </row>
    <row r="822">
      <c r="A822" s="549"/>
      <c r="B822" s="554"/>
      <c r="C822" s="554"/>
      <c r="D822" s="554"/>
      <c r="E822" s="554"/>
      <c r="F822" s="561"/>
      <c r="G822" s="554"/>
      <c r="H822" s="554"/>
      <c r="I822" s="554"/>
      <c r="J822" s="554"/>
      <c r="K822" s="554"/>
      <c r="L822" s="554"/>
      <c r="M822" s="554"/>
      <c r="N822" s="554"/>
      <c r="O822" s="554"/>
      <c r="P822" s="554"/>
      <c r="Q822" s="554"/>
      <c r="R822" s="554"/>
      <c r="S822" s="554"/>
      <c r="T822" s="554"/>
      <c r="U822" s="554"/>
      <c r="V822" s="554"/>
      <c r="W822" s="554"/>
      <c r="X822" s="554"/>
      <c r="Y822" s="554"/>
      <c r="Z822" s="554"/>
      <c r="AA822" s="554"/>
      <c r="AB822" s="554"/>
      <c r="AC822" s="554"/>
      <c r="AD822" s="554"/>
      <c r="AE822" s="554"/>
      <c r="AF822" s="554"/>
      <c r="AG822" s="554"/>
    </row>
    <row r="823">
      <c r="A823" s="549"/>
      <c r="B823" s="554"/>
      <c r="C823" s="554"/>
      <c r="D823" s="554"/>
      <c r="E823" s="554"/>
      <c r="F823" s="561"/>
      <c r="G823" s="554"/>
      <c r="H823" s="554"/>
      <c r="I823" s="554"/>
      <c r="J823" s="554"/>
      <c r="K823" s="554"/>
      <c r="L823" s="554"/>
      <c r="M823" s="554"/>
      <c r="N823" s="554"/>
      <c r="O823" s="554"/>
      <c r="P823" s="554"/>
      <c r="Q823" s="554"/>
      <c r="R823" s="554"/>
      <c r="S823" s="554"/>
      <c r="T823" s="554"/>
      <c r="U823" s="554"/>
      <c r="V823" s="554"/>
      <c r="W823" s="554"/>
      <c r="X823" s="554"/>
      <c r="Y823" s="554"/>
      <c r="Z823" s="554"/>
      <c r="AA823" s="554"/>
      <c r="AB823" s="554"/>
      <c r="AC823" s="554"/>
      <c r="AD823" s="554"/>
      <c r="AE823" s="554"/>
      <c r="AF823" s="554"/>
      <c r="AG823" s="554"/>
    </row>
    <row r="824">
      <c r="A824" s="549"/>
      <c r="B824" s="554"/>
      <c r="C824" s="554"/>
      <c r="D824" s="554"/>
      <c r="E824" s="554"/>
      <c r="F824" s="561"/>
      <c r="G824" s="554"/>
      <c r="H824" s="554"/>
      <c r="I824" s="554"/>
      <c r="J824" s="554"/>
      <c r="K824" s="554"/>
      <c r="L824" s="554"/>
      <c r="M824" s="554"/>
      <c r="N824" s="554"/>
      <c r="O824" s="554"/>
      <c r="P824" s="554"/>
      <c r="Q824" s="554"/>
      <c r="R824" s="554"/>
      <c r="S824" s="554"/>
      <c r="T824" s="554"/>
      <c r="U824" s="554"/>
      <c r="V824" s="554"/>
      <c r="W824" s="554"/>
      <c r="X824" s="554"/>
      <c r="Y824" s="554"/>
      <c r="Z824" s="554"/>
      <c r="AA824" s="554"/>
      <c r="AB824" s="554"/>
      <c r="AC824" s="554"/>
      <c r="AD824" s="554"/>
      <c r="AE824" s="554"/>
      <c r="AF824" s="554"/>
      <c r="AG824" s="554"/>
    </row>
    <row r="825">
      <c r="A825" s="549"/>
      <c r="B825" s="554"/>
      <c r="C825" s="554"/>
      <c r="D825" s="554"/>
      <c r="E825" s="554"/>
      <c r="F825" s="561"/>
      <c r="G825" s="554"/>
      <c r="H825" s="554"/>
      <c r="I825" s="554"/>
      <c r="J825" s="554"/>
      <c r="K825" s="554"/>
      <c r="L825" s="554"/>
      <c r="M825" s="554"/>
      <c r="N825" s="554"/>
      <c r="O825" s="554"/>
      <c r="P825" s="554"/>
      <c r="Q825" s="554"/>
      <c r="R825" s="554"/>
      <c r="S825" s="554"/>
      <c r="T825" s="554"/>
      <c r="U825" s="554"/>
      <c r="V825" s="554"/>
      <c r="W825" s="554"/>
      <c r="X825" s="554"/>
      <c r="Y825" s="554"/>
      <c r="Z825" s="554"/>
      <c r="AA825" s="554"/>
      <c r="AB825" s="554"/>
      <c r="AC825" s="554"/>
      <c r="AD825" s="554"/>
      <c r="AE825" s="554"/>
      <c r="AF825" s="554"/>
      <c r="AG825" s="554"/>
    </row>
    <row r="826">
      <c r="A826" s="549"/>
      <c r="B826" s="554"/>
      <c r="C826" s="554"/>
      <c r="D826" s="554"/>
      <c r="E826" s="554"/>
      <c r="F826" s="561"/>
      <c r="G826" s="554"/>
      <c r="H826" s="554"/>
      <c r="I826" s="554"/>
      <c r="J826" s="554"/>
      <c r="K826" s="554"/>
      <c r="L826" s="554"/>
      <c r="M826" s="554"/>
      <c r="N826" s="554"/>
      <c r="O826" s="554"/>
      <c r="P826" s="554"/>
      <c r="Q826" s="554"/>
      <c r="R826" s="554"/>
      <c r="S826" s="554"/>
      <c r="T826" s="554"/>
      <c r="U826" s="554"/>
      <c r="V826" s="554"/>
      <c r="W826" s="554"/>
      <c r="X826" s="554"/>
      <c r="Y826" s="554"/>
      <c r="Z826" s="554"/>
      <c r="AA826" s="554"/>
      <c r="AB826" s="554"/>
      <c r="AC826" s="554"/>
      <c r="AD826" s="554"/>
      <c r="AE826" s="554"/>
      <c r="AF826" s="554"/>
      <c r="AG826" s="554"/>
    </row>
    <row r="827">
      <c r="A827" s="549"/>
      <c r="B827" s="554"/>
      <c r="C827" s="554"/>
      <c r="D827" s="554"/>
      <c r="E827" s="554"/>
      <c r="F827" s="561"/>
      <c r="G827" s="554"/>
      <c r="H827" s="554"/>
      <c r="I827" s="554"/>
      <c r="J827" s="554"/>
      <c r="K827" s="554"/>
      <c r="L827" s="554"/>
      <c r="M827" s="554"/>
      <c r="N827" s="554"/>
      <c r="O827" s="554"/>
      <c r="P827" s="554"/>
      <c r="Q827" s="554"/>
      <c r="R827" s="554"/>
      <c r="S827" s="554"/>
      <c r="T827" s="554"/>
      <c r="U827" s="554"/>
      <c r="V827" s="554"/>
      <c r="W827" s="554"/>
      <c r="X827" s="554"/>
      <c r="Y827" s="554"/>
      <c r="Z827" s="554"/>
      <c r="AA827" s="554"/>
      <c r="AB827" s="554"/>
      <c r="AC827" s="554"/>
      <c r="AD827" s="554"/>
      <c r="AE827" s="554"/>
      <c r="AF827" s="554"/>
      <c r="AG827" s="554"/>
    </row>
    <row r="828">
      <c r="A828" s="549"/>
      <c r="B828" s="554"/>
      <c r="C828" s="554"/>
      <c r="D828" s="554"/>
      <c r="E828" s="554"/>
      <c r="F828" s="561"/>
      <c r="G828" s="554"/>
      <c r="H828" s="554"/>
      <c r="I828" s="554"/>
      <c r="J828" s="554"/>
      <c r="K828" s="554"/>
      <c r="L828" s="554"/>
      <c r="M828" s="554"/>
      <c r="N828" s="554"/>
      <c r="O828" s="554"/>
      <c r="P828" s="554"/>
      <c r="Q828" s="554"/>
      <c r="R828" s="554"/>
      <c r="S828" s="554"/>
      <c r="T828" s="554"/>
      <c r="U828" s="554"/>
      <c r="V828" s="554"/>
      <c r="W828" s="554"/>
      <c r="X828" s="554"/>
      <c r="Y828" s="554"/>
      <c r="Z828" s="554"/>
      <c r="AA828" s="554"/>
      <c r="AB828" s="554"/>
      <c r="AC828" s="554"/>
      <c r="AD828" s="554"/>
      <c r="AE828" s="554"/>
      <c r="AF828" s="554"/>
      <c r="AG828" s="554"/>
    </row>
    <row r="829">
      <c r="A829" s="549"/>
      <c r="B829" s="554"/>
      <c r="C829" s="554"/>
      <c r="D829" s="554"/>
      <c r="E829" s="554"/>
      <c r="F829" s="561"/>
      <c r="G829" s="554"/>
      <c r="H829" s="554"/>
      <c r="I829" s="554"/>
      <c r="J829" s="554"/>
      <c r="K829" s="554"/>
      <c r="L829" s="554"/>
      <c r="M829" s="554"/>
      <c r="N829" s="554"/>
      <c r="O829" s="554"/>
      <c r="P829" s="554"/>
      <c r="Q829" s="554"/>
      <c r="R829" s="554"/>
      <c r="S829" s="554"/>
      <c r="T829" s="554"/>
      <c r="U829" s="554"/>
      <c r="V829" s="554"/>
      <c r="W829" s="554"/>
      <c r="X829" s="554"/>
      <c r="Y829" s="554"/>
      <c r="Z829" s="554"/>
      <c r="AA829" s="554"/>
      <c r="AB829" s="554"/>
      <c r="AC829" s="554"/>
      <c r="AD829" s="554"/>
      <c r="AE829" s="554"/>
      <c r="AF829" s="554"/>
      <c r="AG829" s="554"/>
    </row>
    <row r="830">
      <c r="A830" s="549"/>
      <c r="B830" s="554"/>
      <c r="C830" s="554"/>
      <c r="D830" s="554"/>
      <c r="E830" s="554"/>
      <c r="F830" s="561"/>
      <c r="G830" s="554"/>
      <c r="H830" s="554"/>
      <c r="I830" s="554"/>
      <c r="J830" s="554"/>
      <c r="K830" s="554"/>
      <c r="L830" s="554"/>
      <c r="M830" s="554"/>
      <c r="N830" s="554"/>
      <c r="O830" s="554"/>
      <c r="P830" s="554"/>
      <c r="Q830" s="554"/>
      <c r="R830" s="554"/>
      <c r="S830" s="554"/>
      <c r="T830" s="554"/>
      <c r="U830" s="554"/>
      <c r="V830" s="554"/>
      <c r="W830" s="554"/>
      <c r="X830" s="554"/>
      <c r="Y830" s="554"/>
      <c r="Z830" s="554"/>
      <c r="AA830" s="554"/>
      <c r="AB830" s="554"/>
      <c r="AC830" s="554"/>
      <c r="AD830" s="554"/>
      <c r="AE830" s="554"/>
      <c r="AF830" s="554"/>
      <c r="AG830" s="554"/>
    </row>
    <row r="831">
      <c r="A831" s="549"/>
      <c r="B831" s="554"/>
      <c r="C831" s="554"/>
      <c r="D831" s="554"/>
      <c r="E831" s="554"/>
      <c r="F831" s="561"/>
      <c r="G831" s="554"/>
      <c r="H831" s="554"/>
      <c r="I831" s="554"/>
      <c r="J831" s="554"/>
      <c r="K831" s="554"/>
      <c r="L831" s="554"/>
      <c r="M831" s="554"/>
      <c r="N831" s="554"/>
      <c r="O831" s="554"/>
      <c r="P831" s="554"/>
      <c r="Q831" s="554"/>
      <c r="R831" s="554"/>
      <c r="S831" s="554"/>
      <c r="T831" s="554"/>
      <c r="U831" s="554"/>
      <c r="V831" s="554"/>
      <c r="W831" s="554"/>
      <c r="X831" s="554"/>
      <c r="Y831" s="554"/>
      <c r="Z831" s="554"/>
      <c r="AA831" s="554"/>
      <c r="AB831" s="554"/>
      <c r="AC831" s="554"/>
      <c r="AD831" s="554"/>
      <c r="AE831" s="554"/>
      <c r="AF831" s="554"/>
      <c r="AG831" s="554"/>
    </row>
    <row r="832">
      <c r="A832" s="549"/>
      <c r="B832" s="554"/>
      <c r="C832" s="554"/>
      <c r="D832" s="554"/>
      <c r="E832" s="554"/>
      <c r="F832" s="561"/>
      <c r="G832" s="554"/>
      <c r="H832" s="554"/>
      <c r="I832" s="554"/>
      <c r="J832" s="554"/>
      <c r="K832" s="554"/>
      <c r="L832" s="554"/>
      <c r="M832" s="554"/>
      <c r="N832" s="554"/>
      <c r="O832" s="554"/>
      <c r="P832" s="554"/>
      <c r="Q832" s="554"/>
      <c r="R832" s="554"/>
      <c r="S832" s="554"/>
      <c r="T832" s="554"/>
      <c r="U832" s="554"/>
      <c r="V832" s="554"/>
      <c r="W832" s="554"/>
      <c r="X832" s="554"/>
      <c r="Y832" s="554"/>
      <c r="Z832" s="554"/>
      <c r="AA832" s="554"/>
      <c r="AB832" s="554"/>
      <c r="AC832" s="554"/>
      <c r="AD832" s="554"/>
      <c r="AE832" s="554"/>
      <c r="AF832" s="554"/>
      <c r="AG832" s="554"/>
    </row>
    <row r="833">
      <c r="A833" s="549"/>
      <c r="B833" s="554"/>
      <c r="C833" s="554"/>
      <c r="D833" s="554"/>
      <c r="E833" s="554"/>
      <c r="F833" s="561"/>
      <c r="G833" s="554"/>
      <c r="H833" s="554"/>
      <c r="I833" s="554"/>
      <c r="J833" s="554"/>
      <c r="K833" s="554"/>
      <c r="L833" s="554"/>
      <c r="M833" s="554"/>
      <c r="N833" s="554"/>
      <c r="O833" s="554"/>
      <c r="P833" s="554"/>
      <c r="Q833" s="554"/>
      <c r="R833" s="554"/>
      <c r="S833" s="554"/>
      <c r="T833" s="554"/>
      <c r="U833" s="554"/>
      <c r="V833" s="554"/>
      <c r="W833" s="554"/>
      <c r="X833" s="554"/>
      <c r="Y833" s="554"/>
      <c r="Z833" s="554"/>
      <c r="AA833" s="554"/>
      <c r="AB833" s="554"/>
      <c r="AC833" s="554"/>
      <c r="AD833" s="554"/>
      <c r="AE833" s="554"/>
      <c r="AF833" s="554"/>
      <c r="AG833" s="554"/>
    </row>
    <row r="834">
      <c r="A834" s="549"/>
      <c r="B834" s="554"/>
      <c r="C834" s="554"/>
      <c r="D834" s="554"/>
      <c r="E834" s="554"/>
      <c r="F834" s="561"/>
      <c r="G834" s="554"/>
      <c r="H834" s="554"/>
      <c r="I834" s="554"/>
      <c r="J834" s="554"/>
      <c r="K834" s="554"/>
      <c r="L834" s="554"/>
      <c r="M834" s="554"/>
      <c r="N834" s="554"/>
      <c r="O834" s="554"/>
      <c r="P834" s="554"/>
      <c r="Q834" s="554"/>
      <c r="R834" s="554"/>
      <c r="S834" s="554"/>
      <c r="T834" s="554"/>
      <c r="U834" s="554"/>
      <c r="V834" s="554"/>
      <c r="W834" s="554"/>
      <c r="X834" s="554"/>
      <c r="Y834" s="554"/>
      <c r="Z834" s="554"/>
      <c r="AA834" s="554"/>
      <c r="AB834" s="554"/>
      <c r="AC834" s="554"/>
      <c r="AD834" s="554"/>
      <c r="AE834" s="554"/>
      <c r="AF834" s="554"/>
      <c r="AG834" s="554"/>
    </row>
    <row r="835">
      <c r="A835" s="549"/>
      <c r="B835" s="554"/>
      <c r="C835" s="554"/>
      <c r="D835" s="554"/>
      <c r="E835" s="554"/>
      <c r="F835" s="561"/>
      <c r="G835" s="554"/>
      <c r="H835" s="554"/>
      <c r="I835" s="554"/>
      <c r="J835" s="554"/>
      <c r="K835" s="554"/>
      <c r="L835" s="554"/>
      <c r="M835" s="554"/>
      <c r="N835" s="554"/>
      <c r="O835" s="554"/>
      <c r="P835" s="554"/>
      <c r="Q835" s="554"/>
      <c r="R835" s="554"/>
      <c r="S835" s="554"/>
      <c r="T835" s="554"/>
      <c r="U835" s="554"/>
      <c r="V835" s="554"/>
      <c r="W835" s="554"/>
      <c r="X835" s="554"/>
      <c r="Y835" s="554"/>
      <c r="Z835" s="554"/>
      <c r="AA835" s="554"/>
      <c r="AB835" s="554"/>
      <c r="AC835" s="554"/>
      <c r="AD835" s="554"/>
      <c r="AE835" s="554"/>
      <c r="AF835" s="554"/>
      <c r="AG835" s="554"/>
    </row>
    <row r="836">
      <c r="A836" s="549"/>
      <c r="B836" s="554"/>
      <c r="C836" s="554"/>
      <c r="D836" s="554"/>
      <c r="E836" s="554"/>
      <c r="F836" s="561"/>
      <c r="G836" s="554"/>
      <c r="H836" s="554"/>
      <c r="I836" s="554"/>
      <c r="J836" s="554"/>
      <c r="K836" s="554"/>
      <c r="L836" s="554"/>
      <c r="M836" s="554"/>
      <c r="N836" s="554"/>
      <c r="O836" s="554"/>
      <c r="P836" s="554"/>
      <c r="Q836" s="554"/>
      <c r="R836" s="554"/>
      <c r="S836" s="554"/>
      <c r="T836" s="554"/>
      <c r="U836" s="554"/>
      <c r="V836" s="554"/>
      <c r="W836" s="554"/>
      <c r="X836" s="554"/>
      <c r="Y836" s="554"/>
      <c r="Z836" s="554"/>
      <c r="AA836" s="554"/>
      <c r="AB836" s="554"/>
      <c r="AC836" s="554"/>
      <c r="AD836" s="554"/>
      <c r="AE836" s="554"/>
      <c r="AF836" s="554"/>
      <c r="AG836" s="554"/>
    </row>
    <row r="837">
      <c r="A837" s="549"/>
      <c r="B837" s="554"/>
      <c r="C837" s="554"/>
      <c r="D837" s="554"/>
      <c r="E837" s="554"/>
      <c r="F837" s="561"/>
      <c r="G837" s="554"/>
      <c r="H837" s="554"/>
      <c r="I837" s="554"/>
      <c r="J837" s="554"/>
      <c r="K837" s="554"/>
      <c r="L837" s="554"/>
      <c r="M837" s="554"/>
      <c r="N837" s="554"/>
      <c r="O837" s="554"/>
      <c r="P837" s="554"/>
      <c r="Q837" s="554"/>
      <c r="R837" s="554"/>
      <c r="S837" s="554"/>
      <c r="T837" s="554"/>
      <c r="U837" s="554"/>
      <c r="V837" s="554"/>
      <c r="W837" s="554"/>
      <c r="X837" s="554"/>
      <c r="Y837" s="554"/>
      <c r="Z837" s="554"/>
      <c r="AA837" s="554"/>
      <c r="AB837" s="554"/>
      <c r="AC837" s="554"/>
      <c r="AD837" s="554"/>
      <c r="AE837" s="554"/>
      <c r="AF837" s="554"/>
      <c r="AG837" s="554"/>
    </row>
    <row r="838">
      <c r="A838" s="549"/>
      <c r="B838" s="554"/>
      <c r="C838" s="554"/>
      <c r="D838" s="554"/>
      <c r="E838" s="554"/>
      <c r="F838" s="561"/>
      <c r="G838" s="554"/>
      <c r="H838" s="554"/>
      <c r="I838" s="554"/>
      <c r="J838" s="554"/>
      <c r="K838" s="554"/>
      <c r="L838" s="554"/>
      <c r="M838" s="554"/>
      <c r="N838" s="554"/>
      <c r="O838" s="554"/>
      <c r="P838" s="554"/>
      <c r="Q838" s="554"/>
      <c r="R838" s="554"/>
      <c r="S838" s="554"/>
      <c r="T838" s="554"/>
      <c r="U838" s="554"/>
      <c r="V838" s="554"/>
      <c r="W838" s="554"/>
      <c r="X838" s="554"/>
      <c r="Y838" s="554"/>
      <c r="Z838" s="554"/>
      <c r="AA838" s="554"/>
      <c r="AB838" s="554"/>
      <c r="AC838" s="554"/>
      <c r="AD838" s="554"/>
      <c r="AE838" s="554"/>
      <c r="AF838" s="554"/>
      <c r="AG838" s="554"/>
    </row>
    <row r="839">
      <c r="A839" s="549"/>
      <c r="B839" s="554"/>
      <c r="C839" s="554"/>
      <c r="D839" s="554"/>
      <c r="E839" s="554"/>
      <c r="F839" s="561"/>
      <c r="G839" s="554"/>
      <c r="H839" s="554"/>
      <c r="I839" s="554"/>
      <c r="J839" s="554"/>
      <c r="K839" s="554"/>
      <c r="L839" s="554"/>
      <c r="M839" s="554"/>
      <c r="N839" s="554"/>
      <c r="O839" s="554"/>
      <c r="P839" s="554"/>
      <c r="Q839" s="554"/>
      <c r="R839" s="554"/>
      <c r="S839" s="554"/>
      <c r="T839" s="554"/>
      <c r="U839" s="554"/>
      <c r="V839" s="554"/>
      <c r="W839" s="554"/>
      <c r="X839" s="554"/>
      <c r="Y839" s="554"/>
      <c r="Z839" s="554"/>
      <c r="AA839" s="554"/>
      <c r="AB839" s="554"/>
      <c r="AC839" s="554"/>
      <c r="AD839" s="554"/>
      <c r="AE839" s="554"/>
      <c r="AF839" s="554"/>
      <c r="AG839" s="554"/>
    </row>
    <row r="840">
      <c r="A840" s="549"/>
      <c r="B840" s="554"/>
      <c r="C840" s="554"/>
      <c r="D840" s="554"/>
      <c r="E840" s="554"/>
      <c r="F840" s="561"/>
      <c r="G840" s="554"/>
      <c r="H840" s="554"/>
      <c r="I840" s="554"/>
      <c r="J840" s="554"/>
      <c r="K840" s="554"/>
      <c r="L840" s="554"/>
      <c r="M840" s="554"/>
      <c r="N840" s="554"/>
      <c r="O840" s="554"/>
      <c r="P840" s="554"/>
      <c r="Q840" s="554"/>
      <c r="R840" s="554"/>
      <c r="S840" s="554"/>
      <c r="T840" s="554"/>
      <c r="U840" s="554"/>
      <c r="V840" s="554"/>
      <c r="W840" s="554"/>
      <c r="X840" s="554"/>
      <c r="Y840" s="554"/>
      <c r="Z840" s="554"/>
      <c r="AA840" s="554"/>
      <c r="AB840" s="554"/>
      <c r="AC840" s="554"/>
      <c r="AD840" s="554"/>
      <c r="AE840" s="554"/>
      <c r="AF840" s="554"/>
      <c r="AG840" s="554"/>
    </row>
    <row r="841">
      <c r="A841" s="549"/>
      <c r="B841" s="554"/>
      <c r="C841" s="554"/>
      <c r="D841" s="554"/>
      <c r="E841" s="554"/>
      <c r="F841" s="561"/>
      <c r="G841" s="554"/>
      <c r="H841" s="554"/>
      <c r="I841" s="554"/>
      <c r="J841" s="554"/>
      <c r="K841" s="554"/>
      <c r="L841" s="554"/>
      <c r="M841" s="554"/>
      <c r="N841" s="554"/>
      <c r="O841" s="554"/>
      <c r="P841" s="554"/>
      <c r="Q841" s="554"/>
      <c r="R841" s="554"/>
      <c r="S841" s="554"/>
      <c r="T841" s="554"/>
      <c r="U841" s="554"/>
      <c r="V841" s="554"/>
      <c r="W841" s="554"/>
      <c r="X841" s="554"/>
      <c r="Y841" s="554"/>
      <c r="Z841" s="554"/>
      <c r="AA841" s="554"/>
      <c r="AB841" s="554"/>
      <c r="AC841" s="554"/>
      <c r="AD841" s="554"/>
      <c r="AE841" s="554"/>
      <c r="AF841" s="554"/>
      <c r="AG841" s="554"/>
    </row>
    <row r="842">
      <c r="A842" s="549"/>
      <c r="B842" s="554"/>
      <c r="C842" s="554"/>
      <c r="D842" s="554"/>
      <c r="E842" s="554"/>
      <c r="F842" s="561"/>
      <c r="G842" s="554"/>
      <c r="H842" s="554"/>
      <c r="I842" s="554"/>
      <c r="J842" s="554"/>
      <c r="K842" s="554"/>
      <c r="L842" s="554"/>
      <c r="M842" s="554"/>
      <c r="N842" s="554"/>
      <c r="O842" s="554"/>
      <c r="P842" s="554"/>
      <c r="Q842" s="554"/>
      <c r="R842" s="554"/>
      <c r="S842" s="554"/>
      <c r="T842" s="554"/>
      <c r="U842" s="554"/>
      <c r="V842" s="554"/>
      <c r="W842" s="554"/>
      <c r="X842" s="554"/>
      <c r="Y842" s="554"/>
      <c r="Z842" s="554"/>
      <c r="AA842" s="554"/>
      <c r="AB842" s="554"/>
      <c r="AC842" s="554"/>
      <c r="AD842" s="554"/>
      <c r="AE842" s="554"/>
      <c r="AF842" s="554"/>
      <c r="AG842" s="554"/>
    </row>
    <row r="843">
      <c r="A843" s="549"/>
      <c r="B843" s="554"/>
      <c r="C843" s="554"/>
      <c r="D843" s="554"/>
      <c r="E843" s="554"/>
      <c r="F843" s="561"/>
      <c r="G843" s="554"/>
      <c r="H843" s="554"/>
      <c r="I843" s="554"/>
      <c r="J843" s="554"/>
      <c r="K843" s="554"/>
      <c r="L843" s="554"/>
      <c r="M843" s="554"/>
      <c r="N843" s="554"/>
      <c r="O843" s="554"/>
      <c r="P843" s="554"/>
      <c r="Q843" s="554"/>
      <c r="R843" s="554"/>
      <c r="S843" s="554"/>
      <c r="T843" s="554"/>
      <c r="U843" s="554"/>
      <c r="V843" s="554"/>
      <c r="W843" s="554"/>
      <c r="X843" s="554"/>
      <c r="Y843" s="554"/>
      <c r="Z843" s="554"/>
      <c r="AA843" s="554"/>
      <c r="AB843" s="554"/>
      <c r="AC843" s="554"/>
      <c r="AD843" s="554"/>
      <c r="AE843" s="554"/>
      <c r="AF843" s="554"/>
      <c r="AG843" s="554"/>
    </row>
    <row r="844">
      <c r="A844" s="549"/>
      <c r="B844" s="554"/>
      <c r="C844" s="554"/>
      <c r="D844" s="554"/>
      <c r="E844" s="554"/>
      <c r="F844" s="561"/>
      <c r="G844" s="554"/>
      <c r="H844" s="554"/>
      <c r="I844" s="554"/>
      <c r="J844" s="554"/>
      <c r="K844" s="554"/>
      <c r="L844" s="554"/>
      <c r="M844" s="554"/>
      <c r="N844" s="554"/>
      <c r="O844" s="554"/>
      <c r="P844" s="554"/>
      <c r="Q844" s="554"/>
      <c r="R844" s="554"/>
      <c r="S844" s="554"/>
      <c r="T844" s="554"/>
      <c r="U844" s="554"/>
      <c r="V844" s="554"/>
      <c r="W844" s="554"/>
      <c r="X844" s="554"/>
      <c r="Y844" s="554"/>
      <c r="Z844" s="554"/>
      <c r="AA844" s="554"/>
      <c r="AB844" s="554"/>
      <c r="AC844" s="554"/>
      <c r="AD844" s="554"/>
      <c r="AE844" s="554"/>
      <c r="AF844" s="554"/>
      <c r="AG844" s="554"/>
    </row>
    <row r="845">
      <c r="A845" s="549"/>
      <c r="B845" s="554"/>
      <c r="C845" s="554"/>
      <c r="D845" s="554"/>
      <c r="E845" s="554"/>
      <c r="F845" s="561"/>
      <c r="G845" s="554"/>
      <c r="H845" s="554"/>
      <c r="I845" s="554"/>
      <c r="J845" s="554"/>
      <c r="K845" s="554"/>
      <c r="L845" s="554"/>
      <c r="M845" s="554"/>
      <c r="N845" s="554"/>
      <c r="O845" s="554"/>
      <c r="P845" s="554"/>
      <c r="Q845" s="554"/>
      <c r="R845" s="554"/>
      <c r="S845" s="554"/>
      <c r="T845" s="554"/>
      <c r="U845" s="554"/>
      <c r="V845" s="554"/>
      <c r="W845" s="554"/>
      <c r="X845" s="554"/>
      <c r="Y845" s="554"/>
      <c r="Z845" s="554"/>
      <c r="AA845" s="554"/>
      <c r="AB845" s="554"/>
      <c r="AC845" s="554"/>
      <c r="AD845" s="554"/>
      <c r="AE845" s="554"/>
      <c r="AF845" s="554"/>
      <c r="AG845" s="554"/>
    </row>
    <row r="846">
      <c r="A846" s="549"/>
      <c r="B846" s="554"/>
      <c r="C846" s="554"/>
      <c r="D846" s="554"/>
      <c r="E846" s="554"/>
      <c r="F846" s="561"/>
      <c r="G846" s="554"/>
      <c r="H846" s="554"/>
      <c r="I846" s="554"/>
      <c r="J846" s="554"/>
      <c r="K846" s="554"/>
      <c r="L846" s="554"/>
      <c r="M846" s="554"/>
      <c r="N846" s="554"/>
      <c r="O846" s="554"/>
      <c r="P846" s="554"/>
      <c r="Q846" s="554"/>
      <c r="R846" s="554"/>
      <c r="S846" s="554"/>
      <c r="T846" s="554"/>
      <c r="U846" s="554"/>
      <c r="V846" s="554"/>
      <c r="W846" s="554"/>
      <c r="X846" s="554"/>
      <c r="Y846" s="554"/>
      <c r="Z846" s="554"/>
      <c r="AA846" s="554"/>
      <c r="AB846" s="554"/>
      <c r="AC846" s="554"/>
      <c r="AD846" s="554"/>
      <c r="AE846" s="554"/>
      <c r="AF846" s="554"/>
      <c r="AG846" s="554"/>
    </row>
    <row r="847">
      <c r="A847" s="549"/>
      <c r="B847" s="554"/>
      <c r="C847" s="554"/>
      <c r="D847" s="554"/>
      <c r="E847" s="554"/>
      <c r="F847" s="561"/>
      <c r="G847" s="554"/>
      <c r="H847" s="554"/>
      <c r="I847" s="554"/>
      <c r="J847" s="554"/>
      <c r="K847" s="554"/>
      <c r="L847" s="554"/>
      <c r="M847" s="554"/>
      <c r="N847" s="554"/>
      <c r="O847" s="554"/>
      <c r="P847" s="554"/>
      <c r="Q847" s="554"/>
      <c r="R847" s="554"/>
      <c r="S847" s="554"/>
      <c r="T847" s="554"/>
      <c r="U847" s="554"/>
      <c r="V847" s="554"/>
      <c r="W847" s="554"/>
      <c r="X847" s="554"/>
      <c r="Y847" s="554"/>
      <c r="Z847" s="554"/>
      <c r="AA847" s="554"/>
      <c r="AB847" s="554"/>
      <c r="AC847" s="554"/>
      <c r="AD847" s="554"/>
      <c r="AE847" s="554"/>
      <c r="AF847" s="554"/>
      <c r="AG847" s="554"/>
    </row>
    <row r="848">
      <c r="A848" s="549"/>
      <c r="B848" s="554"/>
      <c r="C848" s="554"/>
      <c r="D848" s="554"/>
      <c r="E848" s="554"/>
      <c r="F848" s="561"/>
      <c r="G848" s="554"/>
      <c r="H848" s="554"/>
      <c r="I848" s="554"/>
      <c r="J848" s="554"/>
      <c r="K848" s="554"/>
      <c r="L848" s="554"/>
      <c r="M848" s="554"/>
      <c r="N848" s="554"/>
      <c r="O848" s="554"/>
      <c r="P848" s="554"/>
      <c r="Q848" s="554"/>
      <c r="R848" s="554"/>
      <c r="S848" s="554"/>
      <c r="T848" s="554"/>
      <c r="U848" s="554"/>
      <c r="V848" s="554"/>
      <c r="W848" s="554"/>
      <c r="X848" s="554"/>
      <c r="Y848" s="554"/>
      <c r="Z848" s="554"/>
      <c r="AA848" s="554"/>
      <c r="AB848" s="554"/>
      <c r="AC848" s="554"/>
      <c r="AD848" s="554"/>
      <c r="AE848" s="554"/>
      <c r="AF848" s="554"/>
      <c r="AG848" s="554"/>
    </row>
    <row r="849">
      <c r="A849" s="549"/>
      <c r="B849" s="554"/>
      <c r="C849" s="554"/>
      <c r="D849" s="554"/>
      <c r="E849" s="554"/>
      <c r="F849" s="561"/>
      <c r="G849" s="554"/>
      <c r="H849" s="554"/>
      <c r="I849" s="554"/>
      <c r="J849" s="554"/>
      <c r="K849" s="554"/>
      <c r="L849" s="554"/>
      <c r="M849" s="554"/>
      <c r="N849" s="554"/>
      <c r="O849" s="554"/>
      <c r="P849" s="554"/>
      <c r="Q849" s="554"/>
      <c r="R849" s="554"/>
      <c r="S849" s="554"/>
      <c r="T849" s="554"/>
      <c r="U849" s="554"/>
      <c r="V849" s="554"/>
      <c r="W849" s="554"/>
      <c r="X849" s="554"/>
      <c r="Y849" s="554"/>
      <c r="Z849" s="554"/>
      <c r="AA849" s="554"/>
      <c r="AB849" s="554"/>
      <c r="AC849" s="554"/>
      <c r="AD849" s="554"/>
      <c r="AE849" s="554"/>
      <c r="AF849" s="554"/>
      <c r="AG849" s="554"/>
    </row>
    <row r="850">
      <c r="A850" s="549"/>
      <c r="B850" s="554"/>
      <c r="C850" s="554"/>
      <c r="D850" s="554"/>
      <c r="E850" s="554"/>
      <c r="F850" s="561"/>
      <c r="G850" s="554"/>
      <c r="H850" s="554"/>
      <c r="I850" s="554"/>
      <c r="J850" s="554"/>
      <c r="K850" s="554"/>
      <c r="L850" s="554"/>
      <c r="M850" s="554"/>
      <c r="N850" s="554"/>
      <c r="O850" s="554"/>
      <c r="P850" s="554"/>
      <c r="Q850" s="554"/>
      <c r="R850" s="554"/>
      <c r="S850" s="554"/>
      <c r="T850" s="554"/>
      <c r="U850" s="554"/>
      <c r="V850" s="554"/>
      <c r="W850" s="554"/>
      <c r="X850" s="554"/>
      <c r="Y850" s="554"/>
      <c r="Z850" s="554"/>
      <c r="AA850" s="554"/>
      <c r="AB850" s="554"/>
      <c r="AC850" s="554"/>
      <c r="AD850" s="554"/>
      <c r="AE850" s="554"/>
      <c r="AF850" s="554"/>
      <c r="AG850" s="554"/>
    </row>
    <row r="851">
      <c r="A851" s="549"/>
      <c r="B851" s="554"/>
      <c r="C851" s="554"/>
      <c r="D851" s="554"/>
      <c r="E851" s="554"/>
      <c r="F851" s="561"/>
      <c r="G851" s="554"/>
      <c r="H851" s="554"/>
      <c r="I851" s="554"/>
      <c r="J851" s="554"/>
      <c r="K851" s="554"/>
      <c r="L851" s="554"/>
      <c r="M851" s="554"/>
      <c r="N851" s="554"/>
      <c r="O851" s="554"/>
      <c r="P851" s="554"/>
      <c r="Q851" s="554"/>
      <c r="R851" s="554"/>
      <c r="S851" s="554"/>
      <c r="T851" s="554"/>
      <c r="U851" s="554"/>
      <c r="V851" s="554"/>
      <c r="W851" s="554"/>
      <c r="X851" s="554"/>
      <c r="Y851" s="554"/>
      <c r="Z851" s="554"/>
      <c r="AA851" s="554"/>
      <c r="AB851" s="554"/>
      <c r="AC851" s="554"/>
      <c r="AD851" s="554"/>
      <c r="AE851" s="554"/>
      <c r="AF851" s="554"/>
      <c r="AG851" s="554"/>
    </row>
    <row r="852">
      <c r="A852" s="549"/>
      <c r="B852" s="554"/>
      <c r="C852" s="554"/>
      <c r="D852" s="554"/>
      <c r="E852" s="554"/>
      <c r="F852" s="561"/>
      <c r="G852" s="554"/>
      <c r="H852" s="554"/>
      <c r="I852" s="554"/>
      <c r="J852" s="554"/>
      <c r="K852" s="554"/>
      <c r="L852" s="554"/>
      <c r="M852" s="554"/>
      <c r="N852" s="554"/>
      <c r="O852" s="554"/>
      <c r="P852" s="554"/>
      <c r="Q852" s="554"/>
      <c r="R852" s="554"/>
      <c r="S852" s="554"/>
      <c r="T852" s="554"/>
      <c r="U852" s="554"/>
      <c r="V852" s="554"/>
      <c r="W852" s="554"/>
      <c r="X852" s="554"/>
      <c r="Y852" s="554"/>
      <c r="Z852" s="554"/>
      <c r="AA852" s="554"/>
      <c r="AB852" s="554"/>
      <c r="AC852" s="554"/>
      <c r="AD852" s="554"/>
      <c r="AE852" s="554"/>
      <c r="AF852" s="554"/>
      <c r="AG852" s="554"/>
    </row>
    <row r="853">
      <c r="A853" s="549"/>
      <c r="B853" s="554"/>
      <c r="C853" s="554"/>
      <c r="D853" s="554"/>
      <c r="E853" s="554"/>
      <c r="F853" s="561"/>
      <c r="G853" s="554"/>
      <c r="H853" s="554"/>
      <c r="I853" s="554"/>
      <c r="J853" s="554"/>
      <c r="K853" s="554"/>
      <c r="L853" s="554"/>
      <c r="M853" s="554"/>
      <c r="N853" s="554"/>
      <c r="O853" s="554"/>
      <c r="P853" s="554"/>
      <c r="Q853" s="554"/>
      <c r="R853" s="554"/>
      <c r="S853" s="554"/>
      <c r="T853" s="554"/>
      <c r="U853" s="554"/>
      <c r="V853" s="554"/>
      <c r="W853" s="554"/>
      <c r="X853" s="554"/>
      <c r="Y853" s="554"/>
      <c r="Z853" s="554"/>
      <c r="AA853" s="554"/>
      <c r="AB853" s="554"/>
      <c r="AC853" s="554"/>
      <c r="AD853" s="554"/>
      <c r="AE853" s="554"/>
      <c r="AF853" s="554"/>
      <c r="AG853" s="554"/>
    </row>
    <row r="854">
      <c r="A854" s="549"/>
      <c r="B854" s="554"/>
      <c r="C854" s="554"/>
      <c r="D854" s="554"/>
      <c r="E854" s="554"/>
      <c r="F854" s="561"/>
      <c r="G854" s="554"/>
      <c r="H854" s="554"/>
      <c r="I854" s="554"/>
      <c r="J854" s="554"/>
      <c r="K854" s="554"/>
      <c r="L854" s="554"/>
      <c r="M854" s="554"/>
      <c r="N854" s="554"/>
      <c r="O854" s="554"/>
      <c r="P854" s="554"/>
      <c r="Q854" s="554"/>
      <c r="R854" s="554"/>
      <c r="S854" s="554"/>
      <c r="T854" s="554"/>
      <c r="U854" s="554"/>
      <c r="V854" s="554"/>
      <c r="W854" s="554"/>
      <c r="X854" s="554"/>
      <c r="Y854" s="554"/>
      <c r="Z854" s="554"/>
      <c r="AA854" s="554"/>
      <c r="AB854" s="554"/>
      <c r="AC854" s="554"/>
      <c r="AD854" s="554"/>
      <c r="AE854" s="554"/>
      <c r="AF854" s="554"/>
      <c r="AG854" s="554"/>
    </row>
    <row r="855">
      <c r="A855" s="549"/>
      <c r="B855" s="554"/>
      <c r="C855" s="554"/>
      <c r="D855" s="554"/>
      <c r="E855" s="554"/>
      <c r="F855" s="561"/>
      <c r="G855" s="554"/>
      <c r="H855" s="554"/>
      <c r="I855" s="554"/>
      <c r="J855" s="554"/>
      <c r="K855" s="554"/>
      <c r="L855" s="554"/>
      <c r="M855" s="554"/>
      <c r="N855" s="554"/>
      <c r="O855" s="554"/>
      <c r="P855" s="554"/>
      <c r="Q855" s="554"/>
      <c r="R855" s="554"/>
      <c r="S855" s="554"/>
      <c r="T855" s="554"/>
      <c r="U855" s="554"/>
      <c r="V855" s="554"/>
      <c r="W855" s="554"/>
      <c r="X855" s="554"/>
      <c r="Y855" s="554"/>
      <c r="Z855" s="554"/>
      <c r="AA855" s="554"/>
      <c r="AB855" s="554"/>
      <c r="AC855" s="554"/>
      <c r="AD855" s="554"/>
      <c r="AE855" s="554"/>
      <c r="AF855" s="554"/>
      <c r="AG855" s="554"/>
    </row>
    <row r="856">
      <c r="A856" s="549"/>
      <c r="B856" s="554"/>
      <c r="C856" s="554"/>
      <c r="D856" s="554"/>
      <c r="E856" s="554"/>
      <c r="F856" s="561"/>
      <c r="G856" s="554"/>
      <c r="H856" s="554"/>
      <c r="I856" s="554"/>
      <c r="J856" s="554"/>
      <c r="K856" s="554"/>
      <c r="L856" s="554"/>
      <c r="M856" s="554"/>
      <c r="N856" s="554"/>
      <c r="O856" s="554"/>
      <c r="P856" s="554"/>
      <c r="Q856" s="554"/>
      <c r="R856" s="554"/>
      <c r="S856" s="554"/>
      <c r="T856" s="554"/>
      <c r="U856" s="554"/>
      <c r="V856" s="554"/>
      <c r="W856" s="554"/>
      <c r="X856" s="554"/>
      <c r="Y856" s="554"/>
      <c r="Z856" s="554"/>
      <c r="AA856" s="554"/>
      <c r="AB856" s="554"/>
      <c r="AC856" s="554"/>
      <c r="AD856" s="554"/>
      <c r="AE856" s="554"/>
      <c r="AF856" s="554"/>
      <c r="AG856" s="554"/>
    </row>
    <row r="857">
      <c r="A857" s="549"/>
      <c r="B857" s="554"/>
      <c r="C857" s="554"/>
      <c r="D857" s="554"/>
      <c r="E857" s="554"/>
      <c r="F857" s="561"/>
      <c r="G857" s="554"/>
      <c r="H857" s="554"/>
      <c r="I857" s="554"/>
      <c r="J857" s="554"/>
      <c r="K857" s="554"/>
      <c r="L857" s="554"/>
      <c r="M857" s="554"/>
      <c r="N857" s="554"/>
      <c r="O857" s="554"/>
      <c r="P857" s="554"/>
      <c r="Q857" s="554"/>
      <c r="R857" s="554"/>
      <c r="S857" s="554"/>
      <c r="T857" s="554"/>
      <c r="U857" s="554"/>
      <c r="V857" s="554"/>
      <c r="W857" s="554"/>
      <c r="X857" s="554"/>
      <c r="Y857" s="554"/>
      <c r="Z857" s="554"/>
      <c r="AA857" s="554"/>
      <c r="AB857" s="554"/>
      <c r="AC857" s="554"/>
      <c r="AD857" s="554"/>
      <c r="AE857" s="554"/>
      <c r="AF857" s="554"/>
      <c r="AG857" s="554"/>
    </row>
    <row r="858">
      <c r="A858" s="549"/>
      <c r="B858" s="554"/>
      <c r="C858" s="554"/>
      <c r="D858" s="554"/>
      <c r="E858" s="554"/>
      <c r="F858" s="561"/>
      <c r="G858" s="554"/>
      <c r="H858" s="554"/>
      <c r="I858" s="554"/>
      <c r="J858" s="554"/>
      <c r="K858" s="554"/>
      <c r="L858" s="554"/>
      <c r="M858" s="554"/>
      <c r="N858" s="554"/>
      <c r="O858" s="554"/>
      <c r="P858" s="554"/>
      <c r="Q858" s="554"/>
      <c r="R858" s="554"/>
      <c r="S858" s="554"/>
      <c r="T858" s="554"/>
      <c r="U858" s="554"/>
      <c r="V858" s="554"/>
      <c r="W858" s="554"/>
      <c r="X858" s="554"/>
      <c r="Y858" s="554"/>
      <c r="Z858" s="554"/>
      <c r="AA858" s="554"/>
      <c r="AB858" s="554"/>
      <c r="AC858" s="554"/>
      <c r="AD858" s="554"/>
      <c r="AE858" s="554"/>
      <c r="AF858" s="554"/>
      <c r="AG858" s="554"/>
    </row>
    <row r="859">
      <c r="A859" s="549"/>
      <c r="B859" s="554"/>
      <c r="C859" s="554"/>
      <c r="D859" s="554"/>
      <c r="E859" s="554"/>
      <c r="F859" s="561"/>
      <c r="G859" s="554"/>
      <c r="H859" s="554"/>
      <c r="I859" s="554"/>
      <c r="J859" s="554"/>
      <c r="K859" s="554"/>
      <c r="L859" s="554"/>
      <c r="M859" s="554"/>
      <c r="N859" s="554"/>
      <c r="O859" s="554"/>
      <c r="P859" s="554"/>
      <c r="Q859" s="554"/>
      <c r="R859" s="554"/>
      <c r="S859" s="554"/>
      <c r="T859" s="554"/>
      <c r="U859" s="554"/>
      <c r="V859" s="554"/>
      <c r="W859" s="554"/>
      <c r="X859" s="554"/>
      <c r="Y859" s="554"/>
      <c r="Z859" s="554"/>
      <c r="AA859" s="554"/>
      <c r="AB859" s="554"/>
      <c r="AC859" s="554"/>
      <c r="AD859" s="554"/>
      <c r="AE859" s="554"/>
      <c r="AF859" s="554"/>
      <c r="AG859" s="554"/>
    </row>
    <row r="860">
      <c r="A860" s="549"/>
      <c r="B860" s="554"/>
      <c r="C860" s="554"/>
      <c r="D860" s="554"/>
      <c r="E860" s="554"/>
      <c r="F860" s="561"/>
      <c r="G860" s="554"/>
      <c r="H860" s="554"/>
      <c r="I860" s="554"/>
      <c r="J860" s="554"/>
      <c r="K860" s="554"/>
      <c r="L860" s="554"/>
      <c r="M860" s="554"/>
      <c r="N860" s="554"/>
      <c r="O860" s="554"/>
      <c r="P860" s="554"/>
      <c r="Q860" s="554"/>
      <c r="R860" s="554"/>
      <c r="S860" s="554"/>
      <c r="T860" s="554"/>
      <c r="U860" s="554"/>
      <c r="V860" s="554"/>
      <c r="W860" s="554"/>
      <c r="X860" s="554"/>
      <c r="Y860" s="554"/>
      <c r="Z860" s="554"/>
      <c r="AA860" s="554"/>
      <c r="AB860" s="554"/>
      <c r="AC860" s="554"/>
      <c r="AD860" s="554"/>
      <c r="AE860" s="554"/>
      <c r="AF860" s="554"/>
      <c r="AG860" s="554"/>
    </row>
    <row r="861">
      <c r="A861" s="549"/>
      <c r="B861" s="554"/>
      <c r="C861" s="554"/>
      <c r="D861" s="554"/>
      <c r="E861" s="554"/>
      <c r="F861" s="561"/>
      <c r="G861" s="554"/>
      <c r="H861" s="554"/>
      <c r="I861" s="554"/>
      <c r="J861" s="554"/>
      <c r="K861" s="554"/>
      <c r="L861" s="554"/>
      <c r="M861" s="554"/>
      <c r="N861" s="554"/>
      <c r="O861" s="554"/>
      <c r="P861" s="554"/>
      <c r="Q861" s="554"/>
      <c r="R861" s="554"/>
      <c r="S861" s="554"/>
      <c r="T861" s="554"/>
      <c r="U861" s="554"/>
      <c r="V861" s="554"/>
      <c r="W861" s="554"/>
      <c r="X861" s="554"/>
      <c r="Y861" s="554"/>
      <c r="Z861" s="554"/>
      <c r="AA861" s="554"/>
      <c r="AB861" s="554"/>
      <c r="AC861" s="554"/>
      <c r="AD861" s="554"/>
      <c r="AE861" s="554"/>
      <c r="AF861" s="554"/>
      <c r="AG861" s="554"/>
    </row>
    <row r="862">
      <c r="A862" s="549"/>
      <c r="B862" s="554"/>
      <c r="C862" s="554"/>
      <c r="D862" s="554"/>
      <c r="E862" s="554"/>
      <c r="F862" s="561"/>
      <c r="G862" s="554"/>
      <c r="H862" s="554"/>
      <c r="I862" s="554"/>
      <c r="J862" s="554"/>
      <c r="K862" s="554"/>
      <c r="L862" s="554"/>
      <c r="M862" s="554"/>
      <c r="N862" s="554"/>
      <c r="O862" s="554"/>
      <c r="P862" s="554"/>
      <c r="Q862" s="554"/>
      <c r="R862" s="554"/>
      <c r="S862" s="554"/>
      <c r="T862" s="554"/>
      <c r="U862" s="554"/>
      <c r="V862" s="554"/>
      <c r="W862" s="554"/>
      <c r="X862" s="554"/>
      <c r="Y862" s="554"/>
      <c r="Z862" s="554"/>
      <c r="AA862" s="554"/>
      <c r="AB862" s="554"/>
      <c r="AC862" s="554"/>
      <c r="AD862" s="554"/>
      <c r="AE862" s="554"/>
      <c r="AF862" s="554"/>
      <c r="AG862" s="554"/>
    </row>
    <row r="863">
      <c r="A863" s="549"/>
      <c r="B863" s="554"/>
      <c r="C863" s="554"/>
      <c r="D863" s="554"/>
      <c r="E863" s="554"/>
      <c r="F863" s="561"/>
      <c r="G863" s="554"/>
      <c r="H863" s="554"/>
      <c r="I863" s="554"/>
      <c r="J863" s="554"/>
      <c r="K863" s="554"/>
      <c r="L863" s="554"/>
      <c r="M863" s="554"/>
      <c r="N863" s="554"/>
      <c r="O863" s="554"/>
      <c r="P863" s="554"/>
      <c r="Q863" s="554"/>
      <c r="R863" s="554"/>
      <c r="S863" s="554"/>
      <c r="T863" s="554"/>
      <c r="U863" s="554"/>
      <c r="V863" s="554"/>
      <c r="W863" s="554"/>
      <c r="X863" s="554"/>
      <c r="Y863" s="554"/>
      <c r="Z863" s="554"/>
      <c r="AA863" s="554"/>
      <c r="AB863" s="554"/>
      <c r="AC863" s="554"/>
      <c r="AD863" s="554"/>
      <c r="AE863" s="554"/>
      <c r="AF863" s="554"/>
      <c r="AG863" s="554"/>
    </row>
    <row r="864">
      <c r="A864" s="549"/>
      <c r="B864" s="554"/>
      <c r="C864" s="554"/>
      <c r="D864" s="554"/>
      <c r="E864" s="554"/>
      <c r="F864" s="561"/>
      <c r="G864" s="554"/>
      <c r="H864" s="554"/>
      <c r="I864" s="554"/>
      <c r="J864" s="554"/>
      <c r="K864" s="554"/>
      <c r="L864" s="554"/>
      <c r="M864" s="554"/>
      <c r="N864" s="554"/>
      <c r="O864" s="554"/>
      <c r="P864" s="554"/>
      <c r="Q864" s="554"/>
      <c r="R864" s="554"/>
      <c r="S864" s="554"/>
      <c r="T864" s="554"/>
      <c r="U864" s="554"/>
      <c r="V864" s="554"/>
      <c r="W864" s="554"/>
      <c r="X864" s="554"/>
      <c r="Y864" s="554"/>
      <c r="Z864" s="554"/>
      <c r="AA864" s="554"/>
      <c r="AB864" s="554"/>
      <c r="AC864" s="554"/>
      <c r="AD864" s="554"/>
      <c r="AE864" s="554"/>
      <c r="AF864" s="554"/>
      <c r="AG864" s="554"/>
    </row>
    <row r="865">
      <c r="A865" s="549"/>
      <c r="B865" s="554"/>
      <c r="C865" s="554"/>
      <c r="D865" s="554"/>
      <c r="E865" s="554"/>
      <c r="F865" s="561"/>
      <c r="G865" s="554"/>
      <c r="H865" s="554"/>
      <c r="I865" s="554"/>
      <c r="J865" s="554"/>
      <c r="K865" s="554"/>
      <c r="L865" s="554"/>
      <c r="M865" s="554"/>
      <c r="N865" s="554"/>
      <c r="O865" s="554"/>
      <c r="P865" s="554"/>
      <c r="Q865" s="554"/>
      <c r="R865" s="554"/>
      <c r="S865" s="554"/>
      <c r="T865" s="554"/>
      <c r="U865" s="554"/>
      <c r="V865" s="554"/>
      <c r="W865" s="554"/>
      <c r="X865" s="554"/>
      <c r="Y865" s="554"/>
      <c r="Z865" s="554"/>
      <c r="AA865" s="554"/>
      <c r="AB865" s="554"/>
      <c r="AC865" s="554"/>
      <c r="AD865" s="554"/>
      <c r="AE865" s="554"/>
      <c r="AF865" s="554"/>
      <c r="AG865" s="554"/>
    </row>
    <row r="866">
      <c r="A866" s="549"/>
      <c r="B866" s="554"/>
      <c r="C866" s="554"/>
      <c r="D866" s="554"/>
      <c r="E866" s="554"/>
      <c r="F866" s="561"/>
      <c r="G866" s="554"/>
      <c r="H866" s="554"/>
      <c r="I866" s="554"/>
      <c r="J866" s="554"/>
      <c r="K866" s="554"/>
      <c r="L866" s="554"/>
      <c r="M866" s="554"/>
      <c r="N866" s="554"/>
      <c r="O866" s="554"/>
      <c r="P866" s="554"/>
      <c r="Q866" s="554"/>
      <c r="R866" s="554"/>
      <c r="S866" s="554"/>
      <c r="T866" s="554"/>
      <c r="U866" s="554"/>
      <c r="V866" s="554"/>
      <c r="W866" s="554"/>
      <c r="X866" s="554"/>
      <c r="Y866" s="554"/>
      <c r="Z866" s="554"/>
      <c r="AA866" s="554"/>
      <c r="AB866" s="554"/>
      <c r="AC866" s="554"/>
      <c r="AD866" s="554"/>
      <c r="AE866" s="554"/>
      <c r="AF866" s="554"/>
      <c r="AG866" s="554"/>
    </row>
    <row r="867">
      <c r="A867" s="549"/>
      <c r="B867" s="554"/>
      <c r="C867" s="554"/>
      <c r="D867" s="554"/>
      <c r="E867" s="554"/>
      <c r="F867" s="561"/>
      <c r="G867" s="554"/>
      <c r="H867" s="554"/>
      <c r="I867" s="554"/>
      <c r="J867" s="554"/>
      <c r="K867" s="554"/>
      <c r="L867" s="554"/>
      <c r="M867" s="554"/>
      <c r="N867" s="554"/>
      <c r="O867" s="554"/>
      <c r="P867" s="554"/>
      <c r="Q867" s="554"/>
      <c r="R867" s="554"/>
      <c r="S867" s="554"/>
      <c r="T867" s="554"/>
      <c r="U867" s="554"/>
      <c r="V867" s="554"/>
      <c r="W867" s="554"/>
      <c r="X867" s="554"/>
      <c r="Y867" s="554"/>
      <c r="Z867" s="554"/>
      <c r="AA867" s="554"/>
      <c r="AB867" s="554"/>
      <c r="AC867" s="554"/>
      <c r="AD867" s="554"/>
      <c r="AE867" s="554"/>
      <c r="AF867" s="554"/>
      <c r="AG867" s="554"/>
    </row>
    <row r="868">
      <c r="A868" s="549"/>
      <c r="B868" s="554"/>
      <c r="C868" s="554"/>
      <c r="D868" s="554"/>
      <c r="E868" s="554"/>
      <c r="F868" s="561"/>
      <c r="G868" s="554"/>
      <c r="H868" s="554"/>
      <c r="I868" s="554"/>
      <c r="J868" s="554"/>
      <c r="K868" s="554"/>
      <c r="L868" s="554"/>
      <c r="M868" s="554"/>
      <c r="N868" s="554"/>
      <c r="O868" s="554"/>
      <c r="P868" s="554"/>
      <c r="Q868" s="554"/>
      <c r="R868" s="554"/>
      <c r="S868" s="554"/>
      <c r="T868" s="554"/>
      <c r="U868" s="554"/>
      <c r="V868" s="554"/>
      <c r="W868" s="554"/>
      <c r="X868" s="554"/>
      <c r="Y868" s="554"/>
      <c r="Z868" s="554"/>
      <c r="AA868" s="554"/>
      <c r="AB868" s="554"/>
      <c r="AC868" s="554"/>
      <c r="AD868" s="554"/>
      <c r="AE868" s="554"/>
      <c r="AF868" s="554"/>
      <c r="AG868" s="554"/>
    </row>
    <row r="869">
      <c r="A869" s="549"/>
      <c r="B869" s="554"/>
      <c r="C869" s="554"/>
      <c r="D869" s="554"/>
      <c r="E869" s="554"/>
      <c r="F869" s="561"/>
      <c r="G869" s="554"/>
      <c r="H869" s="554"/>
      <c r="I869" s="554"/>
      <c r="J869" s="554"/>
      <c r="K869" s="554"/>
      <c r="L869" s="554"/>
      <c r="M869" s="554"/>
      <c r="N869" s="554"/>
      <c r="O869" s="554"/>
      <c r="P869" s="554"/>
      <c r="Q869" s="554"/>
      <c r="R869" s="554"/>
      <c r="S869" s="554"/>
      <c r="T869" s="554"/>
      <c r="U869" s="554"/>
      <c r="V869" s="554"/>
      <c r="W869" s="554"/>
      <c r="X869" s="554"/>
      <c r="Y869" s="554"/>
      <c r="Z869" s="554"/>
      <c r="AA869" s="554"/>
      <c r="AB869" s="554"/>
      <c r="AC869" s="554"/>
      <c r="AD869" s="554"/>
      <c r="AE869" s="554"/>
      <c r="AF869" s="554"/>
      <c r="AG869" s="554"/>
    </row>
    <row r="870">
      <c r="A870" s="549"/>
      <c r="B870" s="554"/>
      <c r="C870" s="554"/>
      <c r="D870" s="554"/>
      <c r="E870" s="554"/>
      <c r="F870" s="561"/>
      <c r="G870" s="554"/>
      <c r="H870" s="554"/>
      <c r="I870" s="554"/>
      <c r="J870" s="554"/>
      <c r="K870" s="554"/>
      <c r="L870" s="554"/>
      <c r="M870" s="554"/>
      <c r="N870" s="554"/>
      <c r="O870" s="554"/>
      <c r="P870" s="554"/>
      <c r="Q870" s="554"/>
      <c r="R870" s="554"/>
      <c r="S870" s="554"/>
      <c r="T870" s="554"/>
      <c r="U870" s="554"/>
      <c r="V870" s="554"/>
      <c r="W870" s="554"/>
      <c r="X870" s="554"/>
      <c r="Y870" s="554"/>
      <c r="Z870" s="554"/>
      <c r="AA870" s="554"/>
      <c r="AB870" s="554"/>
      <c r="AC870" s="554"/>
      <c r="AD870" s="554"/>
      <c r="AE870" s="554"/>
      <c r="AF870" s="554"/>
      <c r="AG870" s="554"/>
    </row>
    <row r="871">
      <c r="A871" s="549"/>
      <c r="B871" s="554"/>
      <c r="C871" s="554"/>
      <c r="D871" s="554"/>
      <c r="E871" s="554"/>
      <c r="F871" s="561"/>
      <c r="G871" s="554"/>
      <c r="H871" s="554"/>
      <c r="I871" s="554"/>
      <c r="J871" s="554"/>
      <c r="K871" s="554"/>
      <c r="L871" s="554"/>
      <c r="M871" s="554"/>
      <c r="N871" s="554"/>
      <c r="O871" s="554"/>
      <c r="P871" s="554"/>
      <c r="Q871" s="554"/>
      <c r="R871" s="554"/>
      <c r="S871" s="554"/>
      <c r="T871" s="554"/>
      <c r="U871" s="554"/>
      <c r="V871" s="554"/>
      <c r="W871" s="554"/>
      <c r="X871" s="554"/>
      <c r="Y871" s="554"/>
      <c r="Z871" s="554"/>
      <c r="AA871" s="554"/>
      <c r="AB871" s="554"/>
      <c r="AC871" s="554"/>
      <c r="AD871" s="554"/>
      <c r="AE871" s="554"/>
      <c r="AF871" s="554"/>
      <c r="AG871" s="554"/>
    </row>
    <row r="872">
      <c r="A872" s="549"/>
      <c r="B872" s="554"/>
      <c r="C872" s="554"/>
      <c r="D872" s="554"/>
      <c r="E872" s="554"/>
      <c r="F872" s="561"/>
      <c r="G872" s="554"/>
      <c r="H872" s="554"/>
      <c r="I872" s="554"/>
      <c r="J872" s="554"/>
      <c r="K872" s="554"/>
      <c r="L872" s="554"/>
      <c r="M872" s="554"/>
      <c r="N872" s="554"/>
      <c r="O872" s="554"/>
      <c r="P872" s="554"/>
      <c r="Q872" s="554"/>
      <c r="R872" s="554"/>
      <c r="S872" s="554"/>
      <c r="T872" s="554"/>
      <c r="U872" s="554"/>
      <c r="V872" s="554"/>
      <c r="W872" s="554"/>
      <c r="X872" s="554"/>
      <c r="Y872" s="554"/>
      <c r="Z872" s="554"/>
      <c r="AA872" s="554"/>
      <c r="AB872" s="554"/>
      <c r="AC872" s="554"/>
      <c r="AD872" s="554"/>
      <c r="AE872" s="554"/>
      <c r="AF872" s="554"/>
      <c r="AG872" s="554"/>
    </row>
    <row r="873">
      <c r="A873" s="549"/>
      <c r="B873" s="554"/>
      <c r="C873" s="554"/>
      <c r="D873" s="554"/>
      <c r="E873" s="554"/>
      <c r="F873" s="561"/>
      <c r="G873" s="554"/>
      <c r="H873" s="554"/>
      <c r="I873" s="554"/>
      <c r="J873" s="554"/>
      <c r="K873" s="554"/>
      <c r="L873" s="554"/>
      <c r="M873" s="554"/>
      <c r="N873" s="554"/>
      <c r="O873" s="554"/>
      <c r="P873" s="554"/>
      <c r="Q873" s="554"/>
      <c r="R873" s="554"/>
      <c r="S873" s="554"/>
      <c r="T873" s="554"/>
      <c r="U873" s="554"/>
      <c r="V873" s="554"/>
      <c r="W873" s="554"/>
      <c r="X873" s="554"/>
      <c r="Y873" s="554"/>
      <c r="Z873" s="554"/>
      <c r="AA873" s="554"/>
      <c r="AB873" s="554"/>
      <c r="AC873" s="554"/>
      <c r="AD873" s="554"/>
      <c r="AE873" s="554"/>
      <c r="AF873" s="554"/>
      <c r="AG873" s="554"/>
    </row>
    <row r="874">
      <c r="A874" s="549"/>
      <c r="B874" s="554"/>
      <c r="C874" s="554"/>
      <c r="D874" s="554"/>
      <c r="E874" s="554"/>
      <c r="F874" s="561"/>
      <c r="G874" s="554"/>
      <c r="H874" s="554"/>
      <c r="I874" s="554"/>
      <c r="J874" s="554"/>
      <c r="K874" s="554"/>
      <c r="L874" s="554"/>
      <c r="M874" s="554"/>
      <c r="N874" s="554"/>
      <c r="O874" s="554"/>
      <c r="P874" s="554"/>
      <c r="Q874" s="554"/>
      <c r="R874" s="554"/>
      <c r="S874" s="554"/>
      <c r="T874" s="554"/>
      <c r="U874" s="554"/>
      <c r="V874" s="554"/>
      <c r="W874" s="554"/>
      <c r="X874" s="554"/>
      <c r="Y874" s="554"/>
      <c r="Z874" s="554"/>
      <c r="AA874" s="554"/>
      <c r="AB874" s="554"/>
      <c r="AC874" s="554"/>
      <c r="AD874" s="554"/>
      <c r="AE874" s="554"/>
      <c r="AF874" s="554"/>
      <c r="AG874" s="554"/>
    </row>
    <row r="875">
      <c r="A875" s="549"/>
      <c r="B875" s="554"/>
      <c r="C875" s="554"/>
      <c r="D875" s="554"/>
      <c r="E875" s="554"/>
      <c r="F875" s="561"/>
      <c r="G875" s="554"/>
      <c r="H875" s="554"/>
      <c r="I875" s="554"/>
      <c r="J875" s="554"/>
      <c r="K875" s="554"/>
      <c r="L875" s="554"/>
      <c r="M875" s="554"/>
      <c r="N875" s="554"/>
      <c r="O875" s="554"/>
      <c r="P875" s="554"/>
      <c r="Q875" s="554"/>
      <c r="R875" s="554"/>
      <c r="S875" s="554"/>
      <c r="T875" s="554"/>
      <c r="U875" s="554"/>
      <c r="V875" s="554"/>
      <c r="W875" s="554"/>
      <c r="X875" s="554"/>
      <c r="Y875" s="554"/>
      <c r="Z875" s="554"/>
      <c r="AA875" s="554"/>
      <c r="AB875" s="554"/>
      <c r="AC875" s="554"/>
      <c r="AD875" s="554"/>
      <c r="AE875" s="554"/>
      <c r="AF875" s="554"/>
      <c r="AG875" s="554"/>
    </row>
    <row r="876">
      <c r="A876" s="549"/>
      <c r="B876" s="554"/>
      <c r="C876" s="554"/>
      <c r="D876" s="554"/>
      <c r="E876" s="554"/>
      <c r="F876" s="561"/>
      <c r="G876" s="554"/>
      <c r="H876" s="554"/>
      <c r="I876" s="554"/>
      <c r="J876" s="554"/>
      <c r="K876" s="554"/>
      <c r="L876" s="554"/>
      <c r="M876" s="554"/>
      <c r="N876" s="554"/>
      <c r="O876" s="554"/>
      <c r="P876" s="554"/>
      <c r="Q876" s="554"/>
      <c r="R876" s="554"/>
      <c r="S876" s="554"/>
      <c r="T876" s="554"/>
      <c r="U876" s="554"/>
      <c r="V876" s="554"/>
      <c r="W876" s="554"/>
      <c r="X876" s="554"/>
      <c r="Y876" s="554"/>
      <c r="Z876" s="554"/>
      <c r="AA876" s="554"/>
      <c r="AB876" s="554"/>
      <c r="AC876" s="554"/>
      <c r="AD876" s="554"/>
      <c r="AE876" s="554"/>
      <c r="AF876" s="554"/>
      <c r="AG876" s="554"/>
    </row>
    <row r="877">
      <c r="A877" s="549"/>
      <c r="B877" s="554"/>
      <c r="C877" s="554"/>
      <c r="D877" s="554"/>
      <c r="E877" s="554"/>
      <c r="F877" s="561"/>
      <c r="G877" s="554"/>
      <c r="H877" s="554"/>
      <c r="I877" s="554"/>
      <c r="J877" s="554"/>
      <c r="K877" s="554"/>
      <c r="L877" s="554"/>
      <c r="M877" s="554"/>
      <c r="N877" s="554"/>
      <c r="O877" s="554"/>
      <c r="P877" s="554"/>
      <c r="Q877" s="554"/>
      <c r="R877" s="554"/>
      <c r="S877" s="554"/>
      <c r="T877" s="554"/>
      <c r="U877" s="554"/>
      <c r="V877" s="554"/>
      <c r="W877" s="554"/>
      <c r="X877" s="554"/>
      <c r="Y877" s="554"/>
      <c r="Z877" s="554"/>
      <c r="AA877" s="554"/>
      <c r="AB877" s="554"/>
      <c r="AC877" s="554"/>
      <c r="AD877" s="554"/>
      <c r="AE877" s="554"/>
      <c r="AF877" s="554"/>
      <c r="AG877" s="554"/>
    </row>
    <row r="878">
      <c r="A878" s="549"/>
      <c r="B878" s="554"/>
      <c r="C878" s="554"/>
      <c r="D878" s="554"/>
      <c r="E878" s="554"/>
      <c r="F878" s="561"/>
      <c r="G878" s="554"/>
      <c r="H878" s="554"/>
      <c r="I878" s="554"/>
      <c r="J878" s="554"/>
      <c r="K878" s="554"/>
      <c r="L878" s="554"/>
      <c r="M878" s="554"/>
      <c r="N878" s="554"/>
      <c r="O878" s="554"/>
      <c r="P878" s="554"/>
      <c r="Q878" s="554"/>
      <c r="R878" s="554"/>
      <c r="S878" s="554"/>
      <c r="T878" s="554"/>
      <c r="U878" s="554"/>
      <c r="V878" s="554"/>
      <c r="W878" s="554"/>
      <c r="X878" s="554"/>
      <c r="Y878" s="554"/>
      <c r="Z878" s="554"/>
      <c r="AA878" s="554"/>
      <c r="AB878" s="554"/>
      <c r="AC878" s="554"/>
      <c r="AD878" s="554"/>
      <c r="AE878" s="554"/>
      <c r="AF878" s="554"/>
      <c r="AG878" s="554"/>
    </row>
    <row r="879">
      <c r="A879" s="549"/>
      <c r="B879" s="554"/>
      <c r="C879" s="554"/>
      <c r="D879" s="554"/>
      <c r="E879" s="554"/>
      <c r="F879" s="561"/>
      <c r="G879" s="554"/>
      <c r="H879" s="554"/>
      <c r="I879" s="554"/>
      <c r="J879" s="554"/>
      <c r="K879" s="554"/>
      <c r="L879" s="554"/>
      <c r="M879" s="554"/>
      <c r="N879" s="554"/>
      <c r="O879" s="554"/>
      <c r="P879" s="554"/>
      <c r="Q879" s="554"/>
      <c r="R879" s="554"/>
      <c r="S879" s="554"/>
      <c r="T879" s="554"/>
      <c r="U879" s="554"/>
      <c r="V879" s="554"/>
      <c r="W879" s="554"/>
      <c r="X879" s="554"/>
      <c r="Y879" s="554"/>
      <c r="Z879" s="554"/>
      <c r="AA879" s="554"/>
      <c r="AB879" s="554"/>
      <c r="AC879" s="554"/>
      <c r="AD879" s="554"/>
      <c r="AE879" s="554"/>
      <c r="AF879" s="554"/>
      <c r="AG879" s="554"/>
    </row>
    <row r="880">
      <c r="A880" s="549"/>
      <c r="B880" s="554"/>
      <c r="C880" s="554"/>
      <c r="D880" s="554"/>
      <c r="E880" s="554"/>
      <c r="F880" s="561"/>
      <c r="G880" s="554"/>
      <c r="H880" s="554"/>
      <c r="I880" s="554"/>
      <c r="J880" s="554"/>
      <c r="K880" s="554"/>
      <c r="L880" s="554"/>
      <c r="M880" s="554"/>
      <c r="N880" s="554"/>
      <c r="O880" s="554"/>
      <c r="P880" s="554"/>
      <c r="Q880" s="554"/>
      <c r="R880" s="554"/>
      <c r="S880" s="554"/>
      <c r="T880" s="554"/>
      <c r="U880" s="554"/>
      <c r="V880" s="554"/>
      <c r="W880" s="554"/>
      <c r="X880" s="554"/>
      <c r="Y880" s="554"/>
      <c r="Z880" s="554"/>
      <c r="AA880" s="554"/>
      <c r="AB880" s="554"/>
      <c r="AC880" s="554"/>
      <c r="AD880" s="554"/>
      <c r="AE880" s="554"/>
      <c r="AF880" s="554"/>
      <c r="AG880" s="554"/>
    </row>
    <row r="881">
      <c r="A881" s="549"/>
      <c r="B881" s="554"/>
      <c r="C881" s="554"/>
      <c r="D881" s="554"/>
      <c r="E881" s="554"/>
      <c r="F881" s="561"/>
      <c r="G881" s="554"/>
      <c r="H881" s="554"/>
      <c r="I881" s="554"/>
      <c r="J881" s="554"/>
      <c r="K881" s="554"/>
      <c r="L881" s="554"/>
      <c r="M881" s="554"/>
      <c r="N881" s="554"/>
      <c r="O881" s="554"/>
      <c r="P881" s="554"/>
      <c r="Q881" s="554"/>
      <c r="R881" s="554"/>
      <c r="S881" s="554"/>
      <c r="T881" s="554"/>
      <c r="U881" s="554"/>
      <c r="V881" s="554"/>
      <c r="W881" s="554"/>
      <c r="X881" s="554"/>
      <c r="Y881" s="554"/>
      <c r="Z881" s="554"/>
      <c r="AA881" s="554"/>
      <c r="AB881" s="554"/>
      <c r="AC881" s="554"/>
      <c r="AD881" s="554"/>
      <c r="AE881" s="554"/>
      <c r="AF881" s="554"/>
      <c r="AG881" s="554"/>
    </row>
    <row r="882">
      <c r="A882" s="549"/>
      <c r="B882" s="554"/>
      <c r="C882" s="554"/>
      <c r="D882" s="554"/>
      <c r="E882" s="554"/>
      <c r="F882" s="561"/>
      <c r="G882" s="554"/>
      <c r="H882" s="554"/>
      <c r="I882" s="554"/>
      <c r="J882" s="554"/>
      <c r="K882" s="554"/>
      <c r="L882" s="554"/>
      <c r="M882" s="554"/>
      <c r="N882" s="554"/>
      <c r="O882" s="554"/>
      <c r="P882" s="554"/>
      <c r="Q882" s="554"/>
      <c r="R882" s="554"/>
      <c r="S882" s="554"/>
      <c r="T882" s="554"/>
      <c r="U882" s="554"/>
      <c r="V882" s="554"/>
      <c r="W882" s="554"/>
      <c r="X882" s="554"/>
      <c r="Y882" s="554"/>
      <c r="Z882" s="554"/>
      <c r="AA882" s="554"/>
      <c r="AB882" s="554"/>
      <c r="AC882" s="554"/>
      <c r="AD882" s="554"/>
      <c r="AE882" s="554"/>
      <c r="AF882" s="554"/>
      <c r="AG882" s="554"/>
    </row>
    <row r="883">
      <c r="A883" s="549"/>
      <c r="B883" s="554"/>
      <c r="C883" s="554"/>
      <c r="D883" s="554"/>
      <c r="E883" s="554"/>
      <c r="F883" s="561"/>
      <c r="G883" s="554"/>
      <c r="H883" s="554"/>
      <c r="I883" s="554"/>
      <c r="J883" s="554"/>
      <c r="K883" s="554"/>
      <c r="L883" s="554"/>
      <c r="M883" s="554"/>
      <c r="N883" s="554"/>
      <c r="O883" s="554"/>
      <c r="P883" s="554"/>
      <c r="Q883" s="554"/>
      <c r="R883" s="554"/>
      <c r="S883" s="554"/>
      <c r="T883" s="554"/>
      <c r="U883" s="554"/>
      <c r="V883" s="554"/>
      <c r="W883" s="554"/>
      <c r="X883" s="554"/>
      <c r="Y883" s="554"/>
      <c r="Z883" s="554"/>
      <c r="AA883" s="554"/>
      <c r="AB883" s="554"/>
      <c r="AC883" s="554"/>
      <c r="AD883" s="554"/>
      <c r="AE883" s="554"/>
      <c r="AF883" s="554"/>
      <c r="AG883" s="554"/>
    </row>
    <row r="884">
      <c r="A884" s="549"/>
      <c r="B884" s="554"/>
      <c r="C884" s="554"/>
      <c r="D884" s="554"/>
      <c r="E884" s="554"/>
      <c r="F884" s="561"/>
      <c r="G884" s="554"/>
      <c r="H884" s="554"/>
      <c r="I884" s="554"/>
      <c r="J884" s="554"/>
      <c r="K884" s="554"/>
      <c r="L884" s="554"/>
      <c r="M884" s="554"/>
      <c r="N884" s="554"/>
      <c r="O884" s="554"/>
      <c r="P884" s="554"/>
      <c r="Q884" s="554"/>
      <c r="R884" s="554"/>
      <c r="S884" s="554"/>
      <c r="T884" s="554"/>
      <c r="U884" s="554"/>
      <c r="V884" s="554"/>
      <c r="W884" s="554"/>
      <c r="X884" s="554"/>
      <c r="Y884" s="554"/>
      <c r="Z884" s="554"/>
      <c r="AA884" s="554"/>
      <c r="AB884" s="554"/>
      <c r="AC884" s="554"/>
      <c r="AD884" s="554"/>
      <c r="AE884" s="554"/>
      <c r="AF884" s="554"/>
      <c r="AG884" s="554"/>
    </row>
    <row r="885">
      <c r="A885" s="549"/>
      <c r="B885" s="554"/>
      <c r="C885" s="554"/>
      <c r="D885" s="554"/>
      <c r="E885" s="554"/>
      <c r="F885" s="561"/>
      <c r="G885" s="554"/>
      <c r="H885" s="554"/>
      <c r="I885" s="554"/>
      <c r="J885" s="554"/>
      <c r="K885" s="554"/>
      <c r="L885" s="554"/>
      <c r="M885" s="554"/>
      <c r="N885" s="554"/>
      <c r="O885" s="554"/>
      <c r="P885" s="554"/>
      <c r="Q885" s="554"/>
      <c r="R885" s="554"/>
      <c r="S885" s="554"/>
      <c r="T885" s="554"/>
      <c r="U885" s="554"/>
      <c r="V885" s="554"/>
      <c r="W885" s="554"/>
      <c r="X885" s="554"/>
      <c r="Y885" s="554"/>
      <c r="Z885" s="554"/>
      <c r="AA885" s="554"/>
      <c r="AB885" s="554"/>
      <c r="AC885" s="554"/>
      <c r="AD885" s="554"/>
      <c r="AE885" s="554"/>
      <c r="AF885" s="554"/>
      <c r="AG885" s="554"/>
    </row>
    <row r="886">
      <c r="A886" s="549"/>
      <c r="B886" s="554"/>
      <c r="C886" s="554"/>
      <c r="D886" s="554"/>
      <c r="E886" s="554"/>
      <c r="F886" s="561"/>
      <c r="G886" s="554"/>
      <c r="H886" s="554"/>
      <c r="I886" s="554"/>
      <c r="J886" s="554"/>
      <c r="K886" s="554"/>
      <c r="L886" s="554"/>
      <c r="M886" s="554"/>
      <c r="N886" s="554"/>
      <c r="O886" s="554"/>
      <c r="P886" s="554"/>
      <c r="Q886" s="554"/>
      <c r="R886" s="554"/>
      <c r="S886" s="554"/>
      <c r="T886" s="554"/>
      <c r="U886" s="554"/>
      <c r="V886" s="554"/>
      <c r="W886" s="554"/>
      <c r="X886" s="554"/>
      <c r="Y886" s="554"/>
      <c r="Z886" s="554"/>
      <c r="AA886" s="554"/>
      <c r="AB886" s="554"/>
      <c r="AC886" s="554"/>
      <c r="AD886" s="554"/>
      <c r="AE886" s="554"/>
      <c r="AF886" s="554"/>
      <c r="AG886" s="554"/>
    </row>
    <row r="887">
      <c r="A887" s="549"/>
      <c r="B887" s="554"/>
      <c r="C887" s="554"/>
      <c r="D887" s="554"/>
      <c r="E887" s="554"/>
      <c r="F887" s="561"/>
      <c r="G887" s="554"/>
      <c r="H887" s="554"/>
      <c r="I887" s="554"/>
      <c r="J887" s="554"/>
      <c r="K887" s="554"/>
      <c r="L887" s="554"/>
      <c r="M887" s="554"/>
      <c r="N887" s="554"/>
      <c r="O887" s="554"/>
      <c r="P887" s="554"/>
      <c r="Q887" s="554"/>
      <c r="R887" s="554"/>
      <c r="S887" s="554"/>
      <c r="T887" s="554"/>
      <c r="U887" s="554"/>
      <c r="V887" s="554"/>
      <c r="W887" s="554"/>
      <c r="X887" s="554"/>
      <c r="Y887" s="554"/>
      <c r="Z887" s="554"/>
      <c r="AA887" s="554"/>
      <c r="AB887" s="554"/>
      <c r="AC887" s="554"/>
      <c r="AD887" s="554"/>
      <c r="AE887" s="554"/>
      <c r="AF887" s="554"/>
      <c r="AG887" s="554"/>
    </row>
    <row r="888">
      <c r="A888" s="549"/>
      <c r="B888" s="554"/>
      <c r="C888" s="554"/>
      <c r="D888" s="554"/>
      <c r="E888" s="554"/>
      <c r="F888" s="561"/>
      <c r="G888" s="554"/>
      <c r="H888" s="554"/>
      <c r="I888" s="554"/>
      <c r="J888" s="554"/>
      <c r="K888" s="554"/>
      <c r="L888" s="554"/>
      <c r="M888" s="554"/>
      <c r="N888" s="554"/>
      <c r="O888" s="554"/>
      <c r="P888" s="554"/>
      <c r="Q888" s="554"/>
      <c r="R888" s="554"/>
      <c r="S888" s="554"/>
      <c r="T888" s="554"/>
      <c r="U888" s="554"/>
      <c r="V888" s="554"/>
      <c r="W888" s="554"/>
      <c r="X888" s="554"/>
      <c r="Y888" s="554"/>
      <c r="Z888" s="554"/>
      <c r="AA888" s="554"/>
      <c r="AB888" s="554"/>
      <c r="AC888" s="554"/>
      <c r="AD888" s="554"/>
      <c r="AE888" s="554"/>
      <c r="AF888" s="554"/>
      <c r="AG888" s="554"/>
    </row>
    <row r="889">
      <c r="A889" s="549"/>
      <c r="B889" s="554"/>
      <c r="C889" s="554"/>
      <c r="D889" s="554"/>
      <c r="E889" s="554"/>
      <c r="F889" s="561"/>
      <c r="G889" s="554"/>
      <c r="H889" s="554"/>
      <c r="I889" s="554"/>
      <c r="J889" s="554"/>
      <c r="K889" s="554"/>
      <c r="L889" s="554"/>
      <c r="M889" s="554"/>
      <c r="N889" s="554"/>
      <c r="O889" s="554"/>
      <c r="P889" s="554"/>
      <c r="Q889" s="554"/>
      <c r="R889" s="554"/>
      <c r="S889" s="554"/>
      <c r="T889" s="554"/>
      <c r="U889" s="554"/>
      <c r="V889" s="554"/>
      <c r="W889" s="554"/>
      <c r="X889" s="554"/>
      <c r="Y889" s="554"/>
      <c r="Z889" s="554"/>
      <c r="AA889" s="554"/>
      <c r="AB889" s="554"/>
      <c r="AC889" s="554"/>
      <c r="AD889" s="554"/>
      <c r="AE889" s="554"/>
      <c r="AF889" s="554"/>
      <c r="AG889" s="554"/>
    </row>
    <row r="890">
      <c r="A890" s="549"/>
      <c r="B890" s="554"/>
      <c r="C890" s="554"/>
      <c r="D890" s="554"/>
      <c r="E890" s="554"/>
      <c r="F890" s="561"/>
      <c r="G890" s="554"/>
      <c r="H890" s="554"/>
      <c r="I890" s="554"/>
      <c r="J890" s="554"/>
      <c r="K890" s="554"/>
      <c r="L890" s="554"/>
      <c r="M890" s="554"/>
      <c r="N890" s="554"/>
      <c r="O890" s="554"/>
      <c r="P890" s="554"/>
      <c r="Q890" s="554"/>
      <c r="R890" s="554"/>
      <c r="S890" s="554"/>
      <c r="T890" s="554"/>
      <c r="U890" s="554"/>
      <c r="V890" s="554"/>
      <c r="W890" s="554"/>
      <c r="X890" s="554"/>
      <c r="Y890" s="554"/>
      <c r="Z890" s="554"/>
      <c r="AA890" s="554"/>
      <c r="AB890" s="554"/>
      <c r="AC890" s="554"/>
      <c r="AD890" s="554"/>
      <c r="AE890" s="554"/>
      <c r="AF890" s="554"/>
      <c r="AG890" s="554"/>
    </row>
    <row r="891">
      <c r="A891" s="549"/>
      <c r="B891" s="554"/>
      <c r="C891" s="554"/>
      <c r="D891" s="554"/>
      <c r="E891" s="554"/>
      <c r="F891" s="561"/>
      <c r="G891" s="554"/>
      <c r="H891" s="554"/>
      <c r="I891" s="554"/>
      <c r="J891" s="554"/>
      <c r="K891" s="554"/>
      <c r="L891" s="554"/>
      <c r="M891" s="554"/>
      <c r="N891" s="554"/>
      <c r="O891" s="554"/>
      <c r="P891" s="554"/>
      <c r="Q891" s="554"/>
      <c r="R891" s="554"/>
      <c r="S891" s="554"/>
      <c r="T891" s="554"/>
      <c r="U891" s="554"/>
      <c r="V891" s="554"/>
      <c r="W891" s="554"/>
      <c r="X891" s="554"/>
      <c r="Y891" s="554"/>
      <c r="Z891" s="554"/>
      <c r="AA891" s="554"/>
      <c r="AB891" s="554"/>
      <c r="AC891" s="554"/>
      <c r="AD891" s="554"/>
      <c r="AE891" s="554"/>
      <c r="AF891" s="554"/>
      <c r="AG891" s="554"/>
    </row>
    <row r="892">
      <c r="A892" s="549"/>
      <c r="B892" s="554"/>
      <c r="C892" s="554"/>
      <c r="D892" s="554"/>
      <c r="E892" s="554"/>
      <c r="F892" s="561"/>
      <c r="G892" s="554"/>
      <c r="H892" s="554"/>
      <c r="I892" s="554"/>
      <c r="J892" s="554"/>
      <c r="K892" s="554"/>
      <c r="L892" s="554"/>
      <c r="M892" s="554"/>
      <c r="N892" s="554"/>
      <c r="O892" s="554"/>
      <c r="P892" s="554"/>
      <c r="Q892" s="554"/>
      <c r="R892" s="554"/>
      <c r="S892" s="554"/>
      <c r="T892" s="554"/>
      <c r="U892" s="554"/>
      <c r="V892" s="554"/>
      <c r="W892" s="554"/>
      <c r="X892" s="554"/>
      <c r="Y892" s="554"/>
      <c r="Z892" s="554"/>
      <c r="AA892" s="554"/>
      <c r="AB892" s="554"/>
      <c r="AC892" s="554"/>
      <c r="AD892" s="554"/>
      <c r="AE892" s="554"/>
      <c r="AF892" s="554"/>
      <c r="AG892" s="554"/>
    </row>
    <row r="893">
      <c r="A893" s="549"/>
      <c r="B893" s="554"/>
      <c r="C893" s="554"/>
      <c r="D893" s="554"/>
      <c r="E893" s="554"/>
      <c r="F893" s="561"/>
      <c r="G893" s="554"/>
      <c r="H893" s="554"/>
      <c r="I893" s="554"/>
      <c r="J893" s="554"/>
      <c r="K893" s="554"/>
      <c r="L893" s="554"/>
      <c r="M893" s="554"/>
      <c r="N893" s="554"/>
      <c r="O893" s="554"/>
      <c r="P893" s="554"/>
      <c r="Q893" s="554"/>
      <c r="R893" s="554"/>
      <c r="S893" s="554"/>
      <c r="T893" s="554"/>
      <c r="U893" s="554"/>
      <c r="V893" s="554"/>
      <c r="W893" s="554"/>
      <c r="X893" s="554"/>
      <c r="Y893" s="554"/>
      <c r="Z893" s="554"/>
      <c r="AA893" s="554"/>
      <c r="AB893" s="554"/>
      <c r="AC893" s="554"/>
      <c r="AD893" s="554"/>
      <c r="AE893" s="554"/>
      <c r="AF893" s="554"/>
      <c r="AG893" s="554"/>
    </row>
    <row r="894">
      <c r="A894" s="549"/>
      <c r="B894" s="554"/>
      <c r="C894" s="554"/>
      <c r="D894" s="554"/>
      <c r="E894" s="554"/>
      <c r="F894" s="561"/>
      <c r="G894" s="554"/>
      <c r="H894" s="554"/>
      <c r="I894" s="554"/>
      <c r="J894" s="554"/>
      <c r="K894" s="554"/>
      <c r="L894" s="554"/>
      <c r="M894" s="554"/>
      <c r="N894" s="554"/>
      <c r="O894" s="554"/>
      <c r="P894" s="554"/>
      <c r="Q894" s="554"/>
      <c r="R894" s="554"/>
      <c r="S894" s="554"/>
      <c r="T894" s="554"/>
      <c r="U894" s="554"/>
      <c r="V894" s="554"/>
      <c r="W894" s="554"/>
      <c r="X894" s="554"/>
      <c r="Y894" s="554"/>
      <c r="Z894" s="554"/>
      <c r="AA894" s="554"/>
      <c r="AB894" s="554"/>
      <c r="AC894" s="554"/>
      <c r="AD894" s="554"/>
      <c r="AE894" s="554"/>
      <c r="AF894" s="554"/>
      <c r="AG894" s="554"/>
    </row>
    <row r="895">
      <c r="A895" s="549"/>
      <c r="B895" s="554"/>
      <c r="C895" s="554"/>
      <c r="D895" s="554"/>
      <c r="E895" s="554"/>
      <c r="F895" s="561"/>
      <c r="G895" s="554"/>
      <c r="H895" s="554"/>
      <c r="I895" s="554"/>
      <c r="J895" s="554"/>
      <c r="K895" s="554"/>
      <c r="L895" s="554"/>
      <c r="M895" s="554"/>
      <c r="N895" s="554"/>
      <c r="O895" s="554"/>
      <c r="P895" s="554"/>
      <c r="Q895" s="554"/>
      <c r="R895" s="554"/>
      <c r="S895" s="554"/>
      <c r="T895" s="554"/>
      <c r="U895" s="554"/>
      <c r="V895" s="554"/>
      <c r="W895" s="554"/>
      <c r="X895" s="554"/>
      <c r="Y895" s="554"/>
      <c r="Z895" s="554"/>
      <c r="AA895" s="554"/>
      <c r="AB895" s="554"/>
      <c r="AC895" s="554"/>
      <c r="AD895" s="554"/>
      <c r="AE895" s="554"/>
      <c r="AF895" s="554"/>
      <c r="AG895" s="554"/>
    </row>
    <row r="896">
      <c r="A896" s="549"/>
      <c r="B896" s="554"/>
      <c r="C896" s="554"/>
      <c r="D896" s="554"/>
      <c r="E896" s="554"/>
      <c r="F896" s="561"/>
      <c r="G896" s="554"/>
      <c r="H896" s="554"/>
      <c r="I896" s="554"/>
      <c r="J896" s="554"/>
      <c r="K896" s="554"/>
      <c r="L896" s="554"/>
      <c r="M896" s="554"/>
      <c r="N896" s="554"/>
      <c r="O896" s="554"/>
      <c r="P896" s="554"/>
      <c r="Q896" s="554"/>
      <c r="R896" s="554"/>
      <c r="S896" s="554"/>
      <c r="T896" s="554"/>
      <c r="U896" s="554"/>
      <c r="V896" s="554"/>
      <c r="W896" s="554"/>
      <c r="X896" s="554"/>
      <c r="Y896" s="554"/>
      <c r="Z896" s="554"/>
      <c r="AA896" s="554"/>
      <c r="AB896" s="554"/>
      <c r="AC896" s="554"/>
      <c r="AD896" s="554"/>
      <c r="AE896" s="554"/>
      <c r="AF896" s="554"/>
      <c r="AG896" s="554"/>
    </row>
    <row r="897">
      <c r="A897" s="549"/>
      <c r="B897" s="554"/>
      <c r="C897" s="554"/>
      <c r="D897" s="554"/>
      <c r="E897" s="554"/>
      <c r="F897" s="561"/>
      <c r="G897" s="554"/>
      <c r="H897" s="554"/>
      <c r="I897" s="554"/>
      <c r="J897" s="554"/>
      <c r="K897" s="554"/>
      <c r="L897" s="554"/>
      <c r="M897" s="554"/>
      <c r="N897" s="554"/>
      <c r="O897" s="554"/>
      <c r="P897" s="554"/>
      <c r="Q897" s="554"/>
      <c r="R897" s="554"/>
      <c r="S897" s="554"/>
      <c r="T897" s="554"/>
      <c r="U897" s="554"/>
      <c r="V897" s="554"/>
      <c r="W897" s="554"/>
      <c r="X897" s="554"/>
      <c r="Y897" s="554"/>
      <c r="Z897" s="554"/>
      <c r="AA897" s="554"/>
      <c r="AB897" s="554"/>
      <c r="AC897" s="554"/>
      <c r="AD897" s="554"/>
      <c r="AE897" s="554"/>
      <c r="AF897" s="554"/>
      <c r="AG897" s="554"/>
    </row>
    <row r="898">
      <c r="A898" s="549"/>
      <c r="B898" s="554"/>
      <c r="C898" s="554"/>
      <c r="D898" s="554"/>
      <c r="E898" s="554"/>
      <c r="F898" s="561"/>
      <c r="G898" s="554"/>
      <c r="H898" s="554"/>
      <c r="I898" s="554"/>
      <c r="J898" s="554"/>
      <c r="K898" s="554"/>
      <c r="L898" s="554"/>
      <c r="M898" s="554"/>
      <c r="N898" s="554"/>
      <c r="O898" s="554"/>
      <c r="P898" s="554"/>
      <c r="Q898" s="554"/>
      <c r="R898" s="554"/>
      <c r="S898" s="554"/>
      <c r="T898" s="554"/>
      <c r="U898" s="554"/>
      <c r="V898" s="554"/>
      <c r="W898" s="554"/>
      <c r="X898" s="554"/>
      <c r="Y898" s="554"/>
      <c r="Z898" s="554"/>
      <c r="AA898" s="554"/>
      <c r="AB898" s="554"/>
      <c r="AC898" s="554"/>
      <c r="AD898" s="554"/>
      <c r="AE898" s="554"/>
      <c r="AF898" s="554"/>
      <c r="AG898" s="554"/>
    </row>
    <row r="899">
      <c r="A899" s="549"/>
      <c r="B899" s="554"/>
      <c r="C899" s="554"/>
      <c r="D899" s="554"/>
      <c r="E899" s="554"/>
      <c r="F899" s="561"/>
      <c r="G899" s="554"/>
      <c r="H899" s="554"/>
      <c r="I899" s="554"/>
      <c r="J899" s="554"/>
      <c r="K899" s="554"/>
      <c r="L899" s="554"/>
      <c r="M899" s="554"/>
      <c r="N899" s="554"/>
      <c r="O899" s="554"/>
      <c r="P899" s="554"/>
      <c r="Q899" s="554"/>
      <c r="R899" s="554"/>
      <c r="S899" s="554"/>
      <c r="T899" s="554"/>
      <c r="U899" s="554"/>
      <c r="V899" s="554"/>
      <c r="W899" s="554"/>
      <c r="X899" s="554"/>
      <c r="Y899" s="554"/>
      <c r="Z899" s="554"/>
      <c r="AA899" s="554"/>
      <c r="AB899" s="554"/>
      <c r="AC899" s="554"/>
      <c r="AD899" s="554"/>
      <c r="AE899" s="554"/>
      <c r="AF899" s="554"/>
      <c r="AG899" s="554"/>
    </row>
    <row r="900">
      <c r="A900" s="549"/>
      <c r="B900" s="554"/>
      <c r="C900" s="554"/>
      <c r="D900" s="554"/>
      <c r="E900" s="554"/>
      <c r="F900" s="561"/>
      <c r="G900" s="554"/>
      <c r="H900" s="554"/>
      <c r="I900" s="554"/>
      <c r="J900" s="554"/>
      <c r="K900" s="554"/>
      <c r="L900" s="554"/>
      <c r="M900" s="554"/>
      <c r="N900" s="554"/>
      <c r="O900" s="554"/>
      <c r="P900" s="554"/>
      <c r="Q900" s="554"/>
      <c r="R900" s="554"/>
      <c r="S900" s="554"/>
      <c r="T900" s="554"/>
      <c r="U900" s="554"/>
      <c r="V900" s="554"/>
      <c r="W900" s="554"/>
      <c r="X900" s="554"/>
      <c r="Y900" s="554"/>
      <c r="Z900" s="554"/>
      <c r="AA900" s="554"/>
      <c r="AB900" s="554"/>
      <c r="AC900" s="554"/>
      <c r="AD900" s="554"/>
      <c r="AE900" s="554"/>
      <c r="AF900" s="554"/>
      <c r="AG900" s="554"/>
    </row>
    <row r="901">
      <c r="A901" s="549"/>
      <c r="B901" s="554"/>
      <c r="C901" s="554"/>
      <c r="D901" s="554"/>
      <c r="E901" s="554"/>
      <c r="F901" s="561"/>
      <c r="G901" s="554"/>
      <c r="H901" s="554"/>
      <c r="I901" s="554"/>
      <c r="J901" s="554"/>
      <c r="K901" s="554"/>
      <c r="L901" s="554"/>
      <c r="M901" s="554"/>
      <c r="N901" s="554"/>
      <c r="O901" s="554"/>
      <c r="P901" s="554"/>
      <c r="Q901" s="554"/>
      <c r="R901" s="554"/>
      <c r="S901" s="554"/>
      <c r="T901" s="554"/>
      <c r="U901" s="554"/>
      <c r="V901" s="554"/>
      <c r="W901" s="554"/>
      <c r="X901" s="554"/>
      <c r="Y901" s="554"/>
      <c r="Z901" s="554"/>
      <c r="AA901" s="554"/>
      <c r="AB901" s="554"/>
      <c r="AC901" s="554"/>
      <c r="AD901" s="554"/>
      <c r="AE901" s="554"/>
      <c r="AF901" s="554"/>
      <c r="AG901" s="554"/>
    </row>
    <row r="902">
      <c r="A902" s="549"/>
      <c r="B902" s="554"/>
      <c r="C902" s="554"/>
      <c r="D902" s="554"/>
      <c r="E902" s="554"/>
      <c r="F902" s="561"/>
      <c r="G902" s="554"/>
      <c r="H902" s="554"/>
      <c r="I902" s="554"/>
      <c r="J902" s="554"/>
      <c r="K902" s="554"/>
      <c r="L902" s="554"/>
      <c r="M902" s="554"/>
      <c r="N902" s="554"/>
      <c r="O902" s="554"/>
      <c r="P902" s="554"/>
      <c r="Q902" s="554"/>
      <c r="R902" s="554"/>
      <c r="S902" s="554"/>
      <c r="T902" s="554"/>
      <c r="U902" s="554"/>
      <c r="V902" s="554"/>
      <c r="W902" s="554"/>
      <c r="X902" s="554"/>
      <c r="Y902" s="554"/>
      <c r="Z902" s="554"/>
      <c r="AA902" s="554"/>
      <c r="AB902" s="554"/>
      <c r="AC902" s="554"/>
      <c r="AD902" s="554"/>
      <c r="AE902" s="554"/>
      <c r="AF902" s="554"/>
      <c r="AG902" s="554"/>
    </row>
    <row r="903">
      <c r="A903" s="549"/>
      <c r="B903" s="554"/>
      <c r="C903" s="554"/>
      <c r="D903" s="554"/>
      <c r="E903" s="554"/>
      <c r="F903" s="561"/>
      <c r="G903" s="554"/>
      <c r="H903" s="554"/>
      <c r="I903" s="554"/>
      <c r="J903" s="554"/>
      <c r="K903" s="554"/>
      <c r="L903" s="554"/>
      <c r="M903" s="554"/>
      <c r="N903" s="554"/>
      <c r="O903" s="554"/>
      <c r="P903" s="554"/>
      <c r="Q903" s="554"/>
      <c r="R903" s="554"/>
      <c r="S903" s="554"/>
      <c r="T903" s="554"/>
      <c r="U903" s="554"/>
      <c r="V903" s="554"/>
      <c r="W903" s="554"/>
      <c r="X903" s="554"/>
      <c r="Y903" s="554"/>
      <c r="Z903" s="554"/>
      <c r="AA903" s="554"/>
      <c r="AB903" s="554"/>
      <c r="AC903" s="554"/>
      <c r="AD903" s="554"/>
      <c r="AE903" s="554"/>
      <c r="AF903" s="554"/>
      <c r="AG903" s="554"/>
    </row>
    <row r="904">
      <c r="A904" s="549"/>
      <c r="B904" s="554"/>
      <c r="C904" s="554"/>
      <c r="D904" s="554"/>
      <c r="E904" s="554"/>
      <c r="F904" s="561"/>
      <c r="G904" s="554"/>
      <c r="H904" s="554"/>
      <c r="I904" s="554"/>
      <c r="J904" s="554"/>
      <c r="K904" s="554"/>
      <c r="L904" s="554"/>
      <c r="M904" s="554"/>
      <c r="N904" s="554"/>
      <c r="O904" s="554"/>
      <c r="P904" s="554"/>
      <c r="Q904" s="554"/>
      <c r="R904" s="554"/>
      <c r="S904" s="554"/>
      <c r="T904" s="554"/>
      <c r="U904" s="554"/>
      <c r="V904" s="554"/>
      <c r="W904" s="554"/>
      <c r="X904" s="554"/>
      <c r="Y904" s="554"/>
      <c r="Z904" s="554"/>
      <c r="AA904" s="554"/>
      <c r="AB904" s="554"/>
      <c r="AC904" s="554"/>
      <c r="AD904" s="554"/>
      <c r="AE904" s="554"/>
      <c r="AF904" s="554"/>
      <c r="AG904" s="554"/>
    </row>
    <row r="905">
      <c r="A905" s="549"/>
      <c r="B905" s="554"/>
      <c r="C905" s="554"/>
      <c r="D905" s="554"/>
      <c r="E905" s="554"/>
      <c r="F905" s="561"/>
      <c r="G905" s="554"/>
      <c r="H905" s="554"/>
      <c r="I905" s="554"/>
      <c r="J905" s="554"/>
      <c r="K905" s="554"/>
      <c r="L905" s="554"/>
      <c r="M905" s="554"/>
      <c r="N905" s="554"/>
      <c r="O905" s="554"/>
      <c r="P905" s="554"/>
      <c r="Q905" s="554"/>
      <c r="R905" s="554"/>
      <c r="S905" s="554"/>
      <c r="T905" s="554"/>
      <c r="U905" s="554"/>
      <c r="V905" s="554"/>
      <c r="W905" s="554"/>
      <c r="X905" s="554"/>
      <c r="Y905" s="554"/>
      <c r="Z905" s="554"/>
      <c r="AA905" s="554"/>
      <c r="AB905" s="554"/>
      <c r="AC905" s="554"/>
      <c r="AD905" s="554"/>
      <c r="AE905" s="554"/>
      <c r="AF905" s="554"/>
      <c r="AG905" s="554"/>
    </row>
    <row r="906">
      <c r="A906" s="549"/>
      <c r="B906" s="554"/>
      <c r="C906" s="554"/>
      <c r="D906" s="554"/>
      <c r="E906" s="554"/>
      <c r="F906" s="561"/>
      <c r="G906" s="554"/>
      <c r="H906" s="554"/>
      <c r="I906" s="554"/>
      <c r="J906" s="554"/>
      <c r="K906" s="554"/>
      <c r="L906" s="554"/>
      <c r="M906" s="554"/>
      <c r="N906" s="554"/>
      <c r="O906" s="554"/>
      <c r="P906" s="554"/>
      <c r="Q906" s="554"/>
      <c r="R906" s="554"/>
      <c r="S906" s="554"/>
      <c r="T906" s="554"/>
      <c r="U906" s="554"/>
      <c r="V906" s="554"/>
      <c r="W906" s="554"/>
      <c r="X906" s="554"/>
      <c r="Y906" s="554"/>
      <c r="Z906" s="554"/>
      <c r="AA906" s="554"/>
      <c r="AB906" s="554"/>
      <c r="AC906" s="554"/>
      <c r="AD906" s="554"/>
      <c r="AE906" s="554"/>
      <c r="AF906" s="554"/>
      <c r="AG906" s="554"/>
    </row>
    <row r="907">
      <c r="A907" s="549"/>
      <c r="B907" s="554"/>
      <c r="C907" s="554"/>
      <c r="D907" s="554"/>
      <c r="E907" s="554"/>
      <c r="F907" s="561"/>
      <c r="G907" s="554"/>
      <c r="H907" s="554"/>
      <c r="I907" s="554"/>
      <c r="J907" s="554"/>
      <c r="K907" s="554"/>
      <c r="L907" s="554"/>
      <c r="M907" s="554"/>
      <c r="N907" s="554"/>
      <c r="O907" s="554"/>
      <c r="P907" s="554"/>
      <c r="Q907" s="554"/>
      <c r="R907" s="554"/>
      <c r="S907" s="554"/>
      <c r="T907" s="554"/>
      <c r="U907" s="554"/>
      <c r="V907" s="554"/>
      <c r="W907" s="554"/>
      <c r="X907" s="554"/>
      <c r="Y907" s="554"/>
      <c r="Z907" s="554"/>
      <c r="AA907" s="554"/>
      <c r="AB907" s="554"/>
      <c r="AC907" s="554"/>
      <c r="AD907" s="554"/>
      <c r="AE907" s="554"/>
      <c r="AF907" s="554"/>
      <c r="AG907" s="554"/>
    </row>
    <row r="908">
      <c r="A908" s="549"/>
      <c r="B908" s="554"/>
      <c r="C908" s="554"/>
      <c r="D908" s="554"/>
      <c r="E908" s="554"/>
      <c r="F908" s="561"/>
      <c r="G908" s="554"/>
      <c r="H908" s="554"/>
      <c r="I908" s="554"/>
      <c r="J908" s="554"/>
      <c r="K908" s="554"/>
      <c r="L908" s="554"/>
      <c r="M908" s="554"/>
      <c r="N908" s="554"/>
      <c r="O908" s="554"/>
      <c r="P908" s="554"/>
      <c r="Q908" s="554"/>
      <c r="R908" s="554"/>
      <c r="S908" s="554"/>
      <c r="T908" s="554"/>
      <c r="U908" s="554"/>
      <c r="V908" s="554"/>
      <c r="W908" s="554"/>
      <c r="X908" s="554"/>
      <c r="Y908" s="554"/>
      <c r="Z908" s="554"/>
      <c r="AA908" s="554"/>
      <c r="AB908" s="554"/>
      <c r="AC908" s="554"/>
      <c r="AD908" s="554"/>
      <c r="AE908" s="554"/>
      <c r="AF908" s="554"/>
      <c r="AG908" s="554"/>
    </row>
    <row r="909">
      <c r="A909" s="549"/>
      <c r="B909" s="554"/>
      <c r="C909" s="554"/>
      <c r="D909" s="554"/>
      <c r="E909" s="554"/>
      <c r="F909" s="561"/>
      <c r="G909" s="554"/>
      <c r="H909" s="554"/>
      <c r="I909" s="554"/>
      <c r="J909" s="554"/>
      <c r="K909" s="554"/>
      <c r="L909" s="554"/>
      <c r="M909" s="554"/>
      <c r="N909" s="554"/>
      <c r="O909" s="554"/>
      <c r="P909" s="554"/>
      <c r="Q909" s="554"/>
      <c r="R909" s="554"/>
      <c r="S909" s="554"/>
      <c r="T909" s="554"/>
      <c r="U909" s="554"/>
      <c r="V909" s="554"/>
      <c r="W909" s="554"/>
      <c r="X909" s="554"/>
      <c r="Y909" s="554"/>
      <c r="Z909" s="554"/>
      <c r="AA909" s="554"/>
      <c r="AB909" s="554"/>
      <c r="AC909" s="554"/>
      <c r="AD909" s="554"/>
      <c r="AE909" s="554"/>
      <c r="AF909" s="554"/>
      <c r="AG909" s="554"/>
    </row>
    <row r="910">
      <c r="A910" s="549"/>
      <c r="B910" s="554"/>
      <c r="C910" s="554"/>
      <c r="D910" s="554"/>
      <c r="E910" s="554"/>
      <c r="F910" s="561"/>
      <c r="G910" s="554"/>
      <c r="H910" s="554"/>
      <c r="I910" s="554"/>
      <c r="J910" s="554"/>
      <c r="K910" s="554"/>
      <c r="L910" s="554"/>
      <c r="M910" s="554"/>
      <c r="N910" s="554"/>
      <c r="O910" s="554"/>
      <c r="P910" s="554"/>
      <c r="Q910" s="554"/>
      <c r="R910" s="554"/>
      <c r="S910" s="554"/>
      <c r="T910" s="554"/>
      <c r="U910" s="554"/>
      <c r="V910" s="554"/>
      <c r="W910" s="554"/>
      <c r="X910" s="554"/>
      <c r="Y910" s="554"/>
      <c r="Z910" s="554"/>
      <c r="AA910" s="554"/>
      <c r="AB910" s="554"/>
      <c r="AC910" s="554"/>
      <c r="AD910" s="554"/>
      <c r="AE910" s="554"/>
      <c r="AF910" s="554"/>
      <c r="AG910" s="554"/>
    </row>
    <row r="911">
      <c r="A911" s="549"/>
      <c r="B911" s="554"/>
      <c r="C911" s="554"/>
      <c r="D911" s="554"/>
      <c r="E911" s="554"/>
      <c r="F911" s="561"/>
      <c r="G911" s="554"/>
      <c r="H911" s="554"/>
      <c r="I911" s="554"/>
      <c r="J911" s="554"/>
      <c r="K911" s="554"/>
      <c r="L911" s="554"/>
      <c r="M911" s="554"/>
      <c r="N911" s="554"/>
      <c r="O911" s="554"/>
      <c r="P911" s="554"/>
      <c r="Q911" s="554"/>
      <c r="R911" s="554"/>
      <c r="S911" s="554"/>
      <c r="T911" s="554"/>
      <c r="U911" s="554"/>
      <c r="V911" s="554"/>
      <c r="W911" s="554"/>
      <c r="X911" s="554"/>
      <c r="Y911" s="554"/>
      <c r="Z911" s="554"/>
      <c r="AA911" s="554"/>
      <c r="AB911" s="554"/>
      <c r="AC911" s="554"/>
      <c r="AD911" s="554"/>
      <c r="AE911" s="554"/>
      <c r="AF911" s="554"/>
      <c r="AG911" s="554"/>
    </row>
    <row r="912">
      <c r="A912" s="549"/>
      <c r="B912" s="554"/>
      <c r="C912" s="554"/>
      <c r="D912" s="554"/>
      <c r="E912" s="554"/>
      <c r="F912" s="561"/>
      <c r="G912" s="554"/>
      <c r="H912" s="554"/>
      <c r="I912" s="554"/>
      <c r="J912" s="554"/>
      <c r="K912" s="554"/>
      <c r="L912" s="554"/>
      <c r="M912" s="554"/>
      <c r="N912" s="554"/>
      <c r="O912" s="554"/>
      <c r="P912" s="554"/>
      <c r="Q912" s="554"/>
      <c r="R912" s="554"/>
      <c r="S912" s="554"/>
      <c r="T912" s="554"/>
      <c r="U912" s="554"/>
      <c r="V912" s="554"/>
      <c r="W912" s="554"/>
      <c r="X912" s="554"/>
      <c r="Y912" s="554"/>
      <c r="Z912" s="554"/>
      <c r="AA912" s="554"/>
      <c r="AB912" s="554"/>
      <c r="AC912" s="554"/>
      <c r="AD912" s="554"/>
      <c r="AE912" s="554"/>
      <c r="AF912" s="554"/>
      <c r="AG912" s="554"/>
    </row>
    <row r="913">
      <c r="A913" s="549"/>
      <c r="B913" s="554"/>
      <c r="C913" s="554"/>
      <c r="D913" s="554"/>
      <c r="E913" s="554"/>
      <c r="F913" s="561"/>
      <c r="G913" s="554"/>
      <c r="H913" s="554"/>
      <c r="I913" s="554"/>
      <c r="J913" s="554"/>
      <c r="K913" s="554"/>
      <c r="L913" s="554"/>
      <c r="M913" s="554"/>
      <c r="N913" s="554"/>
      <c r="O913" s="554"/>
      <c r="P913" s="554"/>
      <c r="Q913" s="554"/>
      <c r="R913" s="554"/>
      <c r="S913" s="554"/>
      <c r="T913" s="554"/>
      <c r="U913" s="554"/>
      <c r="V913" s="554"/>
      <c r="W913" s="554"/>
      <c r="X913" s="554"/>
      <c r="Y913" s="554"/>
      <c r="Z913" s="554"/>
      <c r="AA913" s="554"/>
      <c r="AB913" s="554"/>
      <c r="AC913" s="554"/>
      <c r="AD913" s="554"/>
      <c r="AE913" s="554"/>
      <c r="AF913" s="554"/>
      <c r="AG913" s="554"/>
    </row>
    <row r="914">
      <c r="A914" s="549"/>
      <c r="B914" s="554"/>
      <c r="C914" s="554"/>
      <c r="D914" s="554"/>
      <c r="E914" s="554"/>
      <c r="F914" s="561"/>
      <c r="G914" s="554"/>
      <c r="H914" s="554"/>
      <c r="I914" s="554"/>
      <c r="J914" s="554"/>
      <c r="K914" s="554"/>
      <c r="L914" s="554"/>
      <c r="M914" s="554"/>
      <c r="N914" s="554"/>
      <c r="O914" s="554"/>
      <c r="P914" s="554"/>
      <c r="Q914" s="554"/>
      <c r="R914" s="554"/>
      <c r="S914" s="554"/>
      <c r="T914" s="554"/>
      <c r="U914" s="554"/>
      <c r="V914" s="554"/>
      <c r="W914" s="554"/>
      <c r="X914" s="554"/>
      <c r="Y914" s="554"/>
      <c r="Z914" s="554"/>
      <c r="AA914" s="554"/>
      <c r="AB914" s="554"/>
      <c r="AC914" s="554"/>
      <c r="AD914" s="554"/>
      <c r="AE914" s="554"/>
      <c r="AF914" s="554"/>
      <c r="AG914" s="554"/>
    </row>
    <row r="915">
      <c r="A915" s="549"/>
      <c r="B915" s="554"/>
      <c r="C915" s="554"/>
      <c r="D915" s="554"/>
      <c r="E915" s="554"/>
      <c r="F915" s="561"/>
      <c r="G915" s="554"/>
      <c r="H915" s="554"/>
      <c r="I915" s="554"/>
      <c r="J915" s="554"/>
      <c r="K915" s="554"/>
      <c r="L915" s="554"/>
      <c r="M915" s="554"/>
      <c r="N915" s="554"/>
      <c r="O915" s="554"/>
      <c r="P915" s="554"/>
      <c r="Q915" s="554"/>
      <c r="R915" s="554"/>
      <c r="S915" s="554"/>
      <c r="T915" s="554"/>
      <c r="U915" s="554"/>
      <c r="V915" s="554"/>
      <c r="W915" s="554"/>
      <c r="X915" s="554"/>
      <c r="Y915" s="554"/>
      <c r="Z915" s="554"/>
      <c r="AA915" s="554"/>
      <c r="AB915" s="554"/>
      <c r="AC915" s="554"/>
      <c r="AD915" s="554"/>
      <c r="AE915" s="554"/>
      <c r="AF915" s="554"/>
      <c r="AG915" s="554"/>
    </row>
    <row r="916">
      <c r="A916" s="549"/>
      <c r="B916" s="554"/>
      <c r="C916" s="554"/>
      <c r="D916" s="554"/>
      <c r="E916" s="554"/>
      <c r="F916" s="561"/>
      <c r="G916" s="554"/>
      <c r="H916" s="554"/>
      <c r="I916" s="554"/>
      <c r="J916" s="554"/>
      <c r="K916" s="554"/>
      <c r="L916" s="554"/>
      <c r="M916" s="554"/>
      <c r="N916" s="554"/>
      <c r="O916" s="554"/>
      <c r="P916" s="554"/>
      <c r="Q916" s="554"/>
      <c r="R916" s="554"/>
      <c r="S916" s="554"/>
      <c r="T916" s="554"/>
      <c r="U916" s="554"/>
      <c r="V916" s="554"/>
      <c r="W916" s="554"/>
      <c r="X916" s="554"/>
      <c r="Y916" s="554"/>
      <c r="Z916" s="554"/>
      <c r="AA916" s="554"/>
      <c r="AB916" s="554"/>
      <c r="AC916" s="554"/>
      <c r="AD916" s="554"/>
      <c r="AE916" s="554"/>
      <c r="AF916" s="554"/>
      <c r="AG916" s="554"/>
    </row>
    <row r="917">
      <c r="A917" s="549"/>
      <c r="B917" s="554"/>
      <c r="C917" s="554"/>
      <c r="D917" s="554"/>
      <c r="E917" s="554"/>
      <c r="F917" s="561"/>
      <c r="G917" s="554"/>
      <c r="H917" s="554"/>
      <c r="I917" s="554"/>
      <c r="J917" s="554"/>
      <c r="K917" s="554"/>
      <c r="L917" s="554"/>
      <c r="M917" s="554"/>
      <c r="N917" s="554"/>
      <c r="O917" s="554"/>
      <c r="P917" s="554"/>
      <c r="Q917" s="554"/>
      <c r="R917" s="554"/>
      <c r="S917" s="554"/>
      <c r="T917" s="554"/>
      <c r="U917" s="554"/>
      <c r="V917" s="554"/>
      <c r="W917" s="554"/>
      <c r="X917" s="554"/>
      <c r="Y917" s="554"/>
      <c r="Z917" s="554"/>
      <c r="AA917" s="554"/>
      <c r="AB917" s="554"/>
      <c r="AC917" s="554"/>
      <c r="AD917" s="554"/>
      <c r="AE917" s="554"/>
      <c r="AF917" s="554"/>
      <c r="AG917" s="554"/>
    </row>
    <row r="918">
      <c r="A918" s="549"/>
      <c r="B918" s="554"/>
      <c r="C918" s="554"/>
      <c r="D918" s="554"/>
      <c r="E918" s="554"/>
      <c r="F918" s="561"/>
      <c r="G918" s="554"/>
      <c r="H918" s="554"/>
      <c r="I918" s="554"/>
      <c r="J918" s="554"/>
      <c r="K918" s="554"/>
      <c r="L918" s="554"/>
      <c r="M918" s="554"/>
      <c r="N918" s="554"/>
      <c r="O918" s="554"/>
      <c r="P918" s="554"/>
      <c r="Q918" s="554"/>
      <c r="R918" s="554"/>
      <c r="S918" s="554"/>
      <c r="T918" s="554"/>
      <c r="U918" s="554"/>
      <c r="V918" s="554"/>
      <c r="W918" s="554"/>
      <c r="X918" s="554"/>
      <c r="Y918" s="554"/>
      <c r="Z918" s="554"/>
      <c r="AA918" s="554"/>
      <c r="AB918" s="554"/>
      <c r="AC918" s="554"/>
      <c r="AD918" s="554"/>
      <c r="AE918" s="554"/>
      <c r="AF918" s="554"/>
      <c r="AG918" s="554"/>
    </row>
    <row r="919">
      <c r="A919" s="549"/>
      <c r="B919" s="554"/>
      <c r="C919" s="554"/>
      <c r="D919" s="554"/>
      <c r="E919" s="554"/>
      <c r="F919" s="561"/>
      <c r="G919" s="554"/>
      <c r="H919" s="554"/>
      <c r="I919" s="554"/>
      <c r="J919" s="554"/>
      <c r="K919" s="554"/>
      <c r="L919" s="554"/>
      <c r="M919" s="554"/>
      <c r="N919" s="554"/>
      <c r="O919" s="554"/>
      <c r="P919" s="554"/>
      <c r="Q919" s="554"/>
      <c r="R919" s="554"/>
      <c r="S919" s="554"/>
      <c r="T919" s="554"/>
      <c r="U919" s="554"/>
      <c r="V919" s="554"/>
      <c r="W919" s="554"/>
      <c r="X919" s="554"/>
      <c r="Y919" s="554"/>
      <c r="Z919" s="554"/>
      <c r="AA919" s="554"/>
      <c r="AB919" s="554"/>
      <c r="AC919" s="554"/>
      <c r="AD919" s="554"/>
      <c r="AE919" s="554"/>
      <c r="AF919" s="554"/>
      <c r="AG919" s="554"/>
    </row>
    <row r="920">
      <c r="A920" s="549"/>
      <c r="B920" s="554"/>
      <c r="C920" s="554"/>
      <c r="D920" s="554"/>
      <c r="E920" s="554"/>
      <c r="F920" s="561"/>
      <c r="G920" s="554"/>
      <c r="H920" s="554"/>
      <c r="I920" s="554"/>
      <c r="J920" s="554"/>
      <c r="K920" s="554"/>
      <c r="L920" s="554"/>
      <c r="M920" s="554"/>
      <c r="N920" s="554"/>
      <c r="O920" s="554"/>
      <c r="P920" s="554"/>
      <c r="Q920" s="554"/>
      <c r="R920" s="554"/>
      <c r="S920" s="554"/>
      <c r="T920" s="554"/>
      <c r="U920" s="554"/>
      <c r="V920" s="554"/>
      <c r="W920" s="554"/>
      <c r="X920" s="554"/>
      <c r="Y920" s="554"/>
      <c r="Z920" s="554"/>
      <c r="AA920" s="554"/>
      <c r="AB920" s="554"/>
      <c r="AC920" s="554"/>
      <c r="AD920" s="554"/>
      <c r="AE920" s="554"/>
      <c r="AF920" s="554"/>
      <c r="AG920" s="554"/>
    </row>
    <row r="921">
      <c r="A921" s="549"/>
      <c r="B921" s="554"/>
      <c r="C921" s="554"/>
      <c r="D921" s="554"/>
      <c r="E921" s="554"/>
      <c r="F921" s="561"/>
      <c r="G921" s="554"/>
      <c r="H921" s="554"/>
      <c r="I921" s="554"/>
      <c r="J921" s="554"/>
      <c r="K921" s="554"/>
      <c r="L921" s="554"/>
      <c r="M921" s="554"/>
      <c r="N921" s="554"/>
      <c r="O921" s="554"/>
      <c r="P921" s="554"/>
      <c r="Q921" s="554"/>
      <c r="R921" s="554"/>
      <c r="S921" s="554"/>
      <c r="T921" s="554"/>
      <c r="U921" s="554"/>
      <c r="V921" s="554"/>
      <c r="W921" s="554"/>
      <c r="X921" s="554"/>
      <c r="Y921" s="554"/>
      <c r="Z921" s="554"/>
      <c r="AA921" s="554"/>
      <c r="AB921" s="554"/>
      <c r="AC921" s="554"/>
      <c r="AD921" s="554"/>
      <c r="AE921" s="554"/>
      <c r="AF921" s="554"/>
      <c r="AG921" s="554"/>
    </row>
    <row r="922">
      <c r="A922" s="549"/>
      <c r="B922" s="554"/>
      <c r="C922" s="554"/>
      <c r="D922" s="554"/>
      <c r="E922" s="554"/>
      <c r="F922" s="561"/>
      <c r="G922" s="554"/>
      <c r="H922" s="554"/>
      <c r="I922" s="554"/>
      <c r="J922" s="554"/>
      <c r="K922" s="554"/>
      <c r="L922" s="554"/>
      <c r="M922" s="554"/>
      <c r="N922" s="554"/>
      <c r="O922" s="554"/>
      <c r="P922" s="554"/>
      <c r="Q922" s="554"/>
      <c r="R922" s="554"/>
      <c r="S922" s="554"/>
      <c r="T922" s="554"/>
      <c r="U922" s="554"/>
      <c r="V922" s="554"/>
      <c r="W922" s="554"/>
      <c r="X922" s="554"/>
      <c r="Y922" s="554"/>
      <c r="Z922" s="554"/>
      <c r="AA922" s="554"/>
      <c r="AB922" s="554"/>
      <c r="AC922" s="554"/>
      <c r="AD922" s="554"/>
      <c r="AE922" s="554"/>
      <c r="AF922" s="554"/>
      <c r="AG922" s="554"/>
    </row>
    <row r="923">
      <c r="A923" s="549"/>
      <c r="B923" s="554"/>
      <c r="C923" s="554"/>
      <c r="D923" s="554"/>
      <c r="E923" s="554"/>
      <c r="F923" s="561"/>
      <c r="G923" s="554"/>
      <c r="H923" s="554"/>
      <c r="I923" s="554"/>
      <c r="J923" s="554"/>
      <c r="K923" s="554"/>
      <c r="L923" s="554"/>
      <c r="M923" s="554"/>
      <c r="N923" s="554"/>
      <c r="O923" s="554"/>
      <c r="P923" s="554"/>
      <c r="Q923" s="554"/>
      <c r="R923" s="554"/>
      <c r="S923" s="554"/>
      <c r="T923" s="554"/>
      <c r="U923" s="554"/>
      <c r="V923" s="554"/>
      <c r="W923" s="554"/>
      <c r="X923" s="554"/>
      <c r="Y923" s="554"/>
      <c r="Z923" s="554"/>
      <c r="AA923" s="554"/>
      <c r="AB923" s="554"/>
      <c r="AC923" s="554"/>
      <c r="AD923" s="554"/>
      <c r="AE923" s="554"/>
      <c r="AF923" s="554"/>
      <c r="AG923" s="554"/>
    </row>
    <row r="924">
      <c r="A924" s="549"/>
      <c r="B924" s="554"/>
      <c r="C924" s="554"/>
      <c r="D924" s="554"/>
      <c r="E924" s="554"/>
      <c r="F924" s="561"/>
      <c r="G924" s="554"/>
      <c r="H924" s="554"/>
      <c r="I924" s="554"/>
      <c r="J924" s="554"/>
      <c r="K924" s="554"/>
      <c r="L924" s="554"/>
      <c r="M924" s="554"/>
      <c r="N924" s="554"/>
      <c r="O924" s="554"/>
      <c r="P924" s="554"/>
      <c r="Q924" s="554"/>
      <c r="R924" s="554"/>
      <c r="S924" s="554"/>
      <c r="T924" s="554"/>
      <c r="U924" s="554"/>
      <c r="V924" s="554"/>
      <c r="W924" s="554"/>
      <c r="X924" s="554"/>
      <c r="Y924" s="554"/>
      <c r="Z924" s="554"/>
      <c r="AA924" s="554"/>
      <c r="AB924" s="554"/>
      <c r="AC924" s="554"/>
      <c r="AD924" s="554"/>
      <c r="AE924" s="554"/>
      <c r="AF924" s="554"/>
      <c r="AG924" s="554"/>
    </row>
    <row r="925">
      <c r="A925" s="549"/>
      <c r="B925" s="554"/>
      <c r="C925" s="554"/>
      <c r="D925" s="554"/>
      <c r="E925" s="554"/>
      <c r="F925" s="561"/>
      <c r="G925" s="554"/>
      <c r="H925" s="554"/>
      <c r="I925" s="554"/>
      <c r="J925" s="554"/>
      <c r="K925" s="554"/>
      <c r="L925" s="554"/>
      <c r="M925" s="554"/>
      <c r="N925" s="554"/>
      <c r="O925" s="554"/>
      <c r="P925" s="554"/>
      <c r="Q925" s="554"/>
      <c r="R925" s="554"/>
      <c r="S925" s="554"/>
      <c r="T925" s="554"/>
      <c r="U925" s="554"/>
      <c r="V925" s="554"/>
      <c r="W925" s="554"/>
      <c r="X925" s="554"/>
      <c r="Y925" s="554"/>
      <c r="Z925" s="554"/>
      <c r="AA925" s="554"/>
      <c r="AB925" s="554"/>
      <c r="AC925" s="554"/>
      <c r="AD925" s="554"/>
      <c r="AE925" s="554"/>
      <c r="AF925" s="554"/>
      <c r="AG925" s="554"/>
    </row>
    <row r="926">
      <c r="A926" s="549"/>
      <c r="B926" s="554"/>
      <c r="C926" s="554"/>
      <c r="D926" s="554"/>
      <c r="E926" s="554"/>
      <c r="F926" s="561"/>
      <c r="G926" s="554"/>
      <c r="H926" s="554"/>
      <c r="I926" s="554"/>
      <c r="J926" s="554"/>
      <c r="K926" s="554"/>
      <c r="L926" s="554"/>
      <c r="M926" s="554"/>
      <c r="N926" s="554"/>
      <c r="O926" s="554"/>
      <c r="P926" s="554"/>
      <c r="Q926" s="554"/>
      <c r="R926" s="554"/>
      <c r="S926" s="554"/>
      <c r="T926" s="554"/>
      <c r="U926" s="554"/>
      <c r="V926" s="554"/>
      <c r="W926" s="554"/>
      <c r="X926" s="554"/>
      <c r="Y926" s="554"/>
      <c r="Z926" s="554"/>
      <c r="AA926" s="554"/>
      <c r="AB926" s="554"/>
      <c r="AC926" s="554"/>
      <c r="AD926" s="554"/>
      <c r="AE926" s="554"/>
      <c r="AF926" s="554"/>
      <c r="AG926" s="554"/>
    </row>
    <row r="927">
      <c r="A927" s="549"/>
      <c r="B927" s="554"/>
      <c r="C927" s="554"/>
      <c r="D927" s="554"/>
      <c r="E927" s="554"/>
      <c r="F927" s="561"/>
      <c r="G927" s="554"/>
      <c r="H927" s="554"/>
      <c r="I927" s="554"/>
      <c r="J927" s="554"/>
      <c r="K927" s="554"/>
      <c r="L927" s="554"/>
      <c r="M927" s="554"/>
      <c r="N927" s="554"/>
      <c r="O927" s="554"/>
      <c r="P927" s="554"/>
      <c r="Q927" s="554"/>
      <c r="R927" s="554"/>
      <c r="S927" s="554"/>
      <c r="T927" s="554"/>
      <c r="U927" s="554"/>
      <c r="V927" s="554"/>
      <c r="W927" s="554"/>
      <c r="X927" s="554"/>
      <c r="Y927" s="554"/>
      <c r="Z927" s="554"/>
      <c r="AA927" s="554"/>
      <c r="AB927" s="554"/>
      <c r="AC927" s="554"/>
      <c r="AD927" s="554"/>
      <c r="AE927" s="554"/>
      <c r="AF927" s="554"/>
      <c r="AG927" s="554"/>
    </row>
    <row r="928">
      <c r="A928" s="549"/>
      <c r="B928" s="554"/>
      <c r="C928" s="554"/>
      <c r="D928" s="554"/>
      <c r="E928" s="554"/>
      <c r="F928" s="561"/>
      <c r="G928" s="554"/>
      <c r="H928" s="554"/>
      <c r="I928" s="554"/>
      <c r="J928" s="554"/>
      <c r="K928" s="554"/>
      <c r="L928" s="554"/>
      <c r="M928" s="554"/>
      <c r="N928" s="554"/>
      <c r="O928" s="554"/>
      <c r="P928" s="554"/>
      <c r="Q928" s="554"/>
      <c r="R928" s="554"/>
      <c r="S928" s="554"/>
      <c r="T928" s="554"/>
      <c r="U928" s="554"/>
      <c r="V928" s="554"/>
      <c r="W928" s="554"/>
      <c r="X928" s="554"/>
      <c r="Y928" s="554"/>
      <c r="Z928" s="554"/>
      <c r="AA928" s="554"/>
      <c r="AB928" s="554"/>
      <c r="AC928" s="554"/>
      <c r="AD928" s="554"/>
      <c r="AE928" s="554"/>
      <c r="AF928" s="554"/>
      <c r="AG928" s="554"/>
    </row>
    <row r="929">
      <c r="A929" s="549"/>
      <c r="B929" s="554"/>
      <c r="C929" s="554"/>
      <c r="D929" s="554"/>
      <c r="E929" s="554"/>
      <c r="F929" s="561"/>
      <c r="G929" s="554"/>
      <c r="H929" s="554"/>
      <c r="I929" s="554"/>
      <c r="J929" s="554"/>
      <c r="K929" s="554"/>
      <c r="L929" s="554"/>
      <c r="M929" s="554"/>
      <c r="N929" s="554"/>
      <c r="O929" s="554"/>
      <c r="P929" s="554"/>
      <c r="Q929" s="554"/>
      <c r="R929" s="554"/>
      <c r="S929" s="554"/>
      <c r="T929" s="554"/>
      <c r="U929" s="554"/>
      <c r="V929" s="554"/>
      <c r="W929" s="554"/>
      <c r="X929" s="554"/>
      <c r="Y929" s="554"/>
      <c r="Z929" s="554"/>
      <c r="AA929" s="554"/>
      <c r="AB929" s="554"/>
      <c r="AC929" s="554"/>
      <c r="AD929" s="554"/>
      <c r="AE929" s="554"/>
      <c r="AF929" s="554"/>
      <c r="AG929" s="554"/>
    </row>
    <row r="930">
      <c r="A930" s="549"/>
      <c r="B930" s="554"/>
      <c r="C930" s="554"/>
      <c r="D930" s="554"/>
      <c r="E930" s="554"/>
      <c r="F930" s="561"/>
      <c r="G930" s="554"/>
      <c r="H930" s="554"/>
      <c r="I930" s="554"/>
      <c r="J930" s="554"/>
      <c r="K930" s="554"/>
      <c r="L930" s="554"/>
      <c r="M930" s="554"/>
      <c r="N930" s="554"/>
      <c r="O930" s="554"/>
      <c r="P930" s="554"/>
      <c r="Q930" s="554"/>
      <c r="R930" s="554"/>
      <c r="S930" s="554"/>
      <c r="T930" s="554"/>
      <c r="U930" s="554"/>
      <c r="V930" s="554"/>
      <c r="W930" s="554"/>
      <c r="X930" s="554"/>
      <c r="Y930" s="554"/>
      <c r="Z930" s="554"/>
      <c r="AA930" s="554"/>
      <c r="AB930" s="554"/>
      <c r="AC930" s="554"/>
      <c r="AD930" s="554"/>
      <c r="AE930" s="554"/>
      <c r="AF930" s="554"/>
      <c r="AG930" s="554"/>
    </row>
    <row r="931">
      <c r="A931" s="549"/>
      <c r="B931" s="554"/>
      <c r="C931" s="554"/>
      <c r="D931" s="554"/>
      <c r="E931" s="554"/>
      <c r="F931" s="561"/>
      <c r="G931" s="554"/>
      <c r="H931" s="554"/>
      <c r="I931" s="554"/>
      <c r="J931" s="554"/>
      <c r="K931" s="554"/>
      <c r="L931" s="554"/>
      <c r="M931" s="554"/>
      <c r="N931" s="554"/>
      <c r="O931" s="554"/>
      <c r="P931" s="554"/>
      <c r="Q931" s="554"/>
      <c r="R931" s="554"/>
      <c r="S931" s="554"/>
      <c r="T931" s="554"/>
      <c r="U931" s="554"/>
      <c r="V931" s="554"/>
      <c r="W931" s="554"/>
      <c r="X931" s="554"/>
      <c r="Y931" s="554"/>
      <c r="Z931" s="554"/>
      <c r="AA931" s="554"/>
      <c r="AB931" s="554"/>
      <c r="AC931" s="554"/>
      <c r="AD931" s="554"/>
      <c r="AE931" s="554"/>
      <c r="AF931" s="554"/>
      <c r="AG931" s="554"/>
    </row>
    <row r="932">
      <c r="A932" s="549"/>
      <c r="B932" s="554"/>
      <c r="C932" s="554"/>
      <c r="D932" s="554"/>
      <c r="E932" s="554"/>
      <c r="F932" s="561"/>
      <c r="G932" s="554"/>
      <c r="H932" s="554"/>
      <c r="I932" s="554"/>
      <c r="J932" s="554"/>
      <c r="K932" s="554"/>
      <c r="L932" s="554"/>
      <c r="M932" s="554"/>
      <c r="N932" s="554"/>
      <c r="O932" s="554"/>
      <c r="P932" s="554"/>
      <c r="Q932" s="554"/>
      <c r="R932" s="554"/>
      <c r="S932" s="554"/>
      <c r="T932" s="554"/>
      <c r="U932" s="554"/>
      <c r="V932" s="554"/>
      <c r="W932" s="554"/>
      <c r="X932" s="554"/>
      <c r="Y932" s="554"/>
      <c r="Z932" s="554"/>
      <c r="AA932" s="554"/>
      <c r="AB932" s="554"/>
      <c r="AC932" s="554"/>
      <c r="AD932" s="554"/>
      <c r="AE932" s="554"/>
      <c r="AF932" s="554"/>
      <c r="AG932" s="554"/>
    </row>
    <row r="933">
      <c r="A933" s="549"/>
      <c r="B933" s="554"/>
      <c r="C933" s="554"/>
      <c r="D933" s="554"/>
      <c r="E933" s="554"/>
      <c r="F933" s="561"/>
      <c r="G933" s="554"/>
      <c r="H933" s="554"/>
      <c r="I933" s="554"/>
      <c r="J933" s="554"/>
      <c r="K933" s="554"/>
      <c r="L933" s="554"/>
      <c r="M933" s="554"/>
      <c r="N933" s="554"/>
      <c r="O933" s="554"/>
      <c r="P933" s="554"/>
      <c r="Q933" s="554"/>
      <c r="R933" s="554"/>
      <c r="S933" s="554"/>
      <c r="T933" s="554"/>
      <c r="U933" s="554"/>
      <c r="V933" s="554"/>
      <c r="W933" s="554"/>
      <c r="X933" s="554"/>
      <c r="Y933" s="554"/>
      <c r="Z933" s="554"/>
      <c r="AA933" s="554"/>
      <c r="AB933" s="554"/>
      <c r="AC933" s="554"/>
      <c r="AD933" s="554"/>
      <c r="AE933" s="554"/>
      <c r="AF933" s="554"/>
      <c r="AG933" s="554"/>
    </row>
    <row r="934">
      <c r="A934" s="549"/>
      <c r="B934" s="554"/>
      <c r="C934" s="554"/>
      <c r="D934" s="554"/>
      <c r="E934" s="554"/>
      <c r="F934" s="561"/>
      <c r="G934" s="554"/>
      <c r="H934" s="554"/>
      <c r="I934" s="554"/>
      <c r="J934" s="554"/>
      <c r="K934" s="554"/>
      <c r="L934" s="554"/>
      <c r="M934" s="554"/>
      <c r="N934" s="554"/>
      <c r="O934" s="554"/>
      <c r="P934" s="554"/>
      <c r="Q934" s="554"/>
      <c r="R934" s="554"/>
      <c r="S934" s="554"/>
      <c r="T934" s="554"/>
      <c r="U934" s="554"/>
      <c r="V934" s="554"/>
      <c r="W934" s="554"/>
      <c r="X934" s="554"/>
      <c r="Y934" s="554"/>
      <c r="Z934" s="554"/>
      <c r="AA934" s="554"/>
      <c r="AB934" s="554"/>
      <c r="AC934" s="554"/>
      <c r="AD934" s="554"/>
      <c r="AE934" s="554"/>
      <c r="AF934" s="554"/>
      <c r="AG934" s="554"/>
    </row>
    <row r="935">
      <c r="A935" s="549"/>
      <c r="B935" s="554"/>
      <c r="C935" s="554"/>
      <c r="D935" s="554"/>
      <c r="E935" s="554"/>
      <c r="F935" s="561"/>
      <c r="G935" s="554"/>
      <c r="H935" s="554"/>
      <c r="I935" s="554"/>
      <c r="J935" s="554"/>
      <c r="K935" s="554"/>
      <c r="L935" s="554"/>
      <c r="M935" s="554"/>
      <c r="N935" s="554"/>
      <c r="O935" s="554"/>
      <c r="P935" s="554"/>
      <c r="Q935" s="554"/>
      <c r="R935" s="554"/>
      <c r="S935" s="554"/>
      <c r="T935" s="554"/>
      <c r="U935" s="554"/>
      <c r="V935" s="554"/>
      <c r="W935" s="554"/>
      <c r="X935" s="554"/>
      <c r="Y935" s="554"/>
      <c r="Z935" s="554"/>
      <c r="AA935" s="554"/>
      <c r="AB935" s="554"/>
      <c r="AC935" s="554"/>
      <c r="AD935" s="554"/>
      <c r="AE935" s="554"/>
      <c r="AF935" s="554"/>
      <c r="AG935" s="554"/>
    </row>
    <row r="936">
      <c r="A936" s="549"/>
      <c r="B936" s="554"/>
      <c r="C936" s="554"/>
      <c r="D936" s="554"/>
      <c r="E936" s="554"/>
      <c r="F936" s="561"/>
      <c r="G936" s="554"/>
      <c r="H936" s="554"/>
      <c r="I936" s="554"/>
      <c r="J936" s="554"/>
      <c r="K936" s="554"/>
      <c r="L936" s="554"/>
      <c r="M936" s="554"/>
      <c r="N936" s="554"/>
      <c r="O936" s="554"/>
      <c r="P936" s="554"/>
      <c r="Q936" s="554"/>
      <c r="R936" s="554"/>
      <c r="S936" s="554"/>
      <c r="T936" s="554"/>
      <c r="U936" s="554"/>
      <c r="V936" s="554"/>
      <c r="W936" s="554"/>
      <c r="X936" s="554"/>
      <c r="Y936" s="554"/>
      <c r="Z936" s="554"/>
      <c r="AA936" s="554"/>
      <c r="AB936" s="554"/>
      <c r="AC936" s="554"/>
      <c r="AD936" s="554"/>
      <c r="AE936" s="554"/>
      <c r="AF936" s="554"/>
      <c r="AG936" s="554"/>
    </row>
    <row r="937">
      <c r="A937" s="549"/>
      <c r="B937" s="554"/>
      <c r="C937" s="554"/>
      <c r="D937" s="554"/>
      <c r="E937" s="554"/>
      <c r="F937" s="561"/>
      <c r="G937" s="554"/>
      <c r="H937" s="554"/>
      <c r="I937" s="554"/>
      <c r="J937" s="554"/>
      <c r="K937" s="554"/>
      <c r="L937" s="554"/>
      <c r="M937" s="554"/>
      <c r="N937" s="554"/>
      <c r="O937" s="554"/>
      <c r="P937" s="554"/>
      <c r="Q937" s="554"/>
      <c r="R937" s="554"/>
      <c r="S937" s="554"/>
      <c r="T937" s="554"/>
      <c r="U937" s="554"/>
      <c r="V937" s="554"/>
      <c r="W937" s="554"/>
      <c r="X937" s="554"/>
      <c r="Y937" s="554"/>
      <c r="Z937" s="554"/>
      <c r="AA937" s="554"/>
      <c r="AB937" s="554"/>
      <c r="AC937" s="554"/>
      <c r="AD937" s="554"/>
      <c r="AE937" s="554"/>
      <c r="AF937" s="554"/>
      <c r="AG937" s="554"/>
    </row>
    <row r="938">
      <c r="A938" s="549"/>
      <c r="B938" s="554"/>
      <c r="C938" s="554"/>
      <c r="D938" s="554"/>
      <c r="E938" s="554"/>
      <c r="F938" s="561"/>
      <c r="G938" s="554"/>
      <c r="H938" s="554"/>
      <c r="I938" s="554"/>
      <c r="J938" s="554"/>
      <c r="K938" s="554"/>
      <c r="L938" s="554"/>
      <c r="M938" s="554"/>
      <c r="N938" s="554"/>
      <c r="O938" s="554"/>
      <c r="P938" s="554"/>
      <c r="Q938" s="554"/>
      <c r="R938" s="554"/>
      <c r="S938" s="554"/>
      <c r="T938" s="554"/>
      <c r="U938" s="554"/>
      <c r="V938" s="554"/>
      <c r="W938" s="554"/>
      <c r="X938" s="554"/>
      <c r="Y938" s="554"/>
      <c r="Z938" s="554"/>
      <c r="AA938" s="554"/>
      <c r="AB938" s="554"/>
      <c r="AC938" s="554"/>
      <c r="AD938" s="554"/>
      <c r="AE938" s="554"/>
      <c r="AF938" s="554"/>
      <c r="AG938" s="554"/>
    </row>
    <row r="939">
      <c r="A939" s="549"/>
      <c r="B939" s="554"/>
      <c r="C939" s="554"/>
      <c r="D939" s="554"/>
      <c r="E939" s="554"/>
      <c r="F939" s="561"/>
      <c r="G939" s="554"/>
      <c r="H939" s="554"/>
      <c r="I939" s="554"/>
      <c r="J939" s="554"/>
      <c r="K939" s="554"/>
      <c r="L939" s="554"/>
      <c r="M939" s="554"/>
      <c r="N939" s="554"/>
      <c r="O939" s="554"/>
      <c r="P939" s="554"/>
      <c r="Q939" s="554"/>
      <c r="R939" s="554"/>
      <c r="S939" s="554"/>
      <c r="T939" s="554"/>
      <c r="U939" s="554"/>
      <c r="V939" s="554"/>
      <c r="W939" s="554"/>
      <c r="X939" s="554"/>
      <c r="Y939" s="554"/>
      <c r="Z939" s="554"/>
      <c r="AA939" s="554"/>
      <c r="AB939" s="554"/>
      <c r="AC939" s="554"/>
      <c r="AD939" s="554"/>
      <c r="AE939" s="554"/>
      <c r="AF939" s="554"/>
      <c r="AG939" s="554"/>
    </row>
    <row r="940">
      <c r="A940" s="549"/>
      <c r="B940" s="554"/>
      <c r="C940" s="554"/>
      <c r="D940" s="554"/>
      <c r="E940" s="554"/>
      <c r="F940" s="561"/>
      <c r="G940" s="554"/>
      <c r="H940" s="554"/>
      <c r="I940" s="554"/>
      <c r="J940" s="554"/>
      <c r="K940" s="554"/>
      <c r="L940" s="554"/>
      <c r="M940" s="554"/>
      <c r="N940" s="554"/>
      <c r="O940" s="554"/>
      <c r="P940" s="554"/>
      <c r="Q940" s="554"/>
      <c r="R940" s="554"/>
      <c r="S940" s="554"/>
      <c r="T940" s="554"/>
      <c r="U940" s="554"/>
      <c r="V940" s="554"/>
      <c r="W940" s="554"/>
      <c r="X940" s="554"/>
      <c r="Y940" s="554"/>
      <c r="Z940" s="554"/>
      <c r="AA940" s="554"/>
      <c r="AB940" s="554"/>
      <c r="AC940" s="554"/>
      <c r="AD940" s="554"/>
      <c r="AE940" s="554"/>
      <c r="AF940" s="554"/>
      <c r="AG940" s="554"/>
    </row>
    <row r="941">
      <c r="A941" s="549"/>
      <c r="B941" s="554"/>
      <c r="C941" s="554"/>
      <c r="D941" s="554"/>
      <c r="E941" s="554"/>
      <c r="F941" s="561"/>
      <c r="G941" s="554"/>
      <c r="H941" s="554"/>
      <c r="I941" s="554"/>
      <c r="J941" s="554"/>
      <c r="K941" s="554"/>
      <c r="L941" s="554"/>
      <c r="M941" s="554"/>
      <c r="N941" s="554"/>
      <c r="O941" s="554"/>
      <c r="P941" s="554"/>
      <c r="Q941" s="554"/>
      <c r="R941" s="554"/>
      <c r="S941" s="554"/>
      <c r="T941" s="554"/>
      <c r="U941" s="554"/>
      <c r="V941" s="554"/>
      <c r="W941" s="554"/>
      <c r="X941" s="554"/>
      <c r="Y941" s="554"/>
      <c r="Z941" s="554"/>
      <c r="AA941" s="554"/>
      <c r="AB941" s="554"/>
      <c r="AC941" s="554"/>
      <c r="AD941" s="554"/>
      <c r="AE941" s="554"/>
      <c r="AF941" s="554"/>
      <c r="AG941" s="554"/>
    </row>
    <row r="942">
      <c r="A942" s="549"/>
      <c r="B942" s="554"/>
      <c r="C942" s="554"/>
      <c r="D942" s="554"/>
      <c r="E942" s="554"/>
      <c r="F942" s="561"/>
      <c r="G942" s="554"/>
      <c r="H942" s="554"/>
      <c r="I942" s="554"/>
      <c r="J942" s="554"/>
      <c r="K942" s="554"/>
      <c r="L942" s="554"/>
      <c r="M942" s="554"/>
      <c r="N942" s="554"/>
      <c r="O942" s="554"/>
      <c r="P942" s="554"/>
      <c r="Q942" s="554"/>
      <c r="R942" s="554"/>
      <c r="S942" s="554"/>
      <c r="T942" s="554"/>
      <c r="U942" s="554"/>
      <c r="V942" s="554"/>
      <c r="W942" s="554"/>
      <c r="X942" s="554"/>
      <c r="Y942" s="554"/>
      <c r="Z942" s="554"/>
      <c r="AA942" s="554"/>
      <c r="AB942" s="554"/>
      <c r="AC942" s="554"/>
      <c r="AD942" s="554"/>
      <c r="AE942" s="554"/>
      <c r="AF942" s="554"/>
      <c r="AG942" s="554"/>
    </row>
    <row r="943">
      <c r="A943" s="549"/>
      <c r="B943" s="554"/>
      <c r="C943" s="554"/>
      <c r="D943" s="554"/>
      <c r="E943" s="554"/>
      <c r="F943" s="561"/>
      <c r="G943" s="554"/>
      <c r="H943" s="554"/>
      <c r="I943" s="554"/>
      <c r="J943" s="554"/>
      <c r="K943" s="554"/>
      <c r="L943" s="554"/>
      <c r="M943" s="554"/>
      <c r="N943" s="554"/>
      <c r="O943" s="554"/>
      <c r="P943" s="554"/>
      <c r="Q943" s="554"/>
      <c r="R943" s="554"/>
      <c r="S943" s="554"/>
      <c r="T943" s="554"/>
      <c r="U943" s="554"/>
      <c r="V943" s="554"/>
      <c r="W943" s="554"/>
      <c r="X943" s="554"/>
      <c r="Y943" s="554"/>
      <c r="Z943" s="554"/>
      <c r="AA943" s="554"/>
      <c r="AB943" s="554"/>
      <c r="AC943" s="554"/>
      <c r="AD943" s="554"/>
      <c r="AE943" s="554"/>
      <c r="AF943" s="554"/>
      <c r="AG943" s="554"/>
    </row>
    <row r="944">
      <c r="A944" s="549"/>
      <c r="B944" s="554"/>
      <c r="C944" s="554"/>
      <c r="D944" s="554"/>
      <c r="E944" s="554"/>
      <c r="F944" s="561"/>
      <c r="G944" s="554"/>
      <c r="H944" s="554"/>
      <c r="I944" s="554"/>
      <c r="J944" s="554"/>
      <c r="K944" s="554"/>
      <c r="L944" s="554"/>
      <c r="M944" s="554"/>
      <c r="N944" s="554"/>
      <c r="O944" s="554"/>
      <c r="P944" s="554"/>
      <c r="Q944" s="554"/>
      <c r="R944" s="554"/>
      <c r="S944" s="554"/>
      <c r="T944" s="554"/>
      <c r="U944" s="554"/>
      <c r="V944" s="554"/>
      <c r="W944" s="554"/>
      <c r="X944" s="554"/>
      <c r="Y944" s="554"/>
      <c r="Z944" s="554"/>
      <c r="AA944" s="554"/>
      <c r="AB944" s="554"/>
      <c r="AC944" s="554"/>
      <c r="AD944" s="554"/>
      <c r="AE944" s="554"/>
      <c r="AF944" s="554"/>
      <c r="AG944" s="554"/>
    </row>
    <row r="945">
      <c r="A945" s="549"/>
      <c r="B945" s="554"/>
      <c r="C945" s="554"/>
      <c r="D945" s="554"/>
      <c r="E945" s="554"/>
      <c r="F945" s="561"/>
      <c r="G945" s="554"/>
      <c r="H945" s="554"/>
      <c r="I945" s="554"/>
      <c r="J945" s="554"/>
      <c r="K945" s="554"/>
      <c r="L945" s="554"/>
      <c r="M945" s="554"/>
      <c r="N945" s="554"/>
      <c r="O945" s="554"/>
      <c r="P945" s="554"/>
      <c r="Q945" s="554"/>
      <c r="R945" s="554"/>
      <c r="S945" s="554"/>
      <c r="T945" s="554"/>
      <c r="U945" s="554"/>
      <c r="V945" s="554"/>
      <c r="W945" s="554"/>
      <c r="X945" s="554"/>
      <c r="Y945" s="554"/>
      <c r="Z945" s="554"/>
      <c r="AA945" s="554"/>
      <c r="AB945" s="554"/>
      <c r="AC945" s="554"/>
      <c r="AD945" s="554"/>
      <c r="AE945" s="554"/>
      <c r="AF945" s="554"/>
      <c r="AG945" s="554"/>
    </row>
    <row r="946">
      <c r="A946" s="549"/>
      <c r="B946" s="554"/>
      <c r="C946" s="554"/>
      <c r="D946" s="554"/>
      <c r="E946" s="554"/>
      <c r="F946" s="561"/>
      <c r="G946" s="554"/>
      <c r="H946" s="554"/>
      <c r="I946" s="554"/>
      <c r="J946" s="554"/>
      <c r="K946" s="554"/>
      <c r="L946" s="554"/>
      <c r="M946" s="554"/>
      <c r="N946" s="554"/>
      <c r="O946" s="554"/>
      <c r="P946" s="554"/>
      <c r="Q946" s="554"/>
      <c r="R946" s="554"/>
      <c r="S946" s="554"/>
      <c r="T946" s="554"/>
      <c r="U946" s="554"/>
      <c r="V946" s="554"/>
      <c r="W946" s="554"/>
      <c r="X946" s="554"/>
      <c r="Y946" s="554"/>
      <c r="Z946" s="554"/>
      <c r="AA946" s="554"/>
      <c r="AB946" s="554"/>
      <c r="AC946" s="554"/>
      <c r="AD946" s="554"/>
      <c r="AE946" s="554"/>
      <c r="AF946" s="554"/>
      <c r="AG946" s="554"/>
    </row>
    <row r="947">
      <c r="A947" s="549"/>
      <c r="B947" s="554"/>
      <c r="C947" s="554"/>
      <c r="D947" s="554"/>
      <c r="E947" s="554"/>
      <c r="F947" s="561"/>
      <c r="G947" s="554"/>
      <c r="H947" s="554"/>
      <c r="I947" s="554"/>
      <c r="J947" s="554"/>
      <c r="K947" s="554"/>
      <c r="L947" s="554"/>
      <c r="M947" s="554"/>
      <c r="N947" s="554"/>
      <c r="O947" s="554"/>
      <c r="P947" s="554"/>
      <c r="Q947" s="554"/>
      <c r="R947" s="554"/>
      <c r="S947" s="554"/>
      <c r="T947" s="554"/>
      <c r="U947" s="554"/>
      <c r="V947" s="554"/>
      <c r="W947" s="554"/>
      <c r="X947" s="554"/>
      <c r="Y947" s="554"/>
      <c r="Z947" s="554"/>
      <c r="AA947" s="554"/>
      <c r="AB947" s="554"/>
      <c r="AC947" s="554"/>
      <c r="AD947" s="554"/>
      <c r="AE947" s="554"/>
      <c r="AF947" s="554"/>
      <c r="AG947" s="554"/>
    </row>
    <row r="948">
      <c r="A948" s="549"/>
      <c r="B948" s="554"/>
      <c r="C948" s="554"/>
      <c r="D948" s="554"/>
      <c r="E948" s="554"/>
      <c r="F948" s="561"/>
      <c r="G948" s="554"/>
      <c r="H948" s="554"/>
      <c r="I948" s="554"/>
      <c r="J948" s="554"/>
      <c r="K948" s="554"/>
      <c r="L948" s="554"/>
      <c r="M948" s="554"/>
      <c r="N948" s="554"/>
      <c r="O948" s="554"/>
      <c r="P948" s="554"/>
      <c r="Q948" s="554"/>
      <c r="R948" s="554"/>
      <c r="S948" s="554"/>
      <c r="T948" s="554"/>
      <c r="U948" s="554"/>
      <c r="V948" s="554"/>
      <c r="W948" s="554"/>
      <c r="X948" s="554"/>
      <c r="Y948" s="554"/>
      <c r="Z948" s="554"/>
      <c r="AA948" s="554"/>
      <c r="AB948" s="554"/>
      <c r="AC948" s="554"/>
      <c r="AD948" s="554"/>
      <c r="AE948" s="554"/>
      <c r="AF948" s="554"/>
      <c r="AG948" s="554"/>
    </row>
    <row r="949">
      <c r="A949" s="549"/>
      <c r="B949" s="554"/>
      <c r="C949" s="554"/>
      <c r="D949" s="554"/>
      <c r="E949" s="554"/>
      <c r="F949" s="561"/>
      <c r="G949" s="554"/>
      <c r="H949" s="554"/>
      <c r="I949" s="554"/>
      <c r="J949" s="554"/>
      <c r="K949" s="554"/>
      <c r="L949" s="554"/>
      <c r="M949" s="554"/>
      <c r="N949" s="554"/>
      <c r="O949" s="554"/>
      <c r="P949" s="554"/>
      <c r="Q949" s="554"/>
      <c r="R949" s="554"/>
      <c r="S949" s="554"/>
      <c r="T949" s="554"/>
      <c r="U949" s="554"/>
      <c r="V949" s="554"/>
      <c r="W949" s="554"/>
      <c r="X949" s="554"/>
      <c r="Y949" s="554"/>
      <c r="Z949" s="554"/>
      <c r="AA949" s="554"/>
      <c r="AB949" s="554"/>
      <c r="AC949" s="554"/>
      <c r="AD949" s="554"/>
      <c r="AE949" s="554"/>
      <c r="AF949" s="554"/>
      <c r="AG949" s="554"/>
    </row>
    <row r="950">
      <c r="A950" s="549"/>
      <c r="B950" s="554"/>
      <c r="C950" s="554"/>
      <c r="D950" s="554"/>
      <c r="E950" s="554"/>
      <c r="F950" s="561"/>
      <c r="G950" s="554"/>
      <c r="H950" s="554"/>
      <c r="I950" s="554"/>
      <c r="J950" s="554"/>
      <c r="K950" s="554"/>
      <c r="L950" s="554"/>
      <c r="M950" s="554"/>
      <c r="N950" s="554"/>
      <c r="O950" s="554"/>
      <c r="P950" s="554"/>
      <c r="Q950" s="554"/>
      <c r="R950" s="554"/>
      <c r="S950" s="554"/>
      <c r="T950" s="554"/>
      <c r="U950" s="554"/>
      <c r="V950" s="554"/>
      <c r="W950" s="554"/>
      <c r="X950" s="554"/>
      <c r="Y950" s="554"/>
      <c r="Z950" s="554"/>
      <c r="AA950" s="554"/>
      <c r="AB950" s="554"/>
      <c r="AC950" s="554"/>
      <c r="AD950" s="554"/>
      <c r="AE950" s="554"/>
      <c r="AF950" s="554"/>
      <c r="AG950" s="554"/>
    </row>
    <row r="951">
      <c r="A951" s="549"/>
      <c r="B951" s="554"/>
      <c r="C951" s="554"/>
      <c r="D951" s="554"/>
      <c r="E951" s="554"/>
      <c r="F951" s="561"/>
      <c r="G951" s="554"/>
      <c r="H951" s="554"/>
      <c r="I951" s="554"/>
      <c r="J951" s="554"/>
      <c r="K951" s="554"/>
      <c r="L951" s="554"/>
      <c r="M951" s="554"/>
      <c r="N951" s="554"/>
      <c r="O951" s="554"/>
      <c r="P951" s="554"/>
      <c r="Q951" s="554"/>
      <c r="R951" s="554"/>
      <c r="S951" s="554"/>
      <c r="T951" s="554"/>
      <c r="U951" s="554"/>
      <c r="V951" s="554"/>
      <c r="W951" s="554"/>
      <c r="X951" s="554"/>
      <c r="Y951" s="554"/>
      <c r="Z951" s="554"/>
      <c r="AA951" s="554"/>
      <c r="AB951" s="554"/>
      <c r="AC951" s="554"/>
      <c r="AD951" s="554"/>
      <c r="AE951" s="554"/>
      <c r="AF951" s="554"/>
      <c r="AG951" s="554"/>
    </row>
    <row r="952">
      <c r="A952" s="549"/>
      <c r="B952" s="554"/>
      <c r="C952" s="554"/>
      <c r="D952" s="554"/>
      <c r="E952" s="554"/>
      <c r="F952" s="561"/>
      <c r="G952" s="554"/>
      <c r="H952" s="554"/>
      <c r="I952" s="554"/>
      <c r="J952" s="554"/>
      <c r="K952" s="554"/>
      <c r="L952" s="554"/>
      <c r="M952" s="554"/>
      <c r="N952" s="554"/>
      <c r="O952" s="554"/>
      <c r="P952" s="554"/>
      <c r="Q952" s="554"/>
      <c r="R952" s="554"/>
      <c r="S952" s="554"/>
      <c r="T952" s="554"/>
      <c r="U952" s="554"/>
      <c r="V952" s="554"/>
      <c r="W952" s="554"/>
      <c r="X952" s="554"/>
      <c r="Y952" s="554"/>
      <c r="Z952" s="554"/>
      <c r="AA952" s="554"/>
      <c r="AB952" s="554"/>
      <c r="AC952" s="554"/>
      <c r="AD952" s="554"/>
      <c r="AE952" s="554"/>
      <c r="AF952" s="554"/>
      <c r="AG952" s="554"/>
    </row>
    <row r="953">
      <c r="A953" s="549"/>
      <c r="B953" s="554"/>
      <c r="C953" s="554"/>
      <c r="D953" s="554"/>
      <c r="E953" s="554"/>
      <c r="F953" s="561"/>
      <c r="G953" s="554"/>
      <c r="H953" s="554"/>
      <c r="I953" s="554"/>
      <c r="J953" s="554"/>
      <c r="K953" s="554"/>
      <c r="L953" s="554"/>
      <c r="M953" s="554"/>
      <c r="N953" s="554"/>
      <c r="O953" s="554"/>
      <c r="P953" s="554"/>
      <c r="Q953" s="554"/>
      <c r="R953" s="554"/>
      <c r="S953" s="554"/>
      <c r="T953" s="554"/>
      <c r="U953" s="554"/>
      <c r="V953" s="554"/>
      <c r="W953" s="554"/>
      <c r="X953" s="554"/>
      <c r="Y953" s="554"/>
      <c r="Z953" s="554"/>
      <c r="AA953" s="554"/>
      <c r="AB953" s="554"/>
      <c r="AC953" s="554"/>
      <c r="AD953" s="554"/>
      <c r="AE953" s="554"/>
      <c r="AF953" s="554"/>
      <c r="AG953" s="554"/>
    </row>
    <row r="954">
      <c r="A954" s="549"/>
      <c r="B954" s="554"/>
      <c r="C954" s="554"/>
      <c r="D954" s="554"/>
      <c r="E954" s="554"/>
      <c r="F954" s="561"/>
      <c r="G954" s="554"/>
      <c r="H954" s="554"/>
      <c r="I954" s="554"/>
      <c r="J954" s="554"/>
      <c r="K954" s="554"/>
      <c r="L954" s="554"/>
      <c r="M954" s="554"/>
      <c r="N954" s="554"/>
      <c r="O954" s="554"/>
      <c r="P954" s="554"/>
      <c r="Q954" s="554"/>
      <c r="R954" s="554"/>
      <c r="S954" s="554"/>
      <c r="T954" s="554"/>
      <c r="U954" s="554"/>
      <c r="V954" s="554"/>
      <c r="W954" s="554"/>
      <c r="X954" s="554"/>
      <c r="Y954" s="554"/>
      <c r="Z954" s="554"/>
      <c r="AA954" s="554"/>
      <c r="AB954" s="554"/>
      <c r="AC954" s="554"/>
      <c r="AD954" s="554"/>
      <c r="AE954" s="554"/>
      <c r="AF954" s="554"/>
      <c r="AG954" s="554"/>
    </row>
    <row r="955">
      <c r="A955" s="549"/>
      <c r="B955" s="554"/>
      <c r="C955" s="554"/>
      <c r="D955" s="554"/>
      <c r="E955" s="554"/>
      <c r="F955" s="561"/>
      <c r="G955" s="554"/>
      <c r="H955" s="554"/>
      <c r="I955" s="554"/>
      <c r="J955" s="554"/>
      <c r="K955" s="554"/>
      <c r="L955" s="554"/>
      <c r="M955" s="554"/>
      <c r="N955" s="554"/>
      <c r="O955" s="554"/>
      <c r="P955" s="554"/>
      <c r="Q955" s="554"/>
      <c r="R955" s="554"/>
      <c r="S955" s="554"/>
      <c r="T955" s="554"/>
      <c r="U955" s="554"/>
      <c r="V955" s="554"/>
      <c r="W955" s="554"/>
      <c r="X955" s="554"/>
      <c r="Y955" s="554"/>
      <c r="Z955" s="554"/>
      <c r="AA955" s="554"/>
      <c r="AB955" s="554"/>
      <c r="AC955" s="554"/>
      <c r="AD955" s="554"/>
      <c r="AE955" s="554"/>
      <c r="AF955" s="554"/>
      <c r="AG955" s="554"/>
    </row>
    <row r="956">
      <c r="A956" s="549"/>
      <c r="B956" s="554"/>
      <c r="C956" s="554"/>
      <c r="D956" s="554"/>
      <c r="E956" s="554"/>
      <c r="F956" s="561"/>
      <c r="G956" s="554"/>
      <c r="H956" s="554"/>
      <c r="I956" s="554"/>
      <c r="J956" s="554"/>
      <c r="K956" s="554"/>
      <c r="L956" s="554"/>
      <c r="M956" s="554"/>
      <c r="N956" s="554"/>
      <c r="O956" s="554"/>
      <c r="P956" s="554"/>
      <c r="Q956" s="554"/>
      <c r="R956" s="554"/>
      <c r="S956" s="554"/>
      <c r="T956" s="554"/>
      <c r="U956" s="554"/>
      <c r="V956" s="554"/>
      <c r="W956" s="554"/>
      <c r="X956" s="554"/>
      <c r="Y956" s="554"/>
      <c r="Z956" s="554"/>
      <c r="AA956" s="554"/>
      <c r="AB956" s="554"/>
      <c r="AC956" s="554"/>
      <c r="AD956" s="554"/>
      <c r="AE956" s="554"/>
      <c r="AF956" s="554"/>
      <c r="AG956" s="554"/>
    </row>
    <row r="957">
      <c r="A957" s="549"/>
      <c r="B957" s="554"/>
      <c r="C957" s="554"/>
      <c r="D957" s="554"/>
      <c r="E957" s="554"/>
      <c r="F957" s="561"/>
      <c r="G957" s="554"/>
      <c r="H957" s="554"/>
      <c r="I957" s="554"/>
      <c r="J957" s="554"/>
      <c r="K957" s="554"/>
      <c r="L957" s="554"/>
      <c r="M957" s="554"/>
      <c r="N957" s="554"/>
      <c r="O957" s="554"/>
      <c r="P957" s="554"/>
      <c r="Q957" s="554"/>
      <c r="R957" s="554"/>
      <c r="S957" s="554"/>
      <c r="T957" s="554"/>
      <c r="U957" s="554"/>
      <c r="V957" s="554"/>
      <c r="W957" s="554"/>
      <c r="X957" s="554"/>
      <c r="Y957" s="554"/>
      <c r="Z957" s="554"/>
      <c r="AA957" s="554"/>
      <c r="AB957" s="554"/>
      <c r="AC957" s="554"/>
      <c r="AD957" s="554"/>
      <c r="AE957" s="554"/>
      <c r="AF957" s="554"/>
      <c r="AG957" s="554"/>
    </row>
    <row r="958">
      <c r="A958" s="549"/>
      <c r="B958" s="554"/>
      <c r="C958" s="554"/>
      <c r="D958" s="554"/>
      <c r="E958" s="554"/>
      <c r="F958" s="561"/>
      <c r="G958" s="554"/>
      <c r="H958" s="554"/>
      <c r="I958" s="554"/>
      <c r="J958" s="554"/>
      <c r="K958" s="554"/>
      <c r="L958" s="554"/>
      <c r="M958" s="554"/>
      <c r="N958" s="554"/>
      <c r="O958" s="554"/>
      <c r="P958" s="554"/>
      <c r="Q958" s="554"/>
      <c r="R958" s="554"/>
      <c r="S958" s="554"/>
      <c r="T958" s="554"/>
      <c r="U958" s="554"/>
      <c r="V958" s="554"/>
      <c r="W958" s="554"/>
      <c r="X958" s="554"/>
      <c r="Y958" s="554"/>
      <c r="Z958" s="554"/>
      <c r="AA958" s="554"/>
      <c r="AB958" s="554"/>
      <c r="AC958" s="554"/>
      <c r="AD958" s="554"/>
      <c r="AE958" s="554"/>
      <c r="AF958" s="554"/>
      <c r="AG958" s="554"/>
    </row>
    <row r="959">
      <c r="A959" s="549"/>
      <c r="B959" s="554"/>
      <c r="C959" s="554"/>
      <c r="D959" s="554"/>
      <c r="E959" s="554"/>
      <c r="F959" s="561"/>
      <c r="G959" s="554"/>
      <c r="H959" s="554"/>
      <c r="I959" s="554"/>
      <c r="J959" s="554"/>
      <c r="K959" s="554"/>
      <c r="L959" s="554"/>
      <c r="M959" s="554"/>
      <c r="N959" s="554"/>
      <c r="O959" s="554"/>
      <c r="P959" s="554"/>
      <c r="Q959" s="554"/>
      <c r="R959" s="554"/>
      <c r="S959" s="554"/>
      <c r="T959" s="554"/>
      <c r="U959" s="554"/>
      <c r="V959" s="554"/>
      <c r="W959" s="554"/>
      <c r="X959" s="554"/>
      <c r="Y959" s="554"/>
      <c r="Z959" s="554"/>
      <c r="AA959" s="554"/>
      <c r="AB959" s="554"/>
      <c r="AC959" s="554"/>
      <c r="AD959" s="554"/>
      <c r="AE959" s="554"/>
      <c r="AF959" s="554"/>
      <c r="AG959" s="554"/>
    </row>
    <row r="960">
      <c r="A960" s="549"/>
      <c r="B960" s="554"/>
      <c r="C960" s="554"/>
      <c r="D960" s="554"/>
      <c r="E960" s="554"/>
      <c r="F960" s="561"/>
      <c r="G960" s="554"/>
      <c r="H960" s="554"/>
      <c r="I960" s="554"/>
      <c r="J960" s="554"/>
      <c r="K960" s="554"/>
      <c r="L960" s="554"/>
      <c r="M960" s="554"/>
      <c r="N960" s="554"/>
      <c r="O960" s="554"/>
      <c r="P960" s="554"/>
      <c r="Q960" s="554"/>
      <c r="R960" s="554"/>
      <c r="S960" s="554"/>
      <c r="T960" s="554"/>
      <c r="U960" s="554"/>
      <c r="V960" s="554"/>
      <c r="W960" s="554"/>
      <c r="X960" s="554"/>
      <c r="Y960" s="554"/>
      <c r="Z960" s="554"/>
      <c r="AA960" s="554"/>
      <c r="AB960" s="554"/>
      <c r="AC960" s="554"/>
      <c r="AD960" s="554"/>
      <c r="AE960" s="554"/>
      <c r="AF960" s="554"/>
      <c r="AG960" s="554"/>
    </row>
    <row r="961">
      <c r="A961" s="549"/>
      <c r="B961" s="554"/>
      <c r="C961" s="554"/>
      <c r="D961" s="554"/>
      <c r="E961" s="554"/>
      <c r="F961" s="561"/>
      <c r="G961" s="554"/>
      <c r="H961" s="554"/>
      <c r="I961" s="554"/>
      <c r="J961" s="554"/>
      <c r="K961" s="554"/>
      <c r="L961" s="554"/>
      <c r="M961" s="554"/>
      <c r="N961" s="554"/>
      <c r="O961" s="554"/>
      <c r="P961" s="554"/>
      <c r="Q961" s="554"/>
      <c r="R961" s="554"/>
      <c r="S961" s="554"/>
      <c r="T961" s="554"/>
      <c r="U961" s="554"/>
      <c r="V961" s="554"/>
      <c r="W961" s="554"/>
      <c r="X961" s="554"/>
      <c r="Y961" s="554"/>
      <c r="Z961" s="554"/>
      <c r="AA961" s="554"/>
      <c r="AB961" s="554"/>
      <c r="AC961" s="554"/>
      <c r="AD961" s="554"/>
      <c r="AE961" s="554"/>
      <c r="AF961" s="554"/>
      <c r="AG961" s="554"/>
    </row>
    <row r="962">
      <c r="A962" s="549"/>
      <c r="B962" s="554"/>
      <c r="C962" s="554"/>
      <c r="D962" s="554"/>
      <c r="E962" s="554"/>
      <c r="F962" s="561"/>
      <c r="G962" s="554"/>
      <c r="H962" s="554"/>
      <c r="I962" s="554"/>
      <c r="J962" s="554"/>
      <c r="K962" s="554"/>
      <c r="L962" s="554"/>
      <c r="M962" s="554"/>
      <c r="N962" s="554"/>
      <c r="O962" s="554"/>
      <c r="P962" s="554"/>
      <c r="Q962" s="554"/>
      <c r="R962" s="554"/>
      <c r="S962" s="554"/>
      <c r="T962" s="554"/>
      <c r="U962" s="554"/>
      <c r="V962" s="554"/>
      <c r="W962" s="554"/>
      <c r="X962" s="554"/>
      <c r="Y962" s="554"/>
      <c r="Z962" s="554"/>
      <c r="AA962" s="554"/>
      <c r="AB962" s="554"/>
      <c r="AC962" s="554"/>
      <c r="AD962" s="554"/>
      <c r="AE962" s="554"/>
      <c r="AF962" s="554"/>
      <c r="AG962" s="554"/>
    </row>
    <row r="963">
      <c r="A963" s="549"/>
      <c r="B963" s="554"/>
      <c r="C963" s="554"/>
      <c r="D963" s="554"/>
      <c r="E963" s="554"/>
      <c r="F963" s="561"/>
      <c r="G963" s="554"/>
      <c r="H963" s="554"/>
      <c r="I963" s="554"/>
      <c r="J963" s="554"/>
      <c r="K963" s="554"/>
      <c r="L963" s="554"/>
      <c r="M963" s="554"/>
      <c r="N963" s="554"/>
      <c r="O963" s="554"/>
      <c r="P963" s="554"/>
      <c r="Q963" s="554"/>
      <c r="R963" s="554"/>
      <c r="S963" s="554"/>
      <c r="T963" s="554"/>
      <c r="U963" s="554"/>
      <c r="V963" s="554"/>
      <c r="W963" s="554"/>
      <c r="X963" s="554"/>
      <c r="Y963" s="554"/>
      <c r="Z963" s="554"/>
      <c r="AA963" s="554"/>
      <c r="AB963" s="554"/>
      <c r="AC963" s="554"/>
      <c r="AD963" s="554"/>
      <c r="AE963" s="554"/>
      <c r="AF963" s="554"/>
      <c r="AG963" s="554"/>
    </row>
    <row r="964">
      <c r="A964" s="549"/>
      <c r="B964" s="554"/>
      <c r="C964" s="554"/>
      <c r="D964" s="554"/>
      <c r="E964" s="554"/>
      <c r="F964" s="561"/>
      <c r="G964" s="554"/>
      <c r="H964" s="554"/>
      <c r="I964" s="554"/>
      <c r="J964" s="554"/>
      <c r="K964" s="554"/>
      <c r="L964" s="554"/>
      <c r="M964" s="554"/>
      <c r="N964" s="554"/>
      <c r="O964" s="554"/>
      <c r="P964" s="554"/>
      <c r="Q964" s="554"/>
      <c r="R964" s="554"/>
      <c r="S964" s="554"/>
      <c r="T964" s="554"/>
      <c r="U964" s="554"/>
      <c r="V964" s="554"/>
      <c r="W964" s="554"/>
      <c r="X964" s="554"/>
      <c r="Y964" s="554"/>
      <c r="Z964" s="554"/>
      <c r="AA964" s="554"/>
      <c r="AB964" s="554"/>
      <c r="AC964" s="554"/>
      <c r="AD964" s="554"/>
      <c r="AE964" s="554"/>
      <c r="AF964" s="554"/>
      <c r="AG964" s="554"/>
    </row>
    <row r="965">
      <c r="A965" s="549"/>
      <c r="B965" s="554"/>
      <c r="C965" s="554"/>
      <c r="D965" s="554"/>
      <c r="E965" s="554"/>
      <c r="F965" s="561"/>
      <c r="G965" s="554"/>
      <c r="H965" s="554"/>
      <c r="I965" s="554"/>
      <c r="J965" s="554"/>
      <c r="K965" s="554"/>
      <c r="L965" s="554"/>
      <c r="M965" s="554"/>
      <c r="N965" s="554"/>
      <c r="O965" s="554"/>
      <c r="P965" s="554"/>
      <c r="Q965" s="554"/>
      <c r="R965" s="554"/>
      <c r="S965" s="554"/>
      <c r="T965" s="554"/>
      <c r="U965" s="554"/>
      <c r="V965" s="554"/>
      <c r="W965" s="554"/>
      <c r="X965" s="554"/>
      <c r="Y965" s="554"/>
      <c r="Z965" s="554"/>
      <c r="AA965" s="554"/>
      <c r="AB965" s="554"/>
      <c r="AC965" s="554"/>
      <c r="AD965" s="554"/>
      <c r="AE965" s="554"/>
      <c r="AF965" s="554"/>
      <c r="AG965" s="554"/>
    </row>
    <row r="966">
      <c r="A966" s="549"/>
      <c r="B966" s="554"/>
      <c r="C966" s="554"/>
      <c r="D966" s="554"/>
      <c r="E966" s="554"/>
      <c r="F966" s="561"/>
      <c r="G966" s="554"/>
      <c r="H966" s="554"/>
      <c r="I966" s="554"/>
      <c r="J966" s="554"/>
      <c r="K966" s="554"/>
      <c r="L966" s="554"/>
      <c r="M966" s="554"/>
      <c r="N966" s="554"/>
      <c r="O966" s="554"/>
      <c r="P966" s="554"/>
      <c r="Q966" s="554"/>
      <c r="R966" s="554"/>
      <c r="S966" s="554"/>
      <c r="T966" s="554"/>
      <c r="U966" s="554"/>
      <c r="V966" s="554"/>
      <c r="W966" s="554"/>
      <c r="X966" s="554"/>
      <c r="Y966" s="554"/>
      <c r="Z966" s="554"/>
      <c r="AA966" s="554"/>
      <c r="AB966" s="554"/>
      <c r="AC966" s="554"/>
      <c r="AD966" s="554"/>
      <c r="AE966" s="554"/>
      <c r="AF966" s="554"/>
      <c r="AG966" s="554"/>
    </row>
    <row r="967">
      <c r="A967" s="549"/>
      <c r="B967" s="554"/>
      <c r="C967" s="554"/>
      <c r="D967" s="554"/>
      <c r="E967" s="554"/>
      <c r="F967" s="561"/>
      <c r="G967" s="554"/>
      <c r="H967" s="554"/>
      <c r="I967" s="554"/>
      <c r="J967" s="554"/>
      <c r="K967" s="554"/>
      <c r="L967" s="554"/>
      <c r="M967" s="554"/>
      <c r="N967" s="554"/>
      <c r="O967" s="554"/>
      <c r="P967" s="554"/>
      <c r="Q967" s="554"/>
      <c r="R967" s="554"/>
      <c r="S967" s="554"/>
      <c r="T967" s="554"/>
      <c r="U967" s="554"/>
      <c r="V967" s="554"/>
      <c r="W967" s="554"/>
      <c r="X967" s="554"/>
      <c r="Y967" s="554"/>
      <c r="Z967" s="554"/>
      <c r="AA967" s="554"/>
      <c r="AB967" s="554"/>
      <c r="AC967" s="554"/>
      <c r="AD967" s="554"/>
      <c r="AE967" s="554"/>
      <c r="AF967" s="554"/>
      <c r="AG967" s="554"/>
    </row>
    <row r="968">
      <c r="A968" s="549"/>
      <c r="B968" s="554"/>
      <c r="C968" s="554"/>
      <c r="D968" s="554"/>
      <c r="E968" s="554"/>
      <c r="F968" s="561"/>
      <c r="G968" s="554"/>
      <c r="H968" s="554"/>
      <c r="I968" s="554"/>
      <c r="J968" s="554"/>
      <c r="K968" s="554"/>
      <c r="L968" s="554"/>
      <c r="M968" s="554"/>
      <c r="N968" s="554"/>
      <c r="O968" s="554"/>
      <c r="P968" s="554"/>
      <c r="Q968" s="554"/>
      <c r="R968" s="554"/>
      <c r="S968" s="554"/>
      <c r="T968" s="554"/>
      <c r="U968" s="554"/>
      <c r="V968" s="554"/>
      <c r="W968" s="554"/>
      <c r="X968" s="554"/>
      <c r="Y968" s="554"/>
      <c r="Z968" s="554"/>
      <c r="AA968" s="554"/>
      <c r="AB968" s="554"/>
      <c r="AC968" s="554"/>
      <c r="AD968" s="554"/>
      <c r="AE968" s="554"/>
      <c r="AF968" s="554"/>
      <c r="AG968" s="554"/>
    </row>
    <row r="969">
      <c r="A969" s="549"/>
      <c r="B969" s="554"/>
      <c r="C969" s="554"/>
      <c r="D969" s="554"/>
      <c r="E969" s="554"/>
      <c r="F969" s="561"/>
      <c r="G969" s="554"/>
      <c r="H969" s="554"/>
      <c r="I969" s="554"/>
      <c r="J969" s="554"/>
      <c r="K969" s="554"/>
      <c r="L969" s="554"/>
      <c r="M969" s="554"/>
      <c r="N969" s="554"/>
      <c r="O969" s="554"/>
      <c r="P969" s="554"/>
      <c r="Q969" s="554"/>
      <c r="R969" s="554"/>
      <c r="S969" s="554"/>
      <c r="T969" s="554"/>
      <c r="U969" s="554"/>
      <c r="V969" s="554"/>
      <c r="W969" s="554"/>
      <c r="X969" s="554"/>
      <c r="Y969" s="554"/>
      <c r="Z969" s="554"/>
      <c r="AA969" s="554"/>
      <c r="AB969" s="554"/>
      <c r="AC969" s="554"/>
      <c r="AD969" s="554"/>
      <c r="AE969" s="554"/>
      <c r="AF969" s="554"/>
      <c r="AG969" s="554"/>
    </row>
    <row r="970">
      <c r="A970" s="549"/>
      <c r="B970" s="554"/>
      <c r="C970" s="554"/>
      <c r="D970" s="554"/>
      <c r="E970" s="554"/>
      <c r="F970" s="561"/>
      <c r="G970" s="554"/>
      <c r="H970" s="554"/>
      <c r="I970" s="554"/>
      <c r="J970" s="554"/>
      <c r="K970" s="554"/>
      <c r="L970" s="554"/>
      <c r="M970" s="554"/>
      <c r="N970" s="554"/>
      <c r="O970" s="554"/>
      <c r="P970" s="554"/>
      <c r="Q970" s="554"/>
      <c r="R970" s="554"/>
      <c r="S970" s="554"/>
      <c r="T970" s="554"/>
      <c r="U970" s="554"/>
      <c r="V970" s="554"/>
      <c r="W970" s="554"/>
      <c r="X970" s="554"/>
      <c r="Y970" s="554"/>
      <c r="Z970" s="554"/>
      <c r="AA970" s="554"/>
      <c r="AB970" s="554"/>
      <c r="AC970" s="554"/>
      <c r="AD970" s="554"/>
      <c r="AE970" s="554"/>
      <c r="AF970" s="554"/>
      <c r="AG970" s="554"/>
    </row>
    <row r="971">
      <c r="A971" s="549"/>
      <c r="B971" s="554"/>
      <c r="C971" s="554"/>
      <c r="D971" s="554"/>
      <c r="E971" s="554"/>
      <c r="F971" s="561"/>
      <c r="G971" s="554"/>
      <c r="H971" s="554"/>
      <c r="I971" s="554"/>
      <c r="J971" s="554"/>
      <c r="K971" s="554"/>
      <c r="L971" s="554"/>
      <c r="M971" s="554"/>
      <c r="N971" s="554"/>
      <c r="O971" s="554"/>
      <c r="P971" s="554"/>
      <c r="Q971" s="554"/>
      <c r="R971" s="554"/>
      <c r="S971" s="554"/>
      <c r="T971" s="554"/>
      <c r="U971" s="554"/>
      <c r="V971" s="554"/>
      <c r="W971" s="554"/>
      <c r="X971" s="554"/>
      <c r="Y971" s="554"/>
      <c r="Z971" s="554"/>
      <c r="AA971" s="554"/>
      <c r="AB971" s="554"/>
      <c r="AC971" s="554"/>
      <c r="AD971" s="554"/>
      <c r="AE971" s="554"/>
      <c r="AF971" s="554"/>
      <c r="AG971" s="554"/>
    </row>
    <row r="972">
      <c r="A972" s="549"/>
      <c r="B972" s="554"/>
      <c r="C972" s="554"/>
      <c r="D972" s="554"/>
      <c r="E972" s="554"/>
      <c r="F972" s="561"/>
      <c r="G972" s="554"/>
      <c r="H972" s="554"/>
      <c r="I972" s="554"/>
      <c r="J972" s="554"/>
      <c r="K972" s="554"/>
      <c r="L972" s="554"/>
      <c r="M972" s="554"/>
      <c r="N972" s="554"/>
      <c r="O972" s="554"/>
      <c r="P972" s="554"/>
      <c r="Q972" s="554"/>
      <c r="R972" s="554"/>
      <c r="S972" s="554"/>
      <c r="T972" s="554"/>
      <c r="U972" s="554"/>
      <c r="V972" s="554"/>
      <c r="W972" s="554"/>
      <c r="X972" s="554"/>
      <c r="Y972" s="554"/>
      <c r="Z972" s="554"/>
      <c r="AA972" s="554"/>
      <c r="AB972" s="554"/>
      <c r="AC972" s="554"/>
      <c r="AD972" s="554"/>
      <c r="AE972" s="554"/>
      <c r="AF972" s="554"/>
      <c r="AG972" s="554"/>
    </row>
    <row r="973">
      <c r="A973" s="549"/>
      <c r="B973" s="554"/>
      <c r="C973" s="554"/>
      <c r="D973" s="554"/>
      <c r="E973" s="554"/>
      <c r="F973" s="561"/>
      <c r="G973" s="554"/>
      <c r="H973" s="554"/>
      <c r="I973" s="554"/>
      <c r="J973" s="554"/>
      <c r="K973" s="554"/>
      <c r="L973" s="554"/>
      <c r="M973" s="554"/>
      <c r="N973" s="554"/>
      <c r="O973" s="554"/>
      <c r="P973" s="554"/>
      <c r="Q973" s="554"/>
      <c r="R973" s="554"/>
      <c r="S973" s="554"/>
      <c r="T973" s="554"/>
      <c r="U973" s="554"/>
      <c r="V973" s="554"/>
      <c r="W973" s="554"/>
      <c r="X973" s="554"/>
      <c r="Y973" s="554"/>
      <c r="Z973" s="554"/>
      <c r="AA973" s="554"/>
      <c r="AB973" s="554"/>
      <c r="AC973" s="554"/>
      <c r="AD973" s="554"/>
      <c r="AE973" s="554"/>
      <c r="AF973" s="554"/>
      <c r="AG973" s="554"/>
    </row>
    <row r="974">
      <c r="A974" s="549"/>
      <c r="B974" s="554"/>
      <c r="C974" s="554"/>
      <c r="D974" s="554"/>
      <c r="E974" s="554"/>
      <c r="F974" s="561"/>
      <c r="G974" s="554"/>
      <c r="H974" s="554"/>
      <c r="I974" s="554"/>
      <c r="J974" s="554"/>
      <c r="K974" s="554"/>
      <c r="L974" s="554"/>
      <c r="M974" s="554"/>
      <c r="N974" s="554"/>
      <c r="O974" s="554"/>
      <c r="P974" s="554"/>
      <c r="Q974" s="554"/>
      <c r="R974" s="554"/>
      <c r="S974" s="554"/>
      <c r="T974" s="554"/>
      <c r="U974" s="554"/>
      <c r="V974" s="554"/>
      <c r="W974" s="554"/>
      <c r="X974" s="554"/>
      <c r="Y974" s="554"/>
      <c r="Z974" s="554"/>
      <c r="AA974" s="554"/>
      <c r="AB974" s="554"/>
      <c r="AC974" s="554"/>
      <c r="AD974" s="554"/>
      <c r="AE974" s="554"/>
      <c r="AF974" s="554"/>
      <c r="AG974" s="554"/>
    </row>
    <row r="975">
      <c r="A975" s="549"/>
      <c r="B975" s="554"/>
      <c r="C975" s="554"/>
      <c r="D975" s="554"/>
      <c r="E975" s="554"/>
      <c r="F975" s="561"/>
      <c r="G975" s="554"/>
      <c r="H975" s="554"/>
      <c r="I975" s="554"/>
      <c r="J975" s="554"/>
      <c r="K975" s="554"/>
      <c r="L975" s="554"/>
      <c r="M975" s="554"/>
      <c r="N975" s="554"/>
      <c r="O975" s="554"/>
      <c r="P975" s="554"/>
      <c r="Q975" s="554"/>
      <c r="R975" s="554"/>
      <c r="S975" s="554"/>
      <c r="T975" s="554"/>
      <c r="U975" s="554"/>
      <c r="V975" s="554"/>
      <c r="W975" s="554"/>
      <c r="X975" s="554"/>
      <c r="Y975" s="554"/>
      <c r="Z975" s="554"/>
      <c r="AA975" s="554"/>
      <c r="AB975" s="554"/>
      <c r="AC975" s="554"/>
      <c r="AD975" s="554"/>
      <c r="AE975" s="554"/>
      <c r="AF975" s="554"/>
      <c r="AG975" s="554"/>
    </row>
    <row r="976">
      <c r="A976" s="549"/>
      <c r="B976" s="554"/>
      <c r="C976" s="554"/>
      <c r="D976" s="554"/>
      <c r="E976" s="554"/>
      <c r="F976" s="561"/>
      <c r="G976" s="554"/>
      <c r="H976" s="554"/>
      <c r="I976" s="554"/>
      <c r="J976" s="554"/>
      <c r="K976" s="554"/>
      <c r="L976" s="554"/>
      <c r="M976" s="554"/>
      <c r="N976" s="554"/>
      <c r="O976" s="554"/>
      <c r="P976" s="554"/>
      <c r="Q976" s="554"/>
      <c r="R976" s="554"/>
      <c r="S976" s="554"/>
      <c r="T976" s="554"/>
      <c r="U976" s="554"/>
      <c r="V976" s="554"/>
      <c r="W976" s="554"/>
      <c r="X976" s="554"/>
      <c r="Y976" s="554"/>
      <c r="Z976" s="554"/>
      <c r="AA976" s="554"/>
      <c r="AB976" s="554"/>
      <c r="AC976" s="554"/>
      <c r="AD976" s="554"/>
      <c r="AE976" s="554"/>
      <c r="AF976" s="554"/>
      <c r="AG976" s="554"/>
    </row>
    <row r="977">
      <c r="A977" s="549"/>
      <c r="B977" s="554"/>
      <c r="C977" s="554"/>
      <c r="D977" s="554"/>
      <c r="E977" s="554"/>
      <c r="F977" s="561"/>
      <c r="G977" s="554"/>
      <c r="H977" s="554"/>
      <c r="I977" s="554"/>
      <c r="J977" s="554"/>
      <c r="K977" s="554"/>
      <c r="L977" s="554"/>
      <c r="M977" s="554"/>
      <c r="N977" s="554"/>
      <c r="O977" s="554"/>
      <c r="P977" s="554"/>
      <c r="Q977" s="554"/>
      <c r="R977" s="554"/>
      <c r="S977" s="554"/>
      <c r="T977" s="554"/>
      <c r="U977" s="554"/>
      <c r="V977" s="554"/>
      <c r="W977" s="554"/>
      <c r="X977" s="554"/>
      <c r="Y977" s="554"/>
      <c r="Z977" s="554"/>
      <c r="AA977" s="554"/>
      <c r="AB977" s="554"/>
      <c r="AC977" s="554"/>
      <c r="AD977" s="554"/>
      <c r="AE977" s="554"/>
      <c r="AF977" s="554"/>
      <c r="AG977" s="554"/>
    </row>
    <row r="978">
      <c r="A978" s="549"/>
      <c r="B978" s="554"/>
      <c r="C978" s="554"/>
      <c r="D978" s="554"/>
      <c r="E978" s="554"/>
      <c r="F978" s="561"/>
      <c r="G978" s="554"/>
      <c r="H978" s="554"/>
      <c r="I978" s="554"/>
      <c r="J978" s="554"/>
      <c r="K978" s="554"/>
      <c r="L978" s="554"/>
      <c r="M978" s="554"/>
      <c r="N978" s="554"/>
      <c r="O978" s="554"/>
      <c r="P978" s="554"/>
      <c r="Q978" s="554"/>
      <c r="R978" s="554"/>
      <c r="S978" s="554"/>
      <c r="T978" s="554"/>
      <c r="U978" s="554"/>
      <c r="V978" s="554"/>
      <c r="W978" s="554"/>
      <c r="X978" s="554"/>
      <c r="Y978" s="554"/>
      <c r="Z978" s="554"/>
      <c r="AA978" s="554"/>
      <c r="AB978" s="554"/>
      <c r="AC978" s="554"/>
      <c r="AD978" s="554"/>
      <c r="AE978" s="554"/>
      <c r="AF978" s="554"/>
      <c r="AG978" s="554"/>
    </row>
    <row r="979">
      <c r="A979" s="549"/>
      <c r="B979" s="554"/>
      <c r="C979" s="554"/>
      <c r="D979" s="554"/>
      <c r="E979" s="554"/>
      <c r="F979" s="561"/>
      <c r="G979" s="554"/>
      <c r="H979" s="554"/>
      <c r="I979" s="554"/>
      <c r="J979" s="554"/>
      <c r="K979" s="554"/>
      <c r="L979" s="554"/>
      <c r="M979" s="554"/>
      <c r="N979" s="554"/>
      <c r="O979" s="554"/>
      <c r="P979" s="554"/>
      <c r="Q979" s="554"/>
      <c r="R979" s="554"/>
      <c r="S979" s="554"/>
      <c r="T979" s="554"/>
      <c r="U979" s="554"/>
      <c r="V979" s="554"/>
      <c r="W979" s="554"/>
      <c r="X979" s="554"/>
      <c r="Y979" s="554"/>
      <c r="Z979" s="554"/>
      <c r="AA979" s="554"/>
      <c r="AB979" s="554"/>
      <c r="AC979" s="554"/>
      <c r="AD979" s="554"/>
      <c r="AE979" s="554"/>
      <c r="AF979" s="554"/>
      <c r="AG979" s="554"/>
    </row>
    <row r="980">
      <c r="A980" s="549"/>
      <c r="B980" s="554"/>
      <c r="C980" s="554"/>
      <c r="D980" s="554"/>
      <c r="E980" s="554"/>
      <c r="F980" s="561"/>
      <c r="G980" s="554"/>
      <c r="H980" s="554"/>
      <c r="I980" s="554"/>
      <c r="J980" s="554"/>
      <c r="K980" s="554"/>
      <c r="L980" s="554"/>
      <c r="M980" s="554"/>
      <c r="N980" s="554"/>
      <c r="O980" s="554"/>
      <c r="P980" s="554"/>
      <c r="Q980" s="554"/>
      <c r="R980" s="554"/>
      <c r="S980" s="554"/>
      <c r="T980" s="554"/>
      <c r="U980" s="554"/>
      <c r="V980" s="554"/>
      <c r="W980" s="554"/>
      <c r="X980" s="554"/>
      <c r="Y980" s="554"/>
      <c r="Z980" s="554"/>
      <c r="AA980" s="554"/>
      <c r="AB980" s="554"/>
      <c r="AC980" s="554"/>
      <c r="AD980" s="554"/>
      <c r="AE980" s="554"/>
      <c r="AF980" s="554"/>
      <c r="AG980" s="554"/>
    </row>
    <row r="981">
      <c r="A981" s="549"/>
      <c r="B981" s="554"/>
      <c r="C981" s="554"/>
      <c r="D981" s="554"/>
      <c r="E981" s="554"/>
      <c r="F981" s="561"/>
      <c r="G981" s="554"/>
      <c r="H981" s="554"/>
      <c r="I981" s="554"/>
      <c r="J981" s="554"/>
      <c r="K981" s="554"/>
      <c r="L981" s="554"/>
      <c r="M981" s="554"/>
      <c r="N981" s="554"/>
      <c r="O981" s="554"/>
      <c r="P981" s="554"/>
      <c r="Q981" s="554"/>
      <c r="R981" s="554"/>
      <c r="S981" s="554"/>
      <c r="T981" s="554"/>
      <c r="U981" s="554"/>
      <c r="V981" s="554"/>
      <c r="W981" s="554"/>
      <c r="X981" s="554"/>
      <c r="Y981" s="554"/>
      <c r="Z981" s="554"/>
      <c r="AA981" s="554"/>
      <c r="AB981" s="554"/>
      <c r="AC981" s="554"/>
      <c r="AD981" s="554"/>
      <c r="AE981" s="554"/>
      <c r="AF981" s="554"/>
      <c r="AG981" s="554"/>
    </row>
    <row r="982">
      <c r="A982" s="549"/>
      <c r="B982" s="554"/>
      <c r="C982" s="554"/>
      <c r="D982" s="554"/>
      <c r="E982" s="554"/>
      <c r="F982" s="561"/>
      <c r="G982" s="554"/>
      <c r="H982" s="554"/>
      <c r="I982" s="554"/>
      <c r="J982" s="554"/>
      <c r="K982" s="554"/>
      <c r="L982" s="554"/>
      <c r="M982" s="554"/>
      <c r="N982" s="554"/>
      <c r="O982" s="554"/>
      <c r="P982" s="554"/>
      <c r="Q982" s="554"/>
      <c r="R982" s="554"/>
      <c r="S982" s="554"/>
      <c r="T982" s="554"/>
      <c r="U982" s="554"/>
      <c r="V982" s="554"/>
      <c r="W982" s="554"/>
      <c r="X982" s="554"/>
      <c r="Y982" s="554"/>
      <c r="Z982" s="554"/>
      <c r="AA982" s="554"/>
      <c r="AB982" s="554"/>
      <c r="AC982" s="554"/>
      <c r="AD982" s="554"/>
      <c r="AE982" s="554"/>
      <c r="AF982" s="554"/>
      <c r="AG982" s="554"/>
    </row>
    <row r="983">
      <c r="A983" s="549"/>
      <c r="B983" s="554"/>
      <c r="C983" s="554"/>
      <c r="D983" s="554"/>
      <c r="E983" s="554"/>
      <c r="F983" s="561"/>
      <c r="G983" s="554"/>
      <c r="H983" s="554"/>
      <c r="I983" s="554"/>
      <c r="J983" s="554"/>
      <c r="K983" s="554"/>
      <c r="L983" s="554"/>
      <c r="M983" s="554"/>
      <c r="N983" s="554"/>
      <c r="O983" s="554"/>
      <c r="P983" s="554"/>
      <c r="Q983" s="554"/>
      <c r="R983" s="554"/>
      <c r="S983" s="554"/>
      <c r="T983" s="554"/>
      <c r="U983" s="554"/>
      <c r="V983" s="554"/>
      <c r="W983" s="554"/>
      <c r="X983" s="554"/>
      <c r="Y983" s="554"/>
      <c r="Z983" s="554"/>
      <c r="AA983" s="554"/>
      <c r="AB983" s="554"/>
      <c r="AC983" s="554"/>
      <c r="AD983" s="554"/>
      <c r="AE983" s="554"/>
      <c r="AF983" s="554"/>
      <c r="AG983" s="554"/>
    </row>
    <row r="984">
      <c r="A984" s="549"/>
      <c r="B984" s="554"/>
      <c r="C984" s="554"/>
      <c r="D984" s="554"/>
      <c r="E984" s="554"/>
      <c r="F984" s="561"/>
      <c r="G984" s="554"/>
      <c r="H984" s="554"/>
      <c r="I984" s="554"/>
      <c r="J984" s="554"/>
      <c r="K984" s="554"/>
      <c r="L984" s="554"/>
      <c r="M984" s="554"/>
      <c r="N984" s="554"/>
      <c r="O984" s="554"/>
      <c r="P984" s="554"/>
      <c r="Q984" s="554"/>
      <c r="R984" s="554"/>
      <c r="S984" s="554"/>
      <c r="T984" s="554"/>
      <c r="U984" s="554"/>
      <c r="V984" s="554"/>
      <c r="W984" s="554"/>
      <c r="X984" s="554"/>
      <c r="Y984" s="554"/>
      <c r="Z984" s="554"/>
      <c r="AA984" s="554"/>
      <c r="AB984" s="554"/>
      <c r="AC984" s="554"/>
      <c r="AD984" s="554"/>
      <c r="AE984" s="554"/>
      <c r="AF984" s="554"/>
      <c r="AG984" s="554"/>
    </row>
    <row r="985">
      <c r="A985" s="549"/>
      <c r="B985" s="554"/>
      <c r="C985" s="554"/>
      <c r="D985" s="554"/>
      <c r="E985" s="554"/>
      <c r="F985" s="561"/>
      <c r="G985" s="554"/>
      <c r="H985" s="554"/>
      <c r="I985" s="554"/>
      <c r="J985" s="554"/>
      <c r="K985" s="554"/>
      <c r="L985" s="554"/>
      <c r="M985" s="554"/>
      <c r="N985" s="554"/>
      <c r="O985" s="554"/>
      <c r="P985" s="554"/>
      <c r="Q985" s="554"/>
      <c r="R985" s="554"/>
      <c r="S985" s="554"/>
      <c r="T985" s="554"/>
      <c r="U985" s="554"/>
      <c r="V985" s="554"/>
      <c r="W985" s="554"/>
      <c r="X985" s="554"/>
      <c r="Y985" s="554"/>
      <c r="Z985" s="554"/>
      <c r="AA985" s="554"/>
      <c r="AB985" s="554"/>
      <c r="AC985" s="554"/>
      <c r="AD985" s="554"/>
      <c r="AE985" s="554"/>
      <c r="AF985" s="554"/>
      <c r="AG985" s="554"/>
    </row>
    <row r="986">
      <c r="A986" s="549"/>
      <c r="B986" s="554"/>
      <c r="C986" s="554"/>
      <c r="D986" s="554"/>
      <c r="E986" s="554"/>
      <c r="F986" s="561"/>
      <c r="G986" s="554"/>
      <c r="H986" s="554"/>
      <c r="I986" s="554"/>
      <c r="J986" s="554"/>
      <c r="K986" s="554"/>
      <c r="L986" s="554"/>
      <c r="M986" s="554"/>
      <c r="N986" s="554"/>
      <c r="O986" s="554"/>
      <c r="P986" s="554"/>
      <c r="Q986" s="554"/>
      <c r="R986" s="554"/>
      <c r="S986" s="554"/>
      <c r="T986" s="554"/>
      <c r="U986" s="554"/>
      <c r="V986" s="554"/>
      <c r="W986" s="554"/>
      <c r="X986" s="554"/>
      <c r="Y986" s="554"/>
      <c r="Z986" s="554"/>
      <c r="AA986" s="554"/>
      <c r="AB986" s="554"/>
      <c r="AC986" s="554"/>
      <c r="AD986" s="554"/>
      <c r="AE986" s="554"/>
      <c r="AF986" s="554"/>
      <c r="AG986" s="554"/>
    </row>
    <row r="987">
      <c r="A987" s="549"/>
      <c r="B987" s="554"/>
      <c r="C987" s="554"/>
      <c r="D987" s="554"/>
      <c r="E987" s="554"/>
      <c r="F987" s="561"/>
      <c r="G987" s="554"/>
      <c r="H987" s="554"/>
      <c r="I987" s="554"/>
      <c r="J987" s="554"/>
      <c r="K987" s="554"/>
      <c r="L987" s="554"/>
      <c r="M987" s="554"/>
      <c r="N987" s="554"/>
      <c r="O987" s="554"/>
      <c r="P987" s="554"/>
      <c r="Q987" s="554"/>
      <c r="R987" s="554"/>
      <c r="S987" s="554"/>
      <c r="T987" s="554"/>
      <c r="U987" s="554"/>
      <c r="V987" s="554"/>
      <c r="W987" s="554"/>
      <c r="X987" s="554"/>
      <c r="Y987" s="554"/>
      <c r="Z987" s="554"/>
      <c r="AA987" s="554"/>
      <c r="AB987" s="554"/>
      <c r="AC987" s="554"/>
      <c r="AD987" s="554"/>
      <c r="AE987" s="554"/>
      <c r="AF987" s="554"/>
      <c r="AG987" s="554"/>
    </row>
    <row r="988">
      <c r="A988" s="549"/>
      <c r="B988" s="554"/>
      <c r="C988" s="554"/>
      <c r="D988" s="554"/>
      <c r="E988" s="554"/>
      <c r="F988" s="561"/>
      <c r="G988" s="554"/>
      <c r="H988" s="554"/>
      <c r="I988" s="554"/>
      <c r="J988" s="554"/>
      <c r="K988" s="554"/>
      <c r="L988" s="554"/>
      <c r="M988" s="554"/>
      <c r="N988" s="554"/>
      <c r="O988" s="554"/>
      <c r="P988" s="554"/>
      <c r="Q988" s="554"/>
      <c r="R988" s="554"/>
      <c r="S988" s="554"/>
      <c r="T988" s="554"/>
      <c r="U988" s="554"/>
      <c r="V988" s="554"/>
      <c r="W988" s="554"/>
      <c r="X988" s="554"/>
      <c r="Y988" s="554"/>
      <c r="Z988" s="554"/>
      <c r="AA988" s="554"/>
      <c r="AB988" s="554"/>
      <c r="AC988" s="554"/>
      <c r="AD988" s="554"/>
      <c r="AE988" s="554"/>
      <c r="AF988" s="554"/>
      <c r="AG988" s="554"/>
    </row>
    <row r="989">
      <c r="A989" s="549"/>
      <c r="B989" s="554"/>
      <c r="C989" s="554"/>
      <c r="D989" s="554"/>
      <c r="E989" s="554"/>
      <c r="F989" s="561"/>
      <c r="G989" s="554"/>
      <c r="H989" s="554"/>
      <c r="I989" s="554"/>
      <c r="J989" s="554"/>
      <c r="K989" s="554"/>
      <c r="L989" s="554"/>
      <c r="M989" s="554"/>
      <c r="N989" s="554"/>
      <c r="O989" s="554"/>
      <c r="P989" s="554"/>
      <c r="Q989" s="554"/>
      <c r="R989" s="554"/>
      <c r="S989" s="554"/>
      <c r="T989" s="554"/>
      <c r="U989" s="554"/>
      <c r="V989" s="554"/>
      <c r="W989" s="554"/>
      <c r="X989" s="554"/>
      <c r="Y989" s="554"/>
      <c r="Z989" s="554"/>
      <c r="AA989" s="554"/>
      <c r="AB989" s="554"/>
      <c r="AC989" s="554"/>
      <c r="AD989" s="554"/>
      <c r="AE989" s="554"/>
      <c r="AF989" s="554"/>
      <c r="AG989" s="554"/>
    </row>
  </sheetData>
  <autoFilter ref="$A$1:$O$29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75"/>
  <cols>
    <col customWidth="1" min="1" max="1" width="17.57"/>
    <col customWidth="1" min="2" max="4" width="21.57"/>
    <col customWidth="1" min="5" max="5" width="16.0"/>
    <col customWidth="1" min="6" max="6" width="26.0"/>
    <col customWidth="1" min="7" max="7" width="13.43"/>
    <col customWidth="1" min="8" max="8" width="17.0"/>
    <col customWidth="1" min="9" max="10" width="17.43"/>
    <col customWidth="1" min="11" max="11" width="27.0"/>
    <col customWidth="1" min="12" max="12" width="41.43"/>
    <col customWidth="1" min="13" max="13" width="17.43"/>
    <col customWidth="1" min="14" max="14" width="12.0"/>
    <col customWidth="1" min="15" max="15" width="20.0"/>
    <col customWidth="1" min="16" max="16" width="16.57"/>
    <col customWidth="1" min="17" max="17" width="43.0"/>
  </cols>
  <sheetData>
    <row r="1" ht="28.5" customHeight="1">
      <c r="A1" s="1" t="s">
        <v>0</v>
      </c>
      <c r="B1" s="2" t="s">
        <v>1</v>
      </c>
      <c r="C1" s="562" t="s">
        <v>2</v>
      </c>
      <c r="D1" s="563" t="s">
        <v>3</v>
      </c>
      <c r="E1" s="5"/>
      <c r="F1" s="564" t="s">
        <v>2213</v>
      </c>
      <c r="G1" s="565"/>
      <c r="H1" s="566" t="s">
        <v>466</v>
      </c>
      <c r="I1" s="567" t="s">
        <v>2004</v>
      </c>
      <c r="J1" s="476"/>
      <c r="K1" s="568"/>
      <c r="L1" s="568"/>
      <c r="M1" s="11"/>
      <c r="N1" s="11"/>
      <c r="O1" s="11"/>
      <c r="P1" s="15"/>
      <c r="Q1" s="14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ht="28.5" customHeight="1">
      <c r="A2" s="16"/>
      <c r="B2" s="17">
        <f>SUMIF($B$9:$B$3915,"оплачено",$C$9:$C$3915)-SUMIF($B$9:$B$3915,"оплачено",$D$9:$D$3915)</f>
        <v>2958246.394</v>
      </c>
      <c r="C2" s="17">
        <f>sum(I9:I3913)-sum(J9:J3913)</f>
        <v>-543147.31</v>
      </c>
      <c r="D2" s="569">
        <f>B2+C2/0.75+F2</f>
        <v>2234049.981</v>
      </c>
      <c r="E2" s="20"/>
      <c r="F2" s="570">
        <v>0.0</v>
      </c>
      <c r="G2" s="571">
        <f>D2-F2</f>
        <v>2234049.981</v>
      </c>
      <c r="H2" s="496">
        <f>G2-5000000</f>
        <v>-2765950.019</v>
      </c>
      <c r="I2" s="567"/>
      <c r="J2" s="572">
        <f>J4+C2</f>
        <v>-2304085.514</v>
      </c>
      <c r="K2" s="24"/>
      <c r="L2" s="24"/>
      <c r="M2" s="26"/>
      <c r="N2" s="11"/>
      <c r="O2" s="11"/>
      <c r="P2" s="15"/>
      <c r="Q2" s="14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ht="12.0" customHeight="1">
      <c r="A3" s="476"/>
      <c r="B3" s="573"/>
      <c r="C3" s="574"/>
      <c r="D3" s="574"/>
      <c r="E3" s="12"/>
      <c r="F3" s="12"/>
      <c r="G3" s="575"/>
      <c r="H3" s="41"/>
      <c r="I3" s="26"/>
      <c r="J3" s="26"/>
      <c r="K3" s="576"/>
      <c r="L3" s="576"/>
      <c r="M3" s="34"/>
      <c r="N3" s="34"/>
      <c r="O3" s="34"/>
      <c r="P3" s="15"/>
      <c r="Q3" s="35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</row>
    <row r="4" ht="28.5" customHeight="1">
      <c r="A4" s="37" t="s">
        <v>8</v>
      </c>
      <c r="B4" s="38" t="s">
        <v>9</v>
      </c>
      <c r="C4" s="38" t="s">
        <v>10</v>
      </c>
      <c r="D4" s="577" t="s">
        <v>11</v>
      </c>
      <c r="E4" s="41"/>
      <c r="F4" s="41"/>
      <c r="G4" s="565"/>
      <c r="H4" s="41"/>
      <c r="I4" s="30">
        <f>254000+52164</f>
        <v>306164</v>
      </c>
      <c r="J4" s="578">
        <f>(B2-I4-H5)*0.75</f>
        <v>-1760938.204</v>
      </c>
      <c r="K4" s="43"/>
      <c r="L4" s="43"/>
      <c r="M4" s="11"/>
      <c r="N4" s="11"/>
      <c r="O4" s="11"/>
      <c r="P4" s="15"/>
      <c r="Q4" s="14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ht="28.5" customHeight="1">
      <c r="A5" s="16"/>
      <c r="B5" s="44">
        <f>SUMIF($B$9:$B$5972,"План поступлений",$C$9:$C$5972)</f>
        <v>88411542.76</v>
      </c>
      <c r="C5" s="44">
        <f>SUMIF($B$9:$B$5972,"план оплат",$D$9:$D$5972)</f>
        <v>59762549.78</v>
      </c>
      <c r="D5" s="579">
        <f>D2+B5-C5-F2</f>
        <v>30883042.96</v>
      </c>
      <c r="E5" s="30"/>
      <c r="F5" s="30">
        <f>B5-C5+B2</f>
        <v>31607239.37</v>
      </c>
      <c r="G5" s="475">
        <f>D1022-D1021</f>
        <v>0</v>
      </c>
      <c r="H5" s="566">
        <v>5000000.0</v>
      </c>
      <c r="I5" s="30">
        <f>I4-D2+H5</f>
        <v>3072114.019</v>
      </c>
      <c r="J5" s="578">
        <f>I5*0.75</f>
        <v>2304085.514</v>
      </c>
      <c r="K5" s="43"/>
      <c r="L5" s="43"/>
      <c r="M5" s="11"/>
      <c r="N5" s="11"/>
      <c r="O5" s="11"/>
      <c r="P5" s="15"/>
      <c r="Q5" s="14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ht="14.25" customHeight="1">
      <c r="A6" s="41"/>
      <c r="B6" s="49"/>
      <c r="C6" s="41"/>
      <c r="D6" s="41"/>
      <c r="E6" s="41"/>
      <c r="F6" s="41"/>
      <c r="G6" s="565"/>
      <c r="H6" s="476"/>
      <c r="I6" s="580"/>
      <c r="J6" s="581"/>
      <c r="K6" s="43"/>
      <c r="L6" s="43"/>
      <c r="M6" s="11"/>
      <c r="N6" s="11"/>
      <c r="O6" s="11"/>
      <c r="P6" s="15"/>
      <c r="Q6" s="14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ht="11.25" customHeight="1">
      <c r="A7" s="41"/>
      <c r="B7" s="49"/>
      <c r="C7" s="41"/>
      <c r="D7" s="41"/>
      <c r="E7" s="41"/>
      <c r="F7" s="41"/>
      <c r="H7" s="41"/>
      <c r="I7" s="580"/>
      <c r="J7" s="581"/>
      <c r="K7" s="43"/>
      <c r="L7" s="43"/>
      <c r="M7" s="11"/>
      <c r="N7" s="11"/>
      <c r="O7" s="11"/>
      <c r="P7" s="15"/>
      <c r="Q7" s="14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ht="36.75" customHeight="1">
      <c r="A8" s="582" t="s">
        <v>12</v>
      </c>
      <c r="B8" s="54" t="s">
        <v>13</v>
      </c>
      <c r="C8" s="583" t="s">
        <v>2214</v>
      </c>
      <c r="D8" s="583" t="s">
        <v>2215</v>
      </c>
      <c r="E8" s="584" t="s">
        <v>16</v>
      </c>
      <c r="F8" s="584" t="s">
        <v>17</v>
      </c>
      <c r="G8" s="585" t="s">
        <v>18</v>
      </c>
      <c r="H8" s="583" t="s">
        <v>19</v>
      </c>
      <c r="I8" s="586" t="s">
        <v>2216</v>
      </c>
      <c r="J8" s="586" t="s">
        <v>2217</v>
      </c>
      <c r="K8" s="587" t="s">
        <v>20</v>
      </c>
      <c r="L8" s="588" t="s">
        <v>21</v>
      </c>
      <c r="M8" s="582" t="s">
        <v>22</v>
      </c>
      <c r="N8" s="582" t="s">
        <v>23</v>
      </c>
      <c r="O8" s="582" t="s">
        <v>24</v>
      </c>
      <c r="P8" s="589" t="s">
        <v>25</v>
      </c>
      <c r="Q8" s="590" t="s">
        <v>26</v>
      </c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</row>
    <row r="9" ht="17.25" customHeight="1">
      <c r="A9" s="591">
        <v>45132.0</v>
      </c>
      <c r="B9" s="592" t="s">
        <v>2218</v>
      </c>
      <c r="C9" s="593"/>
      <c r="D9" s="594">
        <v>20970.0</v>
      </c>
      <c r="E9" s="595"/>
      <c r="F9" s="596"/>
      <c r="G9" s="597">
        <v>0.0</v>
      </c>
      <c r="H9" s="598">
        <f t="shared" ref="H9:H193" si="1">SUM(C9:D9)*G9/(G9+100)</f>
        <v>0</v>
      </c>
      <c r="I9" s="599"/>
      <c r="J9" s="599"/>
      <c r="K9" s="600"/>
      <c r="L9" s="601" t="s">
        <v>31</v>
      </c>
      <c r="M9" s="601"/>
      <c r="N9" s="601"/>
      <c r="O9" s="601"/>
      <c r="P9" s="602"/>
      <c r="Q9" s="603" t="s">
        <v>32</v>
      </c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</row>
    <row r="10" ht="17.25" customHeight="1">
      <c r="A10" s="591">
        <v>45141.0</v>
      </c>
      <c r="B10" s="592" t="s">
        <v>2218</v>
      </c>
      <c r="C10" s="593"/>
      <c r="D10" s="594"/>
      <c r="E10" s="604" t="s">
        <v>33</v>
      </c>
      <c r="F10" s="596"/>
      <c r="G10" s="597">
        <v>0.0</v>
      </c>
      <c r="H10" s="598">
        <f t="shared" si="1"/>
        <v>0</v>
      </c>
      <c r="I10" s="599"/>
      <c r="J10" s="605">
        <v>1150.0</v>
      </c>
      <c r="K10" s="600"/>
      <c r="L10" s="600"/>
      <c r="M10" s="601"/>
      <c r="N10" s="601"/>
      <c r="O10" s="601"/>
      <c r="P10" s="602"/>
      <c r="Q10" s="603" t="s">
        <v>36</v>
      </c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</row>
    <row r="11" ht="17.25" customHeight="1">
      <c r="A11" s="591">
        <v>45154.0</v>
      </c>
      <c r="B11" s="592" t="s">
        <v>2218</v>
      </c>
      <c r="C11" s="593"/>
      <c r="D11" s="594"/>
      <c r="E11" s="604" t="s">
        <v>33</v>
      </c>
      <c r="F11" s="596"/>
      <c r="G11" s="597">
        <v>0.0</v>
      </c>
      <c r="H11" s="598">
        <f t="shared" si="1"/>
        <v>0</v>
      </c>
      <c r="I11" s="599"/>
      <c r="J11" s="605">
        <v>1070.0</v>
      </c>
      <c r="K11" s="600"/>
      <c r="L11" s="600"/>
      <c r="M11" s="601"/>
      <c r="N11" s="601"/>
      <c r="O11" s="601"/>
      <c r="P11" s="602"/>
      <c r="Q11" s="603" t="s">
        <v>36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</row>
    <row r="12" ht="17.25" customHeight="1">
      <c r="A12" s="591">
        <v>45162.0</v>
      </c>
      <c r="B12" s="592" t="s">
        <v>2218</v>
      </c>
      <c r="C12" s="594">
        <v>93672.0</v>
      </c>
      <c r="D12" s="593"/>
      <c r="E12" s="606"/>
      <c r="F12" s="607" t="s">
        <v>51</v>
      </c>
      <c r="G12" s="597">
        <v>20.0</v>
      </c>
      <c r="H12" s="598">
        <f t="shared" si="1"/>
        <v>15612</v>
      </c>
      <c r="I12" s="599"/>
      <c r="J12" s="599"/>
      <c r="K12" s="600"/>
      <c r="L12" s="601" t="s">
        <v>38</v>
      </c>
      <c r="M12" s="601"/>
      <c r="N12" s="601"/>
      <c r="O12" s="601"/>
      <c r="P12" s="602">
        <f t="shared" ref="P12:P13" si="2">A12-IF(O12&gt;0,O12,A12)</f>
        <v>0</v>
      </c>
      <c r="Q12" s="603" t="s">
        <v>39</v>
      </c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</row>
    <row r="13" ht="17.25" customHeight="1">
      <c r="A13" s="591">
        <v>45167.0</v>
      </c>
      <c r="B13" s="592" t="s">
        <v>2218</v>
      </c>
      <c r="C13" s="594">
        <v>1404000.0</v>
      </c>
      <c r="D13" s="593"/>
      <c r="E13" s="606"/>
      <c r="F13" s="607" t="s">
        <v>51</v>
      </c>
      <c r="G13" s="597">
        <v>20.0</v>
      </c>
      <c r="H13" s="598">
        <f t="shared" si="1"/>
        <v>234000</v>
      </c>
      <c r="I13" s="599"/>
      <c r="J13" s="599"/>
      <c r="K13" s="600"/>
      <c r="L13" s="601" t="s">
        <v>40</v>
      </c>
      <c r="M13" s="601"/>
      <c r="N13" s="601"/>
      <c r="O13" s="601"/>
      <c r="P13" s="602">
        <f t="shared" si="2"/>
        <v>0</v>
      </c>
      <c r="Q13" s="603" t="s">
        <v>41</v>
      </c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</row>
    <row r="14" ht="17.25" customHeight="1">
      <c r="A14" s="591">
        <v>45170.0</v>
      </c>
      <c r="B14" s="592" t="s">
        <v>2218</v>
      </c>
      <c r="C14" s="594"/>
      <c r="D14" s="593"/>
      <c r="E14" s="604" t="s">
        <v>33</v>
      </c>
      <c r="F14" s="596"/>
      <c r="G14" s="597">
        <v>0.0</v>
      </c>
      <c r="H14" s="598">
        <f t="shared" si="1"/>
        <v>0</v>
      </c>
      <c r="I14" s="599"/>
      <c r="J14" s="605">
        <v>60000.0</v>
      </c>
      <c r="K14" s="600"/>
      <c r="L14" s="600"/>
      <c r="M14" s="601"/>
      <c r="N14" s="601"/>
      <c r="O14" s="601"/>
      <c r="P14" s="602"/>
      <c r="Q14" s="603" t="s">
        <v>42</v>
      </c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</row>
    <row r="15" ht="17.25" customHeight="1">
      <c r="A15" s="591">
        <v>45170.0</v>
      </c>
      <c r="B15" s="592" t="s">
        <v>2218</v>
      </c>
      <c r="C15" s="594"/>
      <c r="D15" s="593"/>
      <c r="E15" s="604" t="s">
        <v>33</v>
      </c>
      <c r="F15" s="596"/>
      <c r="G15" s="597">
        <v>0.0</v>
      </c>
      <c r="H15" s="598">
        <f t="shared" si="1"/>
        <v>0</v>
      </c>
      <c r="I15" s="599"/>
      <c r="J15" s="605">
        <v>28000.0</v>
      </c>
      <c r="K15" s="600"/>
      <c r="L15" s="600"/>
      <c r="M15" s="601"/>
      <c r="N15" s="601"/>
      <c r="O15" s="601"/>
      <c r="P15" s="602"/>
      <c r="Q15" s="603" t="s">
        <v>43</v>
      </c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</row>
    <row r="16" ht="17.25" customHeight="1">
      <c r="A16" s="591">
        <v>45173.0</v>
      </c>
      <c r="B16" s="592" t="s">
        <v>2218</v>
      </c>
      <c r="C16" s="593"/>
      <c r="D16" s="594">
        <v>10.0</v>
      </c>
      <c r="E16" s="595"/>
      <c r="F16" s="596"/>
      <c r="G16" s="597">
        <v>0.0</v>
      </c>
      <c r="H16" s="598">
        <f t="shared" si="1"/>
        <v>0</v>
      </c>
      <c r="I16" s="599"/>
      <c r="J16" s="599"/>
      <c r="K16" s="600"/>
      <c r="L16" s="601" t="s">
        <v>45</v>
      </c>
      <c r="M16" s="601"/>
      <c r="N16" s="601"/>
      <c r="O16" s="601"/>
      <c r="P16" s="602"/>
      <c r="Q16" s="603" t="s">
        <v>46</v>
      </c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</row>
    <row r="17" ht="17.25" customHeight="1">
      <c r="A17" s="608">
        <v>45176.0</v>
      </c>
      <c r="B17" s="592" t="s">
        <v>2218</v>
      </c>
      <c r="C17" s="609"/>
      <c r="D17" s="610">
        <v>875000.0</v>
      </c>
      <c r="E17" s="606"/>
      <c r="F17" s="607"/>
      <c r="G17" s="597">
        <v>20.0</v>
      </c>
      <c r="H17" s="598">
        <f t="shared" si="1"/>
        <v>145833.3333</v>
      </c>
      <c r="I17" s="605">
        <f>D17*0.72</f>
        <v>630000</v>
      </c>
      <c r="J17" s="599"/>
      <c r="K17" s="611"/>
      <c r="L17" s="611"/>
      <c r="M17" s="612"/>
      <c r="N17" s="612"/>
      <c r="O17" s="612"/>
      <c r="P17" s="602"/>
      <c r="Q17" s="613" t="s">
        <v>48</v>
      </c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</row>
    <row r="18" ht="17.25" customHeight="1">
      <c r="A18" s="608">
        <v>45176.0</v>
      </c>
      <c r="B18" s="592" t="s">
        <v>2218</v>
      </c>
      <c r="C18" s="609"/>
      <c r="D18" s="609"/>
      <c r="E18" s="604" t="s">
        <v>33</v>
      </c>
      <c r="F18" s="596"/>
      <c r="G18" s="597">
        <v>0.0</v>
      </c>
      <c r="H18" s="598">
        <f t="shared" si="1"/>
        <v>0</v>
      </c>
      <c r="I18" s="599"/>
      <c r="J18" s="605">
        <v>630000.0</v>
      </c>
      <c r="K18" s="600"/>
      <c r="L18" s="601" t="s">
        <v>49</v>
      </c>
      <c r="M18" s="612"/>
      <c r="N18" s="612"/>
      <c r="O18" s="612"/>
      <c r="P18" s="602"/>
      <c r="Q18" s="613" t="s">
        <v>50</v>
      </c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</row>
    <row r="19" ht="17.25" customHeight="1">
      <c r="A19" s="614">
        <v>45198.0</v>
      </c>
      <c r="B19" s="592" t="s">
        <v>2218</v>
      </c>
      <c r="C19" s="610">
        <v>1176000.0</v>
      </c>
      <c r="D19" s="609"/>
      <c r="E19" s="606"/>
      <c r="F19" s="607" t="s">
        <v>51</v>
      </c>
      <c r="G19" s="597">
        <v>20.0</v>
      </c>
      <c r="H19" s="598">
        <f t="shared" si="1"/>
        <v>196000</v>
      </c>
      <c r="I19" s="599"/>
      <c r="J19" s="599"/>
      <c r="K19" s="600"/>
      <c r="L19" s="601" t="s">
        <v>49</v>
      </c>
      <c r="M19" s="612"/>
      <c r="N19" s="612"/>
      <c r="O19" s="612"/>
      <c r="P19" s="602">
        <f>A19-IF(O19&gt;0,O19,A19)</f>
        <v>0</v>
      </c>
      <c r="Q19" s="613" t="s">
        <v>52</v>
      </c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</row>
    <row r="20" ht="17.25" customHeight="1">
      <c r="A20" s="614">
        <v>45203.0</v>
      </c>
      <c r="B20" s="592" t="s">
        <v>2218</v>
      </c>
      <c r="C20" s="609"/>
      <c r="D20" s="609"/>
      <c r="E20" s="604" t="s">
        <v>33</v>
      </c>
      <c r="F20" s="607"/>
      <c r="G20" s="597">
        <v>0.0</v>
      </c>
      <c r="H20" s="598">
        <f t="shared" si="1"/>
        <v>0</v>
      </c>
      <c r="I20" s="605"/>
      <c r="J20" s="605">
        <v>50750.0</v>
      </c>
      <c r="K20" s="615"/>
      <c r="L20" s="616" t="s">
        <v>54</v>
      </c>
      <c r="M20" s="612"/>
      <c r="N20" s="612"/>
      <c r="O20" s="612"/>
      <c r="P20" s="602"/>
      <c r="Q20" s="613" t="s">
        <v>55</v>
      </c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</row>
    <row r="21" ht="17.25" customHeight="1">
      <c r="A21" s="614">
        <v>45203.0</v>
      </c>
      <c r="B21" s="592" t="s">
        <v>2218</v>
      </c>
      <c r="C21" s="609"/>
      <c r="D21" s="609"/>
      <c r="E21" s="604" t="s">
        <v>33</v>
      </c>
      <c r="F21" s="596"/>
      <c r="G21" s="597">
        <v>0.0</v>
      </c>
      <c r="H21" s="598">
        <f t="shared" si="1"/>
        <v>0</v>
      </c>
      <c r="I21" s="599"/>
      <c r="J21" s="605">
        <v>17255.0</v>
      </c>
      <c r="K21" s="615"/>
      <c r="L21" s="616" t="s">
        <v>56</v>
      </c>
      <c r="M21" s="612"/>
      <c r="N21" s="612"/>
      <c r="O21" s="612"/>
      <c r="P21" s="602"/>
      <c r="Q21" s="613" t="s">
        <v>57</v>
      </c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</row>
    <row r="22" ht="17.25" customHeight="1">
      <c r="A22" s="614">
        <v>45203.0</v>
      </c>
      <c r="B22" s="592" t="s">
        <v>2218</v>
      </c>
      <c r="C22" s="610">
        <v>56952.0</v>
      </c>
      <c r="D22" s="609"/>
      <c r="E22" s="606"/>
      <c r="F22" s="607" t="s">
        <v>51</v>
      </c>
      <c r="G22" s="597">
        <v>20.0</v>
      </c>
      <c r="H22" s="598">
        <f t="shared" si="1"/>
        <v>9492</v>
      </c>
      <c r="I22" s="599"/>
      <c r="J22" s="599"/>
      <c r="K22" s="611"/>
      <c r="L22" s="611"/>
      <c r="M22" s="612"/>
      <c r="N22" s="612"/>
      <c r="O22" s="612"/>
      <c r="P22" s="602">
        <f>A22-IF(O22&gt;0,O22,A22)</f>
        <v>0</v>
      </c>
      <c r="Q22" s="613" t="s">
        <v>58</v>
      </c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</row>
    <row r="23" ht="17.25" customHeight="1">
      <c r="A23" s="614">
        <v>45203.0</v>
      </c>
      <c r="B23" s="592" t="s">
        <v>2218</v>
      </c>
      <c r="C23" s="610"/>
      <c r="D23" s="610">
        <v>23730.0</v>
      </c>
      <c r="E23" s="595"/>
      <c r="F23" s="596"/>
      <c r="G23" s="597">
        <v>20.0</v>
      </c>
      <c r="H23" s="598">
        <f t="shared" si="1"/>
        <v>3955</v>
      </c>
      <c r="I23" s="599"/>
      <c r="J23" s="599"/>
      <c r="K23" s="611"/>
      <c r="L23" s="611"/>
      <c r="M23" s="612"/>
      <c r="N23" s="612"/>
      <c r="O23" s="612"/>
      <c r="P23" s="602"/>
      <c r="Q23" s="613" t="s">
        <v>59</v>
      </c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</row>
    <row r="24" ht="17.25" customHeight="1">
      <c r="A24" s="614">
        <v>45203.0</v>
      </c>
      <c r="B24" s="592" t="s">
        <v>2218</v>
      </c>
      <c r="C24" s="609"/>
      <c r="D24" s="610">
        <v>39030.0</v>
      </c>
      <c r="E24" s="595"/>
      <c r="F24" s="596"/>
      <c r="G24" s="597">
        <v>20.0</v>
      </c>
      <c r="H24" s="598">
        <f t="shared" si="1"/>
        <v>6505</v>
      </c>
      <c r="I24" s="599"/>
      <c r="J24" s="599"/>
      <c r="K24" s="611"/>
      <c r="L24" s="611"/>
      <c r="M24" s="612"/>
      <c r="N24" s="612"/>
      <c r="O24" s="612"/>
      <c r="P24" s="602"/>
      <c r="Q24" s="613" t="s">
        <v>60</v>
      </c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</row>
    <row r="25" ht="17.25" customHeight="1">
      <c r="A25" s="608">
        <v>45211.0</v>
      </c>
      <c r="B25" s="592" t="s">
        <v>2218</v>
      </c>
      <c r="C25" s="609"/>
      <c r="D25" s="610">
        <v>722222.0</v>
      </c>
      <c r="E25" s="595"/>
      <c r="F25" s="596"/>
      <c r="G25" s="597">
        <v>20.0</v>
      </c>
      <c r="H25" s="598">
        <f t="shared" si="1"/>
        <v>120370.3333</v>
      </c>
      <c r="I25" s="599">
        <f>D25*0.72</f>
        <v>519999.84</v>
      </c>
      <c r="J25" s="599"/>
      <c r="K25" s="611"/>
      <c r="L25" s="611"/>
      <c r="M25" s="612"/>
      <c r="N25" s="612"/>
      <c r="O25" s="612"/>
      <c r="P25" s="602"/>
      <c r="Q25" s="613" t="s">
        <v>48</v>
      </c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</row>
    <row r="26" ht="17.25" customHeight="1">
      <c r="A26" s="614">
        <v>45211.0</v>
      </c>
      <c r="B26" s="592" t="s">
        <v>2218</v>
      </c>
      <c r="C26" s="609"/>
      <c r="D26" s="609"/>
      <c r="E26" s="604" t="s">
        <v>33</v>
      </c>
      <c r="F26" s="607"/>
      <c r="G26" s="597">
        <v>20.0</v>
      </c>
      <c r="H26" s="598">
        <f t="shared" si="1"/>
        <v>0</v>
      </c>
      <c r="I26" s="605"/>
      <c r="J26" s="605">
        <v>520000.0</v>
      </c>
      <c r="K26" s="600"/>
      <c r="L26" s="601" t="s">
        <v>49</v>
      </c>
      <c r="M26" s="612"/>
      <c r="N26" s="612"/>
      <c r="O26" s="612"/>
      <c r="P26" s="602"/>
      <c r="Q26" s="613" t="s">
        <v>50</v>
      </c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</row>
    <row r="27" ht="17.25" customHeight="1">
      <c r="A27" s="614">
        <v>45216.0</v>
      </c>
      <c r="B27" s="592" t="s">
        <v>2218</v>
      </c>
      <c r="C27" s="610"/>
      <c r="D27" s="609"/>
      <c r="E27" s="604" t="s">
        <v>33</v>
      </c>
      <c r="F27" s="596"/>
      <c r="G27" s="597">
        <v>20.0</v>
      </c>
      <c r="H27" s="598">
        <f t="shared" si="1"/>
        <v>0</v>
      </c>
      <c r="I27" s="599"/>
      <c r="J27" s="605">
        <v>1090.0</v>
      </c>
      <c r="K27" s="611"/>
      <c r="L27" s="611"/>
      <c r="M27" s="601"/>
      <c r="N27" s="601"/>
      <c r="O27" s="601"/>
      <c r="P27" s="602"/>
      <c r="Q27" s="603" t="s">
        <v>36</v>
      </c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</row>
    <row r="28" ht="17.25" customHeight="1">
      <c r="A28" s="614">
        <v>45217.0</v>
      </c>
      <c r="B28" s="592" t="s">
        <v>2218</v>
      </c>
      <c r="C28" s="609"/>
      <c r="D28" s="610">
        <v>97996.24</v>
      </c>
      <c r="E28" s="595"/>
      <c r="F28" s="596"/>
      <c r="G28" s="597">
        <v>0.0</v>
      </c>
      <c r="H28" s="598">
        <f t="shared" si="1"/>
        <v>0</v>
      </c>
      <c r="I28" s="599"/>
      <c r="J28" s="599"/>
      <c r="K28" s="615"/>
      <c r="L28" s="616" t="s">
        <v>62</v>
      </c>
      <c r="M28" s="612"/>
      <c r="N28" s="612"/>
      <c r="O28" s="612"/>
      <c r="P28" s="602"/>
      <c r="Q28" s="613" t="s">
        <v>63</v>
      </c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</row>
    <row r="29" ht="17.25" customHeight="1">
      <c r="A29" s="614">
        <v>45217.0</v>
      </c>
      <c r="B29" s="592" t="s">
        <v>2218</v>
      </c>
      <c r="C29" s="609"/>
      <c r="D29" s="610">
        <v>5000.0</v>
      </c>
      <c r="E29" s="595"/>
      <c r="F29" s="596"/>
      <c r="G29" s="597">
        <v>20.0</v>
      </c>
      <c r="H29" s="598">
        <f t="shared" si="1"/>
        <v>833.3333333</v>
      </c>
      <c r="I29" s="599"/>
      <c r="J29" s="599"/>
      <c r="K29" s="615"/>
      <c r="L29" s="616" t="s">
        <v>45</v>
      </c>
      <c r="M29" s="612"/>
      <c r="N29" s="612"/>
      <c r="O29" s="612"/>
      <c r="P29" s="602"/>
      <c r="Q29" s="613" t="s">
        <v>64</v>
      </c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</row>
    <row r="30" ht="17.25" customHeight="1">
      <c r="A30" s="608">
        <v>45217.0</v>
      </c>
      <c r="B30" s="592" t="s">
        <v>2218</v>
      </c>
      <c r="C30" s="609"/>
      <c r="D30" s="609">
        <f>I30/0.72</f>
        <v>326388.8889</v>
      </c>
      <c r="E30" s="606"/>
      <c r="F30" s="607"/>
      <c r="G30" s="597">
        <v>20.0</v>
      </c>
      <c r="H30" s="598">
        <f t="shared" si="1"/>
        <v>54398.14815</v>
      </c>
      <c r="I30" s="605">
        <v>235000.0</v>
      </c>
      <c r="J30" s="599"/>
      <c r="K30" s="617"/>
      <c r="L30" s="617"/>
      <c r="M30" s="618"/>
      <c r="N30" s="618"/>
      <c r="O30" s="618"/>
      <c r="P30" s="602"/>
      <c r="Q30" s="613" t="s">
        <v>48</v>
      </c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</row>
    <row r="31" ht="17.25" customHeight="1">
      <c r="A31" s="614">
        <v>45217.0</v>
      </c>
      <c r="B31" s="592" t="s">
        <v>2218</v>
      </c>
      <c r="C31" s="609"/>
      <c r="D31" s="610">
        <v>68729.86</v>
      </c>
      <c r="E31" s="595"/>
      <c r="F31" s="596"/>
      <c r="G31" s="597">
        <v>20.0</v>
      </c>
      <c r="H31" s="598">
        <f t="shared" si="1"/>
        <v>11454.97667</v>
      </c>
      <c r="I31" s="599"/>
      <c r="J31" s="599"/>
      <c r="K31" s="615"/>
      <c r="L31" s="616" t="s">
        <v>66</v>
      </c>
      <c r="M31" s="619"/>
      <c r="N31" s="619"/>
      <c r="O31" s="619"/>
      <c r="P31" s="602"/>
      <c r="Q31" s="620">
        <v>0.02</v>
      </c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</row>
    <row r="32" ht="17.25" customHeight="1">
      <c r="A32" s="614">
        <v>45217.0</v>
      </c>
      <c r="B32" s="592" t="s">
        <v>2218</v>
      </c>
      <c r="C32" s="609"/>
      <c r="D32" s="610">
        <v>5000.0</v>
      </c>
      <c r="E32" s="595"/>
      <c r="F32" s="596"/>
      <c r="G32" s="597">
        <v>20.0</v>
      </c>
      <c r="H32" s="598">
        <f t="shared" si="1"/>
        <v>833.3333333</v>
      </c>
      <c r="I32" s="599"/>
      <c r="J32" s="599"/>
      <c r="K32" s="615"/>
      <c r="L32" s="616" t="s">
        <v>45</v>
      </c>
      <c r="M32" s="612"/>
      <c r="N32" s="612"/>
      <c r="O32" s="612"/>
      <c r="P32" s="602"/>
      <c r="Q32" s="613" t="s">
        <v>64</v>
      </c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</row>
    <row r="33" ht="17.25" customHeight="1">
      <c r="A33" s="614">
        <v>45218.0</v>
      </c>
      <c r="B33" s="592" t="s">
        <v>2218</v>
      </c>
      <c r="C33" s="609"/>
      <c r="D33" s="609"/>
      <c r="E33" s="604" t="s">
        <v>33</v>
      </c>
      <c r="F33" s="596"/>
      <c r="G33" s="597">
        <v>20.0</v>
      </c>
      <c r="H33" s="598">
        <f t="shared" si="1"/>
        <v>0</v>
      </c>
      <c r="I33" s="599"/>
      <c r="J33" s="605">
        <v>23500.0</v>
      </c>
      <c r="K33" s="611"/>
      <c r="L33" s="611"/>
      <c r="M33" s="612"/>
      <c r="N33" s="612"/>
      <c r="O33" s="612"/>
      <c r="P33" s="602"/>
      <c r="Q33" s="613" t="s">
        <v>67</v>
      </c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</row>
    <row r="34" ht="17.25" customHeight="1">
      <c r="A34" s="614">
        <v>45222.0</v>
      </c>
      <c r="B34" s="592" t="s">
        <v>2218</v>
      </c>
      <c r="C34" s="609"/>
      <c r="D34" s="609"/>
      <c r="E34" s="604" t="s">
        <v>33</v>
      </c>
      <c r="F34" s="596"/>
      <c r="G34" s="597">
        <v>0.0</v>
      </c>
      <c r="H34" s="598">
        <f t="shared" si="1"/>
        <v>0</v>
      </c>
      <c r="I34" s="599"/>
      <c r="J34" s="605">
        <v>50750.0</v>
      </c>
      <c r="K34" s="615"/>
      <c r="L34" s="616" t="s">
        <v>68</v>
      </c>
      <c r="M34" s="612"/>
      <c r="N34" s="612"/>
      <c r="O34" s="612"/>
      <c r="P34" s="602"/>
      <c r="Q34" s="613" t="s">
        <v>69</v>
      </c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</row>
    <row r="35" ht="17.25" customHeight="1">
      <c r="A35" s="614">
        <v>45223.0</v>
      </c>
      <c r="B35" s="592" t="s">
        <v>2218</v>
      </c>
      <c r="C35" s="610">
        <v>345869.1</v>
      </c>
      <c r="D35" s="609"/>
      <c r="E35" s="606"/>
      <c r="F35" s="607" t="s">
        <v>51</v>
      </c>
      <c r="G35" s="597">
        <v>20.0</v>
      </c>
      <c r="H35" s="598">
        <f t="shared" si="1"/>
        <v>57644.85</v>
      </c>
      <c r="I35" s="599"/>
      <c r="J35" s="599"/>
      <c r="K35" s="600"/>
      <c r="L35" s="601" t="s">
        <v>38</v>
      </c>
      <c r="M35" s="612"/>
      <c r="N35" s="612"/>
      <c r="O35" s="612"/>
      <c r="P35" s="602">
        <f>A35-IF(O35&gt;0,O35,A35)</f>
        <v>0</v>
      </c>
      <c r="Q35" s="613" t="s">
        <v>70</v>
      </c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</row>
    <row r="36" ht="17.25" customHeight="1">
      <c r="A36" s="614">
        <v>45231.0</v>
      </c>
      <c r="B36" s="592" t="s">
        <v>2218</v>
      </c>
      <c r="C36" s="609"/>
      <c r="D36" s="609">
        <v>265229.19422222226</v>
      </c>
      <c r="E36" s="595"/>
      <c r="F36" s="596"/>
      <c r="G36" s="597">
        <v>0.0</v>
      </c>
      <c r="H36" s="598">
        <f t="shared" si="1"/>
        <v>0</v>
      </c>
      <c r="I36" s="599"/>
      <c r="J36" s="599"/>
      <c r="K36" s="615"/>
      <c r="L36" s="616" t="s">
        <v>2219</v>
      </c>
      <c r="M36" s="621"/>
      <c r="N36" s="621"/>
      <c r="O36" s="621"/>
      <c r="P36" s="602"/>
      <c r="Q36" s="622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</row>
    <row r="37" ht="17.25" customHeight="1">
      <c r="A37" s="614">
        <v>45231.0</v>
      </c>
      <c r="B37" s="592" t="s">
        <v>2218</v>
      </c>
      <c r="C37" s="609"/>
      <c r="D37" s="609">
        <v>212183.35537777783</v>
      </c>
      <c r="E37" s="595"/>
      <c r="F37" s="596"/>
      <c r="G37" s="597">
        <v>0.0</v>
      </c>
      <c r="H37" s="598">
        <f t="shared" si="1"/>
        <v>0</v>
      </c>
      <c r="I37" s="599"/>
      <c r="J37" s="599"/>
      <c r="K37" s="615"/>
      <c r="L37" s="616" t="s">
        <v>2220</v>
      </c>
      <c r="M37" s="621"/>
      <c r="N37" s="621"/>
      <c r="O37" s="621"/>
      <c r="P37" s="602"/>
      <c r="Q37" s="622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</row>
    <row r="38" ht="17.25" customHeight="1">
      <c r="A38" s="614">
        <v>45233.0</v>
      </c>
      <c r="B38" s="592" t="s">
        <v>2218</v>
      </c>
      <c r="C38" s="609"/>
      <c r="D38" s="609"/>
      <c r="E38" s="604" t="s">
        <v>33</v>
      </c>
      <c r="F38" s="596"/>
      <c r="G38" s="597">
        <v>20.0</v>
      </c>
      <c r="H38" s="598">
        <f t="shared" si="1"/>
        <v>0</v>
      </c>
      <c r="I38" s="599"/>
      <c r="J38" s="599">
        <f>23110+451</f>
        <v>23561</v>
      </c>
      <c r="K38" s="611"/>
      <c r="L38" s="611"/>
      <c r="M38" s="612"/>
      <c r="N38" s="612"/>
      <c r="O38" s="612"/>
      <c r="P38" s="602"/>
      <c r="Q38" s="613" t="s">
        <v>73</v>
      </c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</row>
    <row r="39" ht="17.25" customHeight="1">
      <c r="A39" s="614">
        <v>45237.0</v>
      </c>
      <c r="B39" s="592" t="s">
        <v>2218</v>
      </c>
      <c r="C39" s="609"/>
      <c r="D39" s="609"/>
      <c r="E39" s="604" t="s">
        <v>33</v>
      </c>
      <c r="F39" s="596"/>
      <c r="G39" s="597">
        <v>20.0</v>
      </c>
      <c r="H39" s="598">
        <f t="shared" si="1"/>
        <v>0</v>
      </c>
      <c r="I39" s="599"/>
      <c r="J39" s="605">
        <v>24000.0</v>
      </c>
      <c r="K39" s="611"/>
      <c r="L39" s="611"/>
      <c r="M39" s="612"/>
      <c r="N39" s="612"/>
      <c r="O39" s="612"/>
      <c r="P39" s="602"/>
      <c r="Q39" s="613" t="s">
        <v>74</v>
      </c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</row>
    <row r="40" ht="17.25" customHeight="1">
      <c r="A40" s="614">
        <v>45240.0</v>
      </c>
      <c r="B40" s="592" t="s">
        <v>2218</v>
      </c>
      <c r="C40" s="610">
        <v>846913.92</v>
      </c>
      <c r="D40" s="609"/>
      <c r="E40" s="606"/>
      <c r="F40" s="607" t="s">
        <v>51</v>
      </c>
      <c r="G40" s="597">
        <v>20.0</v>
      </c>
      <c r="H40" s="598">
        <f t="shared" si="1"/>
        <v>141152.32</v>
      </c>
      <c r="I40" s="599"/>
      <c r="J40" s="599"/>
      <c r="K40" s="615"/>
      <c r="L40" s="616" t="s">
        <v>75</v>
      </c>
      <c r="M40" s="612"/>
      <c r="N40" s="612"/>
      <c r="O40" s="612"/>
      <c r="P40" s="602">
        <f>A40-IF(O40&gt;0,O40,A40)</f>
        <v>0</v>
      </c>
      <c r="Q40" s="613" t="s">
        <v>76</v>
      </c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</row>
    <row r="41" ht="17.25" customHeight="1">
      <c r="A41" s="614">
        <v>45243.0</v>
      </c>
      <c r="B41" s="592" t="s">
        <v>2218</v>
      </c>
      <c r="C41" s="609"/>
      <c r="D41" s="610">
        <v>834798.18</v>
      </c>
      <c r="E41" s="595"/>
      <c r="F41" s="596"/>
      <c r="G41" s="597">
        <v>20.0</v>
      </c>
      <c r="H41" s="598">
        <f t="shared" si="1"/>
        <v>139133.03</v>
      </c>
      <c r="I41" s="599"/>
      <c r="J41" s="599"/>
      <c r="K41" s="615"/>
      <c r="L41" s="616" t="s">
        <v>77</v>
      </c>
      <c r="M41" s="612"/>
      <c r="N41" s="612"/>
      <c r="O41" s="612"/>
      <c r="P41" s="602"/>
      <c r="Q41" s="613" t="s">
        <v>78</v>
      </c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</row>
    <row r="42" ht="17.25" customHeight="1">
      <c r="A42" s="614">
        <v>45246.0</v>
      </c>
      <c r="B42" s="592" t="s">
        <v>2218</v>
      </c>
      <c r="C42" s="609"/>
      <c r="D42" s="609"/>
      <c r="E42" s="604" t="s">
        <v>33</v>
      </c>
      <c r="F42" s="596"/>
      <c r="G42" s="597">
        <v>20.0</v>
      </c>
      <c r="H42" s="598">
        <f t="shared" si="1"/>
        <v>0</v>
      </c>
      <c r="I42" s="599"/>
      <c r="J42" s="599">
        <f>112220+234.1</f>
        <v>112454.1</v>
      </c>
      <c r="K42" s="611"/>
      <c r="L42" s="611"/>
      <c r="M42" s="612"/>
      <c r="N42" s="612"/>
      <c r="O42" s="612"/>
      <c r="P42" s="602"/>
      <c r="Q42" s="613" t="s">
        <v>79</v>
      </c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</row>
    <row r="43" ht="17.25" customHeight="1">
      <c r="A43" s="614">
        <v>45246.0</v>
      </c>
      <c r="B43" s="592" t="s">
        <v>2218</v>
      </c>
      <c r="C43" s="609"/>
      <c r="D43" s="609"/>
      <c r="E43" s="604" t="s">
        <v>33</v>
      </c>
      <c r="F43" s="596"/>
      <c r="G43" s="597">
        <v>0.0</v>
      </c>
      <c r="H43" s="598">
        <f t="shared" si="1"/>
        <v>0</v>
      </c>
      <c r="I43" s="599"/>
      <c r="J43" s="599">
        <f>50000+975</f>
        <v>50975</v>
      </c>
      <c r="K43" s="615"/>
      <c r="L43" s="616" t="s">
        <v>68</v>
      </c>
      <c r="M43" s="612"/>
      <c r="N43" s="612"/>
      <c r="O43" s="612"/>
      <c r="P43" s="602"/>
      <c r="Q43" s="613" t="s">
        <v>69</v>
      </c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</row>
    <row r="44" ht="17.25" customHeight="1">
      <c r="A44" s="614">
        <v>45258.0</v>
      </c>
      <c r="B44" s="592" t="s">
        <v>2218</v>
      </c>
      <c r="C44" s="609"/>
      <c r="D44" s="609"/>
      <c r="E44" s="604" t="s">
        <v>33</v>
      </c>
      <c r="F44" s="596"/>
      <c r="G44" s="597">
        <v>0.0</v>
      </c>
      <c r="H44" s="598">
        <f t="shared" si="1"/>
        <v>0</v>
      </c>
      <c r="I44" s="599"/>
      <c r="J44" s="605">
        <v>100000.0</v>
      </c>
      <c r="K44" s="615"/>
      <c r="L44" s="616" t="s">
        <v>68</v>
      </c>
      <c r="M44" s="612"/>
      <c r="N44" s="612"/>
      <c r="O44" s="612"/>
      <c r="P44" s="602"/>
      <c r="Q44" s="613" t="s">
        <v>80</v>
      </c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</row>
    <row r="45" ht="17.25" customHeight="1">
      <c r="A45" s="614">
        <v>45258.0</v>
      </c>
      <c r="B45" s="592" t="s">
        <v>2218</v>
      </c>
      <c r="C45" s="609"/>
      <c r="D45" s="609"/>
      <c r="E45" s="604" t="s">
        <v>33</v>
      </c>
      <c r="F45" s="596"/>
      <c r="G45" s="597">
        <v>0.0</v>
      </c>
      <c r="H45" s="598">
        <f t="shared" si="1"/>
        <v>0</v>
      </c>
      <c r="I45" s="599"/>
      <c r="J45" s="605">
        <v>24000.0</v>
      </c>
      <c r="K45" s="615"/>
      <c r="L45" s="616" t="s">
        <v>68</v>
      </c>
      <c r="M45" s="612"/>
      <c r="N45" s="612"/>
      <c r="O45" s="612"/>
      <c r="P45" s="602"/>
      <c r="Q45" s="613" t="s">
        <v>74</v>
      </c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</row>
    <row r="46" ht="17.25" customHeight="1">
      <c r="A46" s="614">
        <v>45258.0</v>
      </c>
      <c r="B46" s="592" t="s">
        <v>2218</v>
      </c>
      <c r="C46" s="609"/>
      <c r="D46" s="609">
        <f>I46/0.7</f>
        <v>485714.2857</v>
      </c>
      <c r="E46" s="606"/>
      <c r="F46" s="607"/>
      <c r="G46" s="597">
        <v>20.0</v>
      </c>
      <c r="H46" s="598">
        <f t="shared" si="1"/>
        <v>80952.38095</v>
      </c>
      <c r="I46" s="605">
        <v>340000.0</v>
      </c>
      <c r="J46" s="599"/>
      <c r="K46" s="611"/>
      <c r="L46" s="611"/>
      <c r="M46" s="621"/>
      <c r="N46" s="621"/>
      <c r="O46" s="621"/>
      <c r="P46" s="602"/>
      <c r="Q46" s="622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</row>
    <row r="47" ht="17.25" customHeight="1">
      <c r="A47" s="614">
        <v>45260.0</v>
      </c>
      <c r="B47" s="592" t="s">
        <v>2218</v>
      </c>
      <c r="C47" s="610">
        <v>796589.1</v>
      </c>
      <c r="D47" s="609"/>
      <c r="E47" s="606"/>
      <c r="F47" s="607" t="s">
        <v>51</v>
      </c>
      <c r="G47" s="597">
        <v>20.0</v>
      </c>
      <c r="H47" s="598">
        <f t="shared" si="1"/>
        <v>132764.85</v>
      </c>
      <c r="I47" s="599"/>
      <c r="J47" s="599"/>
      <c r="K47" s="600"/>
      <c r="L47" s="601" t="s">
        <v>38</v>
      </c>
      <c r="M47" s="612"/>
      <c r="N47" s="612"/>
      <c r="O47" s="612"/>
      <c r="P47" s="602">
        <f>A47-IF(O47&gt;0,O47,A47)</f>
        <v>0</v>
      </c>
      <c r="Q47" s="613" t="s">
        <v>81</v>
      </c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</row>
    <row r="48" ht="17.25" customHeight="1">
      <c r="A48" s="614">
        <v>45261.0</v>
      </c>
      <c r="B48" s="592" t="s">
        <v>2218</v>
      </c>
      <c r="C48" s="609"/>
      <c r="D48" s="610">
        <v>6990.0</v>
      </c>
      <c r="E48" s="595"/>
      <c r="F48" s="596"/>
      <c r="G48" s="597">
        <v>0.0</v>
      </c>
      <c r="H48" s="598">
        <f t="shared" si="1"/>
        <v>0</v>
      </c>
      <c r="I48" s="599"/>
      <c r="J48" s="599"/>
      <c r="K48" s="600"/>
      <c r="L48" s="601" t="s">
        <v>31</v>
      </c>
      <c r="M48" s="621"/>
      <c r="N48" s="621"/>
      <c r="O48" s="621"/>
      <c r="P48" s="602"/>
      <c r="Q48" s="622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</row>
    <row r="49" ht="17.25" customHeight="1">
      <c r="A49" s="614">
        <v>45263.0</v>
      </c>
      <c r="B49" s="592" t="s">
        <v>2218</v>
      </c>
      <c r="C49" s="609"/>
      <c r="D49" s="609"/>
      <c r="E49" s="604" t="s">
        <v>33</v>
      </c>
      <c r="F49" s="596"/>
      <c r="G49" s="597">
        <v>0.0</v>
      </c>
      <c r="H49" s="598">
        <f t="shared" si="1"/>
        <v>0</v>
      </c>
      <c r="I49" s="599"/>
      <c r="J49" s="605">
        <v>100000.0</v>
      </c>
      <c r="K49" s="615"/>
      <c r="L49" s="616" t="s">
        <v>68</v>
      </c>
      <c r="M49" s="612"/>
      <c r="N49" s="612"/>
      <c r="O49" s="612"/>
      <c r="P49" s="602"/>
      <c r="Q49" s="613" t="s">
        <v>80</v>
      </c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</row>
    <row r="50" ht="17.25" customHeight="1">
      <c r="A50" s="614">
        <v>45264.0</v>
      </c>
      <c r="B50" s="592" t="s">
        <v>2218</v>
      </c>
      <c r="C50" s="610"/>
      <c r="D50" s="610">
        <v>245350.0</v>
      </c>
      <c r="E50" s="595"/>
      <c r="F50" s="596"/>
      <c r="G50" s="597">
        <v>0.0</v>
      </c>
      <c r="H50" s="598">
        <f t="shared" si="1"/>
        <v>0</v>
      </c>
      <c r="I50" s="599"/>
      <c r="J50" s="599"/>
      <c r="K50" s="615"/>
      <c r="L50" s="616" t="s">
        <v>82</v>
      </c>
      <c r="M50" s="612"/>
      <c r="N50" s="612"/>
      <c r="O50" s="612"/>
      <c r="P50" s="602"/>
      <c r="Q50" s="613" t="s">
        <v>83</v>
      </c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</row>
    <row r="51" ht="17.25" customHeight="1">
      <c r="A51" s="614">
        <v>45264.0</v>
      </c>
      <c r="B51" s="592" t="s">
        <v>2218</v>
      </c>
      <c r="C51" s="610"/>
      <c r="D51" s="610">
        <v>27965.89</v>
      </c>
      <c r="E51" s="595"/>
      <c r="F51" s="596"/>
      <c r="G51" s="597">
        <v>20.0</v>
      </c>
      <c r="H51" s="598">
        <f t="shared" si="1"/>
        <v>4660.981667</v>
      </c>
      <c r="I51" s="599"/>
      <c r="J51" s="599"/>
      <c r="K51" s="615"/>
      <c r="L51" s="616" t="s">
        <v>84</v>
      </c>
      <c r="M51" s="612"/>
      <c r="N51" s="612"/>
      <c r="O51" s="612"/>
      <c r="P51" s="602"/>
      <c r="Q51" s="613" t="s">
        <v>85</v>
      </c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</row>
    <row r="52" ht="17.25" customHeight="1">
      <c r="A52" s="614">
        <v>45264.0</v>
      </c>
      <c r="B52" s="592" t="s">
        <v>2218</v>
      </c>
      <c r="C52" s="609"/>
      <c r="D52" s="609"/>
      <c r="E52" s="604" t="s">
        <v>33</v>
      </c>
      <c r="F52" s="596"/>
      <c r="G52" s="597">
        <v>0.0</v>
      </c>
      <c r="H52" s="598">
        <f t="shared" si="1"/>
        <v>0</v>
      </c>
      <c r="I52" s="599"/>
      <c r="J52" s="605">
        <v>101950.0</v>
      </c>
      <c r="K52" s="615"/>
      <c r="L52" s="616" t="s">
        <v>68</v>
      </c>
      <c r="M52" s="612"/>
      <c r="N52" s="612"/>
      <c r="O52" s="612"/>
      <c r="P52" s="602"/>
      <c r="Q52" s="613" t="s">
        <v>86</v>
      </c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</row>
    <row r="53" ht="17.25" customHeight="1">
      <c r="A53" s="614">
        <v>45266.0</v>
      </c>
      <c r="B53" s="592" t="s">
        <v>2218</v>
      </c>
      <c r="C53" s="610">
        <v>214155.36</v>
      </c>
      <c r="D53" s="609"/>
      <c r="E53" s="595"/>
      <c r="F53" s="596" t="s">
        <v>51</v>
      </c>
      <c r="G53" s="597">
        <v>20.0</v>
      </c>
      <c r="H53" s="598">
        <f t="shared" si="1"/>
        <v>35692.56</v>
      </c>
      <c r="I53" s="599"/>
      <c r="J53" s="599"/>
      <c r="K53" s="615"/>
      <c r="L53" s="616" t="s">
        <v>87</v>
      </c>
      <c r="M53" s="621"/>
      <c r="N53" s="621"/>
      <c r="O53" s="621"/>
      <c r="P53" s="602">
        <f t="shared" ref="P53:P54" si="3">A53-IF(O53&gt;0,O53,A53)</f>
        <v>0</v>
      </c>
      <c r="Q53" s="622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</row>
    <row r="54" ht="17.25" customHeight="1">
      <c r="A54" s="614">
        <v>45266.0</v>
      </c>
      <c r="B54" s="592" t="s">
        <v>2218</v>
      </c>
      <c r="C54" s="610">
        <v>360000.0</v>
      </c>
      <c r="D54" s="609"/>
      <c r="E54" s="595"/>
      <c r="F54" s="596" t="s">
        <v>51</v>
      </c>
      <c r="G54" s="597">
        <v>20.0</v>
      </c>
      <c r="H54" s="598">
        <f t="shared" si="1"/>
        <v>60000</v>
      </c>
      <c r="I54" s="599"/>
      <c r="J54" s="599"/>
      <c r="K54" s="600"/>
      <c r="L54" s="601" t="s">
        <v>38</v>
      </c>
      <c r="M54" s="621"/>
      <c r="N54" s="621"/>
      <c r="O54" s="621"/>
      <c r="P54" s="602">
        <f t="shared" si="3"/>
        <v>0</v>
      </c>
      <c r="Q54" s="622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</row>
    <row r="55" ht="17.25" customHeight="1">
      <c r="A55" s="614">
        <v>45268.0</v>
      </c>
      <c r="B55" s="592" t="s">
        <v>2218</v>
      </c>
      <c r="C55" s="609"/>
      <c r="D55" s="609"/>
      <c r="E55" s="604" t="s">
        <v>33</v>
      </c>
      <c r="F55" s="596"/>
      <c r="G55" s="597">
        <v>0.0</v>
      </c>
      <c r="H55" s="598">
        <f t="shared" si="1"/>
        <v>0</v>
      </c>
      <c r="I55" s="599"/>
      <c r="J55" s="605">
        <v>130000.0</v>
      </c>
      <c r="K55" s="615"/>
      <c r="L55" s="616" t="s">
        <v>68</v>
      </c>
      <c r="M55" s="612"/>
      <c r="N55" s="612"/>
      <c r="O55" s="612"/>
      <c r="P55" s="602"/>
      <c r="Q55" s="613" t="s">
        <v>88</v>
      </c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</row>
    <row r="56" ht="17.25" customHeight="1">
      <c r="A56" s="614">
        <v>45268.0</v>
      </c>
      <c r="B56" s="592" t="s">
        <v>2218</v>
      </c>
      <c r="C56" s="609"/>
      <c r="D56" s="609"/>
      <c r="E56" s="604" t="s">
        <v>33</v>
      </c>
      <c r="F56" s="596"/>
      <c r="G56" s="597">
        <v>20.0</v>
      </c>
      <c r="H56" s="598">
        <f t="shared" si="1"/>
        <v>0</v>
      </c>
      <c r="I56" s="599"/>
      <c r="J56" s="605">
        <v>40000.0</v>
      </c>
      <c r="K56" s="615"/>
      <c r="L56" s="615" t="s">
        <v>89</v>
      </c>
      <c r="M56" s="621"/>
      <c r="N56" s="621"/>
      <c r="O56" s="621"/>
      <c r="P56" s="602"/>
      <c r="Q56" s="622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</row>
    <row r="57" ht="17.25" customHeight="1">
      <c r="A57" s="614">
        <v>45268.0</v>
      </c>
      <c r="B57" s="592" t="s">
        <v>2218</v>
      </c>
      <c r="C57" s="609"/>
      <c r="D57" s="609"/>
      <c r="E57" s="604" t="s">
        <v>33</v>
      </c>
      <c r="F57" s="596"/>
      <c r="G57" s="597">
        <v>0.0</v>
      </c>
      <c r="H57" s="598">
        <f t="shared" si="1"/>
        <v>0</v>
      </c>
      <c r="I57" s="599"/>
      <c r="J57" s="605">
        <v>25000.0</v>
      </c>
      <c r="K57" s="615"/>
      <c r="L57" s="616" t="s">
        <v>68</v>
      </c>
      <c r="M57" s="612"/>
      <c r="N57" s="612"/>
      <c r="O57" s="612"/>
      <c r="P57" s="602"/>
      <c r="Q57" s="613" t="s">
        <v>90</v>
      </c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</row>
    <row r="58" ht="17.25" customHeight="1">
      <c r="A58" s="608">
        <v>45268.0</v>
      </c>
      <c r="B58" s="592" t="s">
        <v>2218</v>
      </c>
      <c r="C58" s="609"/>
      <c r="D58" s="609">
        <f>I58/0.68</f>
        <v>808823.5294</v>
      </c>
      <c r="E58" s="606"/>
      <c r="F58" s="607"/>
      <c r="G58" s="597">
        <v>20.0</v>
      </c>
      <c r="H58" s="598">
        <f t="shared" si="1"/>
        <v>134803.9216</v>
      </c>
      <c r="I58" s="605">
        <v>550000.0</v>
      </c>
      <c r="J58" s="599"/>
      <c r="K58" s="615"/>
      <c r="L58" s="616" t="s">
        <v>48</v>
      </c>
      <c r="M58" s="612"/>
      <c r="N58" s="612"/>
      <c r="O58" s="612"/>
      <c r="P58" s="602"/>
      <c r="Q58" s="613" t="s">
        <v>48</v>
      </c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</row>
    <row r="59" ht="17.25" customHeight="1">
      <c r="A59" s="614">
        <v>45271.0</v>
      </c>
      <c r="B59" s="592" t="s">
        <v>2218</v>
      </c>
      <c r="C59" s="610">
        <v>473906.52</v>
      </c>
      <c r="D59" s="609"/>
      <c r="E59" s="595"/>
      <c r="F59" s="596" t="s">
        <v>51</v>
      </c>
      <c r="G59" s="597">
        <v>20.0</v>
      </c>
      <c r="H59" s="598">
        <f t="shared" si="1"/>
        <v>78984.42</v>
      </c>
      <c r="I59" s="599"/>
      <c r="J59" s="599"/>
      <c r="K59" s="615"/>
      <c r="L59" s="616" t="s">
        <v>87</v>
      </c>
      <c r="M59" s="612"/>
      <c r="N59" s="612"/>
      <c r="O59" s="612"/>
      <c r="P59" s="602">
        <f>A59-IF(O59&gt;0,O59,A59)</f>
        <v>0</v>
      </c>
      <c r="Q59" s="613" t="s">
        <v>91</v>
      </c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</row>
    <row r="60" ht="17.25" customHeight="1">
      <c r="A60" s="614">
        <v>45272.0</v>
      </c>
      <c r="B60" s="592" t="s">
        <v>2218</v>
      </c>
      <c r="C60" s="610"/>
      <c r="D60" s="610">
        <v>225700.24</v>
      </c>
      <c r="E60" s="595"/>
      <c r="F60" s="596"/>
      <c r="G60" s="597">
        <v>0.0</v>
      </c>
      <c r="H60" s="598">
        <f t="shared" si="1"/>
        <v>0</v>
      </c>
      <c r="I60" s="599"/>
      <c r="J60" s="599"/>
      <c r="K60" s="615"/>
      <c r="L60" s="616" t="s">
        <v>62</v>
      </c>
      <c r="M60" s="612"/>
      <c r="N60" s="612"/>
      <c r="O60" s="612"/>
      <c r="P60" s="602"/>
      <c r="Q60" s="613" t="s">
        <v>92</v>
      </c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</row>
    <row r="61" ht="17.25" customHeight="1">
      <c r="A61" s="614">
        <v>45272.0</v>
      </c>
      <c r="B61" s="592" t="s">
        <v>2218</v>
      </c>
      <c r="C61" s="610"/>
      <c r="D61" s="610">
        <v>171392.0</v>
      </c>
      <c r="E61" s="595"/>
      <c r="F61" s="596"/>
      <c r="G61" s="597">
        <v>20.0</v>
      </c>
      <c r="H61" s="598">
        <f t="shared" si="1"/>
        <v>28565.33333</v>
      </c>
      <c r="I61" s="599"/>
      <c r="J61" s="599"/>
      <c r="K61" s="600"/>
      <c r="L61" s="601" t="s">
        <v>38</v>
      </c>
      <c r="M61" s="612"/>
      <c r="N61" s="612"/>
      <c r="O61" s="612"/>
      <c r="P61" s="602"/>
      <c r="Q61" s="613" t="s">
        <v>94</v>
      </c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</row>
    <row r="62" ht="17.25" customHeight="1">
      <c r="A62" s="614">
        <v>45272.0</v>
      </c>
      <c r="B62" s="592" t="s">
        <v>2218</v>
      </c>
      <c r="C62" s="609"/>
      <c r="D62" s="610">
        <v>22935.0</v>
      </c>
      <c r="E62" s="595"/>
      <c r="F62" s="596"/>
      <c r="G62" s="597">
        <v>20.0</v>
      </c>
      <c r="H62" s="598">
        <f t="shared" si="1"/>
        <v>3822.5</v>
      </c>
      <c r="I62" s="599"/>
      <c r="J62" s="599"/>
      <c r="K62" s="615"/>
      <c r="L62" s="616" t="s">
        <v>95</v>
      </c>
      <c r="M62" s="612"/>
      <c r="N62" s="612"/>
      <c r="O62" s="612"/>
      <c r="P62" s="602"/>
      <c r="Q62" s="613" t="s">
        <v>96</v>
      </c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</row>
    <row r="63" ht="17.25" customHeight="1">
      <c r="A63" s="614">
        <v>45272.0</v>
      </c>
      <c r="B63" s="592" t="s">
        <v>2218</v>
      </c>
      <c r="C63" s="609"/>
      <c r="D63" s="610">
        <v>32217.53</v>
      </c>
      <c r="E63" s="595"/>
      <c r="F63" s="596"/>
      <c r="G63" s="597">
        <v>20.0</v>
      </c>
      <c r="H63" s="598">
        <f t="shared" si="1"/>
        <v>5369.588333</v>
      </c>
      <c r="I63" s="599"/>
      <c r="J63" s="599"/>
      <c r="K63" s="615"/>
      <c r="L63" s="616" t="s">
        <v>84</v>
      </c>
      <c r="M63" s="612"/>
      <c r="N63" s="612"/>
      <c r="O63" s="612"/>
      <c r="P63" s="602"/>
      <c r="Q63" s="613" t="s">
        <v>97</v>
      </c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</row>
    <row r="64" ht="17.25" customHeight="1">
      <c r="A64" s="614">
        <v>45273.0</v>
      </c>
      <c r="B64" s="592" t="s">
        <v>2218</v>
      </c>
      <c r="C64" s="609"/>
      <c r="D64" s="609"/>
      <c r="E64" s="604" t="s">
        <v>33</v>
      </c>
      <c r="F64" s="596"/>
      <c r="G64" s="597">
        <v>20.0</v>
      </c>
      <c r="H64" s="598">
        <f t="shared" si="1"/>
        <v>0</v>
      </c>
      <c r="I64" s="599"/>
      <c r="J64" s="605">
        <v>30000.0</v>
      </c>
      <c r="K64" s="615"/>
      <c r="L64" s="616" t="s">
        <v>98</v>
      </c>
      <c r="M64" s="621"/>
      <c r="N64" s="621"/>
      <c r="O64" s="621"/>
      <c r="P64" s="602"/>
      <c r="Q64" s="622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</row>
    <row r="65" ht="17.25" customHeight="1">
      <c r="A65" s="614">
        <v>45279.0</v>
      </c>
      <c r="B65" s="592" t="s">
        <v>2218</v>
      </c>
      <c r="C65" s="609"/>
      <c r="D65" s="609"/>
      <c r="E65" s="604" t="s">
        <v>33</v>
      </c>
      <c r="F65" s="596"/>
      <c r="G65" s="597">
        <v>20.0</v>
      </c>
      <c r="H65" s="598">
        <f t="shared" si="1"/>
        <v>0</v>
      </c>
      <c r="I65" s="599"/>
      <c r="J65" s="605">
        <v>25000.0</v>
      </c>
      <c r="K65" s="615"/>
      <c r="L65" s="615" t="s">
        <v>99</v>
      </c>
      <c r="M65" s="621"/>
      <c r="N65" s="621"/>
      <c r="O65" s="621"/>
      <c r="P65" s="602"/>
      <c r="Q65" s="622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</row>
    <row r="66" ht="17.25" customHeight="1">
      <c r="A66" s="614">
        <v>45281.0</v>
      </c>
      <c r="B66" s="592" t="s">
        <v>2218</v>
      </c>
      <c r="C66" s="609"/>
      <c r="D66" s="609"/>
      <c r="E66" s="604" t="s">
        <v>33</v>
      </c>
      <c r="F66" s="596"/>
      <c r="G66" s="597">
        <v>20.0</v>
      </c>
      <c r="H66" s="598">
        <f t="shared" si="1"/>
        <v>0</v>
      </c>
      <c r="I66" s="599"/>
      <c r="J66" s="605">
        <v>100500.0</v>
      </c>
      <c r="K66" s="615"/>
      <c r="L66" s="616" t="s">
        <v>100</v>
      </c>
      <c r="M66" s="621"/>
      <c r="N66" s="621"/>
      <c r="O66" s="621"/>
      <c r="P66" s="602"/>
      <c r="Q66" s="622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</row>
    <row r="67" ht="17.25" customHeight="1">
      <c r="A67" s="614">
        <v>45288.0</v>
      </c>
      <c r="B67" s="592" t="s">
        <v>2218</v>
      </c>
      <c r="C67" s="609"/>
      <c r="D67" s="610">
        <v>500000.0</v>
      </c>
      <c r="E67" s="595"/>
      <c r="F67" s="596"/>
      <c r="G67" s="597">
        <v>20.0</v>
      </c>
      <c r="H67" s="598">
        <f t="shared" si="1"/>
        <v>83333.33333</v>
      </c>
      <c r="I67" s="599"/>
      <c r="J67" s="599"/>
      <c r="K67" s="615"/>
      <c r="L67" s="616" t="s">
        <v>654</v>
      </c>
      <c r="M67" s="612"/>
      <c r="N67" s="612"/>
      <c r="O67" s="612"/>
      <c r="P67" s="602"/>
      <c r="Q67" s="613" t="s">
        <v>103</v>
      </c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</row>
    <row r="68" ht="17.25" customHeight="1">
      <c r="A68" s="614">
        <v>45289.0</v>
      </c>
      <c r="B68" s="592" t="s">
        <v>2218</v>
      </c>
      <c r="C68" s="609"/>
      <c r="D68" s="610">
        <v>33228.0</v>
      </c>
      <c r="E68" s="595"/>
      <c r="F68" s="596"/>
      <c r="G68" s="597">
        <v>20.0</v>
      </c>
      <c r="H68" s="598">
        <f t="shared" si="1"/>
        <v>5538</v>
      </c>
      <c r="I68" s="599"/>
      <c r="J68" s="599"/>
      <c r="K68" s="615"/>
      <c r="L68" s="616" t="s">
        <v>95</v>
      </c>
      <c r="M68" s="612"/>
      <c r="N68" s="612"/>
      <c r="O68" s="612"/>
      <c r="P68" s="602"/>
      <c r="Q68" s="613" t="s">
        <v>104</v>
      </c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</row>
    <row r="69" ht="17.25" customHeight="1">
      <c r="A69" s="614">
        <v>45289.0</v>
      </c>
      <c r="B69" s="592" t="s">
        <v>2218</v>
      </c>
      <c r="C69" s="610">
        <v>866884.2</v>
      </c>
      <c r="D69" s="609"/>
      <c r="E69" s="595"/>
      <c r="F69" s="596"/>
      <c r="G69" s="597">
        <v>20.0</v>
      </c>
      <c r="H69" s="598">
        <f t="shared" si="1"/>
        <v>144480.7</v>
      </c>
      <c r="I69" s="599"/>
      <c r="J69" s="599"/>
      <c r="K69" s="600"/>
      <c r="L69" s="601" t="s">
        <v>38</v>
      </c>
      <c r="M69" s="612"/>
      <c r="N69" s="612"/>
      <c r="O69" s="612"/>
      <c r="P69" s="602">
        <f>A69-IF(O69&gt;0,O69,A69)</f>
        <v>0</v>
      </c>
      <c r="Q69" s="613" t="s">
        <v>105</v>
      </c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</row>
    <row r="70" ht="17.25" customHeight="1">
      <c r="A70" s="614">
        <v>45289.0</v>
      </c>
      <c r="B70" s="592" t="s">
        <v>2218</v>
      </c>
      <c r="C70" s="609"/>
      <c r="D70" s="610">
        <v>245617.19</v>
      </c>
      <c r="E70" s="595"/>
      <c r="F70" s="596"/>
      <c r="G70" s="597">
        <v>0.0</v>
      </c>
      <c r="H70" s="598">
        <f t="shared" si="1"/>
        <v>0</v>
      </c>
      <c r="I70" s="599"/>
      <c r="J70" s="599"/>
      <c r="K70" s="615"/>
      <c r="L70" s="616" t="s">
        <v>62</v>
      </c>
      <c r="M70" s="612"/>
      <c r="N70" s="612"/>
      <c r="O70" s="612"/>
      <c r="P70" s="602"/>
      <c r="Q70" s="613" t="s">
        <v>106</v>
      </c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</row>
    <row r="71" ht="17.25" customHeight="1">
      <c r="A71" s="614">
        <v>45289.0</v>
      </c>
      <c r="B71" s="592" t="s">
        <v>2218</v>
      </c>
      <c r="C71" s="609"/>
      <c r="D71" s="610">
        <v>5000.0</v>
      </c>
      <c r="E71" s="595"/>
      <c r="F71" s="596"/>
      <c r="G71" s="597">
        <v>20.0</v>
      </c>
      <c r="H71" s="598">
        <f t="shared" si="1"/>
        <v>833.3333333</v>
      </c>
      <c r="I71" s="599"/>
      <c r="J71" s="599"/>
      <c r="K71" s="615"/>
      <c r="L71" s="616" t="s">
        <v>45</v>
      </c>
      <c r="M71" s="612"/>
      <c r="N71" s="612"/>
      <c r="O71" s="612"/>
      <c r="P71" s="602"/>
      <c r="Q71" s="613" t="s">
        <v>107</v>
      </c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</row>
    <row r="72" ht="17.25" customHeight="1">
      <c r="A72" s="614">
        <v>45289.0</v>
      </c>
      <c r="B72" s="592" t="s">
        <v>2218</v>
      </c>
      <c r="C72" s="609"/>
      <c r="D72" s="610">
        <v>133632.94</v>
      </c>
      <c r="E72" s="595"/>
      <c r="F72" s="596"/>
      <c r="G72" s="597">
        <v>20.0</v>
      </c>
      <c r="H72" s="598">
        <f t="shared" si="1"/>
        <v>22272.15667</v>
      </c>
      <c r="I72" s="599"/>
      <c r="J72" s="599"/>
      <c r="K72" s="615"/>
      <c r="L72" s="616" t="s">
        <v>77</v>
      </c>
      <c r="M72" s="621"/>
      <c r="N72" s="621"/>
      <c r="O72" s="621"/>
      <c r="P72" s="602"/>
      <c r="Q72" s="622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</row>
    <row r="73" ht="17.25" customHeight="1">
      <c r="A73" s="614">
        <v>45289.0</v>
      </c>
      <c r="B73" s="592" t="s">
        <v>2218</v>
      </c>
      <c r="C73" s="609"/>
      <c r="D73" s="610">
        <v>295717.67</v>
      </c>
      <c r="E73" s="595"/>
      <c r="F73" s="596"/>
      <c r="G73" s="597">
        <v>20.0</v>
      </c>
      <c r="H73" s="598">
        <f t="shared" si="1"/>
        <v>49286.27833</v>
      </c>
      <c r="I73" s="599"/>
      <c r="J73" s="599"/>
      <c r="K73" s="615"/>
      <c r="L73" s="616" t="s">
        <v>77</v>
      </c>
      <c r="M73" s="621"/>
      <c r="N73" s="621"/>
      <c r="O73" s="621"/>
      <c r="P73" s="602"/>
      <c r="Q73" s="622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</row>
    <row r="74" ht="17.25" customHeight="1">
      <c r="A74" s="614">
        <v>45289.0</v>
      </c>
      <c r="B74" s="592" t="s">
        <v>2218</v>
      </c>
      <c r="C74" s="609"/>
      <c r="D74" s="610">
        <v>6990.0</v>
      </c>
      <c r="E74" s="595"/>
      <c r="F74" s="596"/>
      <c r="G74" s="597">
        <v>0.0</v>
      </c>
      <c r="H74" s="598">
        <f t="shared" si="1"/>
        <v>0</v>
      </c>
      <c r="I74" s="599"/>
      <c r="J74" s="599"/>
      <c r="K74" s="623"/>
      <c r="L74" s="624" t="s">
        <v>31</v>
      </c>
      <c r="M74" s="625"/>
      <c r="N74" s="625"/>
      <c r="O74" s="625"/>
      <c r="P74" s="602"/>
      <c r="Q74" s="622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</row>
    <row r="75" ht="17.25" customHeight="1">
      <c r="A75" s="614">
        <v>45289.0</v>
      </c>
      <c r="B75" s="592" t="s">
        <v>2218</v>
      </c>
      <c r="C75" s="609"/>
      <c r="D75" s="609"/>
      <c r="E75" s="604" t="s">
        <v>33</v>
      </c>
      <c r="F75" s="596"/>
      <c r="G75" s="597">
        <v>0.0</v>
      </c>
      <c r="H75" s="598">
        <f t="shared" si="1"/>
        <v>0</v>
      </c>
      <c r="I75" s="599"/>
      <c r="J75" s="605">
        <v>170000.0</v>
      </c>
      <c r="K75" s="615"/>
      <c r="L75" s="616" t="s">
        <v>68</v>
      </c>
      <c r="M75" s="612"/>
      <c r="N75" s="612"/>
      <c r="O75" s="612"/>
      <c r="P75" s="602"/>
      <c r="Q75" s="613" t="s">
        <v>80</v>
      </c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</row>
    <row r="76" ht="17.25" customHeight="1">
      <c r="A76" s="614">
        <v>45289.0</v>
      </c>
      <c r="B76" s="592" t="s">
        <v>2218</v>
      </c>
      <c r="C76" s="609"/>
      <c r="D76" s="610">
        <v>61430.71</v>
      </c>
      <c r="E76" s="595"/>
      <c r="F76" s="596"/>
      <c r="G76" s="597">
        <v>20.0</v>
      </c>
      <c r="H76" s="598">
        <f t="shared" si="1"/>
        <v>10238.45167</v>
      </c>
      <c r="I76" s="599"/>
      <c r="J76" s="599"/>
      <c r="K76" s="615"/>
      <c r="L76" s="616" t="s">
        <v>66</v>
      </c>
      <c r="M76" s="619"/>
      <c r="N76" s="619"/>
      <c r="O76" s="619"/>
      <c r="P76" s="602"/>
      <c r="Q76" s="620">
        <v>0.02</v>
      </c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</row>
    <row r="77" ht="17.25" customHeight="1">
      <c r="A77" s="614">
        <v>45289.0</v>
      </c>
      <c r="B77" s="592" t="s">
        <v>2218</v>
      </c>
      <c r="C77" s="609"/>
      <c r="D77" s="609"/>
      <c r="E77" s="604" t="s">
        <v>33</v>
      </c>
      <c r="F77" s="596"/>
      <c r="G77" s="597">
        <v>0.0</v>
      </c>
      <c r="H77" s="598">
        <f t="shared" si="1"/>
        <v>0</v>
      </c>
      <c r="I77" s="599"/>
      <c r="J77" s="605">
        <v>130650.0</v>
      </c>
      <c r="K77" s="615"/>
      <c r="L77" s="616" t="s">
        <v>68</v>
      </c>
      <c r="M77" s="612"/>
      <c r="N77" s="612"/>
      <c r="O77" s="612"/>
      <c r="P77" s="602"/>
      <c r="Q77" s="613" t="s">
        <v>88</v>
      </c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</row>
    <row r="78" ht="17.25" customHeight="1">
      <c r="A78" s="608">
        <v>45289.0</v>
      </c>
      <c r="B78" s="592" t="s">
        <v>2218</v>
      </c>
      <c r="C78" s="609"/>
      <c r="D78" s="609">
        <f>I78/0.68</f>
        <v>625000</v>
      </c>
      <c r="E78" s="606"/>
      <c r="F78" s="607"/>
      <c r="G78" s="597">
        <v>20.0</v>
      </c>
      <c r="H78" s="598">
        <f t="shared" si="1"/>
        <v>104166.6667</v>
      </c>
      <c r="I78" s="605">
        <v>425000.0</v>
      </c>
      <c r="J78" s="599"/>
      <c r="K78" s="615"/>
      <c r="L78" s="616" t="s">
        <v>48</v>
      </c>
      <c r="M78" s="612"/>
      <c r="N78" s="612"/>
      <c r="O78" s="612"/>
      <c r="P78" s="602"/>
      <c r="Q78" s="613" t="s">
        <v>48</v>
      </c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</row>
    <row r="79" ht="17.25" customHeight="1">
      <c r="A79" s="614">
        <v>45299.0</v>
      </c>
      <c r="B79" s="626" t="s">
        <v>2218</v>
      </c>
      <c r="C79" s="609"/>
      <c r="D79" s="609"/>
      <c r="E79" s="604" t="s">
        <v>33</v>
      </c>
      <c r="F79" s="627" t="s">
        <v>108</v>
      </c>
      <c r="G79" s="597">
        <v>0.0</v>
      </c>
      <c r="H79" s="598">
        <f t="shared" si="1"/>
        <v>0</v>
      </c>
      <c r="I79" s="599"/>
      <c r="J79" s="605">
        <v>12000.0</v>
      </c>
      <c r="K79" s="615"/>
      <c r="L79" s="616" t="s">
        <v>109</v>
      </c>
      <c r="M79" s="621"/>
      <c r="N79" s="621"/>
      <c r="O79" s="621"/>
      <c r="P79" s="602"/>
      <c r="Q79" s="622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</row>
    <row r="80" ht="17.25" customHeight="1">
      <c r="A80" s="614">
        <v>45301.0</v>
      </c>
      <c r="B80" s="626" t="s">
        <v>2218</v>
      </c>
      <c r="C80" s="609"/>
      <c r="D80" s="609"/>
      <c r="E80" s="604" t="s">
        <v>33</v>
      </c>
      <c r="F80" s="607"/>
      <c r="G80" s="597">
        <v>0.0</v>
      </c>
      <c r="H80" s="598">
        <f t="shared" si="1"/>
        <v>0</v>
      </c>
      <c r="I80" s="605"/>
      <c r="J80" s="605">
        <v>100000.0</v>
      </c>
      <c r="K80" s="615"/>
      <c r="L80" s="616" t="s">
        <v>68</v>
      </c>
      <c r="M80" s="612"/>
      <c r="N80" s="612"/>
      <c r="O80" s="612"/>
      <c r="P80" s="602"/>
      <c r="Q80" s="613" t="s">
        <v>86</v>
      </c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</row>
    <row r="81" ht="17.25" customHeight="1">
      <c r="A81" s="614">
        <v>45301.0</v>
      </c>
      <c r="B81" s="626" t="s">
        <v>2218</v>
      </c>
      <c r="C81" s="609"/>
      <c r="D81" s="609"/>
      <c r="E81" s="604" t="s">
        <v>33</v>
      </c>
      <c r="F81" s="596"/>
      <c r="G81" s="597">
        <v>0.0</v>
      </c>
      <c r="H81" s="598">
        <f t="shared" si="1"/>
        <v>0</v>
      </c>
      <c r="I81" s="599"/>
      <c r="J81" s="605">
        <v>25000.0</v>
      </c>
      <c r="K81" s="615"/>
      <c r="L81" s="616" t="s">
        <v>68</v>
      </c>
      <c r="M81" s="612"/>
      <c r="N81" s="612"/>
      <c r="O81" s="612"/>
      <c r="P81" s="602">
        <f t="shared" ref="P81:P82" si="4">A81-IF(O81&gt;0,O81,A81)</f>
        <v>0</v>
      </c>
      <c r="Q81" s="613" t="s">
        <v>90</v>
      </c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</row>
    <row r="82" ht="17.25" customHeight="1">
      <c r="A82" s="614">
        <v>45309.0</v>
      </c>
      <c r="B82" s="626" t="s">
        <v>2218</v>
      </c>
      <c r="C82" s="610">
        <v>420000.0</v>
      </c>
      <c r="D82" s="609"/>
      <c r="E82" s="595"/>
      <c r="F82" s="596"/>
      <c r="G82" s="597">
        <v>20.0</v>
      </c>
      <c r="H82" s="598">
        <f t="shared" si="1"/>
        <v>70000</v>
      </c>
      <c r="I82" s="599"/>
      <c r="J82" s="599"/>
      <c r="K82" s="615"/>
      <c r="L82" s="616" t="s">
        <v>110</v>
      </c>
      <c r="M82" s="612"/>
      <c r="N82" s="612"/>
      <c r="O82" s="612"/>
      <c r="P82" s="602">
        <f t="shared" si="4"/>
        <v>0</v>
      </c>
      <c r="Q82" s="613" t="s">
        <v>111</v>
      </c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</row>
    <row r="83" ht="17.25" customHeight="1">
      <c r="A83" s="614">
        <v>45309.0</v>
      </c>
      <c r="B83" s="626" t="s">
        <v>2218</v>
      </c>
      <c r="C83" s="610">
        <v>905883.26</v>
      </c>
      <c r="D83" s="609"/>
      <c r="E83" s="595"/>
      <c r="F83" s="596"/>
      <c r="G83" s="597">
        <v>20.0</v>
      </c>
      <c r="H83" s="598">
        <f t="shared" si="1"/>
        <v>150980.5433</v>
      </c>
      <c r="I83" s="599"/>
      <c r="J83" s="599"/>
      <c r="K83" s="615"/>
      <c r="L83" s="616" t="s">
        <v>75</v>
      </c>
      <c r="M83" s="612"/>
      <c r="N83" s="612"/>
      <c r="O83" s="612"/>
      <c r="P83" s="602"/>
      <c r="Q83" s="613" t="s">
        <v>112</v>
      </c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</row>
    <row r="84" ht="17.25" customHeight="1">
      <c r="A84" s="614">
        <v>45310.0</v>
      </c>
      <c r="B84" s="626" t="s">
        <v>2218</v>
      </c>
      <c r="C84" s="610"/>
      <c r="D84" s="610">
        <v>823530.24</v>
      </c>
      <c r="E84" s="595"/>
      <c r="F84" s="596"/>
      <c r="G84" s="597">
        <v>20.0</v>
      </c>
      <c r="H84" s="598">
        <f t="shared" si="1"/>
        <v>137255.04</v>
      </c>
      <c r="I84" s="599"/>
      <c r="J84" s="599"/>
      <c r="K84" s="615"/>
      <c r="L84" s="616" t="s">
        <v>77</v>
      </c>
      <c r="M84" s="612"/>
      <c r="N84" s="612"/>
      <c r="O84" s="612"/>
      <c r="P84" s="602"/>
      <c r="Q84" s="613" t="s">
        <v>113</v>
      </c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</row>
    <row r="85" ht="17.25" customHeight="1">
      <c r="A85" s="614">
        <v>45313.0</v>
      </c>
      <c r="B85" s="626" t="s">
        <v>2218</v>
      </c>
      <c r="C85" s="610"/>
      <c r="D85" s="610">
        <v>120000.0</v>
      </c>
      <c r="E85" s="595"/>
      <c r="F85" s="596"/>
      <c r="G85" s="597">
        <v>20.0</v>
      </c>
      <c r="H85" s="598">
        <f t="shared" si="1"/>
        <v>20000</v>
      </c>
      <c r="I85" s="599"/>
      <c r="J85" s="599"/>
      <c r="K85" s="615"/>
      <c r="L85" s="616" t="s">
        <v>114</v>
      </c>
      <c r="M85" s="612"/>
      <c r="N85" s="612"/>
      <c r="O85" s="612"/>
      <c r="P85" s="602"/>
      <c r="Q85" s="613" t="s">
        <v>115</v>
      </c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</row>
    <row r="86" ht="17.25" customHeight="1">
      <c r="A86" s="614">
        <v>45313.0</v>
      </c>
      <c r="B86" s="626" t="s">
        <v>2218</v>
      </c>
      <c r="C86" s="610"/>
      <c r="D86" s="610">
        <v>120000.0</v>
      </c>
      <c r="E86" s="595"/>
      <c r="F86" s="596"/>
      <c r="G86" s="597">
        <v>20.0</v>
      </c>
      <c r="H86" s="598">
        <f t="shared" si="1"/>
        <v>20000</v>
      </c>
      <c r="I86" s="599"/>
      <c r="J86" s="599"/>
      <c r="K86" s="615"/>
      <c r="L86" s="616" t="s">
        <v>116</v>
      </c>
      <c r="M86" s="612"/>
      <c r="N86" s="612"/>
      <c r="O86" s="612"/>
      <c r="P86" s="602"/>
      <c r="Q86" s="613" t="s">
        <v>117</v>
      </c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</row>
    <row r="87" ht="17.25" customHeight="1">
      <c r="A87" s="614">
        <v>45313.0</v>
      </c>
      <c r="B87" s="626" t="s">
        <v>2218</v>
      </c>
      <c r="C87" s="609"/>
      <c r="D87" s="610">
        <v>5000.0</v>
      </c>
      <c r="E87" s="595"/>
      <c r="F87" s="596"/>
      <c r="G87" s="597">
        <v>20.0</v>
      </c>
      <c r="H87" s="598">
        <f t="shared" si="1"/>
        <v>833.3333333</v>
      </c>
      <c r="I87" s="599"/>
      <c r="J87" s="599"/>
      <c r="K87" s="615"/>
      <c r="L87" s="616" t="s">
        <v>45</v>
      </c>
      <c r="M87" s="612"/>
      <c r="N87" s="612"/>
      <c r="O87" s="612"/>
      <c r="P87" s="602">
        <f t="shared" ref="P87:P88" si="5">A87-IF(O87&gt;0,O87,A87)</f>
        <v>0</v>
      </c>
      <c r="Q87" s="613" t="s">
        <v>118</v>
      </c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</row>
    <row r="88" ht="17.25" customHeight="1">
      <c r="A88" s="614">
        <v>45313.0</v>
      </c>
      <c r="B88" s="626" t="s">
        <v>2218</v>
      </c>
      <c r="C88" s="610">
        <v>300000.0</v>
      </c>
      <c r="D88" s="609"/>
      <c r="E88" s="606"/>
      <c r="F88" s="627" t="s">
        <v>2034</v>
      </c>
      <c r="G88" s="597">
        <v>20.0</v>
      </c>
      <c r="H88" s="598">
        <f t="shared" si="1"/>
        <v>50000</v>
      </c>
      <c r="I88" s="599"/>
      <c r="J88" s="599"/>
      <c r="K88" s="628"/>
      <c r="L88" s="629" t="s">
        <v>120</v>
      </c>
      <c r="M88" s="612"/>
      <c r="N88" s="612"/>
      <c r="O88" s="612"/>
      <c r="P88" s="602">
        <f t="shared" si="5"/>
        <v>0</v>
      </c>
      <c r="Q88" s="613" t="s">
        <v>121</v>
      </c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</row>
    <row r="89" ht="17.25" customHeight="1">
      <c r="A89" s="614">
        <v>45314.0</v>
      </c>
      <c r="B89" s="626" t="s">
        <v>2218</v>
      </c>
      <c r="C89" s="610">
        <v>411386.69</v>
      </c>
      <c r="D89" s="609"/>
      <c r="E89" s="606"/>
      <c r="F89" s="627" t="s">
        <v>2034</v>
      </c>
      <c r="G89" s="597">
        <v>20.0</v>
      </c>
      <c r="H89" s="598">
        <f t="shared" si="1"/>
        <v>68564.44833</v>
      </c>
      <c r="I89" s="599"/>
      <c r="J89" s="599"/>
      <c r="K89" s="615"/>
      <c r="L89" s="616" t="s">
        <v>122</v>
      </c>
      <c r="M89" s="612"/>
      <c r="N89" s="612"/>
      <c r="O89" s="612"/>
      <c r="P89" s="602"/>
      <c r="Q89" s="613" t="s">
        <v>123</v>
      </c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</row>
    <row r="90" ht="17.25" customHeight="1">
      <c r="A90" s="614">
        <v>45323.0</v>
      </c>
      <c r="B90" s="626" t="s">
        <v>2218</v>
      </c>
      <c r="C90" s="609"/>
      <c r="D90" s="609">
        <v>868055.5555555556</v>
      </c>
      <c r="E90" s="606"/>
      <c r="F90" s="607"/>
      <c r="G90" s="597">
        <v>20.0</v>
      </c>
      <c r="H90" s="598">
        <f t="shared" si="1"/>
        <v>144675.9259</v>
      </c>
      <c r="I90" s="605">
        <v>625000.0</v>
      </c>
      <c r="J90" s="599"/>
      <c r="K90" s="615"/>
      <c r="L90" s="616" t="s">
        <v>48</v>
      </c>
      <c r="M90" s="621"/>
      <c r="N90" s="621"/>
      <c r="O90" s="621"/>
      <c r="P90" s="602"/>
      <c r="Q90" s="622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</row>
    <row r="91" ht="17.25" customHeight="1">
      <c r="A91" s="614">
        <v>45323.0</v>
      </c>
      <c r="B91" s="626" t="s">
        <v>2218</v>
      </c>
      <c r="C91" s="609"/>
      <c r="D91" s="610">
        <v>220565.0703999999</v>
      </c>
      <c r="E91" s="595"/>
      <c r="F91" s="596"/>
      <c r="G91" s="597">
        <v>0.0</v>
      </c>
      <c r="H91" s="598">
        <f t="shared" si="1"/>
        <v>0</v>
      </c>
      <c r="I91" s="599"/>
      <c r="J91" s="599"/>
      <c r="K91" s="615"/>
      <c r="L91" s="616" t="s">
        <v>2221</v>
      </c>
      <c r="M91" s="621"/>
      <c r="N91" s="621"/>
      <c r="O91" s="621"/>
      <c r="P91" s="602"/>
      <c r="Q91" s="622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</row>
    <row r="92" ht="17.25" customHeight="1">
      <c r="A92" s="614">
        <v>45323.0</v>
      </c>
      <c r="B92" s="626" t="s">
        <v>2218</v>
      </c>
      <c r="C92" s="609"/>
      <c r="D92" s="609"/>
      <c r="E92" s="604" t="s">
        <v>33</v>
      </c>
      <c r="F92" s="596"/>
      <c r="G92" s="597">
        <v>0.0</v>
      </c>
      <c r="H92" s="598">
        <f t="shared" si="1"/>
        <v>0</v>
      </c>
      <c r="I92" s="599"/>
      <c r="J92" s="605">
        <v>130000.0</v>
      </c>
      <c r="K92" s="615"/>
      <c r="L92" s="616" t="s">
        <v>68</v>
      </c>
      <c r="M92" s="612"/>
      <c r="N92" s="612"/>
      <c r="O92" s="612"/>
      <c r="P92" s="602"/>
      <c r="Q92" s="613" t="s">
        <v>124</v>
      </c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</row>
    <row r="93" ht="17.25" customHeight="1">
      <c r="A93" s="614">
        <v>45323.0</v>
      </c>
      <c r="B93" s="626" t="s">
        <v>2218</v>
      </c>
      <c r="C93" s="609"/>
      <c r="D93" s="609"/>
      <c r="E93" s="604" t="s">
        <v>33</v>
      </c>
      <c r="F93" s="596"/>
      <c r="G93" s="597">
        <v>0.0</v>
      </c>
      <c r="H93" s="598">
        <f t="shared" si="1"/>
        <v>0</v>
      </c>
      <c r="I93" s="599"/>
      <c r="J93" s="605">
        <v>170000.0</v>
      </c>
      <c r="K93" s="615"/>
      <c r="L93" s="616" t="s">
        <v>68</v>
      </c>
      <c r="M93" s="612"/>
      <c r="N93" s="612"/>
      <c r="O93" s="612"/>
      <c r="P93" s="602"/>
      <c r="Q93" s="613" t="s">
        <v>125</v>
      </c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</row>
    <row r="94" ht="17.25" customHeight="1">
      <c r="A94" s="614">
        <v>45323.0</v>
      </c>
      <c r="B94" s="626" t="s">
        <v>2218</v>
      </c>
      <c r="C94" s="609"/>
      <c r="D94" s="609"/>
      <c r="E94" s="604" t="s">
        <v>33</v>
      </c>
      <c r="F94" s="596"/>
      <c r="G94" s="597">
        <v>0.0</v>
      </c>
      <c r="H94" s="598">
        <f t="shared" si="1"/>
        <v>0</v>
      </c>
      <c r="I94" s="599"/>
      <c r="J94" s="605">
        <v>25000.0</v>
      </c>
      <c r="K94" s="615"/>
      <c r="L94" s="616" t="s">
        <v>68</v>
      </c>
      <c r="M94" s="612"/>
      <c r="N94" s="612"/>
      <c r="O94" s="612"/>
      <c r="P94" s="602">
        <f>A94-IF(O94&gt;0,O94,A94)</f>
        <v>0</v>
      </c>
      <c r="Q94" s="613" t="s">
        <v>126</v>
      </c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</row>
    <row r="95" ht="17.25" customHeight="1">
      <c r="A95" s="614">
        <v>45324.0</v>
      </c>
      <c r="B95" s="626" t="s">
        <v>2218</v>
      </c>
      <c r="C95" s="610">
        <v>674113.2</v>
      </c>
      <c r="D95" s="609"/>
      <c r="E95" s="606"/>
      <c r="F95" s="627" t="s">
        <v>2034</v>
      </c>
      <c r="G95" s="597">
        <v>20.0</v>
      </c>
      <c r="H95" s="598">
        <f t="shared" si="1"/>
        <v>112352.2</v>
      </c>
      <c r="I95" s="599"/>
      <c r="J95" s="599"/>
      <c r="K95" s="615"/>
      <c r="L95" s="616" t="s">
        <v>87</v>
      </c>
      <c r="M95" s="612"/>
      <c r="N95" s="612"/>
      <c r="O95" s="612"/>
      <c r="P95" s="602"/>
      <c r="Q95" s="613" t="s">
        <v>127</v>
      </c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</row>
    <row r="96" ht="17.25" customHeight="1">
      <c r="A96" s="614">
        <v>45332.0</v>
      </c>
      <c r="B96" s="626" t="s">
        <v>2218</v>
      </c>
      <c r="C96" s="609"/>
      <c r="D96" s="609"/>
      <c r="E96" s="604" t="s">
        <v>33</v>
      </c>
      <c r="F96" s="596"/>
      <c r="G96" s="597">
        <v>0.0</v>
      </c>
      <c r="H96" s="598">
        <f t="shared" si="1"/>
        <v>0</v>
      </c>
      <c r="I96" s="599"/>
      <c r="J96" s="605">
        <v>50000.0</v>
      </c>
      <c r="K96" s="615"/>
      <c r="L96" s="616" t="s">
        <v>68</v>
      </c>
      <c r="M96" s="612"/>
      <c r="N96" s="612"/>
      <c r="O96" s="612"/>
      <c r="P96" s="602"/>
      <c r="Q96" s="613" t="s">
        <v>86</v>
      </c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</row>
    <row r="97" ht="17.25" customHeight="1">
      <c r="A97" s="614">
        <v>45332.0</v>
      </c>
      <c r="B97" s="626" t="s">
        <v>2218</v>
      </c>
      <c r="C97" s="609"/>
      <c r="D97" s="609"/>
      <c r="E97" s="604" t="s">
        <v>33</v>
      </c>
      <c r="F97" s="596"/>
      <c r="G97" s="597">
        <v>0.0</v>
      </c>
      <c r="H97" s="598">
        <f t="shared" si="1"/>
        <v>0</v>
      </c>
      <c r="I97" s="599"/>
      <c r="J97" s="605">
        <v>250000.0</v>
      </c>
      <c r="K97" s="615"/>
      <c r="L97" s="616" t="s">
        <v>68</v>
      </c>
      <c r="M97" s="612"/>
      <c r="N97" s="612"/>
      <c r="O97" s="612"/>
      <c r="P97" s="602">
        <f>A97-IF(O97&gt;0,O97,A97)</f>
        <v>0</v>
      </c>
      <c r="Q97" s="613" t="s">
        <v>128</v>
      </c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</row>
    <row r="98" ht="17.25" customHeight="1">
      <c r="A98" s="614">
        <v>45334.0</v>
      </c>
      <c r="B98" s="626" t="s">
        <v>2218</v>
      </c>
      <c r="C98" s="610">
        <v>188613.31</v>
      </c>
      <c r="D98" s="609"/>
      <c r="E98" s="606"/>
      <c r="F98" s="627" t="s">
        <v>2035</v>
      </c>
      <c r="G98" s="597">
        <v>20.0</v>
      </c>
      <c r="H98" s="598">
        <f t="shared" si="1"/>
        <v>31435.55167</v>
      </c>
      <c r="I98" s="599"/>
      <c r="J98" s="599"/>
      <c r="K98" s="628"/>
      <c r="L98" s="629" t="s">
        <v>120</v>
      </c>
      <c r="M98" s="612"/>
      <c r="N98" s="612"/>
      <c r="O98" s="612"/>
      <c r="P98" s="602"/>
      <c r="Q98" s="613" t="s">
        <v>130</v>
      </c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</row>
    <row r="99" ht="17.25" customHeight="1">
      <c r="A99" s="614">
        <v>45335.0</v>
      </c>
      <c r="B99" s="626" t="s">
        <v>2218</v>
      </c>
      <c r="C99" s="609"/>
      <c r="D99" s="610">
        <v>48100.0</v>
      </c>
      <c r="E99" s="595"/>
      <c r="F99" s="596"/>
      <c r="G99" s="597">
        <v>20.0</v>
      </c>
      <c r="H99" s="598">
        <f t="shared" si="1"/>
        <v>8016.666667</v>
      </c>
      <c r="I99" s="599"/>
      <c r="J99" s="599"/>
      <c r="K99" s="615"/>
      <c r="L99" s="616" t="s">
        <v>131</v>
      </c>
      <c r="M99" s="612"/>
      <c r="N99" s="612"/>
      <c r="O99" s="612"/>
      <c r="P99" s="602"/>
      <c r="Q99" s="613" t="s">
        <v>132</v>
      </c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</row>
    <row r="100" ht="17.25" customHeight="1">
      <c r="A100" s="614">
        <v>45335.0</v>
      </c>
      <c r="B100" s="626" t="s">
        <v>2218</v>
      </c>
      <c r="C100" s="609"/>
      <c r="D100" s="610">
        <v>50.0</v>
      </c>
      <c r="E100" s="595"/>
      <c r="F100" s="596"/>
      <c r="G100" s="597">
        <v>20.0</v>
      </c>
      <c r="H100" s="598">
        <f t="shared" si="1"/>
        <v>8.333333333</v>
      </c>
      <c r="I100" s="599"/>
      <c r="J100" s="599"/>
      <c r="K100" s="615"/>
      <c r="L100" s="616" t="s">
        <v>131</v>
      </c>
      <c r="M100" s="612"/>
      <c r="N100" s="612"/>
      <c r="O100" s="612"/>
      <c r="P100" s="602"/>
      <c r="Q100" s="613" t="s">
        <v>133</v>
      </c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</row>
    <row r="101" ht="17.25" customHeight="1">
      <c r="A101" s="614">
        <v>45335.0</v>
      </c>
      <c r="B101" s="626" t="s">
        <v>2218</v>
      </c>
      <c r="C101" s="609"/>
      <c r="D101" s="610">
        <v>10.0</v>
      </c>
      <c r="E101" s="595"/>
      <c r="F101" s="596"/>
      <c r="G101" s="597">
        <v>20.0</v>
      </c>
      <c r="H101" s="598">
        <f t="shared" si="1"/>
        <v>1.666666667</v>
      </c>
      <c r="I101" s="599"/>
      <c r="J101" s="599"/>
      <c r="K101" s="615"/>
      <c r="L101" s="616" t="s">
        <v>2222</v>
      </c>
      <c r="M101" s="612"/>
      <c r="N101" s="612"/>
      <c r="O101" s="612"/>
      <c r="P101" s="602">
        <f>A101-IF(O101&gt;0,O101,A101)</f>
        <v>0</v>
      </c>
      <c r="Q101" s="613" t="s">
        <v>135</v>
      </c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</row>
    <row r="102" ht="17.25" customHeight="1">
      <c r="A102" s="614">
        <v>45338.0</v>
      </c>
      <c r="B102" s="626" t="s">
        <v>2218</v>
      </c>
      <c r="C102" s="610">
        <v>439289.76</v>
      </c>
      <c r="D102" s="609"/>
      <c r="E102" s="606"/>
      <c r="F102" s="627" t="s">
        <v>2035</v>
      </c>
      <c r="G102" s="597">
        <v>20.0</v>
      </c>
      <c r="H102" s="598">
        <f t="shared" si="1"/>
        <v>73214.96</v>
      </c>
      <c r="I102" s="599"/>
      <c r="J102" s="605"/>
      <c r="K102" s="615"/>
      <c r="L102" s="616" t="s">
        <v>87</v>
      </c>
      <c r="M102" s="612"/>
      <c r="N102" s="612"/>
      <c r="O102" s="612"/>
      <c r="P102" s="602"/>
      <c r="Q102" s="613" t="s">
        <v>136</v>
      </c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</row>
    <row r="103" ht="17.25" customHeight="1">
      <c r="A103" s="614">
        <v>45340.0</v>
      </c>
      <c r="B103" s="626" t="s">
        <v>2218</v>
      </c>
      <c r="C103" s="609"/>
      <c r="D103" s="609"/>
      <c r="E103" s="604" t="s">
        <v>33</v>
      </c>
      <c r="F103" s="596"/>
      <c r="G103" s="597">
        <v>20.0</v>
      </c>
      <c r="H103" s="598">
        <f t="shared" si="1"/>
        <v>0</v>
      </c>
      <c r="I103" s="599"/>
      <c r="J103" s="605">
        <v>50000.0</v>
      </c>
      <c r="K103" s="615"/>
      <c r="L103" s="616" t="s">
        <v>137</v>
      </c>
      <c r="M103" s="612"/>
      <c r="N103" s="612"/>
      <c r="O103" s="612"/>
      <c r="P103" s="602"/>
      <c r="Q103" s="613" t="s">
        <v>138</v>
      </c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</row>
    <row r="104" ht="17.25" customHeight="1">
      <c r="A104" s="614">
        <v>45341.0</v>
      </c>
      <c r="B104" s="626" t="s">
        <v>2218</v>
      </c>
      <c r="C104" s="609"/>
      <c r="D104" s="610">
        <v>220000.0</v>
      </c>
      <c r="E104" s="595"/>
      <c r="F104" s="596"/>
      <c r="G104" s="597">
        <v>0.0</v>
      </c>
      <c r="H104" s="598">
        <f t="shared" si="1"/>
        <v>0</v>
      </c>
      <c r="I104" s="599"/>
      <c r="J104" s="599"/>
      <c r="K104" s="615"/>
      <c r="L104" s="616" t="s">
        <v>139</v>
      </c>
      <c r="M104" s="612"/>
      <c r="N104" s="612"/>
      <c r="O104" s="612"/>
      <c r="P104" s="602"/>
      <c r="Q104" s="613" t="s">
        <v>140</v>
      </c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</row>
    <row r="105" ht="17.25" customHeight="1">
      <c r="A105" s="614">
        <v>45343.0</v>
      </c>
      <c r="B105" s="626" t="s">
        <v>2218</v>
      </c>
      <c r="C105" s="609"/>
      <c r="D105" s="609"/>
      <c r="E105" s="604" t="s">
        <v>33</v>
      </c>
      <c r="F105" s="596"/>
      <c r="G105" s="597">
        <v>0.0</v>
      </c>
      <c r="H105" s="598">
        <f t="shared" si="1"/>
        <v>0</v>
      </c>
      <c r="I105" s="599"/>
      <c r="J105" s="605">
        <v>40000.0</v>
      </c>
      <c r="K105" s="615"/>
      <c r="L105" s="616" t="s">
        <v>68</v>
      </c>
      <c r="M105" s="612"/>
      <c r="N105" s="612"/>
      <c r="O105" s="612"/>
      <c r="P105" s="602"/>
      <c r="Q105" s="613" t="s">
        <v>141</v>
      </c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</row>
    <row r="106" ht="17.25" customHeight="1">
      <c r="A106" s="614">
        <v>45343.0</v>
      </c>
      <c r="B106" s="626" t="s">
        <v>2218</v>
      </c>
      <c r="C106" s="609"/>
      <c r="D106" s="609"/>
      <c r="E106" s="604" t="s">
        <v>33</v>
      </c>
      <c r="F106" s="596"/>
      <c r="G106" s="597">
        <v>0.0</v>
      </c>
      <c r="H106" s="598">
        <f t="shared" si="1"/>
        <v>0</v>
      </c>
      <c r="I106" s="599"/>
      <c r="J106" s="605">
        <v>50000.0</v>
      </c>
      <c r="K106" s="615"/>
      <c r="L106" s="616" t="s">
        <v>68</v>
      </c>
      <c r="M106" s="612"/>
      <c r="N106" s="612"/>
      <c r="O106" s="612"/>
      <c r="P106" s="602"/>
      <c r="Q106" s="613" t="s">
        <v>128</v>
      </c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</row>
    <row r="107" ht="17.25" customHeight="1">
      <c r="A107" s="614">
        <v>45347.0</v>
      </c>
      <c r="B107" s="626" t="s">
        <v>2218</v>
      </c>
      <c r="C107" s="610"/>
      <c r="D107" s="609"/>
      <c r="E107" s="606"/>
      <c r="F107" s="607"/>
      <c r="G107" s="597">
        <v>20.0</v>
      </c>
      <c r="H107" s="598">
        <f t="shared" si="1"/>
        <v>0</v>
      </c>
      <c r="I107" s="605">
        <v>400000.0</v>
      </c>
      <c r="J107" s="605"/>
      <c r="K107" s="615"/>
      <c r="L107" s="616" t="s">
        <v>2223</v>
      </c>
      <c r="M107" s="612"/>
      <c r="N107" s="612"/>
      <c r="O107" s="612"/>
      <c r="P107" s="602">
        <f>A107-IF(O107&gt;0,O107,A107)</f>
        <v>0</v>
      </c>
      <c r="Q107" s="613" t="s">
        <v>142</v>
      </c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</row>
    <row r="108" ht="17.25" customHeight="1">
      <c r="A108" s="614">
        <v>45349.0</v>
      </c>
      <c r="B108" s="626" t="s">
        <v>2218</v>
      </c>
      <c r="C108" s="610">
        <v>1500000.0</v>
      </c>
      <c r="D108" s="609"/>
      <c r="E108" s="606"/>
      <c r="F108" s="627" t="s">
        <v>2224</v>
      </c>
      <c r="G108" s="597">
        <v>20.0</v>
      </c>
      <c r="H108" s="598">
        <f t="shared" si="1"/>
        <v>250000</v>
      </c>
      <c r="I108" s="599"/>
      <c r="J108" s="599"/>
      <c r="K108" s="628"/>
      <c r="L108" s="629" t="s">
        <v>120</v>
      </c>
      <c r="M108" s="621"/>
      <c r="N108" s="621"/>
      <c r="O108" s="621"/>
      <c r="P108" s="602"/>
      <c r="Q108" s="622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</row>
    <row r="109" ht="17.25" customHeight="1">
      <c r="A109" s="614">
        <v>45350.0</v>
      </c>
      <c r="B109" s="626" t="s">
        <v>2218</v>
      </c>
      <c r="C109" s="610"/>
      <c r="D109" s="610">
        <v>1200027.6</v>
      </c>
      <c r="E109" s="606"/>
      <c r="F109" s="627" t="s">
        <v>2034</v>
      </c>
      <c r="G109" s="597">
        <v>20.0</v>
      </c>
      <c r="H109" s="598">
        <f t="shared" si="1"/>
        <v>200004.6</v>
      </c>
      <c r="I109" s="599"/>
      <c r="J109" s="599"/>
      <c r="K109" s="615"/>
      <c r="L109" s="616" t="s">
        <v>77</v>
      </c>
      <c r="M109" s="621"/>
      <c r="N109" s="621"/>
      <c r="O109" s="621"/>
      <c r="P109" s="602"/>
      <c r="Q109" s="622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</row>
    <row r="110" ht="17.25" customHeight="1">
      <c r="A110" s="614">
        <v>45350.0</v>
      </c>
      <c r="B110" s="626" t="s">
        <v>2218</v>
      </c>
      <c r="C110" s="609"/>
      <c r="D110" s="609">
        <f>I110/0.72</f>
        <v>1131944.444</v>
      </c>
      <c r="E110" s="606"/>
      <c r="F110" s="607"/>
      <c r="G110" s="597">
        <v>20.0</v>
      </c>
      <c r="H110" s="598">
        <f t="shared" si="1"/>
        <v>188657.4074</v>
      </c>
      <c r="I110" s="605">
        <v>815000.0</v>
      </c>
      <c r="J110" s="599"/>
      <c r="K110" s="615"/>
      <c r="L110" s="616" t="s">
        <v>48</v>
      </c>
      <c r="M110" s="621"/>
      <c r="N110" s="621"/>
      <c r="O110" s="621"/>
      <c r="P110" s="602"/>
      <c r="Q110" s="622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</row>
    <row r="111" ht="17.25" customHeight="1">
      <c r="A111" s="614">
        <v>45350.0</v>
      </c>
      <c r="B111" s="626" t="s">
        <v>2218</v>
      </c>
      <c r="C111" s="609"/>
      <c r="D111" s="610"/>
      <c r="E111" s="604" t="s">
        <v>33</v>
      </c>
      <c r="F111" s="596"/>
      <c r="G111" s="597">
        <v>20.0</v>
      </c>
      <c r="H111" s="598">
        <f t="shared" si="1"/>
        <v>0</v>
      </c>
      <c r="I111" s="599"/>
      <c r="J111" s="605">
        <v>10000.0</v>
      </c>
      <c r="K111" s="628"/>
      <c r="L111" s="629" t="s">
        <v>144</v>
      </c>
      <c r="M111" s="612"/>
      <c r="N111" s="612"/>
      <c r="O111" s="612"/>
      <c r="P111" s="602"/>
      <c r="Q111" s="613">
        <v>7.9206502116E10</v>
      </c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</row>
    <row r="112" ht="17.25" customHeight="1">
      <c r="A112" s="614">
        <v>45352.0</v>
      </c>
      <c r="B112" s="626" t="s">
        <v>2218</v>
      </c>
      <c r="C112" s="609"/>
      <c r="D112" s="609"/>
      <c r="E112" s="604" t="s">
        <v>33</v>
      </c>
      <c r="F112" s="596"/>
      <c r="G112" s="597">
        <v>0.0</v>
      </c>
      <c r="H112" s="598">
        <f t="shared" si="1"/>
        <v>0</v>
      </c>
      <c r="I112" s="599"/>
      <c r="J112" s="605">
        <v>170000.0</v>
      </c>
      <c r="K112" s="615"/>
      <c r="L112" s="616" t="s">
        <v>68</v>
      </c>
      <c r="M112" s="612"/>
      <c r="N112" s="612"/>
      <c r="O112" s="612"/>
      <c r="P112" s="602"/>
      <c r="Q112" s="613" t="s">
        <v>80</v>
      </c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</row>
    <row r="113" ht="17.25" customHeight="1">
      <c r="A113" s="614">
        <v>45352.0</v>
      </c>
      <c r="B113" s="626" t="s">
        <v>2218</v>
      </c>
      <c r="C113" s="609"/>
      <c r="D113" s="609"/>
      <c r="E113" s="604" t="s">
        <v>33</v>
      </c>
      <c r="F113" s="596"/>
      <c r="G113" s="597">
        <v>0.0</v>
      </c>
      <c r="H113" s="598">
        <f t="shared" si="1"/>
        <v>0</v>
      </c>
      <c r="I113" s="599"/>
      <c r="J113" s="605">
        <v>300000.0</v>
      </c>
      <c r="K113" s="615"/>
      <c r="L113" s="616" t="s">
        <v>68</v>
      </c>
      <c r="M113" s="612"/>
      <c r="N113" s="612"/>
      <c r="O113" s="612"/>
      <c r="P113" s="602"/>
      <c r="Q113" s="613" t="s">
        <v>128</v>
      </c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</row>
    <row r="114" ht="17.25" customHeight="1">
      <c r="A114" s="614">
        <v>45352.0</v>
      </c>
      <c r="B114" s="626" t="s">
        <v>2218</v>
      </c>
      <c r="C114" s="609"/>
      <c r="D114" s="609"/>
      <c r="E114" s="604" t="s">
        <v>33</v>
      </c>
      <c r="F114" s="596"/>
      <c r="G114" s="597">
        <v>0.0</v>
      </c>
      <c r="H114" s="598">
        <f t="shared" si="1"/>
        <v>0</v>
      </c>
      <c r="I114" s="599"/>
      <c r="J114" s="605">
        <v>130000.0</v>
      </c>
      <c r="K114" s="615"/>
      <c r="L114" s="616" t="s">
        <v>68</v>
      </c>
      <c r="M114" s="612"/>
      <c r="N114" s="612"/>
      <c r="O114" s="612"/>
      <c r="P114" s="602"/>
      <c r="Q114" s="613" t="s">
        <v>145</v>
      </c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</row>
    <row r="115" ht="17.25" customHeight="1">
      <c r="A115" s="614">
        <v>45352.0</v>
      </c>
      <c r="B115" s="626" t="s">
        <v>2218</v>
      </c>
      <c r="C115" s="609"/>
      <c r="D115" s="609"/>
      <c r="E115" s="604" t="s">
        <v>33</v>
      </c>
      <c r="F115" s="596"/>
      <c r="G115" s="597">
        <v>0.0</v>
      </c>
      <c r="H115" s="598">
        <f t="shared" si="1"/>
        <v>0</v>
      </c>
      <c r="I115" s="599"/>
      <c r="J115" s="605">
        <v>40000.0</v>
      </c>
      <c r="K115" s="615"/>
      <c r="L115" s="616" t="s">
        <v>68</v>
      </c>
      <c r="M115" s="612"/>
      <c r="N115" s="612"/>
      <c r="O115" s="612"/>
      <c r="P115" s="602"/>
      <c r="Q115" s="613" t="s">
        <v>146</v>
      </c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</row>
    <row r="116" ht="17.25" customHeight="1">
      <c r="A116" s="614">
        <v>45352.0</v>
      </c>
      <c r="B116" s="626" t="s">
        <v>2218</v>
      </c>
      <c r="C116" s="609"/>
      <c r="D116" s="609"/>
      <c r="E116" s="604" t="s">
        <v>33</v>
      </c>
      <c r="F116" s="596"/>
      <c r="G116" s="597">
        <v>0.0</v>
      </c>
      <c r="H116" s="598">
        <f t="shared" si="1"/>
        <v>0</v>
      </c>
      <c r="I116" s="599"/>
      <c r="J116" s="605">
        <v>25000.0</v>
      </c>
      <c r="K116" s="615"/>
      <c r="L116" s="616" t="s">
        <v>68</v>
      </c>
      <c r="M116" s="612"/>
      <c r="N116" s="612"/>
      <c r="O116" s="612"/>
      <c r="P116" s="602">
        <f>A116-IF(O116&gt;0,O116,A116)</f>
        <v>0</v>
      </c>
      <c r="Q116" s="613" t="s">
        <v>147</v>
      </c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</row>
    <row r="117" ht="17.25" customHeight="1">
      <c r="A117" s="614">
        <v>45352.0</v>
      </c>
      <c r="B117" s="626" t="s">
        <v>2218</v>
      </c>
      <c r="C117" s="610">
        <v>600000.0</v>
      </c>
      <c r="D117" s="609"/>
      <c r="E117" s="606"/>
      <c r="F117" s="627" t="s">
        <v>2035</v>
      </c>
      <c r="G117" s="597">
        <v>20.0</v>
      </c>
      <c r="H117" s="598">
        <f t="shared" si="1"/>
        <v>100000</v>
      </c>
      <c r="I117" s="599"/>
      <c r="J117" s="599"/>
      <c r="K117" s="615"/>
      <c r="L117" s="616" t="s">
        <v>148</v>
      </c>
      <c r="M117" s="612"/>
      <c r="N117" s="612"/>
      <c r="O117" s="612"/>
      <c r="P117" s="602"/>
      <c r="Q117" s="613" t="s">
        <v>149</v>
      </c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</row>
    <row r="118" ht="17.25" customHeight="1">
      <c r="A118" s="614">
        <v>45355.0</v>
      </c>
      <c r="B118" s="626" t="s">
        <v>2218</v>
      </c>
      <c r="C118" s="609"/>
      <c r="D118" s="610">
        <v>13990.0</v>
      </c>
      <c r="E118" s="595"/>
      <c r="F118" s="596"/>
      <c r="G118" s="597">
        <v>0.0</v>
      </c>
      <c r="H118" s="598">
        <f t="shared" si="1"/>
        <v>0</v>
      </c>
      <c r="I118" s="599"/>
      <c r="J118" s="599"/>
      <c r="K118" s="600"/>
      <c r="L118" s="601" t="s">
        <v>31</v>
      </c>
      <c r="M118" s="621"/>
      <c r="N118" s="621"/>
      <c r="O118" s="621"/>
      <c r="P118" s="602"/>
      <c r="Q118" s="622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</row>
    <row r="119" ht="17.25" customHeight="1">
      <c r="A119" s="614">
        <v>45356.0</v>
      </c>
      <c r="B119" s="626" t="s">
        <v>2218</v>
      </c>
      <c r="C119" s="609"/>
      <c r="D119" s="609"/>
      <c r="E119" s="604" t="s">
        <v>33</v>
      </c>
      <c r="F119" s="596"/>
      <c r="G119" s="597">
        <v>20.0</v>
      </c>
      <c r="H119" s="598">
        <f t="shared" si="1"/>
        <v>0</v>
      </c>
      <c r="I119" s="599"/>
      <c r="J119" s="605">
        <v>17000.0</v>
      </c>
      <c r="K119" s="628"/>
      <c r="L119" s="629" t="s">
        <v>137</v>
      </c>
      <c r="M119" s="612"/>
      <c r="N119" s="612"/>
      <c r="O119" s="612"/>
      <c r="P119" s="602"/>
      <c r="Q119" s="613" t="s">
        <v>80</v>
      </c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</row>
    <row r="120" ht="17.25" customHeight="1">
      <c r="A120" s="614">
        <v>45361.0</v>
      </c>
      <c r="B120" s="626" t="s">
        <v>2218</v>
      </c>
      <c r="C120" s="609"/>
      <c r="D120" s="609"/>
      <c r="E120" s="604" t="s">
        <v>33</v>
      </c>
      <c r="F120" s="596"/>
      <c r="G120" s="597">
        <v>20.0</v>
      </c>
      <c r="H120" s="598">
        <f t="shared" si="1"/>
        <v>0</v>
      </c>
      <c r="I120" s="599"/>
      <c r="J120" s="605">
        <v>10000.0</v>
      </c>
      <c r="K120" s="615"/>
      <c r="L120" s="616" t="s">
        <v>144</v>
      </c>
      <c r="M120" s="612"/>
      <c r="N120" s="612"/>
      <c r="O120" s="612"/>
      <c r="P120" s="602">
        <f>A120-IF(O120&gt;0,O120,A120)</f>
        <v>0</v>
      </c>
      <c r="Q120" s="613" t="s">
        <v>150</v>
      </c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</row>
    <row r="121" ht="17.25" customHeight="1">
      <c r="A121" s="614">
        <v>45362.0</v>
      </c>
      <c r="B121" s="626" t="s">
        <v>2218</v>
      </c>
      <c r="C121" s="610">
        <f>500000*1.2</f>
        <v>600000</v>
      </c>
      <c r="D121" s="609"/>
      <c r="E121" s="606"/>
      <c r="F121" s="627" t="s">
        <v>2036</v>
      </c>
      <c r="G121" s="597">
        <v>20.0</v>
      </c>
      <c r="H121" s="598">
        <f t="shared" si="1"/>
        <v>100000</v>
      </c>
      <c r="I121" s="599"/>
      <c r="J121" s="599"/>
      <c r="K121" s="615"/>
      <c r="L121" s="616" t="s">
        <v>148</v>
      </c>
      <c r="M121" s="612"/>
      <c r="N121" s="612"/>
      <c r="O121" s="612"/>
      <c r="P121" s="602"/>
      <c r="Q121" s="613" t="s">
        <v>152</v>
      </c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</row>
    <row r="122" ht="17.25" customHeight="1">
      <c r="A122" s="614">
        <v>45363.0</v>
      </c>
      <c r="B122" s="626" t="s">
        <v>2218</v>
      </c>
      <c r="C122" s="609"/>
      <c r="D122" s="610">
        <v>23390.4</v>
      </c>
      <c r="E122" s="595"/>
      <c r="F122" s="596"/>
      <c r="G122" s="597">
        <v>20.0</v>
      </c>
      <c r="H122" s="598">
        <f t="shared" si="1"/>
        <v>3898.4</v>
      </c>
      <c r="I122" s="599"/>
      <c r="J122" s="599"/>
      <c r="K122" s="615"/>
      <c r="L122" s="616" t="s">
        <v>153</v>
      </c>
      <c r="M122" s="612"/>
      <c r="N122" s="612"/>
      <c r="O122" s="612"/>
      <c r="P122" s="602"/>
      <c r="Q122" s="613" t="s">
        <v>154</v>
      </c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</row>
    <row r="123" ht="17.25" customHeight="1">
      <c r="A123" s="614">
        <v>45363.0</v>
      </c>
      <c r="B123" s="626" t="s">
        <v>2218</v>
      </c>
      <c r="C123" s="609"/>
      <c r="D123" s="610">
        <v>20000.0</v>
      </c>
      <c r="E123" s="595"/>
      <c r="F123" s="596"/>
      <c r="G123" s="597">
        <v>20.0</v>
      </c>
      <c r="H123" s="598">
        <f t="shared" si="1"/>
        <v>3333.333333</v>
      </c>
      <c r="I123" s="599"/>
      <c r="J123" s="599"/>
      <c r="K123" s="615"/>
      <c r="L123" s="616" t="s">
        <v>45</v>
      </c>
      <c r="M123" s="612"/>
      <c r="N123" s="612"/>
      <c r="O123" s="612"/>
      <c r="P123" s="602"/>
      <c r="Q123" s="613" t="s">
        <v>155</v>
      </c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</row>
    <row r="124" ht="17.25" customHeight="1">
      <c r="A124" s="614">
        <v>45363.0</v>
      </c>
      <c r="B124" s="626" t="s">
        <v>2218</v>
      </c>
      <c r="C124" s="609"/>
      <c r="D124" s="610">
        <v>20000.0</v>
      </c>
      <c r="E124" s="595"/>
      <c r="F124" s="596"/>
      <c r="G124" s="597">
        <v>20.0</v>
      </c>
      <c r="H124" s="598">
        <f t="shared" si="1"/>
        <v>3333.333333</v>
      </c>
      <c r="I124" s="599"/>
      <c r="J124" s="599"/>
      <c r="K124" s="615"/>
      <c r="L124" s="616" t="s">
        <v>45</v>
      </c>
      <c r="M124" s="612"/>
      <c r="N124" s="612"/>
      <c r="O124" s="612"/>
      <c r="P124" s="602"/>
      <c r="Q124" s="613" t="s">
        <v>156</v>
      </c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</row>
    <row r="125" ht="17.25" customHeight="1">
      <c r="A125" s="614">
        <v>45364.0</v>
      </c>
      <c r="B125" s="626" t="s">
        <v>2218</v>
      </c>
      <c r="C125" s="609"/>
      <c r="D125" s="609"/>
      <c r="E125" s="604" t="s">
        <v>33</v>
      </c>
      <c r="F125" s="596"/>
      <c r="G125" s="597">
        <v>20.0</v>
      </c>
      <c r="H125" s="598">
        <f t="shared" si="1"/>
        <v>0</v>
      </c>
      <c r="I125" s="599"/>
      <c r="J125" s="605">
        <v>27000.0</v>
      </c>
      <c r="K125" s="615"/>
      <c r="L125" s="616" t="s">
        <v>144</v>
      </c>
      <c r="M125" s="612"/>
      <c r="N125" s="612"/>
      <c r="O125" s="612"/>
      <c r="P125" s="602">
        <f t="shared" ref="P125:P126" si="6">A125-IF(O125&gt;0,O125,A125)</f>
        <v>0</v>
      </c>
      <c r="Q125" s="613" t="s">
        <v>150</v>
      </c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</row>
    <row r="126" ht="17.25" customHeight="1">
      <c r="A126" s="614">
        <v>45365.0</v>
      </c>
      <c r="B126" s="626" t="s">
        <v>2218</v>
      </c>
      <c r="C126" s="610">
        <v>407555.69</v>
      </c>
      <c r="D126" s="609"/>
      <c r="E126" s="606"/>
      <c r="F126" s="627" t="s">
        <v>2034</v>
      </c>
      <c r="G126" s="597">
        <v>20.0</v>
      </c>
      <c r="H126" s="598">
        <f t="shared" si="1"/>
        <v>67925.94833</v>
      </c>
      <c r="I126" s="599"/>
      <c r="J126" s="599"/>
      <c r="K126" s="615"/>
      <c r="L126" s="616" t="s">
        <v>157</v>
      </c>
      <c r="M126" s="612"/>
      <c r="N126" s="612"/>
      <c r="O126" s="612"/>
      <c r="P126" s="602">
        <f t="shared" si="6"/>
        <v>0</v>
      </c>
      <c r="Q126" s="613" t="s">
        <v>158</v>
      </c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</row>
    <row r="127" ht="17.25" customHeight="1">
      <c r="A127" s="614">
        <v>45365.0</v>
      </c>
      <c r="B127" s="626" t="s">
        <v>2218</v>
      </c>
      <c r="C127" s="610">
        <v>268844.26</v>
      </c>
      <c r="D127" s="609"/>
      <c r="E127" s="606"/>
      <c r="F127" s="627" t="s">
        <v>2034</v>
      </c>
      <c r="G127" s="597">
        <v>20.0</v>
      </c>
      <c r="H127" s="598">
        <f t="shared" si="1"/>
        <v>44807.37667</v>
      </c>
      <c r="I127" s="599"/>
      <c r="J127" s="599"/>
      <c r="K127" s="615"/>
      <c r="L127" s="616" t="s">
        <v>157</v>
      </c>
      <c r="M127" s="612"/>
      <c r="N127" s="612"/>
      <c r="O127" s="612"/>
      <c r="P127" s="602"/>
      <c r="Q127" s="613" t="s">
        <v>159</v>
      </c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</row>
    <row r="128" ht="17.25" customHeight="1">
      <c r="A128" s="614">
        <v>45365.0</v>
      </c>
      <c r="B128" s="626" t="s">
        <v>2218</v>
      </c>
      <c r="C128" s="610"/>
      <c r="D128" s="609"/>
      <c r="E128" s="604" t="s">
        <v>33</v>
      </c>
      <c r="F128" s="596"/>
      <c r="G128" s="597">
        <v>20.0</v>
      </c>
      <c r="H128" s="598">
        <f t="shared" si="1"/>
        <v>0</v>
      </c>
      <c r="I128" s="599"/>
      <c r="J128" s="605">
        <v>30000.0</v>
      </c>
      <c r="K128" s="615"/>
      <c r="L128" s="616" t="s">
        <v>160</v>
      </c>
      <c r="M128" s="612"/>
      <c r="N128" s="612"/>
      <c r="O128" s="612"/>
      <c r="P128" s="602"/>
      <c r="Q128" s="613" t="s">
        <v>161</v>
      </c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</row>
    <row r="129" ht="17.25" customHeight="1">
      <c r="A129" s="614">
        <v>45367.0</v>
      </c>
      <c r="B129" s="626" t="s">
        <v>2218</v>
      </c>
      <c r="C129" s="610"/>
      <c r="D129" s="609"/>
      <c r="E129" s="604" t="s">
        <v>33</v>
      </c>
      <c r="F129" s="596"/>
      <c r="G129" s="597">
        <v>20.0</v>
      </c>
      <c r="H129" s="598">
        <f t="shared" si="1"/>
        <v>0</v>
      </c>
      <c r="I129" s="599"/>
      <c r="J129" s="605">
        <v>30000.0</v>
      </c>
      <c r="K129" s="628"/>
      <c r="L129" s="629" t="s">
        <v>137</v>
      </c>
      <c r="M129" s="612"/>
      <c r="N129" s="612"/>
      <c r="O129" s="612"/>
      <c r="P129" s="602">
        <f>A129-IF(O129&gt;0,O129,A129)</f>
        <v>0</v>
      </c>
      <c r="Q129" s="613" t="s">
        <v>162</v>
      </c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</row>
    <row r="130" ht="17.25" customHeight="1">
      <c r="A130" s="614">
        <v>45369.0</v>
      </c>
      <c r="B130" s="626" t="s">
        <v>2218</v>
      </c>
      <c r="C130" s="610">
        <v>606370.32</v>
      </c>
      <c r="D130" s="609"/>
      <c r="E130" s="606"/>
      <c r="F130" s="627" t="s">
        <v>2036</v>
      </c>
      <c r="G130" s="597">
        <v>20.0</v>
      </c>
      <c r="H130" s="598">
        <f t="shared" si="1"/>
        <v>101061.72</v>
      </c>
      <c r="I130" s="599"/>
      <c r="J130" s="599"/>
      <c r="K130" s="615"/>
      <c r="L130" s="616" t="s">
        <v>87</v>
      </c>
      <c r="M130" s="612"/>
      <c r="N130" s="612"/>
      <c r="O130" s="612"/>
      <c r="P130" s="602"/>
      <c r="Q130" s="613" t="s">
        <v>163</v>
      </c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</row>
    <row r="131" ht="17.25" customHeight="1">
      <c r="A131" s="614">
        <v>45369.0</v>
      </c>
      <c r="B131" s="626" t="s">
        <v>2218</v>
      </c>
      <c r="C131" s="609"/>
      <c r="D131" s="609"/>
      <c r="E131" s="604" t="s">
        <v>33</v>
      </c>
      <c r="F131" s="596"/>
      <c r="G131" s="597">
        <v>20.0</v>
      </c>
      <c r="H131" s="598">
        <f t="shared" si="1"/>
        <v>0</v>
      </c>
      <c r="I131" s="599"/>
      <c r="J131" s="605">
        <v>50000.0</v>
      </c>
      <c r="K131" s="628"/>
      <c r="L131" s="629" t="s">
        <v>137</v>
      </c>
      <c r="M131" s="612"/>
      <c r="N131" s="612"/>
      <c r="O131" s="612"/>
      <c r="P131" s="602"/>
      <c r="Q131" s="613" t="s">
        <v>164</v>
      </c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</row>
    <row r="132" ht="17.25" customHeight="1">
      <c r="A132" s="614">
        <v>45370.0</v>
      </c>
      <c r="B132" s="626" t="s">
        <v>2218</v>
      </c>
      <c r="C132" s="609"/>
      <c r="D132" s="609"/>
      <c r="E132" s="604" t="s">
        <v>33</v>
      </c>
      <c r="F132" s="596"/>
      <c r="G132" s="597">
        <v>20.0</v>
      </c>
      <c r="H132" s="598">
        <f t="shared" si="1"/>
        <v>0</v>
      </c>
      <c r="I132" s="599"/>
      <c r="J132" s="605">
        <v>20000.0</v>
      </c>
      <c r="K132" s="615"/>
      <c r="L132" s="616" t="s">
        <v>144</v>
      </c>
      <c r="M132" s="612"/>
      <c r="N132" s="612"/>
      <c r="O132" s="612"/>
      <c r="P132" s="602"/>
      <c r="Q132" s="613" t="s">
        <v>150</v>
      </c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</row>
    <row r="133" ht="17.25" customHeight="1">
      <c r="A133" s="614">
        <v>45372.0</v>
      </c>
      <c r="B133" s="626" t="s">
        <v>2218</v>
      </c>
      <c r="C133" s="609"/>
      <c r="D133" s="609"/>
      <c r="E133" s="604" t="s">
        <v>33</v>
      </c>
      <c r="F133" s="596"/>
      <c r="G133" s="597">
        <v>20.0</v>
      </c>
      <c r="H133" s="598">
        <f t="shared" si="1"/>
        <v>0</v>
      </c>
      <c r="I133" s="599"/>
      <c r="J133" s="605">
        <v>50000.0</v>
      </c>
      <c r="K133" s="628"/>
      <c r="L133" s="629" t="s">
        <v>137</v>
      </c>
      <c r="M133" s="612"/>
      <c r="N133" s="612"/>
      <c r="O133" s="612"/>
      <c r="P133" s="602"/>
      <c r="Q133" s="613" t="s">
        <v>165</v>
      </c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</row>
    <row r="134" ht="17.25" customHeight="1">
      <c r="A134" s="614">
        <v>45377.0</v>
      </c>
      <c r="B134" s="626" t="s">
        <v>2218</v>
      </c>
      <c r="C134" s="609"/>
      <c r="D134" s="609"/>
      <c r="E134" s="604" t="s">
        <v>33</v>
      </c>
      <c r="F134" s="627" t="s">
        <v>2037</v>
      </c>
      <c r="G134" s="597">
        <v>0.0</v>
      </c>
      <c r="H134" s="598">
        <f t="shared" si="1"/>
        <v>0</v>
      </c>
      <c r="I134" s="599"/>
      <c r="J134" s="605">
        <v>122340.0</v>
      </c>
      <c r="K134" s="615"/>
      <c r="L134" s="616" t="s">
        <v>68</v>
      </c>
      <c r="M134" s="612"/>
      <c r="N134" s="612"/>
      <c r="O134" s="612"/>
      <c r="P134" s="602"/>
      <c r="Q134" s="613" t="s">
        <v>146</v>
      </c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</row>
    <row r="135" ht="17.25" customHeight="1">
      <c r="A135" s="614">
        <v>45377.0</v>
      </c>
      <c r="B135" s="626" t="s">
        <v>2218</v>
      </c>
      <c r="C135" s="609"/>
      <c r="D135" s="609"/>
      <c r="E135" s="604" t="s">
        <v>33</v>
      </c>
      <c r="F135" s="627" t="s">
        <v>2037</v>
      </c>
      <c r="G135" s="597">
        <v>0.0</v>
      </c>
      <c r="H135" s="598">
        <f t="shared" si="1"/>
        <v>0</v>
      </c>
      <c r="I135" s="599"/>
      <c r="J135" s="605">
        <v>30000.0</v>
      </c>
      <c r="K135" s="628"/>
      <c r="L135" s="629" t="s">
        <v>68</v>
      </c>
      <c r="M135" s="612"/>
      <c r="N135" s="612"/>
      <c r="O135" s="612"/>
      <c r="P135" s="602"/>
      <c r="Q135" s="613" t="s">
        <v>166</v>
      </c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</row>
    <row r="136" ht="17.25" customHeight="1">
      <c r="A136" s="614">
        <v>45379.0</v>
      </c>
      <c r="B136" s="626" t="s">
        <v>2218</v>
      </c>
      <c r="C136" s="609"/>
      <c r="D136" s="610">
        <v>82861.46</v>
      </c>
      <c r="E136" s="595"/>
      <c r="F136" s="596"/>
      <c r="G136" s="597">
        <v>20.0</v>
      </c>
      <c r="H136" s="598">
        <f t="shared" si="1"/>
        <v>13810.24333</v>
      </c>
      <c r="I136" s="599"/>
      <c r="J136" s="599"/>
      <c r="K136" s="615"/>
      <c r="L136" s="616" t="s">
        <v>131</v>
      </c>
      <c r="M136" s="621"/>
      <c r="N136" s="621"/>
      <c r="O136" s="621"/>
      <c r="P136" s="602"/>
      <c r="Q136" s="622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</row>
    <row r="137" ht="17.25" customHeight="1">
      <c r="A137" s="614">
        <v>45379.0</v>
      </c>
      <c r="B137" s="626" t="s">
        <v>2218</v>
      </c>
      <c r="C137" s="609"/>
      <c r="D137" s="610">
        <v>52000.0</v>
      </c>
      <c r="E137" s="595"/>
      <c r="F137" s="596"/>
      <c r="G137" s="597">
        <v>0.0</v>
      </c>
      <c r="H137" s="598">
        <f t="shared" si="1"/>
        <v>0</v>
      </c>
      <c r="I137" s="599"/>
      <c r="J137" s="599"/>
      <c r="K137" s="615"/>
      <c r="L137" s="616" t="s">
        <v>167</v>
      </c>
      <c r="M137" s="612"/>
      <c r="N137" s="612"/>
      <c r="O137" s="612"/>
      <c r="P137" s="602"/>
      <c r="Q137" s="613" t="s">
        <v>168</v>
      </c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</row>
    <row r="138" ht="17.25" customHeight="1">
      <c r="A138" s="614">
        <v>45379.0</v>
      </c>
      <c r="B138" s="626" t="s">
        <v>2218</v>
      </c>
      <c r="C138" s="609"/>
      <c r="D138" s="610">
        <v>643209.67</v>
      </c>
      <c r="E138" s="606"/>
      <c r="F138" s="627" t="s">
        <v>169</v>
      </c>
      <c r="G138" s="597">
        <v>20.0</v>
      </c>
      <c r="H138" s="598">
        <f t="shared" si="1"/>
        <v>107201.6117</v>
      </c>
      <c r="I138" s="599"/>
      <c r="J138" s="599"/>
      <c r="K138" s="600"/>
      <c r="L138" s="601" t="s">
        <v>38</v>
      </c>
      <c r="M138" s="621"/>
      <c r="N138" s="621"/>
      <c r="O138" s="621"/>
      <c r="P138" s="602"/>
      <c r="Q138" s="622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</row>
    <row r="139" ht="17.25" customHeight="1">
      <c r="A139" s="614">
        <v>45379.0</v>
      </c>
      <c r="B139" s="626" t="s">
        <v>2218</v>
      </c>
      <c r="C139" s="609"/>
      <c r="D139" s="610">
        <v>1374336.75</v>
      </c>
      <c r="E139" s="606"/>
      <c r="F139" s="627" t="s">
        <v>2035</v>
      </c>
      <c r="G139" s="597">
        <v>20.0</v>
      </c>
      <c r="H139" s="598">
        <f t="shared" si="1"/>
        <v>229056.125</v>
      </c>
      <c r="I139" s="599"/>
      <c r="J139" s="599"/>
      <c r="K139" s="615"/>
      <c r="L139" s="616" t="s">
        <v>77</v>
      </c>
      <c r="M139" s="621"/>
      <c r="N139" s="621"/>
      <c r="O139" s="621"/>
      <c r="P139" s="602"/>
      <c r="Q139" s="622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</row>
    <row r="140" ht="17.25" customHeight="1">
      <c r="A140" s="614">
        <v>45383.0</v>
      </c>
      <c r="B140" s="626" t="s">
        <v>2218</v>
      </c>
      <c r="C140" s="609"/>
      <c r="D140" s="609"/>
      <c r="E140" s="604" t="s">
        <v>33</v>
      </c>
      <c r="F140" s="627" t="s">
        <v>2037</v>
      </c>
      <c r="G140" s="597">
        <v>0.0</v>
      </c>
      <c r="H140" s="598">
        <f t="shared" si="1"/>
        <v>0</v>
      </c>
      <c r="I140" s="599"/>
      <c r="J140" s="605">
        <v>170000.0</v>
      </c>
      <c r="K140" s="615"/>
      <c r="L140" s="616" t="s">
        <v>170</v>
      </c>
      <c r="M140" s="612"/>
      <c r="N140" s="612"/>
      <c r="O140" s="612"/>
      <c r="P140" s="602"/>
      <c r="Q140" s="613" t="s">
        <v>80</v>
      </c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</row>
    <row r="141" ht="17.25" customHeight="1">
      <c r="A141" s="614">
        <v>45383.0</v>
      </c>
      <c r="B141" s="626" t="s">
        <v>2218</v>
      </c>
      <c r="C141" s="609"/>
      <c r="D141" s="609"/>
      <c r="E141" s="604" t="s">
        <v>33</v>
      </c>
      <c r="F141" s="627" t="s">
        <v>2037</v>
      </c>
      <c r="G141" s="597">
        <v>0.0</v>
      </c>
      <c r="H141" s="598">
        <f t="shared" si="1"/>
        <v>0</v>
      </c>
      <c r="I141" s="599"/>
      <c r="J141" s="605">
        <v>270000.0</v>
      </c>
      <c r="K141" s="615"/>
      <c r="L141" s="616" t="s">
        <v>170</v>
      </c>
      <c r="M141" s="612"/>
      <c r="N141" s="612"/>
      <c r="O141" s="612"/>
      <c r="P141" s="602"/>
      <c r="Q141" s="613" t="s">
        <v>128</v>
      </c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</row>
    <row r="142" ht="17.25" customHeight="1">
      <c r="A142" s="614">
        <v>45383.0</v>
      </c>
      <c r="B142" s="626" t="s">
        <v>2218</v>
      </c>
      <c r="C142" s="609"/>
      <c r="D142" s="609"/>
      <c r="E142" s="604" t="s">
        <v>33</v>
      </c>
      <c r="F142" s="627" t="s">
        <v>2037</v>
      </c>
      <c r="G142" s="597">
        <v>0.0</v>
      </c>
      <c r="H142" s="598">
        <f t="shared" si="1"/>
        <v>0</v>
      </c>
      <c r="I142" s="599"/>
      <c r="J142" s="605">
        <v>130000.0</v>
      </c>
      <c r="K142" s="615"/>
      <c r="L142" s="616" t="s">
        <v>170</v>
      </c>
      <c r="M142" s="612"/>
      <c r="N142" s="612"/>
      <c r="O142" s="612"/>
      <c r="P142" s="602"/>
      <c r="Q142" s="613" t="s">
        <v>145</v>
      </c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</row>
    <row r="143" ht="17.25" customHeight="1">
      <c r="A143" s="614">
        <v>45383.0</v>
      </c>
      <c r="B143" s="626" t="s">
        <v>2218</v>
      </c>
      <c r="C143" s="609"/>
      <c r="D143" s="609"/>
      <c r="E143" s="604" t="s">
        <v>33</v>
      </c>
      <c r="F143" s="627" t="s">
        <v>2037</v>
      </c>
      <c r="G143" s="597">
        <v>0.0</v>
      </c>
      <c r="H143" s="598">
        <f t="shared" si="1"/>
        <v>0</v>
      </c>
      <c r="I143" s="599"/>
      <c r="J143" s="605">
        <v>40000.0</v>
      </c>
      <c r="K143" s="615"/>
      <c r="L143" s="616" t="s">
        <v>170</v>
      </c>
      <c r="M143" s="612"/>
      <c r="N143" s="612"/>
      <c r="O143" s="612"/>
      <c r="P143" s="602"/>
      <c r="Q143" s="613" t="s">
        <v>171</v>
      </c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</row>
    <row r="144" ht="17.25" customHeight="1">
      <c r="A144" s="614">
        <v>45383.0</v>
      </c>
      <c r="B144" s="626" t="s">
        <v>2218</v>
      </c>
      <c r="C144" s="609"/>
      <c r="D144" s="609"/>
      <c r="E144" s="604" t="s">
        <v>33</v>
      </c>
      <c r="F144" s="627" t="s">
        <v>2037</v>
      </c>
      <c r="G144" s="597">
        <v>0.0</v>
      </c>
      <c r="H144" s="598">
        <f t="shared" si="1"/>
        <v>0</v>
      </c>
      <c r="I144" s="599"/>
      <c r="J144" s="605">
        <v>35000.0</v>
      </c>
      <c r="K144" s="615"/>
      <c r="L144" s="616" t="s">
        <v>170</v>
      </c>
      <c r="M144" s="612"/>
      <c r="N144" s="612"/>
      <c r="O144" s="612"/>
      <c r="P144" s="602"/>
      <c r="Q144" s="613" t="s">
        <v>147</v>
      </c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</row>
    <row r="145" ht="17.25" customHeight="1">
      <c r="A145" s="614">
        <v>45383.0</v>
      </c>
      <c r="B145" s="626" t="s">
        <v>2218</v>
      </c>
      <c r="C145" s="609"/>
      <c r="D145" s="609">
        <f>I145/0.72</f>
        <v>1250000</v>
      </c>
      <c r="E145" s="606"/>
      <c r="F145" s="627" t="s">
        <v>48</v>
      </c>
      <c r="G145" s="597">
        <v>20.0</v>
      </c>
      <c r="H145" s="598">
        <f t="shared" si="1"/>
        <v>208333.3333</v>
      </c>
      <c r="I145" s="605">
        <v>900000.0</v>
      </c>
      <c r="J145" s="599"/>
      <c r="K145" s="615"/>
      <c r="L145" s="616" t="s">
        <v>48</v>
      </c>
      <c r="M145" s="621"/>
      <c r="N145" s="621"/>
      <c r="O145" s="621"/>
      <c r="P145" s="602"/>
      <c r="Q145" s="622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</row>
    <row r="146" ht="17.25" customHeight="1">
      <c r="A146" s="614">
        <v>45384.0</v>
      </c>
      <c r="B146" s="626" t="s">
        <v>2218</v>
      </c>
      <c r="C146" s="609"/>
      <c r="D146" s="610">
        <v>327173.72</v>
      </c>
      <c r="E146" s="595"/>
      <c r="F146" s="596"/>
      <c r="G146" s="597">
        <v>20.0</v>
      </c>
      <c r="H146" s="598">
        <f t="shared" si="1"/>
        <v>54528.95333</v>
      </c>
      <c r="I146" s="599"/>
      <c r="J146" s="599"/>
      <c r="K146" s="615"/>
      <c r="L146" s="615" t="s">
        <v>172</v>
      </c>
      <c r="M146" s="612"/>
      <c r="N146" s="612"/>
      <c r="O146" s="612"/>
      <c r="P146" s="602"/>
      <c r="Q146" s="613" t="s">
        <v>173</v>
      </c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</row>
    <row r="147" ht="17.25" customHeight="1">
      <c r="A147" s="614">
        <v>45385.0</v>
      </c>
      <c r="B147" s="626" t="s">
        <v>2218</v>
      </c>
      <c r="C147" s="609"/>
      <c r="D147" s="610">
        <v>13990.0</v>
      </c>
      <c r="E147" s="606"/>
      <c r="F147" s="627" t="s">
        <v>2037</v>
      </c>
      <c r="G147" s="597">
        <v>0.0</v>
      </c>
      <c r="H147" s="598">
        <f t="shared" si="1"/>
        <v>0</v>
      </c>
      <c r="I147" s="599"/>
      <c r="J147" s="599"/>
      <c r="K147" s="600"/>
      <c r="L147" s="601" t="s">
        <v>31</v>
      </c>
      <c r="M147" s="612"/>
      <c r="N147" s="612"/>
      <c r="O147" s="612"/>
      <c r="P147" s="602"/>
      <c r="Q147" s="613" t="s">
        <v>174</v>
      </c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</row>
    <row r="148" ht="17.25" customHeight="1">
      <c r="A148" s="614">
        <v>45386.0</v>
      </c>
      <c r="B148" s="626" t="s">
        <v>2218</v>
      </c>
      <c r="C148" s="609"/>
      <c r="D148" s="609"/>
      <c r="E148" s="604" t="s">
        <v>33</v>
      </c>
      <c r="F148" s="596"/>
      <c r="G148" s="597">
        <v>20.0</v>
      </c>
      <c r="H148" s="598">
        <f t="shared" si="1"/>
        <v>0</v>
      </c>
      <c r="I148" s="599"/>
      <c r="J148" s="605">
        <v>15000.0</v>
      </c>
      <c r="K148" s="615"/>
      <c r="L148" s="616" t="s">
        <v>137</v>
      </c>
      <c r="M148" s="612"/>
      <c r="N148" s="612"/>
      <c r="O148" s="612"/>
      <c r="P148" s="602"/>
      <c r="Q148" s="613" t="s">
        <v>175</v>
      </c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</row>
    <row r="149" ht="17.25" customHeight="1">
      <c r="A149" s="614">
        <v>45391.0</v>
      </c>
      <c r="B149" s="626" t="s">
        <v>2218</v>
      </c>
      <c r="C149" s="609"/>
      <c r="D149" s="610">
        <v>124800.0</v>
      </c>
      <c r="E149" s="606"/>
      <c r="F149" s="627" t="s">
        <v>2037</v>
      </c>
      <c r="G149" s="597">
        <v>0.0</v>
      </c>
      <c r="H149" s="598">
        <f t="shared" si="1"/>
        <v>0</v>
      </c>
      <c r="I149" s="599"/>
      <c r="J149" s="599"/>
      <c r="K149" s="615"/>
      <c r="L149" s="616" t="s">
        <v>167</v>
      </c>
      <c r="M149" s="612"/>
      <c r="N149" s="612"/>
      <c r="O149" s="612"/>
      <c r="P149" s="602"/>
      <c r="Q149" s="613" t="s">
        <v>176</v>
      </c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</row>
    <row r="150" ht="17.25" customHeight="1">
      <c r="A150" s="614">
        <v>45391.0</v>
      </c>
      <c r="B150" s="626" t="s">
        <v>2218</v>
      </c>
      <c r="C150" s="609"/>
      <c r="D150" s="609"/>
      <c r="E150" s="604" t="s">
        <v>33</v>
      </c>
      <c r="F150" s="627" t="s">
        <v>2037</v>
      </c>
      <c r="G150" s="597">
        <v>20.0</v>
      </c>
      <c r="H150" s="598">
        <f t="shared" si="1"/>
        <v>0</v>
      </c>
      <c r="I150" s="599"/>
      <c r="J150" s="605">
        <v>12000.0</v>
      </c>
      <c r="K150" s="615"/>
      <c r="L150" s="616" t="s">
        <v>128</v>
      </c>
      <c r="M150" s="612"/>
      <c r="N150" s="612"/>
      <c r="O150" s="612"/>
      <c r="P150" s="602"/>
      <c r="Q150" s="613" t="s">
        <v>177</v>
      </c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</row>
    <row r="151" ht="17.25" customHeight="1">
      <c r="A151" s="614">
        <v>45391.0</v>
      </c>
      <c r="B151" s="626" t="s">
        <v>2218</v>
      </c>
      <c r="C151" s="609"/>
      <c r="D151" s="609"/>
      <c r="E151" s="604" t="s">
        <v>33</v>
      </c>
      <c r="F151" s="627" t="s">
        <v>2037</v>
      </c>
      <c r="G151" s="597">
        <v>20.0</v>
      </c>
      <c r="H151" s="598">
        <f t="shared" si="1"/>
        <v>0</v>
      </c>
      <c r="I151" s="599"/>
      <c r="J151" s="605">
        <v>4250.0</v>
      </c>
      <c r="K151" s="615"/>
      <c r="L151" s="616" t="s">
        <v>128</v>
      </c>
      <c r="M151" s="612"/>
      <c r="N151" s="612"/>
      <c r="O151" s="612"/>
      <c r="P151" s="602"/>
      <c r="Q151" s="613" t="s">
        <v>144</v>
      </c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</row>
    <row r="152" ht="17.25" customHeight="1">
      <c r="A152" s="614">
        <v>45392.0</v>
      </c>
      <c r="B152" s="626" t="s">
        <v>2218</v>
      </c>
      <c r="C152" s="609"/>
      <c r="D152" s="609"/>
      <c r="E152" s="604" t="s">
        <v>33</v>
      </c>
      <c r="F152" s="596"/>
      <c r="G152" s="597">
        <v>20.0</v>
      </c>
      <c r="H152" s="598">
        <f t="shared" si="1"/>
        <v>0</v>
      </c>
      <c r="I152" s="599"/>
      <c r="J152" s="605">
        <v>110000.0</v>
      </c>
      <c r="K152" s="628"/>
      <c r="L152" s="629" t="s">
        <v>137</v>
      </c>
      <c r="M152" s="612"/>
      <c r="N152" s="612"/>
      <c r="O152" s="612"/>
      <c r="P152" s="602">
        <f t="shared" ref="P152:P154" si="7">A152-IF(O152&gt;0,O152,A152)</f>
        <v>0</v>
      </c>
      <c r="Q152" s="613" t="s">
        <v>178</v>
      </c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</row>
    <row r="153" ht="17.25" customHeight="1">
      <c r="A153" s="614">
        <v>45393.0</v>
      </c>
      <c r="B153" s="626" t="s">
        <v>2218</v>
      </c>
      <c r="C153" s="610">
        <v>1800000.0</v>
      </c>
      <c r="D153" s="609"/>
      <c r="E153" s="606"/>
      <c r="F153" s="627" t="s">
        <v>2037</v>
      </c>
      <c r="G153" s="597">
        <v>20.0</v>
      </c>
      <c r="H153" s="598">
        <f t="shared" si="1"/>
        <v>300000</v>
      </c>
      <c r="I153" s="599"/>
      <c r="J153" s="599"/>
      <c r="K153" s="615"/>
      <c r="L153" s="616" t="s">
        <v>179</v>
      </c>
      <c r="M153" s="612"/>
      <c r="N153" s="612"/>
      <c r="O153" s="612"/>
      <c r="P153" s="602">
        <f t="shared" si="7"/>
        <v>0</v>
      </c>
      <c r="Q153" s="613" t="s">
        <v>180</v>
      </c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</row>
    <row r="154" ht="17.25" customHeight="1">
      <c r="A154" s="614">
        <v>45393.0</v>
      </c>
      <c r="B154" s="626" t="s">
        <v>2218</v>
      </c>
      <c r="C154" s="610">
        <v>600000.0</v>
      </c>
      <c r="D154" s="609"/>
      <c r="E154" s="606"/>
      <c r="F154" s="627" t="s">
        <v>2037</v>
      </c>
      <c r="G154" s="597">
        <v>20.0</v>
      </c>
      <c r="H154" s="598">
        <f t="shared" si="1"/>
        <v>100000</v>
      </c>
      <c r="I154" s="599"/>
      <c r="J154" s="599"/>
      <c r="K154" s="615"/>
      <c r="L154" s="616" t="s">
        <v>181</v>
      </c>
      <c r="M154" s="612"/>
      <c r="N154" s="612"/>
      <c r="O154" s="612"/>
      <c r="P154" s="602">
        <f t="shared" si="7"/>
        <v>0</v>
      </c>
      <c r="Q154" s="613" t="s">
        <v>182</v>
      </c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</row>
    <row r="155" ht="17.25" customHeight="1">
      <c r="A155" s="614">
        <v>45397.0</v>
      </c>
      <c r="B155" s="626" t="s">
        <v>2218</v>
      </c>
      <c r="C155" s="610">
        <v>228418.64</v>
      </c>
      <c r="D155" s="609"/>
      <c r="E155" s="606"/>
      <c r="F155" s="627" t="s">
        <v>2037</v>
      </c>
      <c r="G155" s="597">
        <v>20.0</v>
      </c>
      <c r="H155" s="598">
        <f t="shared" si="1"/>
        <v>38069.77333</v>
      </c>
      <c r="I155" s="599"/>
      <c r="J155" s="599"/>
      <c r="K155" s="615"/>
      <c r="L155" s="616" t="s">
        <v>181</v>
      </c>
      <c r="M155" s="612"/>
      <c r="N155" s="612"/>
      <c r="O155" s="612"/>
      <c r="P155" s="602"/>
      <c r="Q155" s="613" t="s">
        <v>183</v>
      </c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</row>
    <row r="156" ht="17.25" customHeight="1">
      <c r="A156" s="614">
        <v>45398.0</v>
      </c>
      <c r="B156" s="626" t="s">
        <v>2218</v>
      </c>
      <c r="C156" s="609"/>
      <c r="D156" s="610"/>
      <c r="E156" s="604" t="s">
        <v>33</v>
      </c>
      <c r="F156" s="596"/>
      <c r="G156" s="597">
        <v>20.0</v>
      </c>
      <c r="H156" s="598">
        <f t="shared" si="1"/>
        <v>0</v>
      </c>
      <c r="I156" s="599"/>
      <c r="J156" s="605">
        <v>15300.0</v>
      </c>
      <c r="K156" s="628"/>
      <c r="L156" s="629" t="s">
        <v>137</v>
      </c>
      <c r="M156" s="612"/>
      <c r="N156" s="612"/>
      <c r="O156" s="612"/>
      <c r="P156" s="602"/>
      <c r="Q156" s="613" t="s">
        <v>184</v>
      </c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</row>
    <row r="157" ht="17.25" customHeight="1">
      <c r="A157" s="614">
        <v>45398.0</v>
      </c>
      <c r="B157" s="626" t="s">
        <v>2218</v>
      </c>
      <c r="C157" s="609"/>
      <c r="D157" s="610"/>
      <c r="E157" s="604" t="s">
        <v>33</v>
      </c>
      <c r="F157" s="596"/>
      <c r="G157" s="597">
        <v>20.0</v>
      </c>
      <c r="H157" s="598">
        <f t="shared" si="1"/>
        <v>0</v>
      </c>
      <c r="I157" s="599"/>
      <c r="J157" s="605">
        <v>33000.0</v>
      </c>
      <c r="K157" s="628"/>
      <c r="L157" s="629" t="s">
        <v>137</v>
      </c>
      <c r="M157" s="612"/>
      <c r="N157" s="612"/>
      <c r="O157" s="612"/>
      <c r="P157" s="602"/>
      <c r="Q157" s="613" t="s">
        <v>185</v>
      </c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</row>
    <row r="158" ht="17.25" customHeight="1">
      <c r="A158" s="614">
        <v>45399.0</v>
      </c>
      <c r="B158" s="626" t="s">
        <v>2218</v>
      </c>
      <c r="C158" s="609"/>
      <c r="D158" s="609"/>
      <c r="E158" s="604" t="s">
        <v>33</v>
      </c>
      <c r="F158" s="627" t="s">
        <v>186</v>
      </c>
      <c r="G158" s="597">
        <v>20.0</v>
      </c>
      <c r="H158" s="598">
        <f t="shared" si="1"/>
        <v>0</v>
      </c>
      <c r="I158" s="599"/>
      <c r="J158" s="599">
        <v>26382.0</v>
      </c>
      <c r="K158" s="615"/>
      <c r="L158" s="616" t="s">
        <v>137</v>
      </c>
      <c r="M158" s="612"/>
      <c r="N158" s="612"/>
      <c r="O158" s="612"/>
      <c r="P158" s="602">
        <f>A158-IF(O158&gt;0,O158,A158)</f>
        <v>0</v>
      </c>
      <c r="Q158" s="613" t="s">
        <v>187</v>
      </c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</row>
    <row r="159" ht="17.25" customHeight="1">
      <c r="A159" s="614">
        <v>45400.0</v>
      </c>
      <c r="B159" s="626" t="s">
        <v>2218</v>
      </c>
      <c r="C159" s="610">
        <v>794636.88</v>
      </c>
      <c r="D159" s="609"/>
      <c r="E159" s="606"/>
      <c r="F159" s="627" t="s">
        <v>2037</v>
      </c>
      <c r="G159" s="597">
        <v>20.0</v>
      </c>
      <c r="H159" s="598">
        <f t="shared" si="1"/>
        <v>132439.48</v>
      </c>
      <c r="I159" s="599"/>
      <c r="J159" s="599"/>
      <c r="K159" s="615"/>
      <c r="L159" s="616" t="s">
        <v>87</v>
      </c>
      <c r="M159" s="612"/>
      <c r="N159" s="612"/>
      <c r="O159" s="612"/>
      <c r="P159" s="602"/>
      <c r="Q159" s="613" t="s">
        <v>188</v>
      </c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</row>
    <row r="160" ht="17.25" customHeight="1">
      <c r="A160" s="614">
        <v>45400.0</v>
      </c>
      <c r="B160" s="626" t="s">
        <v>2218</v>
      </c>
      <c r="C160" s="609"/>
      <c r="D160" s="610">
        <v>105705.0</v>
      </c>
      <c r="E160" s="606"/>
      <c r="F160" s="627" t="s">
        <v>2038</v>
      </c>
      <c r="G160" s="597">
        <v>0.0</v>
      </c>
      <c r="H160" s="598">
        <f t="shared" si="1"/>
        <v>0</v>
      </c>
      <c r="I160" s="599"/>
      <c r="J160" s="599"/>
      <c r="K160" s="615"/>
      <c r="L160" s="616" t="s">
        <v>170</v>
      </c>
      <c r="M160" s="612"/>
      <c r="N160" s="612"/>
      <c r="O160" s="612"/>
      <c r="P160" s="602"/>
      <c r="Q160" s="613" t="s">
        <v>190</v>
      </c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</row>
    <row r="161" ht="17.25" customHeight="1">
      <c r="A161" s="614">
        <v>45401.0</v>
      </c>
      <c r="B161" s="626" t="s">
        <v>2218</v>
      </c>
      <c r="C161" s="609"/>
      <c r="D161" s="609"/>
      <c r="E161" s="604" t="s">
        <v>33</v>
      </c>
      <c r="F161" s="627" t="s">
        <v>186</v>
      </c>
      <c r="G161" s="597">
        <v>20.0</v>
      </c>
      <c r="H161" s="598">
        <f t="shared" si="1"/>
        <v>0</v>
      </c>
      <c r="I161" s="599"/>
      <c r="J161" s="605">
        <v>26387.0</v>
      </c>
      <c r="K161" s="615"/>
      <c r="L161" s="616" t="s">
        <v>191</v>
      </c>
      <c r="M161" s="612"/>
      <c r="N161" s="612"/>
      <c r="O161" s="612"/>
      <c r="P161" s="602"/>
      <c r="Q161" s="613" t="s">
        <v>192</v>
      </c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</row>
    <row r="162" ht="17.25" customHeight="1">
      <c r="A162" s="614">
        <v>45401.0</v>
      </c>
      <c r="B162" s="626" t="s">
        <v>2218</v>
      </c>
      <c r="C162" s="609"/>
      <c r="D162" s="609"/>
      <c r="E162" s="604" t="s">
        <v>33</v>
      </c>
      <c r="F162" s="627" t="s">
        <v>144</v>
      </c>
      <c r="G162" s="597">
        <v>20.0</v>
      </c>
      <c r="H162" s="598">
        <f t="shared" si="1"/>
        <v>0</v>
      </c>
      <c r="I162" s="599"/>
      <c r="J162" s="605">
        <v>9250.0</v>
      </c>
      <c r="K162" s="615"/>
      <c r="L162" s="616" t="s">
        <v>191</v>
      </c>
      <c r="M162" s="612"/>
      <c r="N162" s="612"/>
      <c r="O162" s="612"/>
      <c r="P162" s="602"/>
      <c r="Q162" s="613" t="s">
        <v>193</v>
      </c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</row>
    <row r="163" ht="17.25" customHeight="1">
      <c r="A163" s="614">
        <v>45404.0</v>
      </c>
      <c r="B163" s="626" t="s">
        <v>2218</v>
      </c>
      <c r="C163" s="609"/>
      <c r="D163" s="610"/>
      <c r="E163" s="604" t="s">
        <v>33</v>
      </c>
      <c r="F163" s="627" t="s">
        <v>2038</v>
      </c>
      <c r="G163" s="597">
        <v>0.0</v>
      </c>
      <c r="H163" s="598">
        <f t="shared" si="1"/>
        <v>0</v>
      </c>
      <c r="I163" s="599"/>
      <c r="J163" s="605">
        <v>69175.0</v>
      </c>
      <c r="K163" s="615"/>
      <c r="L163" s="616" t="s">
        <v>68</v>
      </c>
      <c r="M163" s="612"/>
      <c r="N163" s="612"/>
      <c r="O163" s="612"/>
      <c r="P163" s="602"/>
      <c r="Q163" s="613" t="s">
        <v>194</v>
      </c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</row>
    <row r="164" ht="17.25" customHeight="1">
      <c r="A164" s="614">
        <v>45406.0</v>
      </c>
      <c r="B164" s="626" t="s">
        <v>2218</v>
      </c>
      <c r="C164" s="609"/>
      <c r="D164" s="609"/>
      <c r="E164" s="604" t="s">
        <v>33</v>
      </c>
      <c r="F164" s="596"/>
      <c r="G164" s="597">
        <v>0.0</v>
      </c>
      <c r="H164" s="598">
        <f t="shared" si="1"/>
        <v>0</v>
      </c>
      <c r="I164" s="599"/>
      <c r="J164" s="605">
        <v>50000.0</v>
      </c>
      <c r="K164" s="615"/>
      <c r="L164" s="616" t="s">
        <v>170</v>
      </c>
      <c r="M164" s="612"/>
      <c r="N164" s="612"/>
      <c r="O164" s="612"/>
      <c r="P164" s="602"/>
      <c r="Q164" s="613" t="s">
        <v>195</v>
      </c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</row>
    <row r="165" ht="17.25" customHeight="1">
      <c r="A165" s="614">
        <v>45406.0</v>
      </c>
      <c r="B165" s="626" t="s">
        <v>2218</v>
      </c>
      <c r="C165" s="609"/>
      <c r="D165" s="609"/>
      <c r="E165" s="604" t="s">
        <v>33</v>
      </c>
      <c r="F165" s="596"/>
      <c r="G165" s="597">
        <v>0.0</v>
      </c>
      <c r="H165" s="598">
        <f t="shared" si="1"/>
        <v>0</v>
      </c>
      <c r="I165" s="599"/>
      <c r="J165" s="605">
        <v>25000.0</v>
      </c>
      <c r="K165" s="615"/>
      <c r="L165" s="616" t="s">
        <v>170</v>
      </c>
      <c r="M165" s="612"/>
      <c r="N165" s="612"/>
      <c r="O165" s="612"/>
      <c r="P165" s="602"/>
      <c r="Q165" s="613" t="s">
        <v>196</v>
      </c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</row>
    <row r="166" ht="17.25" customHeight="1">
      <c r="A166" s="614">
        <v>45406.0</v>
      </c>
      <c r="B166" s="626" t="s">
        <v>2218</v>
      </c>
      <c r="C166" s="609"/>
      <c r="D166" s="609"/>
      <c r="E166" s="604" t="s">
        <v>33</v>
      </c>
      <c r="F166" s="627" t="s">
        <v>197</v>
      </c>
      <c r="G166" s="597">
        <v>20.0</v>
      </c>
      <c r="H166" s="598">
        <f t="shared" si="1"/>
        <v>0</v>
      </c>
      <c r="I166" s="599"/>
      <c r="J166" s="605">
        <v>30000.0</v>
      </c>
      <c r="K166" s="615"/>
      <c r="L166" s="616" t="s">
        <v>137</v>
      </c>
      <c r="M166" s="612"/>
      <c r="N166" s="612"/>
      <c r="O166" s="612"/>
      <c r="P166" s="602"/>
      <c r="Q166" s="613" t="s">
        <v>198</v>
      </c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</row>
    <row r="167" ht="17.25" customHeight="1">
      <c r="A167" s="614">
        <v>45407.0</v>
      </c>
      <c r="B167" s="626" t="s">
        <v>2218</v>
      </c>
      <c r="C167" s="609"/>
      <c r="D167" s="610">
        <v>220000.0</v>
      </c>
      <c r="E167" s="595"/>
      <c r="F167" s="596"/>
      <c r="G167" s="597">
        <v>0.0</v>
      </c>
      <c r="H167" s="598">
        <f t="shared" si="1"/>
        <v>0</v>
      </c>
      <c r="I167" s="599"/>
      <c r="J167" s="599"/>
      <c r="K167" s="615"/>
      <c r="L167" s="616" t="s">
        <v>139</v>
      </c>
      <c r="M167" s="621"/>
      <c r="N167" s="621"/>
      <c r="O167" s="621"/>
      <c r="P167" s="602"/>
      <c r="Q167" s="622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</row>
    <row r="168" ht="17.25" customHeight="1">
      <c r="A168" s="614">
        <v>45407.0</v>
      </c>
      <c r="B168" s="626" t="s">
        <v>2218</v>
      </c>
      <c r="C168" s="609"/>
      <c r="D168" s="610">
        <v>58777.2</v>
      </c>
      <c r="E168" s="595"/>
      <c r="F168" s="596"/>
      <c r="G168" s="597">
        <v>20.0</v>
      </c>
      <c r="H168" s="598">
        <f t="shared" si="1"/>
        <v>9796.2</v>
      </c>
      <c r="I168" s="599"/>
      <c r="J168" s="599"/>
      <c r="K168" s="615"/>
      <c r="L168" s="616" t="s">
        <v>116</v>
      </c>
      <c r="M168" s="612"/>
      <c r="N168" s="612"/>
      <c r="O168" s="612"/>
      <c r="P168" s="602"/>
      <c r="Q168" s="613" t="s">
        <v>199</v>
      </c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</row>
    <row r="169" ht="17.25" customHeight="1">
      <c r="A169" s="614">
        <v>45408.0</v>
      </c>
      <c r="B169" s="626" t="s">
        <v>2218</v>
      </c>
      <c r="C169" s="609"/>
      <c r="D169" s="609"/>
      <c r="E169" s="604" t="s">
        <v>33</v>
      </c>
      <c r="F169" s="627" t="s">
        <v>197</v>
      </c>
      <c r="G169" s="597">
        <v>20.0</v>
      </c>
      <c r="H169" s="598">
        <f t="shared" si="1"/>
        <v>0</v>
      </c>
      <c r="I169" s="599"/>
      <c r="J169" s="605">
        <v>5000.0</v>
      </c>
      <c r="K169" s="615"/>
      <c r="L169" s="616" t="s">
        <v>137</v>
      </c>
      <c r="M169" s="612"/>
      <c r="N169" s="612"/>
      <c r="O169" s="612"/>
      <c r="P169" s="602"/>
      <c r="Q169" s="613" t="s">
        <v>200</v>
      </c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</row>
    <row r="170" ht="17.25" customHeight="1">
      <c r="A170" s="614">
        <v>45408.0</v>
      </c>
      <c r="B170" s="626" t="s">
        <v>2218</v>
      </c>
      <c r="C170" s="609"/>
      <c r="D170" s="609"/>
      <c r="E170" s="604" t="s">
        <v>33</v>
      </c>
      <c r="F170" s="627" t="s">
        <v>197</v>
      </c>
      <c r="G170" s="597">
        <v>20.0</v>
      </c>
      <c r="H170" s="598">
        <f t="shared" si="1"/>
        <v>0</v>
      </c>
      <c r="I170" s="599"/>
      <c r="J170" s="605">
        <v>30000.0</v>
      </c>
      <c r="K170" s="615"/>
      <c r="L170" s="616" t="s">
        <v>137</v>
      </c>
      <c r="M170" s="612"/>
      <c r="N170" s="612"/>
      <c r="O170" s="612"/>
      <c r="P170" s="602"/>
      <c r="Q170" s="613" t="s">
        <v>201</v>
      </c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</row>
    <row r="171" ht="17.25" customHeight="1">
      <c r="A171" s="614">
        <v>45408.0</v>
      </c>
      <c r="B171" s="626" t="s">
        <v>2218</v>
      </c>
      <c r="C171" s="609"/>
      <c r="D171" s="609"/>
      <c r="E171" s="604" t="s">
        <v>33</v>
      </c>
      <c r="F171" s="627" t="s">
        <v>197</v>
      </c>
      <c r="G171" s="597">
        <v>20.0</v>
      </c>
      <c r="H171" s="598">
        <f t="shared" si="1"/>
        <v>0</v>
      </c>
      <c r="I171" s="599"/>
      <c r="J171" s="605">
        <v>175000.0</v>
      </c>
      <c r="K171" s="615"/>
      <c r="L171" s="616" t="s">
        <v>137</v>
      </c>
      <c r="M171" s="612"/>
      <c r="N171" s="612"/>
      <c r="O171" s="612"/>
      <c r="P171" s="602"/>
      <c r="Q171" s="613" t="s">
        <v>202</v>
      </c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</row>
    <row r="172" ht="17.25" customHeight="1">
      <c r="A172" s="614">
        <v>45408.0</v>
      </c>
      <c r="B172" s="626" t="s">
        <v>2218</v>
      </c>
      <c r="C172" s="609"/>
      <c r="D172" s="609"/>
      <c r="E172" s="604" t="s">
        <v>33</v>
      </c>
      <c r="F172" s="627" t="s">
        <v>2038</v>
      </c>
      <c r="G172" s="597">
        <v>0.0</v>
      </c>
      <c r="H172" s="598">
        <f t="shared" si="1"/>
        <v>0</v>
      </c>
      <c r="I172" s="599"/>
      <c r="J172" s="605">
        <v>95000.0</v>
      </c>
      <c r="K172" s="615"/>
      <c r="L172" s="616" t="s">
        <v>203</v>
      </c>
      <c r="M172" s="612"/>
      <c r="N172" s="612"/>
      <c r="O172" s="612"/>
      <c r="P172" s="602"/>
      <c r="Q172" s="613" t="s">
        <v>166</v>
      </c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</row>
    <row r="173" ht="17.25" customHeight="1">
      <c r="A173" s="614">
        <v>45408.0</v>
      </c>
      <c r="B173" s="626" t="s">
        <v>2218</v>
      </c>
      <c r="C173" s="609"/>
      <c r="D173" s="609"/>
      <c r="E173" s="604" t="s">
        <v>33</v>
      </c>
      <c r="F173" s="627" t="s">
        <v>197</v>
      </c>
      <c r="G173" s="597">
        <v>20.0</v>
      </c>
      <c r="H173" s="598">
        <f t="shared" si="1"/>
        <v>0</v>
      </c>
      <c r="I173" s="599"/>
      <c r="J173" s="599">
        <f>68000+6700</f>
        <v>74700</v>
      </c>
      <c r="K173" s="615"/>
      <c r="L173" s="616" t="s">
        <v>137</v>
      </c>
      <c r="M173" s="612"/>
      <c r="N173" s="612"/>
      <c r="O173" s="612"/>
      <c r="P173" s="602">
        <f>A173-IF(O173&gt;0,O173,A173)</f>
        <v>0</v>
      </c>
      <c r="Q173" s="613" t="s">
        <v>204</v>
      </c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</row>
    <row r="174" ht="17.25" customHeight="1">
      <c r="A174" s="614">
        <v>45409.0</v>
      </c>
      <c r="B174" s="626" t="s">
        <v>2218</v>
      </c>
      <c r="C174" s="610">
        <v>720000.12</v>
      </c>
      <c r="D174" s="609"/>
      <c r="E174" s="606"/>
      <c r="F174" s="627" t="s">
        <v>2037</v>
      </c>
      <c r="G174" s="597">
        <v>20.0</v>
      </c>
      <c r="H174" s="598">
        <f t="shared" si="1"/>
        <v>120000.02</v>
      </c>
      <c r="I174" s="599"/>
      <c r="J174" s="599"/>
      <c r="K174" s="628"/>
      <c r="L174" s="629" t="s">
        <v>205</v>
      </c>
      <c r="M174" s="612"/>
      <c r="N174" s="612"/>
      <c r="O174" s="612"/>
      <c r="P174" s="602"/>
      <c r="Q174" s="613" t="s">
        <v>206</v>
      </c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</row>
    <row r="175" ht="17.25" customHeight="1">
      <c r="A175" s="614">
        <v>45409.0</v>
      </c>
      <c r="B175" s="626" t="s">
        <v>2218</v>
      </c>
      <c r="C175" s="609"/>
      <c r="D175" s="610">
        <v>130500.0</v>
      </c>
      <c r="E175" s="606"/>
      <c r="F175" s="627" t="s">
        <v>2038</v>
      </c>
      <c r="G175" s="597">
        <v>0.0</v>
      </c>
      <c r="H175" s="598">
        <f t="shared" si="1"/>
        <v>0</v>
      </c>
      <c r="I175" s="599"/>
      <c r="J175" s="599"/>
      <c r="K175" s="615"/>
      <c r="L175" s="616" t="s">
        <v>203</v>
      </c>
      <c r="M175" s="612"/>
      <c r="N175" s="612"/>
      <c r="O175" s="612"/>
      <c r="P175" s="602"/>
      <c r="Q175" s="613" t="s">
        <v>207</v>
      </c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</row>
    <row r="176" ht="17.25" customHeight="1">
      <c r="A176" s="614">
        <v>45409.0</v>
      </c>
      <c r="B176" s="626" t="s">
        <v>2218</v>
      </c>
      <c r="C176" s="609"/>
      <c r="D176" s="610">
        <v>36450.0</v>
      </c>
      <c r="E176" s="606"/>
      <c r="F176" s="627" t="s">
        <v>2038</v>
      </c>
      <c r="G176" s="597">
        <v>0.0</v>
      </c>
      <c r="H176" s="598">
        <f t="shared" si="1"/>
        <v>0</v>
      </c>
      <c r="I176" s="599"/>
      <c r="J176" s="599"/>
      <c r="K176" s="615"/>
      <c r="L176" s="616" t="s">
        <v>236</v>
      </c>
      <c r="M176" s="612"/>
      <c r="N176" s="612"/>
      <c r="O176" s="612"/>
      <c r="P176" s="602"/>
      <c r="Q176" s="613" t="s">
        <v>208</v>
      </c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</row>
    <row r="177" ht="17.25" customHeight="1">
      <c r="A177" s="614">
        <v>45409.0</v>
      </c>
      <c r="B177" s="626" t="s">
        <v>2218</v>
      </c>
      <c r="C177" s="609"/>
      <c r="D177" s="610">
        <v>19500.0</v>
      </c>
      <c r="E177" s="606"/>
      <c r="F177" s="627" t="s">
        <v>2038</v>
      </c>
      <c r="G177" s="597">
        <v>0.0</v>
      </c>
      <c r="H177" s="598">
        <f t="shared" si="1"/>
        <v>0</v>
      </c>
      <c r="I177" s="599"/>
      <c r="J177" s="599"/>
      <c r="K177" s="615"/>
      <c r="L177" s="616" t="s">
        <v>236</v>
      </c>
      <c r="M177" s="612"/>
      <c r="N177" s="612"/>
      <c r="O177" s="612"/>
      <c r="P177" s="602">
        <f>A177-IF(O177&gt;0,O177,A177)</f>
        <v>0</v>
      </c>
      <c r="Q177" s="613" t="s">
        <v>209</v>
      </c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</row>
    <row r="178" ht="17.25" customHeight="1">
      <c r="A178" s="614">
        <v>45414.0</v>
      </c>
      <c r="B178" s="626" t="s">
        <v>2218</v>
      </c>
      <c r="C178" s="610">
        <v>916226.44</v>
      </c>
      <c r="D178" s="609"/>
      <c r="E178" s="606"/>
      <c r="F178" s="627" t="s">
        <v>2035</v>
      </c>
      <c r="G178" s="597">
        <v>20.0</v>
      </c>
      <c r="H178" s="598">
        <f t="shared" si="1"/>
        <v>152704.4067</v>
      </c>
      <c r="I178" s="599"/>
      <c r="J178" s="599"/>
      <c r="K178" s="615"/>
      <c r="L178" s="616" t="s">
        <v>157</v>
      </c>
      <c r="M178" s="612"/>
      <c r="N178" s="612"/>
      <c r="O178" s="612"/>
      <c r="P178" s="602"/>
      <c r="Q178" s="613" t="s">
        <v>210</v>
      </c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</row>
    <row r="179" ht="17.25" customHeight="1">
      <c r="A179" s="614">
        <v>45414.0</v>
      </c>
      <c r="B179" s="626" t="s">
        <v>2218</v>
      </c>
      <c r="C179" s="609"/>
      <c r="D179" s="610">
        <v>27732.24</v>
      </c>
      <c r="E179" s="606"/>
      <c r="F179" s="607"/>
      <c r="G179" s="597">
        <v>0.0</v>
      </c>
      <c r="H179" s="598">
        <f t="shared" si="1"/>
        <v>0</v>
      </c>
      <c r="I179" s="599"/>
      <c r="J179" s="599"/>
      <c r="K179" s="615"/>
      <c r="L179" s="616" t="s">
        <v>211</v>
      </c>
      <c r="M179" s="612"/>
      <c r="N179" s="612"/>
      <c r="O179" s="612"/>
      <c r="P179" s="602"/>
      <c r="Q179" s="613" t="s">
        <v>212</v>
      </c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</row>
    <row r="180" ht="17.25" customHeight="1">
      <c r="A180" s="614">
        <v>45414.0</v>
      </c>
      <c r="B180" s="626" t="s">
        <v>2218</v>
      </c>
      <c r="C180" s="609"/>
      <c r="D180" s="610">
        <v>56182.0</v>
      </c>
      <c r="E180" s="606"/>
      <c r="F180" s="627" t="s">
        <v>213</v>
      </c>
      <c r="G180" s="597">
        <v>0.0</v>
      </c>
      <c r="H180" s="598">
        <f t="shared" si="1"/>
        <v>0</v>
      </c>
      <c r="I180" s="599"/>
      <c r="J180" s="599"/>
      <c r="K180" s="615"/>
      <c r="L180" s="616" t="s">
        <v>214</v>
      </c>
      <c r="M180" s="612"/>
      <c r="N180" s="612"/>
      <c r="O180" s="612"/>
      <c r="P180" s="602"/>
      <c r="Q180" s="613" t="s">
        <v>215</v>
      </c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</row>
    <row r="181" ht="17.25" customHeight="1">
      <c r="A181" s="614">
        <v>45414.0</v>
      </c>
      <c r="B181" s="626" t="s">
        <v>2218</v>
      </c>
      <c r="C181" s="609"/>
      <c r="D181" s="610">
        <v>13990.0</v>
      </c>
      <c r="E181" s="606"/>
      <c r="F181" s="607"/>
      <c r="G181" s="597">
        <v>0.0</v>
      </c>
      <c r="H181" s="598">
        <f t="shared" si="1"/>
        <v>0</v>
      </c>
      <c r="I181" s="599"/>
      <c r="J181" s="599"/>
      <c r="K181" s="615"/>
      <c r="L181" s="616" t="s">
        <v>2225</v>
      </c>
      <c r="M181" s="612"/>
      <c r="N181" s="612"/>
      <c r="O181" s="612"/>
      <c r="P181" s="602">
        <f>A181-IF(O181&gt;0,O181,A181)</f>
        <v>0</v>
      </c>
      <c r="Q181" s="613" t="s">
        <v>216</v>
      </c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</row>
    <row r="182" ht="17.25" customHeight="1">
      <c r="A182" s="614">
        <v>45415.0</v>
      </c>
      <c r="B182" s="626" t="s">
        <v>2218</v>
      </c>
      <c r="C182" s="610">
        <v>520908.0</v>
      </c>
      <c r="D182" s="610"/>
      <c r="E182" s="606"/>
      <c r="F182" s="627" t="s">
        <v>2035</v>
      </c>
      <c r="G182" s="597">
        <v>20.0</v>
      </c>
      <c r="H182" s="598">
        <f t="shared" si="1"/>
        <v>86818</v>
      </c>
      <c r="I182" s="599"/>
      <c r="J182" s="599"/>
      <c r="K182" s="615"/>
      <c r="L182" s="616" t="s">
        <v>157</v>
      </c>
      <c r="M182" s="612"/>
      <c r="N182" s="612"/>
      <c r="O182" s="612"/>
      <c r="P182" s="602"/>
      <c r="Q182" s="613" t="s">
        <v>217</v>
      </c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</row>
    <row r="183" ht="17.25" customHeight="1">
      <c r="A183" s="614">
        <v>45415.0</v>
      </c>
      <c r="B183" s="626" t="s">
        <v>2218</v>
      </c>
      <c r="C183" s="609"/>
      <c r="D183" s="609">
        <f>I183/0.72</f>
        <v>1111111.111</v>
      </c>
      <c r="E183" s="606"/>
      <c r="F183" s="627" t="s">
        <v>48</v>
      </c>
      <c r="G183" s="597">
        <v>20.0</v>
      </c>
      <c r="H183" s="598">
        <f t="shared" si="1"/>
        <v>185185.1852</v>
      </c>
      <c r="I183" s="605">
        <v>800000.0</v>
      </c>
      <c r="J183" s="599"/>
      <c r="K183" s="615"/>
      <c r="L183" s="616" t="s">
        <v>48</v>
      </c>
      <c r="M183" s="621"/>
      <c r="N183" s="621"/>
      <c r="O183" s="621"/>
      <c r="P183" s="602"/>
      <c r="Q183" s="622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</row>
    <row r="184" ht="17.25" customHeight="1">
      <c r="A184" s="614">
        <v>45416.0</v>
      </c>
      <c r="B184" s="626" t="s">
        <v>2218</v>
      </c>
      <c r="C184" s="609"/>
      <c r="D184" s="609"/>
      <c r="E184" s="604" t="s">
        <v>33</v>
      </c>
      <c r="F184" s="627" t="s">
        <v>2038</v>
      </c>
      <c r="G184" s="597">
        <v>0.0</v>
      </c>
      <c r="H184" s="598">
        <f t="shared" si="1"/>
        <v>0</v>
      </c>
      <c r="I184" s="599"/>
      <c r="J184" s="605">
        <v>253870.0</v>
      </c>
      <c r="K184" s="615"/>
      <c r="L184" s="616" t="s">
        <v>203</v>
      </c>
      <c r="M184" s="621"/>
      <c r="N184" s="621"/>
      <c r="O184" s="621"/>
      <c r="P184" s="602">
        <f>A184-IF(O184&gt;0,O184,A184)</f>
        <v>0</v>
      </c>
      <c r="Q184" s="622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</row>
    <row r="185" ht="17.25" customHeight="1">
      <c r="A185" s="614">
        <v>45419.0</v>
      </c>
      <c r="B185" s="626" t="s">
        <v>2218</v>
      </c>
      <c r="C185" s="610">
        <v>576922.92</v>
      </c>
      <c r="D185" s="609"/>
      <c r="E185" s="606"/>
      <c r="F185" s="627" t="s">
        <v>2037</v>
      </c>
      <c r="G185" s="597">
        <v>20.0</v>
      </c>
      <c r="H185" s="598">
        <f t="shared" si="1"/>
        <v>96153.82</v>
      </c>
      <c r="I185" s="599"/>
      <c r="J185" s="599"/>
      <c r="K185" s="600"/>
      <c r="L185" s="601" t="s">
        <v>38</v>
      </c>
      <c r="M185" s="612"/>
      <c r="N185" s="612"/>
      <c r="O185" s="612"/>
      <c r="P185" s="602"/>
      <c r="Q185" s="613" t="s">
        <v>218</v>
      </c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</row>
    <row r="186" ht="17.25" customHeight="1">
      <c r="A186" s="614">
        <v>45420.0</v>
      </c>
      <c r="B186" s="626" t="s">
        <v>2218</v>
      </c>
      <c r="C186" s="609"/>
      <c r="D186" s="610">
        <v>195750.0</v>
      </c>
      <c r="E186" s="606"/>
      <c r="F186" s="627" t="s">
        <v>2038</v>
      </c>
      <c r="G186" s="597">
        <v>0.0</v>
      </c>
      <c r="H186" s="598">
        <f t="shared" si="1"/>
        <v>0</v>
      </c>
      <c r="I186" s="599"/>
      <c r="J186" s="599"/>
      <c r="K186" s="615"/>
      <c r="L186" s="616" t="s">
        <v>203</v>
      </c>
      <c r="M186" s="621"/>
      <c r="N186" s="621"/>
      <c r="O186" s="621"/>
      <c r="P186" s="602">
        <f>A186-IF(O186&gt;0,O186,A186)</f>
        <v>0</v>
      </c>
      <c r="Q186" s="622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</row>
    <row r="187" ht="17.25" customHeight="1">
      <c r="A187" s="614">
        <v>45420.0</v>
      </c>
      <c r="B187" s="626" t="s">
        <v>2218</v>
      </c>
      <c r="C187" s="610">
        <v>800000.0</v>
      </c>
      <c r="D187" s="609"/>
      <c r="E187" s="606"/>
      <c r="F187" s="627" t="s">
        <v>2038</v>
      </c>
      <c r="G187" s="597">
        <v>20.0</v>
      </c>
      <c r="H187" s="598">
        <f t="shared" si="1"/>
        <v>133333.3333</v>
      </c>
      <c r="I187" s="599"/>
      <c r="J187" s="599"/>
      <c r="K187" s="615"/>
      <c r="L187" s="616" t="s">
        <v>179</v>
      </c>
      <c r="M187" s="612"/>
      <c r="N187" s="612"/>
      <c r="O187" s="612"/>
      <c r="P187" s="602"/>
      <c r="Q187" s="613" t="s">
        <v>219</v>
      </c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</row>
    <row r="188" ht="17.25" customHeight="1">
      <c r="A188" s="614">
        <v>45420.0</v>
      </c>
      <c r="B188" s="626" t="s">
        <v>2218</v>
      </c>
      <c r="C188" s="609"/>
      <c r="D188" s="610">
        <f>837346.19/3</f>
        <v>279115.3967</v>
      </c>
      <c r="E188" s="606"/>
      <c r="F188" s="627" t="s">
        <v>220</v>
      </c>
      <c r="G188" s="597">
        <v>0.0</v>
      </c>
      <c r="H188" s="598">
        <f t="shared" si="1"/>
        <v>0</v>
      </c>
      <c r="I188" s="599"/>
      <c r="J188" s="599"/>
      <c r="K188" s="615"/>
      <c r="L188" s="616" t="s">
        <v>236</v>
      </c>
      <c r="M188" s="612"/>
      <c r="N188" s="612"/>
      <c r="O188" s="612"/>
      <c r="P188" s="602"/>
      <c r="Q188" s="613" t="s">
        <v>221</v>
      </c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</row>
    <row r="189" ht="17.25" customHeight="1">
      <c r="A189" s="614">
        <v>45420.0</v>
      </c>
      <c r="B189" s="626" t="s">
        <v>2218</v>
      </c>
      <c r="C189" s="609"/>
      <c r="D189" s="610">
        <v>547971.71</v>
      </c>
      <c r="E189" s="606"/>
      <c r="F189" s="627" t="s">
        <v>220</v>
      </c>
      <c r="G189" s="597">
        <v>0.0</v>
      </c>
      <c r="H189" s="598">
        <f t="shared" si="1"/>
        <v>0</v>
      </c>
      <c r="I189" s="599"/>
      <c r="J189" s="599"/>
      <c r="K189" s="615"/>
      <c r="L189" s="616" t="s">
        <v>236</v>
      </c>
      <c r="M189" s="612"/>
      <c r="N189" s="612"/>
      <c r="O189" s="612"/>
      <c r="P189" s="602">
        <f>A189-IF(O189&gt;0,O189,A189)</f>
        <v>0</v>
      </c>
      <c r="Q189" s="613" t="s">
        <v>222</v>
      </c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</row>
    <row r="190" ht="17.25" customHeight="1">
      <c r="A190" s="614">
        <v>45425.0</v>
      </c>
      <c r="B190" s="626" t="s">
        <v>2218</v>
      </c>
      <c r="C190" s="610">
        <v>128154.82</v>
      </c>
      <c r="D190" s="609"/>
      <c r="E190" s="606"/>
      <c r="F190" s="627" t="s">
        <v>2038</v>
      </c>
      <c r="G190" s="597">
        <v>20.0</v>
      </c>
      <c r="H190" s="598">
        <f t="shared" si="1"/>
        <v>21359.13667</v>
      </c>
      <c r="I190" s="599"/>
      <c r="J190" s="599"/>
      <c r="K190" s="615"/>
      <c r="L190" s="616" t="s">
        <v>181</v>
      </c>
      <c r="M190" s="612"/>
      <c r="N190" s="612"/>
      <c r="O190" s="612"/>
      <c r="P190" s="602"/>
      <c r="Q190" s="613" t="s">
        <v>223</v>
      </c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</row>
    <row r="191" ht="17.25" customHeight="1">
      <c r="A191" s="614">
        <v>45426.0</v>
      </c>
      <c r="B191" s="626" t="s">
        <v>2218</v>
      </c>
      <c r="C191" s="609"/>
      <c r="D191" s="610">
        <v>50000.0</v>
      </c>
      <c r="E191" s="606"/>
      <c r="F191" s="627" t="s">
        <v>2037</v>
      </c>
      <c r="G191" s="597">
        <v>20.0</v>
      </c>
      <c r="H191" s="598">
        <f t="shared" si="1"/>
        <v>8333.333333</v>
      </c>
      <c r="I191" s="599"/>
      <c r="J191" s="599"/>
      <c r="K191" s="615"/>
      <c r="L191" s="616" t="s">
        <v>45</v>
      </c>
      <c r="M191" s="612"/>
      <c r="N191" s="612"/>
      <c r="O191" s="612"/>
      <c r="P191" s="602"/>
      <c r="Q191" s="613" t="s">
        <v>224</v>
      </c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</row>
    <row r="192" ht="17.25" customHeight="1">
      <c r="A192" s="614">
        <v>45426.0</v>
      </c>
      <c r="B192" s="626" t="s">
        <v>2218</v>
      </c>
      <c r="C192" s="609"/>
      <c r="D192" s="610">
        <v>276676.31</v>
      </c>
      <c r="E192" s="606"/>
      <c r="F192" s="627" t="s">
        <v>2037</v>
      </c>
      <c r="G192" s="597">
        <v>20.0</v>
      </c>
      <c r="H192" s="598">
        <f t="shared" si="1"/>
        <v>46112.71833</v>
      </c>
      <c r="I192" s="599"/>
      <c r="J192" s="599"/>
      <c r="K192" s="615"/>
      <c r="L192" s="616" t="s">
        <v>84</v>
      </c>
      <c r="M192" s="612"/>
      <c r="N192" s="612"/>
      <c r="O192" s="612"/>
      <c r="P192" s="602"/>
      <c r="Q192" s="613" t="s">
        <v>225</v>
      </c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</row>
    <row r="193" ht="17.25" customHeight="1">
      <c r="A193" s="614">
        <v>45426.0</v>
      </c>
      <c r="B193" s="626" t="s">
        <v>2218</v>
      </c>
      <c r="C193" s="609"/>
      <c r="D193" s="610">
        <v>30000.0</v>
      </c>
      <c r="E193" s="595"/>
      <c r="F193" s="596"/>
      <c r="G193" s="597">
        <v>0.0</v>
      </c>
      <c r="H193" s="598">
        <f t="shared" si="1"/>
        <v>0</v>
      </c>
      <c r="I193" s="599"/>
      <c r="J193" s="605"/>
      <c r="K193" s="615"/>
      <c r="L193" s="616" t="s">
        <v>82</v>
      </c>
      <c r="M193" s="612"/>
      <c r="N193" s="612"/>
      <c r="O193" s="612"/>
      <c r="P193" s="602"/>
      <c r="Q193" s="613" t="s">
        <v>226</v>
      </c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</row>
    <row r="194" ht="17.25" customHeight="1">
      <c r="A194" s="614">
        <v>45426.0</v>
      </c>
      <c r="B194" s="626" t="s">
        <v>2218</v>
      </c>
      <c r="C194" s="609"/>
      <c r="D194" s="610">
        <v>615649.0</v>
      </c>
      <c r="E194" s="606"/>
      <c r="F194" s="627" t="s">
        <v>2037</v>
      </c>
      <c r="G194" s="597">
        <v>20.0</v>
      </c>
      <c r="H194" s="630">
        <v>0.0</v>
      </c>
      <c r="I194" s="599"/>
      <c r="J194" s="599"/>
      <c r="K194" s="615"/>
      <c r="L194" s="616" t="s">
        <v>473</v>
      </c>
      <c r="M194" s="612"/>
      <c r="N194" s="612"/>
      <c r="O194" s="612"/>
      <c r="P194" s="602"/>
      <c r="Q194" s="613" t="s">
        <v>227</v>
      </c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</row>
    <row r="195" ht="17.25" customHeight="1">
      <c r="A195" s="614">
        <v>45426.0</v>
      </c>
      <c r="B195" s="626" t="s">
        <v>2218</v>
      </c>
      <c r="C195" s="609"/>
      <c r="D195" s="610">
        <v>548076.77</v>
      </c>
      <c r="E195" s="606"/>
      <c r="F195" s="627" t="s">
        <v>2037</v>
      </c>
      <c r="G195" s="597">
        <v>20.0</v>
      </c>
      <c r="H195" s="598">
        <f t="shared" ref="H195:H297" si="8">SUM(C195:D195)*G195/(G195+100)</f>
        <v>91346.12833</v>
      </c>
      <c r="I195" s="599"/>
      <c r="J195" s="599"/>
      <c r="K195" s="615"/>
      <c r="L195" s="616" t="s">
        <v>77</v>
      </c>
      <c r="M195" s="612"/>
      <c r="N195" s="612"/>
      <c r="O195" s="612"/>
      <c r="P195" s="602">
        <f t="shared" ref="P195:P196" si="9">A195-IF(O195&gt;0,O195,A195)</f>
        <v>0</v>
      </c>
      <c r="Q195" s="613" t="s">
        <v>229</v>
      </c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</row>
    <row r="196" ht="17.25" customHeight="1">
      <c r="A196" s="614">
        <v>45426.0</v>
      </c>
      <c r="B196" s="626" t="s">
        <v>2218</v>
      </c>
      <c r="C196" s="610">
        <v>413064.48</v>
      </c>
      <c r="D196" s="609"/>
      <c r="E196" s="606"/>
      <c r="F196" s="627" t="s">
        <v>2037</v>
      </c>
      <c r="G196" s="597">
        <v>20.0</v>
      </c>
      <c r="H196" s="598">
        <f t="shared" si="8"/>
        <v>68844.08</v>
      </c>
      <c r="I196" s="599"/>
      <c r="J196" s="599"/>
      <c r="K196" s="615"/>
      <c r="L196" s="616" t="s">
        <v>230</v>
      </c>
      <c r="M196" s="612"/>
      <c r="N196" s="612"/>
      <c r="O196" s="612"/>
      <c r="P196" s="602">
        <f t="shared" si="9"/>
        <v>0</v>
      </c>
      <c r="Q196" s="613" t="s">
        <v>231</v>
      </c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</row>
    <row r="197" ht="17.25" customHeight="1">
      <c r="A197" s="614">
        <v>45426.0</v>
      </c>
      <c r="B197" s="626" t="s">
        <v>2218</v>
      </c>
      <c r="C197" s="610">
        <v>449776.32</v>
      </c>
      <c r="D197" s="609"/>
      <c r="E197" s="606"/>
      <c r="F197" s="627" t="s">
        <v>2038</v>
      </c>
      <c r="G197" s="597">
        <v>20.0</v>
      </c>
      <c r="H197" s="598">
        <f t="shared" si="8"/>
        <v>74962.72</v>
      </c>
      <c r="I197" s="599"/>
      <c r="J197" s="599"/>
      <c r="K197" s="615"/>
      <c r="L197" s="616" t="s">
        <v>87</v>
      </c>
      <c r="M197" s="612"/>
      <c r="N197" s="612"/>
      <c r="O197" s="612"/>
      <c r="P197" s="602"/>
      <c r="Q197" s="613" t="s">
        <v>232</v>
      </c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</row>
    <row r="198" ht="17.25" customHeight="1">
      <c r="A198" s="614">
        <v>45426.0</v>
      </c>
      <c r="B198" s="626" t="s">
        <v>2218</v>
      </c>
      <c r="C198" s="609"/>
      <c r="D198" s="610">
        <v>28000.0</v>
      </c>
      <c r="E198" s="606"/>
      <c r="F198" s="627" t="s">
        <v>213</v>
      </c>
      <c r="G198" s="597">
        <v>0.0</v>
      </c>
      <c r="H198" s="598">
        <f t="shared" si="8"/>
        <v>0</v>
      </c>
      <c r="I198" s="599"/>
      <c r="J198" s="599"/>
      <c r="K198" s="615"/>
      <c r="L198" s="616" t="s">
        <v>234</v>
      </c>
      <c r="M198" s="612"/>
      <c r="N198" s="612"/>
      <c r="O198" s="612"/>
      <c r="P198" s="602"/>
      <c r="Q198" s="613" t="s">
        <v>235</v>
      </c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</row>
    <row r="199" ht="17.25" customHeight="1">
      <c r="A199" s="614">
        <v>45426.0</v>
      </c>
      <c r="B199" s="626" t="s">
        <v>2218</v>
      </c>
      <c r="C199" s="609"/>
      <c r="D199" s="610">
        <v>6180.0</v>
      </c>
      <c r="E199" s="606"/>
      <c r="F199" s="627" t="s">
        <v>213</v>
      </c>
      <c r="G199" s="597">
        <v>0.0</v>
      </c>
      <c r="H199" s="598">
        <f t="shared" si="8"/>
        <v>0</v>
      </c>
      <c r="I199" s="599"/>
      <c r="J199" s="599"/>
      <c r="K199" s="615"/>
      <c r="L199" s="616" t="s">
        <v>234</v>
      </c>
      <c r="M199" s="621"/>
      <c r="N199" s="621"/>
      <c r="O199" s="621"/>
      <c r="P199" s="602"/>
      <c r="Q199" s="622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</row>
    <row r="200" ht="17.25" customHeight="1">
      <c r="A200" s="614">
        <v>45427.0</v>
      </c>
      <c r="B200" s="626" t="s">
        <v>2218</v>
      </c>
      <c r="C200" s="609"/>
      <c r="D200" s="610">
        <v>750.0</v>
      </c>
      <c r="E200" s="606"/>
      <c r="F200" s="627" t="s">
        <v>236</v>
      </c>
      <c r="G200" s="597">
        <v>0.0</v>
      </c>
      <c r="H200" s="598">
        <f t="shared" si="8"/>
        <v>0</v>
      </c>
      <c r="I200" s="599"/>
      <c r="J200" s="599"/>
      <c r="K200" s="615"/>
      <c r="L200" s="615"/>
      <c r="M200" s="621"/>
      <c r="N200" s="621"/>
      <c r="O200" s="621"/>
      <c r="P200" s="602"/>
      <c r="Q200" s="622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</row>
    <row r="201" ht="17.25" customHeight="1">
      <c r="A201" s="614">
        <v>45428.0</v>
      </c>
      <c r="B201" s="626" t="s">
        <v>2218</v>
      </c>
      <c r="C201" s="609"/>
      <c r="D201" s="610">
        <v>2217537.68</v>
      </c>
      <c r="E201" s="606"/>
      <c r="F201" s="627" t="s">
        <v>2036</v>
      </c>
      <c r="G201" s="597">
        <v>20.0</v>
      </c>
      <c r="H201" s="598">
        <f t="shared" si="8"/>
        <v>369589.6133</v>
      </c>
      <c r="I201" s="599"/>
      <c r="J201" s="599"/>
      <c r="K201" s="615"/>
      <c r="L201" s="616" t="s">
        <v>77</v>
      </c>
      <c r="M201" s="612"/>
      <c r="N201" s="612"/>
      <c r="O201" s="612"/>
      <c r="P201" s="602">
        <f t="shared" ref="P201:P202" si="10">A201-IF(O201&gt;0,O201,A201)</f>
        <v>0</v>
      </c>
      <c r="Q201" s="613" t="s">
        <v>237</v>
      </c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</row>
    <row r="202" ht="17.25" customHeight="1">
      <c r="A202" s="614">
        <v>45428.0</v>
      </c>
      <c r="B202" s="626" t="s">
        <v>2218</v>
      </c>
      <c r="C202" s="610">
        <v>210759.2</v>
      </c>
      <c r="D202" s="609"/>
      <c r="E202" s="606"/>
      <c r="F202" s="627" t="s">
        <v>2038</v>
      </c>
      <c r="G202" s="597">
        <v>20.0</v>
      </c>
      <c r="H202" s="598">
        <f t="shared" si="8"/>
        <v>35126.53333</v>
      </c>
      <c r="I202" s="599"/>
      <c r="J202" s="599"/>
      <c r="K202" s="628"/>
      <c r="L202" s="629" t="s">
        <v>120</v>
      </c>
      <c r="M202" s="621"/>
      <c r="N202" s="621"/>
      <c r="O202" s="621"/>
      <c r="P202" s="602">
        <f t="shared" si="10"/>
        <v>0</v>
      </c>
      <c r="Q202" s="622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</row>
    <row r="203" ht="17.25" customHeight="1">
      <c r="A203" s="614">
        <v>45428.0</v>
      </c>
      <c r="B203" s="626" t="s">
        <v>2218</v>
      </c>
      <c r="C203" s="610">
        <v>1554.0</v>
      </c>
      <c r="D203" s="609"/>
      <c r="E203" s="606"/>
      <c r="F203" s="627" t="s">
        <v>2038</v>
      </c>
      <c r="G203" s="597">
        <v>20.0</v>
      </c>
      <c r="H203" s="598">
        <f t="shared" si="8"/>
        <v>259</v>
      </c>
      <c r="I203" s="599"/>
      <c r="J203" s="599"/>
      <c r="K203" s="628"/>
      <c r="L203" s="629" t="s">
        <v>120</v>
      </c>
      <c r="M203" s="621"/>
      <c r="N203" s="621"/>
      <c r="O203" s="621"/>
      <c r="P203" s="602"/>
      <c r="Q203" s="622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</row>
    <row r="204" ht="17.25" customHeight="1">
      <c r="A204" s="614">
        <v>45429.0</v>
      </c>
      <c r="B204" s="626" t="s">
        <v>2218</v>
      </c>
      <c r="C204" s="609"/>
      <c r="D204" s="609"/>
      <c r="E204" s="604" t="s">
        <v>33</v>
      </c>
      <c r="F204" s="627" t="s">
        <v>2038</v>
      </c>
      <c r="G204" s="597">
        <v>20.0</v>
      </c>
      <c r="H204" s="598">
        <f t="shared" si="8"/>
        <v>0</v>
      </c>
      <c r="I204" s="599"/>
      <c r="J204" s="605">
        <v>11000.0</v>
      </c>
      <c r="K204" s="615"/>
      <c r="L204" s="616" t="s">
        <v>238</v>
      </c>
      <c r="M204" s="612"/>
      <c r="N204" s="612"/>
      <c r="O204" s="612"/>
      <c r="P204" s="602"/>
      <c r="Q204" s="613" t="s">
        <v>239</v>
      </c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</row>
    <row r="205" ht="17.25" customHeight="1">
      <c r="A205" s="614">
        <v>45429.0</v>
      </c>
      <c r="B205" s="626" t="s">
        <v>2218</v>
      </c>
      <c r="C205" s="609"/>
      <c r="D205" s="609"/>
      <c r="E205" s="604" t="s">
        <v>33</v>
      </c>
      <c r="F205" s="627" t="s">
        <v>2038</v>
      </c>
      <c r="G205" s="597">
        <v>0.0</v>
      </c>
      <c r="H205" s="598">
        <f t="shared" si="8"/>
        <v>0</v>
      </c>
      <c r="I205" s="599"/>
      <c r="J205" s="605">
        <v>55130.0</v>
      </c>
      <c r="K205" s="615"/>
      <c r="L205" s="616" t="s">
        <v>203</v>
      </c>
      <c r="M205" s="612"/>
      <c r="N205" s="612"/>
      <c r="O205" s="612"/>
      <c r="P205" s="602"/>
      <c r="Q205" s="613" t="s">
        <v>240</v>
      </c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</row>
    <row r="206" ht="17.25" customHeight="1">
      <c r="A206" s="614">
        <v>45429.0</v>
      </c>
      <c r="B206" s="626" t="s">
        <v>2218</v>
      </c>
      <c r="C206" s="609"/>
      <c r="D206" s="609"/>
      <c r="E206" s="604" t="s">
        <v>33</v>
      </c>
      <c r="F206" s="627" t="s">
        <v>2038</v>
      </c>
      <c r="G206" s="597">
        <v>0.0</v>
      </c>
      <c r="H206" s="598">
        <f t="shared" si="8"/>
        <v>0</v>
      </c>
      <c r="I206" s="599"/>
      <c r="J206" s="605">
        <v>25000.0</v>
      </c>
      <c r="K206" s="615"/>
      <c r="L206" s="616" t="s">
        <v>203</v>
      </c>
      <c r="M206" s="612"/>
      <c r="N206" s="612"/>
      <c r="O206" s="612"/>
      <c r="P206" s="602"/>
      <c r="Q206" s="613" t="s">
        <v>241</v>
      </c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</row>
    <row r="207" ht="17.25" customHeight="1">
      <c r="A207" s="614">
        <v>45429.0</v>
      </c>
      <c r="B207" s="626" t="s">
        <v>2218</v>
      </c>
      <c r="C207" s="609"/>
      <c r="D207" s="609"/>
      <c r="E207" s="604" t="s">
        <v>33</v>
      </c>
      <c r="F207" s="627" t="s">
        <v>2038</v>
      </c>
      <c r="G207" s="597">
        <v>0.0</v>
      </c>
      <c r="H207" s="598">
        <f t="shared" si="8"/>
        <v>0</v>
      </c>
      <c r="I207" s="599"/>
      <c r="J207" s="605">
        <v>100000.0</v>
      </c>
      <c r="K207" s="615"/>
      <c r="L207" s="616" t="s">
        <v>203</v>
      </c>
      <c r="M207" s="612"/>
      <c r="N207" s="612"/>
      <c r="O207" s="612"/>
      <c r="P207" s="602"/>
      <c r="Q207" s="613" t="s">
        <v>242</v>
      </c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</row>
    <row r="208" ht="17.25" customHeight="1">
      <c r="A208" s="614">
        <v>45429.0</v>
      </c>
      <c r="B208" s="626" t="s">
        <v>2218</v>
      </c>
      <c r="C208" s="609"/>
      <c r="D208" s="609"/>
      <c r="E208" s="604" t="s">
        <v>33</v>
      </c>
      <c r="F208" s="627" t="s">
        <v>2038</v>
      </c>
      <c r="G208" s="597">
        <v>0.0</v>
      </c>
      <c r="H208" s="598">
        <f t="shared" si="8"/>
        <v>0</v>
      </c>
      <c r="I208" s="599"/>
      <c r="J208" s="605">
        <v>89880.0</v>
      </c>
      <c r="K208" s="615"/>
      <c r="L208" s="616" t="s">
        <v>203</v>
      </c>
      <c r="M208" s="612"/>
      <c r="N208" s="612"/>
      <c r="O208" s="612"/>
      <c r="P208" s="602"/>
      <c r="Q208" s="613" t="s">
        <v>243</v>
      </c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</row>
    <row r="209" ht="17.25" customHeight="1">
      <c r="A209" s="614">
        <v>45429.0</v>
      </c>
      <c r="B209" s="626" t="s">
        <v>2218</v>
      </c>
      <c r="C209" s="609"/>
      <c r="D209" s="609"/>
      <c r="E209" s="604" t="s">
        <v>33</v>
      </c>
      <c r="F209" s="627" t="s">
        <v>2039</v>
      </c>
      <c r="G209" s="597">
        <v>20.0</v>
      </c>
      <c r="H209" s="598">
        <f t="shared" si="8"/>
        <v>0</v>
      </c>
      <c r="I209" s="599"/>
      <c r="J209" s="605">
        <v>84000.0</v>
      </c>
      <c r="K209" s="615"/>
      <c r="L209" s="616" t="s">
        <v>137</v>
      </c>
      <c r="M209" s="612"/>
      <c r="N209" s="612"/>
      <c r="O209" s="612"/>
      <c r="P209" s="602">
        <f>A209-IF(O209&gt;0,O209,A209)</f>
        <v>0</v>
      </c>
      <c r="Q209" s="613" t="s">
        <v>245</v>
      </c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</row>
    <row r="210" ht="17.25" customHeight="1">
      <c r="A210" s="614">
        <v>45433.0</v>
      </c>
      <c r="B210" s="626" t="s">
        <v>2218</v>
      </c>
      <c r="C210" s="610">
        <v>600000.0</v>
      </c>
      <c r="D210" s="610"/>
      <c r="E210" s="606"/>
      <c r="F210" s="627" t="s">
        <v>2038</v>
      </c>
      <c r="G210" s="597">
        <v>20.0</v>
      </c>
      <c r="H210" s="598">
        <f t="shared" si="8"/>
        <v>100000</v>
      </c>
      <c r="I210" s="599"/>
      <c r="J210" s="599"/>
      <c r="K210" s="615"/>
      <c r="L210" s="616" t="s">
        <v>181</v>
      </c>
      <c r="M210" s="612"/>
      <c r="N210" s="612"/>
      <c r="O210" s="612"/>
      <c r="P210" s="602"/>
      <c r="Q210" s="613" t="s">
        <v>246</v>
      </c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</row>
    <row r="211" ht="17.25" customHeight="1">
      <c r="A211" s="614">
        <v>45433.0</v>
      </c>
      <c r="B211" s="626" t="s">
        <v>2218</v>
      </c>
      <c r="C211" s="609"/>
      <c r="D211" s="610">
        <v>59920.0</v>
      </c>
      <c r="E211" s="606"/>
      <c r="F211" s="627" t="s">
        <v>213</v>
      </c>
      <c r="G211" s="597">
        <v>0.0</v>
      </c>
      <c r="H211" s="598">
        <f t="shared" si="8"/>
        <v>0</v>
      </c>
      <c r="I211" s="599"/>
      <c r="J211" s="599"/>
      <c r="K211" s="615"/>
      <c r="L211" s="616" t="s">
        <v>234</v>
      </c>
      <c r="M211" s="612"/>
      <c r="N211" s="612"/>
      <c r="O211" s="612"/>
      <c r="P211" s="602">
        <f t="shared" ref="P211:P212" si="11">A211-IF(O211&gt;0,O211,A211)</f>
        <v>0</v>
      </c>
      <c r="Q211" s="613" t="s">
        <v>247</v>
      </c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</row>
    <row r="212" ht="17.25" customHeight="1">
      <c r="A212" s="614">
        <v>45435.0</v>
      </c>
      <c r="B212" s="626" t="s">
        <v>2218</v>
      </c>
      <c r="C212" s="610">
        <v>935524.84</v>
      </c>
      <c r="D212" s="609"/>
      <c r="E212" s="606"/>
      <c r="F212" s="627" t="s">
        <v>2036</v>
      </c>
      <c r="G212" s="597">
        <v>20.0</v>
      </c>
      <c r="H212" s="598">
        <f t="shared" si="8"/>
        <v>155920.8067</v>
      </c>
      <c r="I212" s="599"/>
      <c r="J212" s="599"/>
      <c r="K212" s="615"/>
      <c r="L212" s="616" t="s">
        <v>157</v>
      </c>
      <c r="M212" s="612"/>
      <c r="N212" s="612"/>
      <c r="O212" s="612"/>
      <c r="P212" s="602">
        <f t="shared" si="11"/>
        <v>0</v>
      </c>
      <c r="Q212" s="613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</row>
    <row r="213" ht="17.25" customHeight="1">
      <c r="A213" s="614">
        <v>45435.0</v>
      </c>
      <c r="B213" s="626" t="s">
        <v>2218</v>
      </c>
      <c r="C213" s="610">
        <v>952670.66</v>
      </c>
      <c r="D213" s="609"/>
      <c r="E213" s="606"/>
      <c r="F213" s="627" t="s">
        <v>2036</v>
      </c>
      <c r="G213" s="597">
        <v>20.0</v>
      </c>
      <c r="H213" s="598">
        <f t="shared" si="8"/>
        <v>158778.4433</v>
      </c>
      <c r="I213" s="599"/>
      <c r="J213" s="599"/>
      <c r="K213" s="615"/>
      <c r="L213" s="616" t="s">
        <v>157</v>
      </c>
      <c r="M213" s="612"/>
      <c r="N213" s="612"/>
      <c r="O213" s="612"/>
      <c r="P213" s="602"/>
      <c r="Q213" s="613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</row>
    <row r="214" ht="17.25" customHeight="1">
      <c r="A214" s="614">
        <v>45435.0</v>
      </c>
      <c r="B214" s="626" t="s">
        <v>2218</v>
      </c>
      <c r="C214" s="609"/>
      <c r="D214" s="610">
        <f>837346.19/3</f>
        <v>279115.3967</v>
      </c>
      <c r="E214" s="606"/>
      <c r="F214" s="627" t="s">
        <v>220</v>
      </c>
      <c r="G214" s="597">
        <v>0.0</v>
      </c>
      <c r="H214" s="598">
        <f t="shared" si="8"/>
        <v>0</v>
      </c>
      <c r="I214" s="599"/>
      <c r="J214" s="599"/>
      <c r="K214" s="615"/>
      <c r="L214" s="616" t="s">
        <v>236</v>
      </c>
      <c r="M214" s="612"/>
      <c r="N214" s="612"/>
      <c r="O214" s="612"/>
      <c r="P214" s="602"/>
      <c r="Q214" s="613" t="s">
        <v>221</v>
      </c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</row>
    <row r="215" ht="17.25" customHeight="1">
      <c r="A215" s="614">
        <v>45435.0</v>
      </c>
      <c r="B215" s="626" t="s">
        <v>2218</v>
      </c>
      <c r="C215" s="609"/>
      <c r="D215" s="610">
        <v>29960.0</v>
      </c>
      <c r="E215" s="606"/>
      <c r="F215" s="627" t="s">
        <v>213</v>
      </c>
      <c r="G215" s="597">
        <v>0.0</v>
      </c>
      <c r="H215" s="598">
        <f t="shared" si="8"/>
        <v>0</v>
      </c>
      <c r="I215" s="599"/>
      <c r="J215" s="599"/>
      <c r="K215" s="615"/>
      <c r="L215" s="616" t="s">
        <v>234</v>
      </c>
      <c r="M215" s="612"/>
      <c r="N215" s="612"/>
      <c r="O215" s="612"/>
      <c r="P215" s="602"/>
      <c r="Q215" s="613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</row>
    <row r="216" ht="17.25" customHeight="1">
      <c r="A216" s="614">
        <v>45437.0</v>
      </c>
      <c r="B216" s="626" t="s">
        <v>2218</v>
      </c>
      <c r="C216" s="609"/>
      <c r="D216" s="610">
        <v>193766.0</v>
      </c>
      <c r="E216" s="606"/>
      <c r="F216" s="627" t="s">
        <v>2039</v>
      </c>
      <c r="G216" s="597">
        <v>0.0</v>
      </c>
      <c r="H216" s="598">
        <f t="shared" si="8"/>
        <v>0</v>
      </c>
      <c r="I216" s="599"/>
      <c r="J216" s="599"/>
      <c r="K216" s="615"/>
      <c r="L216" s="616" t="s">
        <v>203</v>
      </c>
      <c r="M216" s="612"/>
      <c r="N216" s="612"/>
      <c r="O216" s="612"/>
      <c r="P216" s="602"/>
      <c r="Q216" s="613" t="s">
        <v>248</v>
      </c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</row>
    <row r="217" ht="17.25" customHeight="1">
      <c r="A217" s="614">
        <v>45437.0</v>
      </c>
      <c r="B217" s="626" t="s">
        <v>2218</v>
      </c>
      <c r="C217" s="609"/>
      <c r="D217" s="610">
        <v>59902.0</v>
      </c>
      <c r="E217" s="606"/>
      <c r="F217" s="627" t="s">
        <v>213</v>
      </c>
      <c r="G217" s="597">
        <v>0.0</v>
      </c>
      <c r="H217" s="598">
        <f t="shared" si="8"/>
        <v>0</v>
      </c>
      <c r="I217" s="599"/>
      <c r="J217" s="599"/>
      <c r="K217" s="615"/>
      <c r="L217" s="616" t="s">
        <v>234</v>
      </c>
      <c r="M217" s="612"/>
      <c r="N217" s="612"/>
      <c r="O217" s="612"/>
      <c r="P217" s="602"/>
      <c r="Q217" s="613" t="s">
        <v>249</v>
      </c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</row>
    <row r="218" ht="17.25" customHeight="1">
      <c r="A218" s="614">
        <v>45439.0</v>
      </c>
      <c r="B218" s="626" t="s">
        <v>2218</v>
      </c>
      <c r="C218" s="610"/>
      <c r="D218" s="610"/>
      <c r="E218" s="604" t="s">
        <v>33</v>
      </c>
      <c r="F218" s="596"/>
      <c r="G218" s="597">
        <v>0.0</v>
      </c>
      <c r="H218" s="598">
        <f t="shared" si="8"/>
        <v>0</v>
      </c>
      <c r="I218" s="599"/>
      <c r="J218" s="605">
        <v>60000.0</v>
      </c>
      <c r="K218" s="615"/>
      <c r="L218" s="616" t="s">
        <v>203</v>
      </c>
      <c r="M218" s="612"/>
      <c r="N218" s="612"/>
      <c r="O218" s="612"/>
      <c r="P218" s="602"/>
      <c r="Q218" s="613" t="s">
        <v>128</v>
      </c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</row>
    <row r="219" ht="17.25" customHeight="1">
      <c r="A219" s="614">
        <v>45440.0</v>
      </c>
      <c r="B219" s="626" t="s">
        <v>2218</v>
      </c>
      <c r="C219" s="609"/>
      <c r="D219" s="610">
        <v>112500.0</v>
      </c>
      <c r="E219" s="595"/>
      <c r="F219" s="596"/>
      <c r="G219" s="597">
        <v>0.0</v>
      </c>
      <c r="H219" s="598">
        <f t="shared" si="8"/>
        <v>0</v>
      </c>
      <c r="I219" s="599"/>
      <c r="J219" s="599"/>
      <c r="K219" s="615"/>
      <c r="L219" s="616" t="s">
        <v>236</v>
      </c>
      <c r="M219" s="612"/>
      <c r="N219" s="612"/>
      <c r="O219" s="612"/>
      <c r="P219" s="602"/>
      <c r="Q219" s="613" t="s">
        <v>208</v>
      </c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</row>
    <row r="220" ht="17.25" customHeight="1">
      <c r="A220" s="614">
        <v>45440.0</v>
      </c>
      <c r="B220" s="626" t="s">
        <v>2218</v>
      </c>
      <c r="C220" s="609"/>
      <c r="D220" s="610">
        <v>28954.0</v>
      </c>
      <c r="E220" s="595"/>
      <c r="F220" s="596"/>
      <c r="G220" s="597">
        <v>0.0</v>
      </c>
      <c r="H220" s="598">
        <f t="shared" si="8"/>
        <v>0</v>
      </c>
      <c r="I220" s="599"/>
      <c r="J220" s="599"/>
      <c r="K220" s="615"/>
      <c r="L220" s="616" t="s">
        <v>236</v>
      </c>
      <c r="M220" s="612"/>
      <c r="N220" s="612"/>
      <c r="O220" s="612"/>
      <c r="P220" s="602">
        <f>A220-IF(O220&gt;0,O220,A220)</f>
        <v>0</v>
      </c>
      <c r="Q220" s="613" t="s">
        <v>209</v>
      </c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</row>
    <row r="221" ht="17.25" customHeight="1">
      <c r="A221" s="614">
        <v>45441.0</v>
      </c>
      <c r="B221" s="626" t="s">
        <v>2218</v>
      </c>
      <c r="C221" s="610">
        <v>1440000.0</v>
      </c>
      <c r="D221" s="609"/>
      <c r="E221" s="606"/>
      <c r="F221" s="627" t="s">
        <v>2037</v>
      </c>
      <c r="G221" s="597">
        <v>20.0</v>
      </c>
      <c r="H221" s="598">
        <f t="shared" si="8"/>
        <v>240000</v>
      </c>
      <c r="I221" s="599"/>
      <c r="J221" s="599"/>
      <c r="K221" s="628"/>
      <c r="L221" s="629" t="s">
        <v>250</v>
      </c>
      <c r="M221" s="612">
        <v>2.0</v>
      </c>
      <c r="N221" s="621"/>
      <c r="O221" s="621"/>
      <c r="P221" s="631"/>
      <c r="Q221" s="622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</row>
    <row r="222" ht="17.25" customHeight="1">
      <c r="A222" s="632">
        <v>45441.0</v>
      </c>
      <c r="B222" s="626" t="s">
        <v>2218</v>
      </c>
      <c r="C222" s="633"/>
      <c r="D222" s="634">
        <v>96000.0</v>
      </c>
      <c r="E222" s="635"/>
      <c r="F222" s="636" t="s">
        <v>251</v>
      </c>
      <c r="G222" s="597">
        <v>20.0</v>
      </c>
      <c r="H222" s="598">
        <f t="shared" si="8"/>
        <v>16000</v>
      </c>
      <c r="I222" s="637"/>
      <c r="J222" s="637"/>
      <c r="K222" s="615"/>
      <c r="L222" s="616" t="s">
        <v>157</v>
      </c>
      <c r="M222" s="638"/>
      <c r="N222" s="638"/>
      <c r="O222" s="638"/>
      <c r="P222" s="602"/>
      <c r="Q222" s="639" t="s">
        <v>252</v>
      </c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</row>
    <row r="223" ht="17.25" customHeight="1">
      <c r="A223" s="614">
        <v>45443.0</v>
      </c>
      <c r="B223" s="626" t="s">
        <v>2218</v>
      </c>
      <c r="C223" s="609"/>
      <c r="D223" s="609"/>
      <c r="E223" s="604" t="s">
        <v>33</v>
      </c>
      <c r="F223" s="627" t="s">
        <v>2039</v>
      </c>
      <c r="G223" s="597">
        <v>0.0</v>
      </c>
      <c r="H223" s="598">
        <f t="shared" si="8"/>
        <v>0</v>
      </c>
      <c r="I223" s="599"/>
      <c r="J223" s="599">
        <f>372870+35000</f>
        <v>407870</v>
      </c>
      <c r="K223" s="615"/>
      <c r="L223" s="616" t="s">
        <v>203</v>
      </c>
      <c r="M223" s="621"/>
      <c r="N223" s="621"/>
      <c r="O223" s="621"/>
      <c r="P223" s="602">
        <f>A223-IF(O223&gt;0,O223,A223)</f>
        <v>0</v>
      </c>
      <c r="Q223" s="622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</row>
    <row r="224" ht="17.25" customHeight="1">
      <c r="A224" s="614">
        <v>45443.0</v>
      </c>
      <c r="B224" s="626" t="s">
        <v>2218</v>
      </c>
      <c r="C224" s="610">
        <v>420000.0</v>
      </c>
      <c r="D224" s="609"/>
      <c r="E224" s="606"/>
      <c r="F224" s="627" t="s">
        <v>2038</v>
      </c>
      <c r="G224" s="597">
        <v>20.0</v>
      </c>
      <c r="H224" s="598">
        <f t="shared" si="8"/>
        <v>70000</v>
      </c>
      <c r="I224" s="599"/>
      <c r="J224" s="599"/>
      <c r="K224" s="615"/>
      <c r="L224" s="616" t="s">
        <v>230</v>
      </c>
      <c r="M224" s="612"/>
      <c r="N224" s="612"/>
      <c r="O224" s="612"/>
      <c r="P224" s="602"/>
      <c r="Q224" s="613" t="s">
        <v>253</v>
      </c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</row>
    <row r="225" ht="17.25" customHeight="1">
      <c r="A225" s="614">
        <v>45443.0</v>
      </c>
      <c r="B225" s="626" t="s">
        <v>2218</v>
      </c>
      <c r="C225" s="609"/>
      <c r="D225" s="609"/>
      <c r="E225" s="604" t="s">
        <v>33</v>
      </c>
      <c r="F225" s="596"/>
      <c r="G225" s="597">
        <v>20.0</v>
      </c>
      <c r="H225" s="598">
        <f t="shared" si="8"/>
        <v>0</v>
      </c>
      <c r="I225" s="599"/>
      <c r="J225" s="605">
        <v>30000.0</v>
      </c>
      <c r="K225" s="615"/>
      <c r="L225" s="616" t="s">
        <v>254</v>
      </c>
      <c r="M225" s="612"/>
      <c r="N225" s="612"/>
      <c r="O225" s="612"/>
      <c r="P225" s="602">
        <f>A225-IF(O225&gt;0,O225,A225)</f>
        <v>0</v>
      </c>
      <c r="Q225" s="613" t="s">
        <v>255</v>
      </c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</row>
    <row r="226" ht="17.25" customHeight="1">
      <c r="A226" s="614">
        <v>45443.0</v>
      </c>
      <c r="B226" s="626" t="s">
        <v>2218</v>
      </c>
      <c r="C226" s="610">
        <v>100000.0</v>
      </c>
      <c r="D226" s="610"/>
      <c r="E226" s="606"/>
      <c r="F226" s="627" t="s">
        <v>256</v>
      </c>
      <c r="G226" s="597">
        <v>20.0</v>
      </c>
      <c r="H226" s="598">
        <f t="shared" si="8"/>
        <v>16666.66667</v>
      </c>
      <c r="I226" s="599"/>
      <c r="J226" s="599"/>
      <c r="K226" s="615"/>
      <c r="L226" s="616" t="s">
        <v>257</v>
      </c>
      <c r="M226" s="612"/>
      <c r="N226" s="612"/>
      <c r="O226" s="612"/>
      <c r="P226" s="602"/>
      <c r="Q226" s="613" t="s">
        <v>258</v>
      </c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</row>
    <row r="227" ht="17.25" customHeight="1">
      <c r="A227" s="614">
        <v>45443.0</v>
      </c>
      <c r="B227" s="626" t="s">
        <v>2218</v>
      </c>
      <c r="C227" s="609"/>
      <c r="D227" s="609">
        <f>I227/0.75</f>
        <v>1200000</v>
      </c>
      <c r="E227" s="606"/>
      <c r="F227" s="627" t="s">
        <v>48</v>
      </c>
      <c r="G227" s="597">
        <v>20.0</v>
      </c>
      <c r="H227" s="598">
        <f t="shared" si="8"/>
        <v>200000</v>
      </c>
      <c r="I227" s="605">
        <v>900000.0</v>
      </c>
      <c r="J227" s="599"/>
      <c r="K227" s="611"/>
      <c r="L227" s="611"/>
      <c r="M227" s="621"/>
      <c r="N227" s="621"/>
      <c r="O227" s="621"/>
      <c r="P227" s="602"/>
      <c r="Q227" s="622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</row>
    <row r="228" ht="22.5" customHeight="1">
      <c r="A228" s="614">
        <v>45446.0</v>
      </c>
      <c r="B228" s="626" t="s">
        <v>2218</v>
      </c>
      <c r="C228" s="609"/>
      <c r="D228" s="610">
        <f>19282+2039</f>
        <v>21321</v>
      </c>
      <c r="E228" s="595"/>
      <c r="F228" s="596"/>
      <c r="G228" s="597">
        <v>20.0</v>
      </c>
      <c r="H228" s="598">
        <f t="shared" si="8"/>
        <v>3553.5</v>
      </c>
      <c r="I228" s="599"/>
      <c r="J228" s="599"/>
      <c r="K228" s="615"/>
      <c r="L228" s="616" t="s">
        <v>260</v>
      </c>
      <c r="M228" s="621"/>
      <c r="N228" s="621"/>
      <c r="O228" s="621"/>
      <c r="P228" s="602"/>
      <c r="Q228" s="622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</row>
    <row r="229" ht="16.5" customHeight="1">
      <c r="A229" s="614">
        <v>45446.0</v>
      </c>
      <c r="B229" s="626" t="s">
        <v>2218</v>
      </c>
      <c r="C229" s="609"/>
      <c r="D229" s="610">
        <v>13990.0</v>
      </c>
      <c r="E229" s="595"/>
      <c r="F229" s="596"/>
      <c r="G229" s="597">
        <v>0.0</v>
      </c>
      <c r="H229" s="598">
        <f t="shared" si="8"/>
        <v>0</v>
      </c>
      <c r="I229" s="599"/>
      <c r="J229" s="599"/>
      <c r="K229" s="600"/>
      <c r="L229" s="601" t="s">
        <v>31</v>
      </c>
      <c r="M229" s="621"/>
      <c r="N229" s="621"/>
      <c r="O229" s="621"/>
      <c r="P229" s="602"/>
      <c r="Q229" s="622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</row>
    <row r="230" ht="22.5" customHeight="1">
      <c r="A230" s="640">
        <v>45446.0</v>
      </c>
      <c r="B230" s="626" t="s">
        <v>2218</v>
      </c>
      <c r="C230" s="609"/>
      <c r="D230" s="610">
        <v>58380.0</v>
      </c>
      <c r="E230" s="606"/>
      <c r="F230" s="627" t="s">
        <v>213</v>
      </c>
      <c r="G230" s="597">
        <v>0.0</v>
      </c>
      <c r="H230" s="598">
        <f t="shared" si="8"/>
        <v>0</v>
      </c>
      <c r="I230" s="599"/>
      <c r="J230" s="599"/>
      <c r="K230" s="615"/>
      <c r="L230" s="616" t="s">
        <v>234</v>
      </c>
      <c r="M230" s="612"/>
      <c r="N230" s="612"/>
      <c r="O230" s="612"/>
      <c r="P230" s="602"/>
      <c r="Q230" s="613" t="s">
        <v>261</v>
      </c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</row>
    <row r="231" ht="22.5" customHeight="1">
      <c r="A231" s="614">
        <v>45449.0</v>
      </c>
      <c r="B231" s="626" t="s">
        <v>2218</v>
      </c>
      <c r="C231" s="609"/>
      <c r="D231" s="609"/>
      <c r="E231" s="604" t="s">
        <v>33</v>
      </c>
      <c r="F231" s="596"/>
      <c r="G231" s="597">
        <v>20.0</v>
      </c>
      <c r="H231" s="598">
        <f t="shared" si="8"/>
        <v>0</v>
      </c>
      <c r="I231" s="599"/>
      <c r="J231" s="605">
        <v>1500.0</v>
      </c>
      <c r="K231" s="615"/>
      <c r="L231" s="616" t="s">
        <v>254</v>
      </c>
      <c r="M231" s="612"/>
      <c r="N231" s="612"/>
      <c r="O231" s="612"/>
      <c r="P231" s="602"/>
      <c r="Q231" s="613" t="s">
        <v>36</v>
      </c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</row>
    <row r="232" ht="22.5" customHeight="1">
      <c r="A232" s="614">
        <v>45449.0</v>
      </c>
      <c r="B232" s="626" t="s">
        <v>2218</v>
      </c>
      <c r="C232" s="610">
        <v>176571.85</v>
      </c>
      <c r="D232" s="609"/>
      <c r="E232" s="606"/>
      <c r="F232" s="627" t="s">
        <v>2037</v>
      </c>
      <c r="G232" s="597">
        <v>20.0</v>
      </c>
      <c r="H232" s="598">
        <f t="shared" si="8"/>
        <v>29428.64167</v>
      </c>
      <c r="I232" s="599"/>
      <c r="J232" s="599"/>
      <c r="K232" s="615"/>
      <c r="L232" s="616" t="s">
        <v>157</v>
      </c>
      <c r="M232" s="641"/>
      <c r="N232" s="641"/>
      <c r="O232" s="641"/>
      <c r="P232" s="602">
        <f t="shared" ref="P232:P233" si="12">A232-IF(O232&gt;0,O232,A232)</f>
        <v>0</v>
      </c>
      <c r="Q232" s="642" t="s">
        <v>262</v>
      </c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</row>
    <row r="233" ht="22.5" customHeight="1">
      <c r="A233" s="614">
        <v>45449.0</v>
      </c>
      <c r="B233" s="626" t="s">
        <v>2218</v>
      </c>
      <c r="C233" s="610">
        <v>576922.92</v>
      </c>
      <c r="D233" s="609"/>
      <c r="E233" s="606"/>
      <c r="F233" s="627" t="s">
        <v>2038</v>
      </c>
      <c r="G233" s="597">
        <v>20.0</v>
      </c>
      <c r="H233" s="598">
        <f t="shared" si="8"/>
        <v>96153.82</v>
      </c>
      <c r="I233" s="599"/>
      <c r="J233" s="599"/>
      <c r="K233" s="600"/>
      <c r="L233" s="601" t="s">
        <v>38</v>
      </c>
      <c r="M233" s="641"/>
      <c r="N233" s="641"/>
      <c r="O233" s="641"/>
      <c r="P233" s="602">
        <f t="shared" si="12"/>
        <v>0</v>
      </c>
      <c r="Q233" s="642" t="s">
        <v>263</v>
      </c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</row>
    <row r="234" ht="22.5" customHeight="1">
      <c r="A234" s="614">
        <v>45449.0</v>
      </c>
      <c r="B234" s="626" t="s">
        <v>2218</v>
      </c>
      <c r="C234" s="609"/>
      <c r="D234" s="610">
        <v>42689.0</v>
      </c>
      <c r="E234" s="606"/>
      <c r="F234" s="607"/>
      <c r="G234" s="597">
        <v>0.0</v>
      </c>
      <c r="H234" s="598">
        <f t="shared" si="8"/>
        <v>0</v>
      </c>
      <c r="I234" s="599"/>
      <c r="J234" s="599"/>
      <c r="K234" s="615"/>
      <c r="L234" s="616" t="s">
        <v>283</v>
      </c>
      <c r="M234" s="643"/>
      <c r="N234" s="643"/>
      <c r="O234" s="643"/>
      <c r="P234" s="602"/>
      <c r="Q234" s="644" t="s">
        <v>209</v>
      </c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</row>
    <row r="235" ht="22.5" customHeight="1">
      <c r="A235" s="614">
        <v>45450.0</v>
      </c>
      <c r="B235" s="626" t="s">
        <v>2218</v>
      </c>
      <c r="C235" s="609"/>
      <c r="D235" s="610">
        <v>548076.77</v>
      </c>
      <c r="E235" s="606"/>
      <c r="F235" s="627" t="s">
        <v>2038</v>
      </c>
      <c r="G235" s="597">
        <v>20.0</v>
      </c>
      <c r="H235" s="598">
        <f t="shared" si="8"/>
        <v>91346.12833</v>
      </c>
      <c r="I235" s="599"/>
      <c r="J235" s="599"/>
      <c r="K235" s="615"/>
      <c r="L235" s="616" t="s">
        <v>77</v>
      </c>
      <c r="M235" s="621"/>
      <c r="N235" s="621"/>
      <c r="O235" s="621"/>
      <c r="P235" s="602"/>
      <c r="Q235" s="622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</row>
    <row r="236" ht="22.5" customHeight="1">
      <c r="A236" s="614">
        <v>45453.0</v>
      </c>
      <c r="B236" s="626" t="s">
        <v>2218</v>
      </c>
      <c r="C236" s="609"/>
      <c r="D236" s="609"/>
      <c r="E236" s="604" t="s">
        <v>33</v>
      </c>
      <c r="F236" s="627" t="s">
        <v>213</v>
      </c>
      <c r="G236" s="597">
        <v>20.0</v>
      </c>
      <c r="H236" s="598">
        <f t="shared" si="8"/>
        <v>0</v>
      </c>
      <c r="I236" s="599"/>
      <c r="J236" s="605">
        <v>20000.0</v>
      </c>
      <c r="K236" s="615"/>
      <c r="L236" s="616" t="s">
        <v>254</v>
      </c>
      <c r="M236" s="612"/>
      <c r="N236" s="612"/>
      <c r="O236" s="612"/>
      <c r="P236" s="602"/>
      <c r="Q236" s="613" t="s">
        <v>264</v>
      </c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</row>
    <row r="237" ht="22.5" customHeight="1">
      <c r="A237" s="614">
        <v>45453.0</v>
      </c>
      <c r="B237" s="626" t="s">
        <v>2218</v>
      </c>
      <c r="C237" s="609"/>
      <c r="D237" s="610">
        <v>44407.0</v>
      </c>
      <c r="E237" s="606"/>
      <c r="F237" s="627" t="s">
        <v>213</v>
      </c>
      <c r="G237" s="597">
        <v>0.0</v>
      </c>
      <c r="H237" s="598">
        <f t="shared" si="8"/>
        <v>0</v>
      </c>
      <c r="I237" s="599"/>
      <c r="J237" s="599"/>
      <c r="K237" s="615"/>
      <c r="L237" s="616" t="s">
        <v>234</v>
      </c>
      <c r="M237" s="612"/>
      <c r="N237" s="612"/>
      <c r="O237" s="612"/>
      <c r="P237" s="602"/>
      <c r="Q237" s="613" t="s">
        <v>265</v>
      </c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</row>
    <row r="238" ht="22.5" customHeight="1">
      <c r="A238" s="614">
        <v>45453.0</v>
      </c>
      <c r="B238" s="626" t="s">
        <v>2218</v>
      </c>
      <c r="C238" s="609"/>
      <c r="D238" s="610">
        <v>285691.0</v>
      </c>
      <c r="E238" s="606"/>
      <c r="F238" s="627" t="s">
        <v>2039</v>
      </c>
      <c r="G238" s="597">
        <v>0.0</v>
      </c>
      <c r="H238" s="598">
        <f t="shared" si="8"/>
        <v>0</v>
      </c>
      <c r="I238" s="599"/>
      <c r="J238" s="599"/>
      <c r="K238" s="615"/>
      <c r="L238" s="616" t="s">
        <v>203</v>
      </c>
      <c r="M238" s="621"/>
      <c r="N238" s="621"/>
      <c r="O238" s="621"/>
      <c r="P238" s="602"/>
      <c r="Q238" s="622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</row>
    <row r="239" ht="22.5" customHeight="1">
      <c r="A239" s="614">
        <v>45453.0</v>
      </c>
      <c r="B239" s="626" t="s">
        <v>2218</v>
      </c>
      <c r="C239" s="609"/>
      <c r="D239" s="610">
        <v>4900.0</v>
      </c>
      <c r="E239" s="595"/>
      <c r="F239" s="596"/>
      <c r="G239" s="597">
        <v>0.0</v>
      </c>
      <c r="H239" s="598">
        <f t="shared" si="8"/>
        <v>0</v>
      </c>
      <c r="I239" s="599"/>
      <c r="J239" s="599"/>
      <c r="K239" s="615"/>
      <c r="L239" s="616" t="s">
        <v>266</v>
      </c>
      <c r="M239" s="612"/>
      <c r="N239" s="612"/>
      <c r="O239" s="612"/>
      <c r="P239" s="602"/>
      <c r="Q239" s="613" t="s">
        <v>267</v>
      </c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</row>
    <row r="240" ht="22.5" customHeight="1">
      <c r="A240" s="614">
        <v>45454.0</v>
      </c>
      <c r="B240" s="626" t="s">
        <v>2218</v>
      </c>
      <c r="C240" s="609"/>
      <c r="D240" s="609"/>
      <c r="E240" s="604" t="s">
        <v>33</v>
      </c>
      <c r="F240" s="596"/>
      <c r="G240" s="597">
        <v>20.0</v>
      </c>
      <c r="H240" s="598">
        <f t="shared" si="8"/>
        <v>0</v>
      </c>
      <c r="I240" s="599"/>
      <c r="J240" s="605">
        <v>62000.0</v>
      </c>
      <c r="K240" s="615"/>
      <c r="L240" s="616" t="s">
        <v>254</v>
      </c>
      <c r="M240" s="612"/>
      <c r="N240" s="612"/>
      <c r="O240" s="612"/>
      <c r="P240" s="602"/>
      <c r="Q240" s="613" t="s">
        <v>268</v>
      </c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</row>
    <row r="241" ht="22.5" customHeight="1">
      <c r="A241" s="614">
        <v>45454.0</v>
      </c>
      <c r="B241" s="626" t="s">
        <v>2218</v>
      </c>
      <c r="C241" s="609"/>
      <c r="D241" s="610">
        <f>837346.19/3</f>
        <v>279115.3967</v>
      </c>
      <c r="E241" s="606"/>
      <c r="F241" s="627" t="s">
        <v>220</v>
      </c>
      <c r="G241" s="597">
        <v>0.0</v>
      </c>
      <c r="H241" s="598">
        <f t="shared" si="8"/>
        <v>0</v>
      </c>
      <c r="I241" s="599"/>
      <c r="J241" s="599"/>
      <c r="K241" s="615"/>
      <c r="L241" s="616" t="s">
        <v>236</v>
      </c>
      <c r="M241" s="612"/>
      <c r="N241" s="612"/>
      <c r="O241" s="612"/>
      <c r="P241" s="602"/>
      <c r="Q241" s="613" t="s">
        <v>221</v>
      </c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</row>
    <row r="242" ht="22.5" customHeight="1">
      <c r="A242" s="614">
        <v>45454.0</v>
      </c>
      <c r="B242" s="626" t="s">
        <v>2218</v>
      </c>
      <c r="C242" s="610">
        <v>700000.0</v>
      </c>
      <c r="D242" s="609"/>
      <c r="E242" s="606"/>
      <c r="F242" s="627" t="s">
        <v>2039</v>
      </c>
      <c r="G242" s="597">
        <v>20.0</v>
      </c>
      <c r="H242" s="598">
        <f t="shared" si="8"/>
        <v>116666.6667</v>
      </c>
      <c r="I242" s="599"/>
      <c r="J242" s="599"/>
      <c r="K242" s="615"/>
      <c r="L242" s="616" t="s">
        <v>179</v>
      </c>
      <c r="M242" s="612"/>
      <c r="N242" s="612"/>
      <c r="O242" s="612"/>
      <c r="P242" s="602">
        <f>A242-IF(O242&gt;0,O242,A242)</f>
        <v>0</v>
      </c>
      <c r="Q242" s="613" t="s">
        <v>269</v>
      </c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</row>
    <row r="243" ht="22.5" customHeight="1">
      <c r="A243" s="614">
        <v>45456.0</v>
      </c>
      <c r="B243" s="626" t="s">
        <v>2218</v>
      </c>
      <c r="C243" s="609"/>
      <c r="D243" s="610">
        <v>29190.0</v>
      </c>
      <c r="E243" s="606"/>
      <c r="F243" s="627" t="s">
        <v>213</v>
      </c>
      <c r="G243" s="597">
        <v>0.0</v>
      </c>
      <c r="H243" s="598">
        <f t="shared" si="8"/>
        <v>0</v>
      </c>
      <c r="I243" s="599"/>
      <c r="J243" s="599"/>
      <c r="K243" s="615"/>
      <c r="L243" s="616" t="s">
        <v>234</v>
      </c>
      <c r="M243" s="612"/>
      <c r="N243" s="612"/>
      <c r="O243" s="612"/>
      <c r="P243" s="602"/>
      <c r="Q243" s="613" t="s">
        <v>270</v>
      </c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</row>
    <row r="244" ht="22.5" customHeight="1">
      <c r="A244" s="614">
        <v>45456.0</v>
      </c>
      <c r="B244" s="626" t="s">
        <v>2218</v>
      </c>
      <c r="C244" s="609"/>
      <c r="D244" s="610">
        <v>6766.0</v>
      </c>
      <c r="E244" s="606"/>
      <c r="F244" s="627" t="s">
        <v>2039</v>
      </c>
      <c r="G244" s="597">
        <v>0.0</v>
      </c>
      <c r="H244" s="598">
        <f t="shared" si="8"/>
        <v>0</v>
      </c>
      <c r="I244" s="599"/>
      <c r="J244" s="599"/>
      <c r="K244" s="615"/>
      <c r="L244" s="616" t="s">
        <v>203</v>
      </c>
      <c r="M244" s="612"/>
      <c r="N244" s="612"/>
      <c r="O244" s="612"/>
      <c r="P244" s="602"/>
      <c r="Q244" s="613" t="s">
        <v>271</v>
      </c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</row>
    <row r="245" ht="22.5" customHeight="1">
      <c r="A245" s="614">
        <v>45460.0</v>
      </c>
      <c r="B245" s="626" t="s">
        <v>2218</v>
      </c>
      <c r="C245" s="610">
        <v>500000.0</v>
      </c>
      <c r="D245" s="609"/>
      <c r="E245" s="606"/>
      <c r="F245" s="627" t="s">
        <v>2039</v>
      </c>
      <c r="G245" s="597">
        <v>20.0</v>
      </c>
      <c r="H245" s="598">
        <f t="shared" si="8"/>
        <v>83333.33333</v>
      </c>
      <c r="I245" s="599"/>
      <c r="J245" s="599"/>
      <c r="K245" s="628"/>
      <c r="L245" s="629" t="s">
        <v>120</v>
      </c>
      <c r="M245" s="612"/>
      <c r="N245" s="612"/>
      <c r="O245" s="612"/>
      <c r="P245" s="602">
        <f t="shared" ref="P245:P246" si="13">A245-IF(O245&gt;0,O245,A245)</f>
        <v>0</v>
      </c>
      <c r="Q245" s="613" t="s">
        <v>272</v>
      </c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</row>
    <row r="246" ht="22.5" customHeight="1">
      <c r="A246" s="614">
        <v>45460.0</v>
      </c>
      <c r="B246" s="626" t="s">
        <v>2218</v>
      </c>
      <c r="C246" s="610">
        <v>358446.0</v>
      </c>
      <c r="D246" s="609"/>
      <c r="E246" s="606"/>
      <c r="F246" s="627" t="s">
        <v>2039</v>
      </c>
      <c r="G246" s="597">
        <v>20.0</v>
      </c>
      <c r="H246" s="598">
        <f t="shared" si="8"/>
        <v>59741</v>
      </c>
      <c r="I246" s="599"/>
      <c r="J246" s="599"/>
      <c r="K246" s="628"/>
      <c r="L246" s="629" t="s">
        <v>120</v>
      </c>
      <c r="M246" s="612"/>
      <c r="N246" s="612"/>
      <c r="O246" s="612"/>
      <c r="P246" s="602">
        <f t="shared" si="13"/>
        <v>0</v>
      </c>
      <c r="Q246" s="613" t="s">
        <v>273</v>
      </c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</row>
    <row r="247" ht="22.5" customHeight="1">
      <c r="A247" s="614">
        <v>45460.0</v>
      </c>
      <c r="B247" s="626" t="s">
        <v>2218</v>
      </c>
      <c r="C247" s="609"/>
      <c r="D247" s="645">
        <v>55440.0</v>
      </c>
      <c r="E247" s="606"/>
      <c r="F247" s="627" t="s">
        <v>213</v>
      </c>
      <c r="G247" s="597">
        <v>0.0</v>
      </c>
      <c r="H247" s="598">
        <f t="shared" si="8"/>
        <v>0</v>
      </c>
      <c r="I247" s="599"/>
      <c r="J247" s="599"/>
      <c r="K247" s="615"/>
      <c r="L247" s="616" t="s">
        <v>274</v>
      </c>
      <c r="M247" s="612"/>
      <c r="N247" s="612"/>
      <c r="O247" s="612"/>
      <c r="P247" s="602"/>
      <c r="Q247" s="613" t="s">
        <v>275</v>
      </c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</row>
    <row r="248" ht="22.5" customHeight="1">
      <c r="A248" s="614">
        <v>45462.0</v>
      </c>
      <c r="B248" s="626" t="s">
        <v>2218</v>
      </c>
      <c r="C248" s="609"/>
      <c r="D248" s="609"/>
      <c r="E248" s="604" t="s">
        <v>33</v>
      </c>
      <c r="F248" s="596"/>
      <c r="G248" s="597">
        <v>20.0</v>
      </c>
      <c r="H248" s="598">
        <f t="shared" si="8"/>
        <v>0</v>
      </c>
      <c r="I248" s="599"/>
      <c r="J248" s="605">
        <v>50000.0</v>
      </c>
      <c r="K248" s="615"/>
      <c r="L248" s="616" t="s">
        <v>254</v>
      </c>
      <c r="M248" s="612"/>
      <c r="N248" s="612"/>
      <c r="O248" s="612"/>
      <c r="P248" s="602"/>
      <c r="Q248" s="613" t="s">
        <v>128</v>
      </c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</row>
    <row r="249" ht="22.5" customHeight="1">
      <c r="A249" s="614">
        <v>45462.0</v>
      </c>
      <c r="B249" s="626" t="s">
        <v>2218</v>
      </c>
      <c r="C249" s="609"/>
      <c r="D249" s="610">
        <v>58380.0</v>
      </c>
      <c r="E249" s="606"/>
      <c r="F249" s="627" t="s">
        <v>213</v>
      </c>
      <c r="G249" s="597">
        <v>0.0</v>
      </c>
      <c r="H249" s="598">
        <f t="shared" si="8"/>
        <v>0</v>
      </c>
      <c r="I249" s="599"/>
      <c r="J249" s="599"/>
      <c r="K249" s="615"/>
      <c r="L249" s="616" t="s">
        <v>234</v>
      </c>
      <c r="M249" s="612"/>
      <c r="N249" s="612"/>
      <c r="O249" s="612"/>
      <c r="P249" s="602"/>
      <c r="Q249" s="613" t="s">
        <v>276</v>
      </c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</row>
    <row r="250" ht="22.5" customHeight="1">
      <c r="A250" s="614">
        <v>45467.0</v>
      </c>
      <c r="B250" s="626" t="s">
        <v>2218</v>
      </c>
      <c r="C250" s="609"/>
      <c r="D250" s="609"/>
      <c r="E250" s="604" t="s">
        <v>33</v>
      </c>
      <c r="F250" s="627" t="s">
        <v>213</v>
      </c>
      <c r="G250" s="597">
        <v>20.0</v>
      </c>
      <c r="H250" s="598">
        <f t="shared" si="8"/>
        <v>0</v>
      </c>
      <c r="I250" s="599"/>
      <c r="J250" s="605">
        <v>20000.0</v>
      </c>
      <c r="K250" s="615"/>
      <c r="L250" s="616" t="s">
        <v>264</v>
      </c>
      <c r="M250" s="621"/>
      <c r="N250" s="621"/>
      <c r="O250" s="621"/>
      <c r="P250" s="602"/>
      <c r="Q250" s="622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</row>
    <row r="251" ht="22.5" customHeight="1">
      <c r="A251" s="614">
        <v>45467.0</v>
      </c>
      <c r="B251" s="626" t="s">
        <v>2218</v>
      </c>
      <c r="C251" s="609"/>
      <c r="D251" s="610">
        <v>67562.0</v>
      </c>
      <c r="E251" s="606"/>
      <c r="F251" s="627" t="s">
        <v>213</v>
      </c>
      <c r="G251" s="597">
        <v>0.0</v>
      </c>
      <c r="H251" s="598">
        <f t="shared" si="8"/>
        <v>0</v>
      </c>
      <c r="I251" s="599"/>
      <c r="J251" s="599"/>
      <c r="K251" s="615"/>
      <c r="L251" s="616" t="s">
        <v>234</v>
      </c>
      <c r="M251" s="618"/>
      <c r="N251" s="618"/>
      <c r="O251" s="618"/>
      <c r="P251" s="602"/>
      <c r="Q251" s="646" t="s">
        <v>277</v>
      </c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</row>
    <row r="252" ht="22.5" customHeight="1">
      <c r="A252" s="614">
        <v>45467.0</v>
      </c>
      <c r="B252" s="626" t="s">
        <v>2218</v>
      </c>
      <c r="C252" s="609"/>
      <c r="D252" s="610">
        <v>17805.15</v>
      </c>
      <c r="E252" s="606"/>
      <c r="F252" s="627" t="s">
        <v>213</v>
      </c>
      <c r="G252" s="597">
        <v>20.0</v>
      </c>
      <c r="H252" s="598">
        <f t="shared" si="8"/>
        <v>2967.525</v>
      </c>
      <c r="I252" s="599"/>
      <c r="J252" s="599"/>
      <c r="K252" s="615"/>
      <c r="L252" s="616" t="s">
        <v>278</v>
      </c>
      <c r="M252" s="612"/>
      <c r="N252" s="612"/>
      <c r="O252" s="612"/>
      <c r="P252" s="602"/>
      <c r="Q252" s="613" t="s">
        <v>279</v>
      </c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</row>
    <row r="253" ht="22.5" customHeight="1">
      <c r="A253" s="614">
        <v>45467.0</v>
      </c>
      <c r="B253" s="626" t="s">
        <v>2218</v>
      </c>
      <c r="C253" s="609"/>
      <c r="D253" s="610">
        <v>186805.0</v>
      </c>
      <c r="E253" s="606"/>
      <c r="F253" s="627" t="s">
        <v>203</v>
      </c>
      <c r="G253" s="597">
        <v>0.0</v>
      </c>
      <c r="H253" s="598">
        <f t="shared" si="8"/>
        <v>0</v>
      </c>
      <c r="I253" s="599"/>
      <c r="J253" s="599"/>
      <c r="K253" s="615"/>
      <c r="L253" s="616" t="s">
        <v>203</v>
      </c>
      <c r="M253" s="612"/>
      <c r="N253" s="612"/>
      <c r="O253" s="612"/>
      <c r="P253" s="602"/>
      <c r="Q253" s="613" t="s">
        <v>281</v>
      </c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</row>
    <row r="254" ht="22.5" customHeight="1">
      <c r="A254" s="614">
        <v>45467.0</v>
      </c>
      <c r="B254" s="626" t="s">
        <v>2218</v>
      </c>
      <c r="C254" s="609"/>
      <c r="D254" s="610">
        <v>1117.75</v>
      </c>
      <c r="E254" s="606"/>
      <c r="F254" s="627" t="s">
        <v>236</v>
      </c>
      <c r="G254" s="597">
        <v>0.0</v>
      </c>
      <c r="H254" s="598">
        <f t="shared" si="8"/>
        <v>0</v>
      </c>
      <c r="I254" s="599"/>
      <c r="J254" s="599"/>
      <c r="K254" s="615"/>
      <c r="L254" s="616" t="s">
        <v>283</v>
      </c>
      <c r="M254" s="612"/>
      <c r="N254" s="612"/>
      <c r="O254" s="612"/>
      <c r="P254" s="602"/>
      <c r="Q254" s="613" t="s">
        <v>282</v>
      </c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</row>
    <row r="255" ht="22.5" customHeight="1">
      <c r="A255" s="614">
        <v>45469.0</v>
      </c>
      <c r="B255" s="626" t="s">
        <v>2218</v>
      </c>
      <c r="C255" s="609"/>
      <c r="D255" s="610">
        <v>3881992.52</v>
      </c>
      <c r="E255" s="606"/>
      <c r="F255" s="627" t="s">
        <v>2037</v>
      </c>
      <c r="G255" s="597">
        <v>20.0</v>
      </c>
      <c r="H255" s="598">
        <f t="shared" si="8"/>
        <v>646998.7533</v>
      </c>
      <c r="I255" s="599"/>
      <c r="J255" s="599"/>
      <c r="K255" s="615"/>
      <c r="L255" s="616" t="s">
        <v>77</v>
      </c>
      <c r="M255" s="621"/>
      <c r="N255" s="621"/>
      <c r="O255" s="621"/>
      <c r="P255" s="602"/>
      <c r="Q255" s="622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</row>
    <row r="256" ht="22.5" customHeight="1">
      <c r="A256" s="614">
        <v>45469.0</v>
      </c>
      <c r="B256" s="626" t="s">
        <v>2218</v>
      </c>
      <c r="C256" s="609"/>
      <c r="D256" s="609">
        <f>351024.58*1.2</f>
        <v>421229.496</v>
      </c>
      <c r="E256" s="606"/>
      <c r="F256" s="627" t="s">
        <v>2038</v>
      </c>
      <c r="G256" s="597">
        <v>20.0</v>
      </c>
      <c r="H256" s="598">
        <f t="shared" si="8"/>
        <v>70204.916</v>
      </c>
      <c r="I256" s="599"/>
      <c r="J256" s="599"/>
      <c r="K256" s="615"/>
      <c r="L256" s="616" t="s">
        <v>84</v>
      </c>
      <c r="M256" s="621"/>
      <c r="N256" s="621"/>
      <c r="O256" s="621"/>
      <c r="P256" s="602"/>
      <c r="Q256" s="622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</row>
    <row r="257" ht="22.5" customHeight="1">
      <c r="A257" s="614">
        <v>45469.0</v>
      </c>
      <c r="B257" s="626" t="s">
        <v>2218</v>
      </c>
      <c r="C257" s="609"/>
      <c r="D257" s="610">
        <v>990.0</v>
      </c>
      <c r="E257" s="606"/>
      <c r="F257" s="627" t="s">
        <v>2036</v>
      </c>
      <c r="G257" s="597">
        <v>20.0</v>
      </c>
      <c r="H257" s="598">
        <f t="shared" si="8"/>
        <v>165</v>
      </c>
      <c r="I257" s="599"/>
      <c r="J257" s="599"/>
      <c r="K257" s="615"/>
      <c r="L257" s="616" t="s">
        <v>2226</v>
      </c>
      <c r="M257" s="621"/>
      <c r="N257" s="621"/>
      <c r="O257" s="621"/>
      <c r="P257" s="602"/>
      <c r="Q257" s="622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</row>
    <row r="258" ht="22.5" customHeight="1">
      <c r="A258" s="614">
        <v>45469.0</v>
      </c>
      <c r="B258" s="626" t="s">
        <v>2218</v>
      </c>
      <c r="C258" s="609"/>
      <c r="D258" s="610">
        <v>3814.57</v>
      </c>
      <c r="E258" s="606"/>
      <c r="F258" s="627" t="s">
        <v>2037</v>
      </c>
      <c r="G258" s="597">
        <v>20.0</v>
      </c>
      <c r="H258" s="598">
        <f t="shared" si="8"/>
        <v>635.7616667</v>
      </c>
      <c r="I258" s="599"/>
      <c r="J258" s="599"/>
      <c r="K258" s="615"/>
      <c r="L258" s="616" t="s">
        <v>2226</v>
      </c>
      <c r="M258" s="621"/>
      <c r="N258" s="621"/>
      <c r="O258" s="621"/>
      <c r="P258" s="602"/>
      <c r="Q258" s="622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</row>
    <row r="259" ht="22.5" customHeight="1">
      <c r="A259" s="614">
        <v>45469.0</v>
      </c>
      <c r="B259" s="626" t="s">
        <v>2218</v>
      </c>
      <c r="C259" s="609"/>
      <c r="D259" s="610">
        <v>67678.83</v>
      </c>
      <c r="E259" s="606"/>
      <c r="F259" s="627" t="s">
        <v>2038</v>
      </c>
      <c r="G259" s="597">
        <v>20.0</v>
      </c>
      <c r="H259" s="598">
        <f t="shared" si="8"/>
        <v>11279.805</v>
      </c>
      <c r="I259" s="599"/>
      <c r="J259" s="599"/>
      <c r="K259" s="615"/>
      <c r="L259" s="616" t="s">
        <v>2226</v>
      </c>
      <c r="M259" s="621"/>
      <c r="N259" s="621"/>
      <c r="O259" s="621"/>
      <c r="P259" s="602"/>
      <c r="Q259" s="622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</row>
    <row r="260" ht="22.5" customHeight="1">
      <c r="A260" s="614">
        <v>45469.0</v>
      </c>
      <c r="B260" s="626" t="s">
        <v>2218</v>
      </c>
      <c r="C260" s="609"/>
      <c r="D260" s="610">
        <v>16073.0</v>
      </c>
      <c r="E260" s="606"/>
      <c r="F260" s="627" t="s">
        <v>203</v>
      </c>
      <c r="G260" s="597">
        <v>0.0</v>
      </c>
      <c r="H260" s="598">
        <f t="shared" si="8"/>
        <v>0</v>
      </c>
      <c r="I260" s="599"/>
      <c r="J260" s="599"/>
      <c r="K260" s="615"/>
      <c r="L260" s="616" t="s">
        <v>203</v>
      </c>
      <c r="M260" s="612"/>
      <c r="N260" s="612"/>
      <c r="O260" s="612"/>
      <c r="P260" s="602"/>
      <c r="Q260" s="613" t="s">
        <v>281</v>
      </c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</row>
    <row r="261" ht="22.5" customHeight="1">
      <c r="A261" s="614">
        <v>45471.0</v>
      </c>
      <c r="B261" s="626" t="s">
        <v>2218</v>
      </c>
      <c r="C261" s="609"/>
      <c r="D261" s="610">
        <v>167663.1</v>
      </c>
      <c r="E261" s="606"/>
      <c r="F261" s="627" t="s">
        <v>283</v>
      </c>
      <c r="G261" s="597">
        <v>0.0</v>
      </c>
      <c r="H261" s="598">
        <f t="shared" si="8"/>
        <v>0</v>
      </c>
      <c r="I261" s="599"/>
      <c r="J261" s="599"/>
      <c r="K261" s="615"/>
      <c r="L261" s="616" t="s">
        <v>283</v>
      </c>
      <c r="M261" s="643"/>
      <c r="N261" s="643"/>
      <c r="O261" s="643"/>
      <c r="P261" s="602"/>
      <c r="Q261" s="644" t="s">
        <v>208</v>
      </c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</row>
    <row r="262" ht="22.5" customHeight="1">
      <c r="A262" s="614">
        <v>45471.0</v>
      </c>
      <c r="B262" s="626" t="s">
        <v>2218</v>
      </c>
      <c r="C262" s="609"/>
      <c r="D262" s="610">
        <v>31326.0</v>
      </c>
      <c r="E262" s="606"/>
      <c r="F262" s="627" t="s">
        <v>283</v>
      </c>
      <c r="G262" s="597">
        <v>0.0</v>
      </c>
      <c r="H262" s="598">
        <f t="shared" si="8"/>
        <v>0</v>
      </c>
      <c r="I262" s="599"/>
      <c r="J262" s="599"/>
      <c r="K262" s="615"/>
      <c r="L262" s="616" t="s">
        <v>283</v>
      </c>
      <c r="M262" s="612"/>
      <c r="N262" s="612"/>
      <c r="O262" s="612"/>
      <c r="P262" s="602"/>
      <c r="Q262" s="613" t="s">
        <v>209</v>
      </c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</row>
    <row r="263" ht="22.5" customHeight="1">
      <c r="A263" s="614">
        <v>45471.0</v>
      </c>
      <c r="B263" s="626" t="s">
        <v>2218</v>
      </c>
      <c r="C263" s="609"/>
      <c r="D263" s="609"/>
      <c r="E263" s="604" t="s">
        <v>33</v>
      </c>
      <c r="F263" s="627" t="s">
        <v>955</v>
      </c>
      <c r="G263" s="597">
        <v>0.0</v>
      </c>
      <c r="H263" s="598">
        <f t="shared" si="8"/>
        <v>0</v>
      </c>
      <c r="I263" s="599"/>
      <c r="J263" s="605">
        <v>17105.0</v>
      </c>
      <c r="K263" s="615"/>
      <c r="L263" s="616" t="s">
        <v>203</v>
      </c>
      <c r="M263" s="612"/>
      <c r="N263" s="612"/>
      <c r="O263" s="612"/>
      <c r="P263" s="602"/>
      <c r="Q263" s="613" t="s">
        <v>285</v>
      </c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</row>
    <row r="264" ht="22.5" customHeight="1">
      <c r="A264" s="614">
        <v>45477.0</v>
      </c>
      <c r="B264" s="626" t="s">
        <v>2218</v>
      </c>
      <c r="C264" s="610">
        <v>360000.0</v>
      </c>
      <c r="D264" s="609"/>
      <c r="E264" s="606"/>
      <c r="F264" s="627" t="s">
        <v>2038</v>
      </c>
      <c r="G264" s="597">
        <v>20.0</v>
      </c>
      <c r="H264" s="598">
        <f t="shared" si="8"/>
        <v>60000</v>
      </c>
      <c r="I264" s="599"/>
      <c r="J264" s="599"/>
      <c r="K264" s="615"/>
      <c r="L264" s="616" t="s">
        <v>250</v>
      </c>
      <c r="M264" s="612">
        <v>3.0</v>
      </c>
      <c r="N264" s="621"/>
      <c r="O264" s="621"/>
      <c r="P264" s="602">
        <f>A264-IF(O264&gt;0,O264,A264)</f>
        <v>0</v>
      </c>
      <c r="Q264" s="622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</row>
    <row r="265" ht="22.5" customHeight="1">
      <c r="A265" s="614">
        <v>45477.0</v>
      </c>
      <c r="B265" s="626" t="s">
        <v>2218</v>
      </c>
      <c r="C265" s="609"/>
      <c r="D265" s="609"/>
      <c r="E265" s="604" t="s">
        <v>33</v>
      </c>
      <c r="F265" s="596"/>
      <c r="G265" s="597">
        <v>20.0</v>
      </c>
      <c r="H265" s="598">
        <f t="shared" si="8"/>
        <v>0</v>
      </c>
      <c r="I265" s="599"/>
      <c r="J265" s="647">
        <v>46000.0</v>
      </c>
      <c r="K265" s="615"/>
      <c r="L265" s="616" t="s">
        <v>144</v>
      </c>
      <c r="M265" s="612"/>
      <c r="N265" s="612"/>
      <c r="O265" s="612"/>
      <c r="P265" s="602"/>
      <c r="Q265" s="613" t="s">
        <v>128</v>
      </c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</row>
    <row r="266" ht="22.5" customHeight="1">
      <c r="A266" s="614">
        <v>45477.0</v>
      </c>
      <c r="B266" s="626" t="s">
        <v>2218</v>
      </c>
      <c r="C266" s="609"/>
      <c r="D266" s="610"/>
      <c r="E266" s="604" t="s">
        <v>33</v>
      </c>
      <c r="F266" s="627" t="s">
        <v>955</v>
      </c>
      <c r="G266" s="597">
        <v>0.0</v>
      </c>
      <c r="H266" s="598">
        <f t="shared" si="8"/>
        <v>0</v>
      </c>
      <c r="I266" s="599"/>
      <c r="J266" s="647">
        <f>550000</f>
        <v>550000</v>
      </c>
      <c r="K266" s="615"/>
      <c r="L266" s="616" t="s">
        <v>203</v>
      </c>
      <c r="M266" s="612"/>
      <c r="N266" s="612"/>
      <c r="O266" s="612"/>
      <c r="P266" s="602"/>
      <c r="Q266" s="613" t="s">
        <v>287</v>
      </c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</row>
    <row r="267" ht="22.5" customHeight="1">
      <c r="A267" s="614">
        <v>45477.0</v>
      </c>
      <c r="B267" s="626" t="s">
        <v>2218</v>
      </c>
      <c r="C267" s="609"/>
      <c r="D267" s="610">
        <v>13990.0</v>
      </c>
      <c r="E267" s="595"/>
      <c r="F267" s="596"/>
      <c r="G267" s="597">
        <v>0.0</v>
      </c>
      <c r="H267" s="598">
        <f t="shared" si="8"/>
        <v>0</v>
      </c>
      <c r="I267" s="599"/>
      <c r="J267" s="599"/>
      <c r="K267" s="600"/>
      <c r="L267" s="601" t="s">
        <v>31</v>
      </c>
      <c r="M267" s="621"/>
      <c r="N267" s="621"/>
      <c r="O267" s="621"/>
      <c r="P267" s="602"/>
      <c r="Q267" s="622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</row>
    <row r="268" ht="22.5" customHeight="1">
      <c r="A268" s="614">
        <v>45477.0</v>
      </c>
      <c r="B268" s="626" t="s">
        <v>2218</v>
      </c>
      <c r="C268" s="609"/>
      <c r="D268" s="610">
        <v>63772.0</v>
      </c>
      <c r="E268" s="606"/>
      <c r="F268" s="627" t="s">
        <v>213</v>
      </c>
      <c r="G268" s="597">
        <v>0.0</v>
      </c>
      <c r="H268" s="598">
        <f t="shared" si="8"/>
        <v>0</v>
      </c>
      <c r="I268" s="599"/>
      <c r="J268" s="599"/>
      <c r="K268" s="615"/>
      <c r="L268" s="616" t="s">
        <v>234</v>
      </c>
      <c r="M268" s="612"/>
      <c r="N268" s="612"/>
      <c r="O268" s="612"/>
      <c r="P268" s="602"/>
      <c r="Q268" s="613" t="s">
        <v>288</v>
      </c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</row>
    <row r="269" ht="22.5" customHeight="1">
      <c r="A269" s="614">
        <v>45477.0</v>
      </c>
      <c r="B269" s="626" t="s">
        <v>2218</v>
      </c>
      <c r="C269" s="609"/>
      <c r="D269" s="610">
        <v>31951.0</v>
      </c>
      <c r="E269" s="606"/>
      <c r="F269" s="627" t="s">
        <v>213</v>
      </c>
      <c r="G269" s="597">
        <v>0.0</v>
      </c>
      <c r="H269" s="598">
        <f t="shared" si="8"/>
        <v>0</v>
      </c>
      <c r="I269" s="599"/>
      <c r="J269" s="599"/>
      <c r="K269" s="615"/>
      <c r="L269" s="616" t="s">
        <v>234</v>
      </c>
      <c r="M269" s="612"/>
      <c r="N269" s="612"/>
      <c r="O269" s="612"/>
      <c r="P269" s="602"/>
      <c r="Q269" s="613" t="s">
        <v>289</v>
      </c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</row>
    <row r="270" ht="22.5" customHeight="1">
      <c r="A270" s="614">
        <v>45477.0</v>
      </c>
      <c r="B270" s="626" t="s">
        <v>2218</v>
      </c>
      <c r="C270" s="609"/>
      <c r="D270" s="609"/>
      <c r="E270" s="604" t="s">
        <v>33</v>
      </c>
      <c r="F270" s="596"/>
      <c r="G270" s="597">
        <v>20.0</v>
      </c>
      <c r="H270" s="598">
        <f t="shared" si="8"/>
        <v>0</v>
      </c>
      <c r="I270" s="599"/>
      <c r="J270" s="605">
        <v>3000.0</v>
      </c>
      <c r="K270" s="615"/>
      <c r="L270" s="616" t="s">
        <v>254</v>
      </c>
      <c r="M270" s="612"/>
      <c r="N270" s="612"/>
      <c r="O270" s="612"/>
      <c r="P270" s="602"/>
      <c r="Q270" s="613" t="s">
        <v>290</v>
      </c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</row>
    <row r="271" ht="22.5" customHeight="1">
      <c r="A271" s="614">
        <v>45477.0</v>
      </c>
      <c r="B271" s="626" t="s">
        <v>2218</v>
      </c>
      <c r="C271" s="609">
        <f>1057350*1.2</f>
        <v>1268820</v>
      </c>
      <c r="D271" s="609"/>
      <c r="E271" s="606"/>
      <c r="F271" s="627" t="s">
        <v>2037</v>
      </c>
      <c r="G271" s="597">
        <v>20.0</v>
      </c>
      <c r="H271" s="598">
        <f t="shared" si="8"/>
        <v>211470</v>
      </c>
      <c r="I271" s="599"/>
      <c r="J271" s="599"/>
      <c r="K271" s="615"/>
      <c r="L271" s="616" t="s">
        <v>157</v>
      </c>
      <c r="M271" s="612"/>
      <c r="N271" s="612"/>
      <c r="O271" s="612"/>
      <c r="P271" s="602">
        <f t="shared" ref="P271:P272" si="14">A271-IF(O271&gt;0,O271,A271)</f>
        <v>0</v>
      </c>
      <c r="Q271" s="613" t="s">
        <v>291</v>
      </c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</row>
    <row r="272" ht="22.5" customHeight="1">
      <c r="A272" s="614">
        <v>45477.0</v>
      </c>
      <c r="B272" s="626" t="s">
        <v>2218</v>
      </c>
      <c r="C272" s="610">
        <v>1080648.0</v>
      </c>
      <c r="D272" s="609"/>
      <c r="E272" s="606"/>
      <c r="F272" s="627" t="s">
        <v>2037</v>
      </c>
      <c r="G272" s="597">
        <v>20.0</v>
      </c>
      <c r="H272" s="598">
        <f t="shared" si="8"/>
        <v>180108</v>
      </c>
      <c r="I272" s="599"/>
      <c r="J272" s="599"/>
      <c r="K272" s="615"/>
      <c r="L272" s="616" t="s">
        <v>157</v>
      </c>
      <c r="M272" s="612"/>
      <c r="N272" s="612"/>
      <c r="O272" s="612"/>
      <c r="P272" s="602">
        <f t="shared" si="14"/>
        <v>0</v>
      </c>
      <c r="Q272" s="613" t="s">
        <v>292</v>
      </c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</row>
    <row r="273" ht="22.5" customHeight="1">
      <c r="A273" s="614">
        <v>45477.0</v>
      </c>
      <c r="B273" s="626" t="s">
        <v>2218</v>
      </c>
      <c r="C273" s="609"/>
      <c r="D273" s="610">
        <v>34373.0</v>
      </c>
      <c r="E273" s="606"/>
      <c r="F273" s="627" t="s">
        <v>283</v>
      </c>
      <c r="G273" s="597">
        <v>0.0</v>
      </c>
      <c r="H273" s="598">
        <f t="shared" si="8"/>
        <v>0</v>
      </c>
      <c r="I273" s="599"/>
      <c r="J273" s="599"/>
      <c r="K273" s="615"/>
      <c r="L273" s="616" t="s">
        <v>283</v>
      </c>
      <c r="M273" s="612"/>
      <c r="N273" s="612"/>
      <c r="O273" s="612"/>
      <c r="P273" s="602"/>
      <c r="Q273" s="613" t="s">
        <v>209</v>
      </c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</row>
    <row r="274" ht="22.5" customHeight="1">
      <c r="A274" s="614">
        <v>45478.0</v>
      </c>
      <c r="B274" s="626" t="s">
        <v>2218</v>
      </c>
      <c r="C274" s="609"/>
      <c r="D274" s="610">
        <v>5475.0</v>
      </c>
      <c r="E274" s="606"/>
      <c r="F274" s="627" t="s">
        <v>293</v>
      </c>
      <c r="G274" s="597">
        <v>20.0</v>
      </c>
      <c r="H274" s="598">
        <f t="shared" si="8"/>
        <v>912.5</v>
      </c>
      <c r="I274" s="599"/>
      <c r="J274" s="599"/>
      <c r="K274" s="615"/>
      <c r="L274" s="616" t="s">
        <v>295</v>
      </c>
      <c r="M274" s="621"/>
      <c r="N274" s="621"/>
      <c r="O274" s="621"/>
      <c r="P274" s="602"/>
      <c r="Q274" s="622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</row>
    <row r="275" ht="22.5" customHeight="1">
      <c r="A275" s="614">
        <v>45481.0</v>
      </c>
      <c r="B275" s="626" t="s">
        <v>2218</v>
      </c>
      <c r="C275" s="610">
        <v>57000.0</v>
      </c>
      <c r="D275" s="609"/>
      <c r="E275" s="606"/>
      <c r="F275" s="627" t="s">
        <v>2038</v>
      </c>
      <c r="G275" s="597">
        <v>20.0</v>
      </c>
      <c r="H275" s="598">
        <f t="shared" si="8"/>
        <v>9500</v>
      </c>
      <c r="I275" s="599"/>
      <c r="J275" s="599"/>
      <c r="K275" s="615"/>
      <c r="L275" s="616" t="s">
        <v>157</v>
      </c>
      <c r="M275" s="612"/>
      <c r="N275" s="612"/>
      <c r="O275" s="612"/>
      <c r="P275" s="602">
        <f t="shared" ref="P275:P276" si="15">A275-IF(O275&gt;0,O275,A275)</f>
        <v>0</v>
      </c>
      <c r="Q275" s="613" t="s">
        <v>296</v>
      </c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</row>
    <row r="276" ht="22.5" customHeight="1">
      <c r="A276" s="614">
        <v>45481.0</v>
      </c>
      <c r="B276" s="626" t="s">
        <v>2218</v>
      </c>
      <c r="C276" s="610">
        <v>328965.41</v>
      </c>
      <c r="D276" s="609"/>
      <c r="E276" s="606"/>
      <c r="F276" s="627" t="s">
        <v>2038</v>
      </c>
      <c r="G276" s="597">
        <v>20.0</v>
      </c>
      <c r="H276" s="598">
        <f t="shared" si="8"/>
        <v>54827.56833</v>
      </c>
      <c r="I276" s="599"/>
      <c r="J276" s="599"/>
      <c r="K276" s="615"/>
      <c r="L276" s="616" t="s">
        <v>157</v>
      </c>
      <c r="M276" s="612"/>
      <c r="N276" s="612"/>
      <c r="O276" s="612"/>
      <c r="P276" s="602">
        <f t="shared" si="15"/>
        <v>0</v>
      </c>
      <c r="Q276" s="613" t="s">
        <v>297</v>
      </c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</row>
    <row r="277" ht="22.5" customHeight="1">
      <c r="A277" s="614">
        <v>45483.0</v>
      </c>
      <c r="B277" s="626" t="s">
        <v>2218</v>
      </c>
      <c r="C277" s="609"/>
      <c r="D277" s="609">
        <v>1111111.1111111112</v>
      </c>
      <c r="E277" s="606"/>
      <c r="F277" s="627" t="s">
        <v>48</v>
      </c>
      <c r="G277" s="597">
        <v>20.0</v>
      </c>
      <c r="H277" s="598">
        <f t="shared" si="8"/>
        <v>185185.1852</v>
      </c>
      <c r="I277" s="605">
        <v>800000.0</v>
      </c>
      <c r="J277" s="599"/>
      <c r="K277" s="611"/>
      <c r="L277" s="611"/>
      <c r="M277" s="621"/>
      <c r="N277" s="621"/>
      <c r="O277" s="621"/>
      <c r="P277" s="602"/>
      <c r="Q277" s="622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</row>
    <row r="278" ht="22.5" customHeight="1">
      <c r="A278" s="614">
        <v>45483.0</v>
      </c>
      <c r="B278" s="626" t="s">
        <v>2218</v>
      </c>
      <c r="C278" s="609"/>
      <c r="D278" s="610">
        <f>229901.37+11136</f>
        <v>241037.37</v>
      </c>
      <c r="E278" s="606"/>
      <c r="F278" s="627" t="s">
        <v>955</v>
      </c>
      <c r="G278" s="597">
        <v>0.0</v>
      </c>
      <c r="H278" s="598">
        <f t="shared" si="8"/>
        <v>0</v>
      </c>
      <c r="I278" s="599"/>
      <c r="J278" s="599"/>
      <c r="K278" s="615"/>
      <c r="L278" s="616" t="s">
        <v>298</v>
      </c>
      <c r="M278" s="612"/>
      <c r="N278" s="612"/>
      <c r="O278" s="612"/>
      <c r="P278" s="602"/>
      <c r="Q278" s="613" t="s">
        <v>299</v>
      </c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</row>
    <row r="279" ht="22.5" customHeight="1">
      <c r="A279" s="614">
        <v>45484.0</v>
      </c>
      <c r="B279" s="626" t="s">
        <v>2218</v>
      </c>
      <c r="C279" s="610">
        <v>226195.2</v>
      </c>
      <c r="D279" s="609"/>
      <c r="E279" s="606"/>
      <c r="F279" s="627" t="s">
        <v>955</v>
      </c>
      <c r="G279" s="597">
        <v>20.0</v>
      </c>
      <c r="H279" s="598">
        <f t="shared" si="8"/>
        <v>37699.2</v>
      </c>
      <c r="I279" s="599"/>
      <c r="J279" s="599"/>
      <c r="K279" s="615"/>
      <c r="L279" s="616" t="s">
        <v>179</v>
      </c>
      <c r="M279" s="612"/>
      <c r="N279" s="612"/>
      <c r="O279" s="612"/>
      <c r="P279" s="602">
        <f t="shared" ref="P279:P282" si="16">A279-IF(O279&gt;0,O279,A279)</f>
        <v>0</v>
      </c>
      <c r="Q279" s="613" t="s">
        <v>300</v>
      </c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</row>
    <row r="280" ht="22.5" customHeight="1">
      <c r="A280" s="614">
        <v>45484.0</v>
      </c>
      <c r="B280" s="626" t="s">
        <v>2218</v>
      </c>
      <c r="C280" s="610">
        <v>532.38</v>
      </c>
      <c r="D280" s="609"/>
      <c r="E280" s="606"/>
      <c r="F280" s="627" t="s">
        <v>2038</v>
      </c>
      <c r="G280" s="597">
        <v>20.0</v>
      </c>
      <c r="H280" s="598">
        <f t="shared" si="8"/>
        <v>88.73</v>
      </c>
      <c r="I280" s="599"/>
      <c r="J280" s="599"/>
      <c r="K280" s="615"/>
      <c r="L280" s="616" t="s">
        <v>157</v>
      </c>
      <c r="M280" s="612"/>
      <c r="N280" s="612"/>
      <c r="O280" s="612"/>
      <c r="P280" s="602">
        <f t="shared" si="16"/>
        <v>0</v>
      </c>
      <c r="Q280" s="613" t="s">
        <v>301</v>
      </c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</row>
    <row r="281" ht="22.5" customHeight="1">
      <c r="A281" s="614">
        <v>45484.0</v>
      </c>
      <c r="B281" s="626" t="s">
        <v>2218</v>
      </c>
      <c r="C281" s="610">
        <v>5065.44</v>
      </c>
      <c r="D281" s="609"/>
      <c r="E281" s="606"/>
      <c r="F281" s="627" t="s">
        <v>2038</v>
      </c>
      <c r="G281" s="597">
        <v>20.0</v>
      </c>
      <c r="H281" s="598">
        <f t="shared" si="8"/>
        <v>844.24</v>
      </c>
      <c r="I281" s="599"/>
      <c r="J281" s="599"/>
      <c r="K281" s="615"/>
      <c r="L281" s="616" t="s">
        <v>157</v>
      </c>
      <c r="M281" s="612"/>
      <c r="N281" s="612"/>
      <c r="O281" s="612"/>
      <c r="P281" s="602">
        <f t="shared" si="16"/>
        <v>0</v>
      </c>
      <c r="Q281" s="613" t="s">
        <v>302</v>
      </c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</row>
    <row r="282" ht="22.5" customHeight="1">
      <c r="A282" s="614">
        <v>45485.0</v>
      </c>
      <c r="B282" s="626" t="s">
        <v>2218</v>
      </c>
      <c r="C282" s="610">
        <v>170210.52</v>
      </c>
      <c r="D282" s="609"/>
      <c r="E282" s="606"/>
      <c r="F282" s="627" t="s">
        <v>955</v>
      </c>
      <c r="G282" s="597">
        <v>20.0</v>
      </c>
      <c r="H282" s="598">
        <f t="shared" si="8"/>
        <v>28368.42</v>
      </c>
      <c r="I282" s="599"/>
      <c r="J282" s="599"/>
      <c r="K282" s="628"/>
      <c r="L282" s="629" t="s">
        <v>120</v>
      </c>
      <c r="M282" s="612"/>
      <c r="N282" s="612"/>
      <c r="O282" s="612"/>
      <c r="P282" s="602">
        <f t="shared" si="16"/>
        <v>0</v>
      </c>
      <c r="Q282" s="613" t="s">
        <v>303</v>
      </c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</row>
    <row r="283" ht="22.5" customHeight="1">
      <c r="A283" s="614">
        <v>45485.0</v>
      </c>
      <c r="B283" s="626" t="s">
        <v>2218</v>
      </c>
      <c r="C283" s="609"/>
      <c r="D283" s="610">
        <v>31951.0</v>
      </c>
      <c r="E283" s="606"/>
      <c r="F283" s="627" t="s">
        <v>213</v>
      </c>
      <c r="G283" s="597">
        <v>0.0</v>
      </c>
      <c r="H283" s="598">
        <f t="shared" si="8"/>
        <v>0</v>
      </c>
      <c r="I283" s="599"/>
      <c r="J283" s="599"/>
      <c r="K283" s="615"/>
      <c r="L283" s="616" t="s">
        <v>234</v>
      </c>
      <c r="M283" s="612"/>
      <c r="N283" s="612"/>
      <c r="O283" s="612"/>
      <c r="P283" s="602"/>
      <c r="Q283" s="613" t="s">
        <v>304</v>
      </c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</row>
    <row r="284" ht="22.5" customHeight="1">
      <c r="A284" s="614">
        <v>45485.0</v>
      </c>
      <c r="B284" s="626" t="s">
        <v>2218</v>
      </c>
      <c r="C284" s="609"/>
      <c r="D284" s="609"/>
      <c r="E284" s="604" t="s">
        <v>33</v>
      </c>
      <c r="F284" s="627" t="s">
        <v>213</v>
      </c>
      <c r="G284" s="597">
        <v>20.0</v>
      </c>
      <c r="H284" s="598">
        <f t="shared" si="8"/>
        <v>0</v>
      </c>
      <c r="I284" s="599"/>
      <c r="J284" s="605">
        <v>20000.0</v>
      </c>
      <c r="K284" s="615"/>
      <c r="L284" s="616" t="s">
        <v>254</v>
      </c>
      <c r="M284" s="612"/>
      <c r="N284" s="612"/>
      <c r="O284" s="612"/>
      <c r="P284" s="602"/>
      <c r="Q284" s="613" t="s">
        <v>264</v>
      </c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</row>
    <row r="285" ht="22.5" customHeight="1">
      <c r="A285" s="614">
        <v>45488.0</v>
      </c>
      <c r="B285" s="626" t="s">
        <v>2218</v>
      </c>
      <c r="C285" s="610">
        <v>600000.0</v>
      </c>
      <c r="D285" s="609"/>
      <c r="E285" s="606"/>
      <c r="F285" s="627" t="s">
        <v>2038</v>
      </c>
      <c r="G285" s="597">
        <v>20.0</v>
      </c>
      <c r="H285" s="598">
        <f t="shared" si="8"/>
        <v>100000</v>
      </c>
      <c r="I285" s="599"/>
      <c r="J285" s="599"/>
      <c r="K285" s="615"/>
      <c r="L285" s="616" t="s">
        <v>305</v>
      </c>
      <c r="M285" s="612"/>
      <c r="N285" s="612"/>
      <c r="O285" s="612"/>
      <c r="P285" s="602">
        <f t="shared" ref="P285:P286" si="17">A285-IF(O285&gt;0,O285,A285)</f>
        <v>0</v>
      </c>
      <c r="Q285" s="613" t="s">
        <v>306</v>
      </c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</row>
    <row r="286" ht="22.5" customHeight="1">
      <c r="A286" s="614">
        <v>45489.0</v>
      </c>
      <c r="B286" s="626" t="s">
        <v>2218</v>
      </c>
      <c r="C286" s="610">
        <v>464655.86</v>
      </c>
      <c r="D286" s="609"/>
      <c r="E286" s="606"/>
      <c r="F286" s="627" t="s">
        <v>2038</v>
      </c>
      <c r="G286" s="597">
        <v>20.0</v>
      </c>
      <c r="H286" s="598">
        <f t="shared" si="8"/>
        <v>77442.64333</v>
      </c>
      <c r="I286" s="599"/>
      <c r="J286" s="599"/>
      <c r="K286" s="615"/>
      <c r="L286" s="616" t="s">
        <v>157</v>
      </c>
      <c r="M286" s="612"/>
      <c r="N286" s="612"/>
      <c r="O286" s="612"/>
      <c r="P286" s="602">
        <f t="shared" si="17"/>
        <v>0</v>
      </c>
      <c r="Q286" s="613" t="s">
        <v>307</v>
      </c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</row>
    <row r="287" ht="22.5" customHeight="1">
      <c r="A287" s="614">
        <v>45489.0</v>
      </c>
      <c r="B287" s="626" t="s">
        <v>2218</v>
      </c>
      <c r="C287" s="609"/>
      <c r="D287" s="610">
        <v>31951.0</v>
      </c>
      <c r="E287" s="606"/>
      <c r="F287" s="627" t="s">
        <v>213</v>
      </c>
      <c r="G287" s="597">
        <v>0.0</v>
      </c>
      <c r="H287" s="598">
        <f t="shared" si="8"/>
        <v>0</v>
      </c>
      <c r="I287" s="599"/>
      <c r="J287" s="599"/>
      <c r="K287" s="615"/>
      <c r="L287" s="616" t="s">
        <v>234</v>
      </c>
      <c r="M287" s="612"/>
      <c r="N287" s="612"/>
      <c r="O287" s="612"/>
      <c r="P287" s="602"/>
      <c r="Q287" s="613" t="s">
        <v>308</v>
      </c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</row>
    <row r="288" ht="22.5" customHeight="1">
      <c r="A288" s="614">
        <v>45490.0</v>
      </c>
      <c r="B288" s="626" t="s">
        <v>2218</v>
      </c>
      <c r="C288" s="609"/>
      <c r="D288" s="610">
        <v>1020.49</v>
      </c>
      <c r="E288" s="606"/>
      <c r="F288" s="627" t="s">
        <v>283</v>
      </c>
      <c r="G288" s="597">
        <v>0.0</v>
      </c>
      <c r="H288" s="598">
        <f t="shared" si="8"/>
        <v>0</v>
      </c>
      <c r="I288" s="599"/>
      <c r="J288" s="599"/>
      <c r="K288" s="615"/>
      <c r="L288" s="616" t="s">
        <v>309</v>
      </c>
      <c r="M288" s="612"/>
      <c r="N288" s="612"/>
      <c r="O288" s="612"/>
      <c r="P288" s="602"/>
      <c r="Q288" s="613" t="s">
        <v>310</v>
      </c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</row>
    <row r="289" ht="22.5" customHeight="1">
      <c r="A289" s="614">
        <v>45492.0</v>
      </c>
      <c r="B289" s="626" t="s">
        <v>2218</v>
      </c>
      <c r="C289" s="609"/>
      <c r="D289" s="610">
        <v>115577.06</v>
      </c>
      <c r="E289" s="595"/>
      <c r="F289" s="596"/>
      <c r="G289" s="597">
        <v>20.0</v>
      </c>
      <c r="H289" s="598">
        <f t="shared" si="8"/>
        <v>19262.84333</v>
      </c>
      <c r="I289" s="599"/>
      <c r="J289" s="599"/>
      <c r="K289" s="615"/>
      <c r="L289" s="616" t="s">
        <v>473</v>
      </c>
      <c r="M289" s="612"/>
      <c r="N289" s="612"/>
      <c r="O289" s="612"/>
      <c r="P289" s="602"/>
      <c r="Q289" s="613" t="s">
        <v>311</v>
      </c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</row>
    <row r="290" ht="22.5" customHeight="1">
      <c r="A290" s="614">
        <v>45492.0</v>
      </c>
      <c r="B290" s="626" t="s">
        <v>2218</v>
      </c>
      <c r="C290" s="609"/>
      <c r="D290" s="610">
        <v>10674.0</v>
      </c>
      <c r="E290" s="595"/>
      <c r="F290" s="596"/>
      <c r="G290" s="597">
        <v>0.0</v>
      </c>
      <c r="H290" s="598">
        <f t="shared" si="8"/>
        <v>0</v>
      </c>
      <c r="I290" s="599"/>
      <c r="J290" s="599"/>
      <c r="K290" s="615"/>
      <c r="L290" s="616" t="s">
        <v>312</v>
      </c>
      <c r="M290" s="612"/>
      <c r="N290" s="612"/>
      <c r="O290" s="612"/>
      <c r="P290" s="602"/>
      <c r="Q290" s="613" t="s">
        <v>313</v>
      </c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</row>
    <row r="291" ht="22.5" customHeight="1">
      <c r="A291" s="614">
        <v>45492.0</v>
      </c>
      <c r="B291" s="626" t="s">
        <v>2218</v>
      </c>
      <c r="C291" s="610">
        <v>600000.24</v>
      </c>
      <c r="D291" s="609"/>
      <c r="E291" s="606"/>
      <c r="F291" s="627" t="s">
        <v>2030</v>
      </c>
      <c r="G291" s="597">
        <v>20.0</v>
      </c>
      <c r="H291" s="598">
        <f t="shared" si="8"/>
        <v>100000.04</v>
      </c>
      <c r="I291" s="599"/>
      <c r="J291" s="599"/>
      <c r="K291" s="615"/>
      <c r="L291" s="616" t="s">
        <v>315</v>
      </c>
      <c r="M291" s="612"/>
      <c r="N291" s="612"/>
      <c r="O291" s="612"/>
      <c r="P291" s="602">
        <f t="shared" ref="P291:P294" si="18">A291-IF(O291&gt;0,O291,A291)</f>
        <v>0</v>
      </c>
      <c r="Q291" s="613" t="s">
        <v>316</v>
      </c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</row>
    <row r="292" ht="22.5" customHeight="1">
      <c r="A292" s="614">
        <v>45495.0</v>
      </c>
      <c r="B292" s="626" t="s">
        <v>2218</v>
      </c>
      <c r="C292" s="610">
        <v>120000.0</v>
      </c>
      <c r="D292" s="609"/>
      <c r="E292" s="606"/>
      <c r="F292" s="627" t="s">
        <v>955</v>
      </c>
      <c r="G292" s="597">
        <v>20.0</v>
      </c>
      <c r="H292" s="598">
        <f t="shared" si="8"/>
        <v>20000</v>
      </c>
      <c r="I292" s="599"/>
      <c r="J292" s="599"/>
      <c r="K292" s="615"/>
      <c r="L292" s="616" t="s">
        <v>317</v>
      </c>
      <c r="M292" s="612">
        <v>1.0</v>
      </c>
      <c r="N292" s="612"/>
      <c r="O292" s="612"/>
      <c r="P292" s="602">
        <f t="shared" si="18"/>
        <v>0</v>
      </c>
      <c r="Q292" s="613" t="s">
        <v>318</v>
      </c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</row>
    <row r="293" ht="22.5" customHeight="1">
      <c r="A293" s="614">
        <v>45497.0</v>
      </c>
      <c r="B293" s="626" t="s">
        <v>2218</v>
      </c>
      <c r="C293" s="610">
        <v>628189.67</v>
      </c>
      <c r="D293" s="609"/>
      <c r="E293" s="606"/>
      <c r="F293" s="627" t="s">
        <v>2038</v>
      </c>
      <c r="G293" s="597">
        <v>20.0</v>
      </c>
      <c r="H293" s="598">
        <f t="shared" si="8"/>
        <v>104698.2783</v>
      </c>
      <c r="I293" s="599"/>
      <c r="J293" s="599"/>
      <c r="K293" s="615"/>
      <c r="L293" s="616" t="s">
        <v>157</v>
      </c>
      <c r="M293" s="612"/>
      <c r="N293" s="612"/>
      <c r="O293" s="612"/>
      <c r="P293" s="602">
        <f t="shared" si="18"/>
        <v>0</v>
      </c>
      <c r="Q293" s="613" t="s">
        <v>319</v>
      </c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</row>
    <row r="294" ht="17.25" customHeight="1">
      <c r="A294" s="614">
        <v>45497.0</v>
      </c>
      <c r="B294" s="626" t="s">
        <v>2218</v>
      </c>
      <c r="C294" s="610">
        <v>969040.73</v>
      </c>
      <c r="D294" s="609"/>
      <c r="E294" s="606"/>
      <c r="F294" s="627" t="s">
        <v>2038</v>
      </c>
      <c r="G294" s="597">
        <v>20.0</v>
      </c>
      <c r="H294" s="598">
        <f t="shared" si="8"/>
        <v>161506.7883</v>
      </c>
      <c r="I294" s="599"/>
      <c r="J294" s="599"/>
      <c r="K294" s="615"/>
      <c r="L294" s="616" t="s">
        <v>157</v>
      </c>
      <c r="M294" s="648"/>
      <c r="N294" s="648"/>
      <c r="O294" s="648"/>
      <c r="P294" s="602">
        <f t="shared" si="18"/>
        <v>0</v>
      </c>
      <c r="Q294" s="649" t="s">
        <v>320</v>
      </c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</row>
    <row r="295" ht="22.5" customHeight="1">
      <c r="A295" s="614">
        <v>45498.0</v>
      </c>
      <c r="B295" s="626" t="s">
        <v>2218</v>
      </c>
      <c r="C295" s="609"/>
      <c r="D295" s="650">
        <v>543980.81</v>
      </c>
      <c r="E295" s="606"/>
      <c r="F295" s="627" t="s">
        <v>2227</v>
      </c>
      <c r="G295" s="597">
        <v>0.0</v>
      </c>
      <c r="H295" s="598">
        <f t="shared" si="8"/>
        <v>0</v>
      </c>
      <c r="I295" s="599"/>
      <c r="J295" s="599"/>
      <c r="K295" s="615"/>
      <c r="L295" s="616" t="s">
        <v>157</v>
      </c>
      <c r="M295" s="612"/>
      <c r="N295" s="612"/>
      <c r="O295" s="612"/>
      <c r="P295" s="602"/>
      <c r="Q295" s="613" t="s">
        <v>323</v>
      </c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</row>
    <row r="296" ht="22.5" customHeight="1">
      <c r="A296" s="614">
        <v>45498.0</v>
      </c>
      <c r="B296" s="626" t="s">
        <v>2218</v>
      </c>
      <c r="C296" s="610">
        <v>600000.24</v>
      </c>
      <c r="D296" s="609"/>
      <c r="E296" s="606"/>
      <c r="F296" s="627" t="s">
        <v>2030</v>
      </c>
      <c r="G296" s="597">
        <v>20.0</v>
      </c>
      <c r="H296" s="598">
        <f t="shared" si="8"/>
        <v>100000.04</v>
      </c>
      <c r="I296" s="599"/>
      <c r="J296" s="599"/>
      <c r="K296" s="615"/>
      <c r="L296" s="616" t="s">
        <v>315</v>
      </c>
      <c r="M296" s="612"/>
      <c r="N296" s="612"/>
      <c r="O296" s="612"/>
      <c r="P296" s="602">
        <f>A296-IF(O296&gt;0,O296,A296)</f>
        <v>0</v>
      </c>
      <c r="Q296" s="613" t="s">
        <v>324</v>
      </c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</row>
    <row r="297" ht="22.5" customHeight="1">
      <c r="A297" s="614">
        <v>45498.0</v>
      </c>
      <c r="B297" s="626" t="s">
        <v>2218</v>
      </c>
      <c r="C297" s="609"/>
      <c r="D297" s="610">
        <v>239518.0</v>
      </c>
      <c r="E297" s="606"/>
      <c r="F297" s="627" t="s">
        <v>2030</v>
      </c>
      <c r="G297" s="597">
        <v>0.0</v>
      </c>
      <c r="H297" s="598">
        <f t="shared" si="8"/>
        <v>0</v>
      </c>
      <c r="I297" s="599"/>
      <c r="J297" s="605"/>
      <c r="K297" s="615"/>
      <c r="L297" s="616" t="s">
        <v>298</v>
      </c>
      <c r="M297" s="612"/>
      <c r="N297" s="612"/>
      <c r="O297" s="612"/>
      <c r="P297" s="602"/>
      <c r="Q297" s="613" t="s">
        <v>325</v>
      </c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</row>
    <row r="298" ht="22.5" customHeight="1">
      <c r="A298" s="614">
        <v>45502.0</v>
      </c>
      <c r="B298" s="626" t="s">
        <v>2218</v>
      </c>
      <c r="C298" s="609"/>
      <c r="D298" s="610">
        <v>1001.12</v>
      </c>
      <c r="E298" s="595"/>
      <c r="F298" s="596"/>
      <c r="G298" s="597">
        <v>0.0</v>
      </c>
      <c r="H298" s="598">
        <v>0.0</v>
      </c>
      <c r="I298" s="599"/>
      <c r="J298" s="599"/>
      <c r="K298" s="615"/>
      <c r="L298" s="616" t="s">
        <v>295</v>
      </c>
      <c r="M298" s="621"/>
      <c r="N298" s="612"/>
      <c r="O298" s="612"/>
      <c r="P298" s="602"/>
      <c r="Q298" s="613" t="s">
        <v>326</v>
      </c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</row>
    <row r="299" ht="22.5" customHeight="1">
      <c r="A299" s="614">
        <v>45503.0</v>
      </c>
      <c r="B299" s="626" t="s">
        <v>2218</v>
      </c>
      <c r="C299" s="609"/>
      <c r="D299" s="610">
        <v>154095.0</v>
      </c>
      <c r="E299" s="606"/>
      <c r="F299" s="627" t="s">
        <v>283</v>
      </c>
      <c r="G299" s="597">
        <v>0.0</v>
      </c>
      <c r="H299" s="598">
        <v>0.0</v>
      </c>
      <c r="I299" s="599"/>
      <c r="J299" s="599"/>
      <c r="K299" s="615"/>
      <c r="L299" s="616" t="s">
        <v>72</v>
      </c>
      <c r="M299" s="621"/>
      <c r="N299" s="612"/>
      <c r="O299" s="612"/>
      <c r="P299" s="602"/>
      <c r="Q299" s="613" t="s">
        <v>208</v>
      </c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</row>
    <row r="300" ht="22.5" customHeight="1">
      <c r="A300" s="614">
        <v>45503.0</v>
      </c>
      <c r="B300" s="626" t="s">
        <v>2218</v>
      </c>
      <c r="C300" s="609"/>
      <c r="D300" s="610">
        <v>35791.0</v>
      </c>
      <c r="E300" s="606"/>
      <c r="F300" s="627" t="s">
        <v>283</v>
      </c>
      <c r="G300" s="597">
        <v>0.0</v>
      </c>
      <c r="H300" s="598">
        <v>0.0</v>
      </c>
      <c r="I300" s="599"/>
      <c r="J300" s="599"/>
      <c r="K300" s="615"/>
      <c r="L300" s="616" t="s">
        <v>72</v>
      </c>
      <c r="M300" s="621"/>
      <c r="N300" s="612"/>
      <c r="O300" s="612"/>
      <c r="P300" s="602"/>
      <c r="Q300" s="613" t="s">
        <v>209</v>
      </c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</row>
    <row r="301" ht="22.5" customHeight="1">
      <c r="A301" s="614">
        <v>45503.0</v>
      </c>
      <c r="B301" s="626" t="s">
        <v>2218</v>
      </c>
      <c r="C301" s="609"/>
      <c r="D301" s="610">
        <v>9950.0</v>
      </c>
      <c r="E301" s="606"/>
      <c r="F301" s="627" t="s">
        <v>213</v>
      </c>
      <c r="G301" s="597">
        <v>0.0</v>
      </c>
      <c r="H301" s="598">
        <f t="shared" ref="H301:H464" si="19">SUM(C301:D301)*G301/(G301+100)</f>
        <v>0</v>
      </c>
      <c r="I301" s="599"/>
      <c r="J301" s="599"/>
      <c r="K301" s="615"/>
      <c r="L301" s="616" t="s">
        <v>327</v>
      </c>
      <c r="M301" s="621"/>
      <c r="N301" s="612"/>
      <c r="O301" s="612"/>
      <c r="P301" s="602"/>
      <c r="Q301" s="613" t="s">
        <v>328</v>
      </c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</row>
    <row r="302" ht="22.5" customHeight="1">
      <c r="A302" s="614">
        <v>45503.0</v>
      </c>
      <c r="B302" s="626" t="s">
        <v>2218</v>
      </c>
      <c r="C302" s="609"/>
      <c r="D302" s="609">
        <f>1518050/3</f>
        <v>506016.6667</v>
      </c>
      <c r="E302" s="606"/>
      <c r="F302" s="627" t="s">
        <v>2030</v>
      </c>
      <c r="G302" s="597">
        <v>0.0</v>
      </c>
      <c r="H302" s="598">
        <f t="shared" si="19"/>
        <v>0</v>
      </c>
      <c r="I302" s="599"/>
      <c r="J302" s="599"/>
      <c r="K302" s="615"/>
      <c r="L302" s="616" t="s">
        <v>72</v>
      </c>
      <c r="M302" s="621"/>
      <c r="N302" s="612"/>
      <c r="O302" s="612"/>
      <c r="P302" s="602"/>
      <c r="Q302" s="613" t="s">
        <v>221</v>
      </c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</row>
    <row r="303" ht="22.5" customHeight="1">
      <c r="A303" s="614">
        <v>45503.0</v>
      </c>
      <c r="B303" s="626" t="s">
        <v>2218</v>
      </c>
      <c r="C303" s="609"/>
      <c r="D303" s="610">
        <v>681149.0</v>
      </c>
      <c r="E303" s="606"/>
      <c r="F303" s="627" t="s">
        <v>329</v>
      </c>
      <c r="G303" s="597">
        <v>0.0</v>
      </c>
      <c r="H303" s="598">
        <f t="shared" si="19"/>
        <v>0</v>
      </c>
      <c r="I303" s="599"/>
      <c r="J303" s="599"/>
      <c r="K303" s="615"/>
      <c r="L303" s="616" t="s">
        <v>72</v>
      </c>
      <c r="M303" s="621"/>
      <c r="N303" s="612"/>
      <c r="O303" s="612"/>
      <c r="P303" s="602"/>
      <c r="Q303" s="613" t="s">
        <v>330</v>
      </c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</row>
    <row r="304" ht="22.5" customHeight="1">
      <c r="A304" s="614">
        <v>45504.0</v>
      </c>
      <c r="B304" s="626" t="s">
        <v>2218</v>
      </c>
      <c r="C304" s="609"/>
      <c r="D304" s="610">
        <v>98838.0</v>
      </c>
      <c r="E304" s="606"/>
      <c r="F304" s="627" t="s">
        <v>213</v>
      </c>
      <c r="G304" s="597">
        <v>0.0</v>
      </c>
      <c r="H304" s="598">
        <f t="shared" si="19"/>
        <v>0</v>
      </c>
      <c r="I304" s="599"/>
      <c r="J304" s="599"/>
      <c r="K304" s="615"/>
      <c r="L304" s="616" t="s">
        <v>234</v>
      </c>
      <c r="M304" s="621"/>
      <c r="N304" s="621"/>
      <c r="O304" s="621"/>
      <c r="P304" s="602"/>
      <c r="Q304" s="622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</row>
    <row r="305" ht="22.5" customHeight="1">
      <c r="A305" s="614">
        <v>45504.0</v>
      </c>
      <c r="B305" s="626" t="s">
        <v>2218</v>
      </c>
      <c r="C305" s="609"/>
      <c r="D305" s="610">
        <v>80856.0</v>
      </c>
      <c r="E305" s="606"/>
      <c r="F305" s="627" t="s">
        <v>213</v>
      </c>
      <c r="G305" s="597">
        <v>0.0</v>
      </c>
      <c r="H305" s="598">
        <f t="shared" si="19"/>
        <v>0</v>
      </c>
      <c r="I305" s="599"/>
      <c r="J305" s="599"/>
      <c r="K305" s="615"/>
      <c r="L305" s="616" t="s">
        <v>234</v>
      </c>
      <c r="M305" s="621"/>
      <c r="N305" s="621"/>
      <c r="O305" s="621"/>
      <c r="P305" s="602"/>
      <c r="Q305" s="622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</row>
    <row r="306" ht="22.5" customHeight="1">
      <c r="A306" s="614">
        <v>45505.0</v>
      </c>
      <c r="B306" s="626" t="s">
        <v>2218</v>
      </c>
      <c r="C306" s="609"/>
      <c r="D306" s="610">
        <v>380383.95</v>
      </c>
      <c r="E306" s="595"/>
      <c r="F306" s="596"/>
      <c r="G306" s="597">
        <v>20.0</v>
      </c>
      <c r="H306" s="598">
        <f t="shared" si="19"/>
        <v>63397.325</v>
      </c>
      <c r="I306" s="599"/>
      <c r="J306" s="599"/>
      <c r="K306" s="615"/>
      <c r="L306" s="615" t="s">
        <v>172</v>
      </c>
      <c r="M306" s="612"/>
      <c r="N306" s="612"/>
      <c r="O306" s="612"/>
      <c r="P306" s="602"/>
      <c r="Q306" s="613" t="s">
        <v>331</v>
      </c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</row>
    <row r="307" ht="22.5" customHeight="1">
      <c r="A307" s="614">
        <v>45509.0</v>
      </c>
      <c r="B307" s="626" t="s">
        <v>2218</v>
      </c>
      <c r="C307" s="609"/>
      <c r="D307" s="650">
        <v>1207101.99</v>
      </c>
      <c r="E307" s="606"/>
      <c r="F307" s="627" t="s">
        <v>955</v>
      </c>
      <c r="G307" s="597">
        <v>20.0</v>
      </c>
      <c r="H307" s="598">
        <f t="shared" si="19"/>
        <v>201183.665</v>
      </c>
      <c r="I307" s="599"/>
      <c r="J307" s="599"/>
      <c r="K307" s="615"/>
      <c r="L307" s="616" t="s">
        <v>473</v>
      </c>
      <c r="M307" s="621"/>
      <c r="N307" s="621"/>
      <c r="O307" s="621"/>
      <c r="P307" s="602"/>
      <c r="Q307" s="622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</row>
    <row r="308" ht="22.5" customHeight="1">
      <c r="A308" s="614">
        <v>45509.0</v>
      </c>
      <c r="B308" s="626" t="s">
        <v>2218</v>
      </c>
      <c r="C308" s="609"/>
      <c r="D308" s="609"/>
      <c r="E308" s="604" t="s">
        <v>33</v>
      </c>
      <c r="F308" s="627" t="s">
        <v>213</v>
      </c>
      <c r="G308" s="597">
        <v>0.0</v>
      </c>
      <c r="H308" s="598">
        <f t="shared" si="19"/>
        <v>0</v>
      </c>
      <c r="I308" s="599"/>
      <c r="J308" s="605">
        <v>20000.0</v>
      </c>
      <c r="K308" s="615"/>
      <c r="L308" s="616" t="s">
        <v>264</v>
      </c>
      <c r="M308" s="621"/>
      <c r="N308" s="621"/>
      <c r="O308" s="621"/>
      <c r="P308" s="602"/>
      <c r="Q308" s="622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</row>
    <row r="309" ht="22.5" customHeight="1">
      <c r="A309" s="614">
        <v>45509.0</v>
      </c>
      <c r="B309" s="626" t="s">
        <v>2218</v>
      </c>
      <c r="C309" s="609"/>
      <c r="D309" s="609"/>
      <c r="E309" s="604" t="s">
        <v>33</v>
      </c>
      <c r="F309" s="596"/>
      <c r="G309" s="597">
        <v>0.0</v>
      </c>
      <c r="H309" s="598">
        <f t="shared" si="19"/>
        <v>0</v>
      </c>
      <c r="I309" s="599"/>
      <c r="J309" s="605">
        <v>75000.0</v>
      </c>
      <c r="K309" s="615"/>
      <c r="L309" s="616" t="s">
        <v>239</v>
      </c>
      <c r="M309" s="621"/>
      <c r="N309" s="621"/>
      <c r="O309" s="621"/>
      <c r="P309" s="602"/>
      <c r="Q309" s="622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</row>
    <row r="310" ht="22.5" customHeight="1">
      <c r="A310" s="614">
        <v>45509.0</v>
      </c>
      <c r="B310" s="626" t="s">
        <v>2218</v>
      </c>
      <c r="C310" s="609"/>
      <c r="D310" s="609"/>
      <c r="E310" s="604" t="s">
        <v>33</v>
      </c>
      <c r="F310" s="627" t="s">
        <v>203</v>
      </c>
      <c r="G310" s="597">
        <v>0.0</v>
      </c>
      <c r="H310" s="598">
        <f t="shared" si="19"/>
        <v>0</v>
      </c>
      <c r="I310" s="599"/>
      <c r="J310" s="605">
        <v>775870.0</v>
      </c>
      <c r="K310" s="615"/>
      <c r="L310" s="616" t="s">
        <v>332</v>
      </c>
      <c r="M310" s="625"/>
      <c r="N310" s="625"/>
      <c r="O310" s="625"/>
      <c r="P310" s="602"/>
      <c r="Q310" s="651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</row>
    <row r="311" ht="22.5" customHeight="1">
      <c r="A311" s="614">
        <v>45509.0</v>
      </c>
      <c r="B311" s="626" t="s">
        <v>2218</v>
      </c>
      <c r="C311" s="609"/>
      <c r="D311" s="610">
        <v>13990.0</v>
      </c>
      <c r="E311" s="595"/>
      <c r="F311" s="596"/>
      <c r="G311" s="597">
        <v>0.0</v>
      </c>
      <c r="H311" s="598">
        <f t="shared" si="19"/>
        <v>0</v>
      </c>
      <c r="I311" s="599"/>
      <c r="J311" s="599"/>
      <c r="K311" s="600"/>
      <c r="L311" s="601" t="s">
        <v>31</v>
      </c>
      <c r="M311" s="621"/>
      <c r="N311" s="621"/>
      <c r="O311" s="621"/>
      <c r="P311" s="602"/>
      <c r="Q311" s="622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</row>
    <row r="312" ht="22.5" customHeight="1">
      <c r="A312" s="614">
        <v>45509.0</v>
      </c>
      <c r="B312" s="626" t="s">
        <v>2218</v>
      </c>
      <c r="C312" s="609"/>
      <c r="D312" s="610">
        <v>42058.0</v>
      </c>
      <c r="E312" s="606"/>
      <c r="F312" s="627" t="s">
        <v>283</v>
      </c>
      <c r="G312" s="597">
        <v>0.0</v>
      </c>
      <c r="H312" s="598">
        <f t="shared" si="19"/>
        <v>0</v>
      </c>
      <c r="I312" s="599"/>
      <c r="J312" s="599"/>
      <c r="K312" s="615"/>
      <c r="L312" s="616" t="s">
        <v>72</v>
      </c>
      <c r="M312" s="621"/>
      <c r="N312" s="612"/>
      <c r="O312" s="612"/>
      <c r="P312" s="602"/>
      <c r="Q312" s="613" t="s">
        <v>203</v>
      </c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</row>
    <row r="313" ht="22.5" customHeight="1">
      <c r="A313" s="614">
        <v>45509.0</v>
      </c>
      <c r="B313" s="626" t="s">
        <v>2218</v>
      </c>
      <c r="C313" s="609"/>
      <c r="D313" s="609">
        <v>1133333.3333333333</v>
      </c>
      <c r="E313" s="606"/>
      <c r="F313" s="627" t="s">
        <v>48</v>
      </c>
      <c r="G313" s="597">
        <v>20.0</v>
      </c>
      <c r="H313" s="598">
        <f t="shared" si="19"/>
        <v>188888.8889</v>
      </c>
      <c r="I313" s="605">
        <v>850000.0</v>
      </c>
      <c r="J313" s="599"/>
      <c r="K313" s="611"/>
      <c r="L313" s="611"/>
      <c r="M313" s="621"/>
      <c r="N313" s="621"/>
      <c r="O313" s="621"/>
      <c r="P313" s="602"/>
      <c r="Q313" s="622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</row>
    <row r="314" ht="22.5" customHeight="1">
      <c r="A314" s="614">
        <v>45509.0</v>
      </c>
      <c r="B314" s="626" t="s">
        <v>2218</v>
      </c>
      <c r="C314" s="609"/>
      <c r="D314" s="609"/>
      <c r="E314" s="604" t="s">
        <v>33</v>
      </c>
      <c r="F314" s="627" t="s">
        <v>203</v>
      </c>
      <c r="G314" s="597">
        <v>0.0</v>
      </c>
      <c r="H314" s="598">
        <f t="shared" si="19"/>
        <v>0</v>
      </c>
      <c r="I314" s="599"/>
      <c r="J314" s="605">
        <v>40000.0</v>
      </c>
      <c r="K314" s="615"/>
      <c r="L314" s="616" t="s">
        <v>333</v>
      </c>
      <c r="M314" s="621"/>
      <c r="N314" s="621"/>
      <c r="O314" s="621"/>
      <c r="P314" s="602"/>
      <c r="Q314" s="622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</row>
    <row r="315" ht="22.5" customHeight="1">
      <c r="A315" s="614">
        <v>45511.0</v>
      </c>
      <c r="B315" s="626" t="s">
        <v>2218</v>
      </c>
      <c r="C315" s="610">
        <v>600000.0</v>
      </c>
      <c r="D315" s="609"/>
      <c r="E315" s="606"/>
      <c r="F315" s="627" t="s">
        <v>2039</v>
      </c>
      <c r="G315" s="597">
        <v>20.0</v>
      </c>
      <c r="H315" s="598">
        <f t="shared" si="19"/>
        <v>100000</v>
      </c>
      <c r="I315" s="599"/>
      <c r="J315" s="599"/>
      <c r="K315" s="615"/>
      <c r="L315" s="616" t="s">
        <v>305</v>
      </c>
      <c r="M315" s="612"/>
      <c r="N315" s="612"/>
      <c r="O315" s="612"/>
      <c r="P315" s="602">
        <f t="shared" ref="P315:P316" si="20">A315-IF(O315&gt;0,O315,A315)</f>
        <v>0</v>
      </c>
      <c r="Q315" s="613" t="s">
        <v>334</v>
      </c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</row>
    <row r="316" ht="22.5" customHeight="1">
      <c r="A316" s="614">
        <v>45511.0</v>
      </c>
      <c r="B316" s="626" t="s">
        <v>2218</v>
      </c>
      <c r="C316" s="610">
        <v>364800.0</v>
      </c>
      <c r="D316" s="609"/>
      <c r="E316" s="606"/>
      <c r="F316" s="627" t="s">
        <v>2039</v>
      </c>
      <c r="G316" s="597">
        <v>20.0</v>
      </c>
      <c r="H316" s="598">
        <f t="shared" si="19"/>
        <v>60800</v>
      </c>
      <c r="I316" s="599"/>
      <c r="J316" s="599"/>
      <c r="K316" s="615"/>
      <c r="L316" s="616" t="s">
        <v>157</v>
      </c>
      <c r="M316" s="621"/>
      <c r="N316" s="612"/>
      <c r="O316" s="612"/>
      <c r="P316" s="602">
        <f t="shared" si="20"/>
        <v>0</v>
      </c>
      <c r="Q316" s="613" t="s">
        <v>335</v>
      </c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</row>
    <row r="317" ht="22.5" customHeight="1">
      <c r="A317" s="614">
        <v>45511.0</v>
      </c>
      <c r="B317" s="626" t="s">
        <v>2218</v>
      </c>
      <c r="C317" s="609"/>
      <c r="D317" s="609"/>
      <c r="E317" s="604" t="s">
        <v>33</v>
      </c>
      <c r="F317" s="627" t="s">
        <v>336</v>
      </c>
      <c r="G317" s="597">
        <v>0.0</v>
      </c>
      <c r="H317" s="598">
        <f t="shared" si="19"/>
        <v>0</v>
      </c>
      <c r="I317" s="599"/>
      <c r="J317" s="605">
        <v>8000.0</v>
      </c>
      <c r="K317" s="615"/>
      <c r="L317" s="616" t="s">
        <v>337</v>
      </c>
      <c r="M317" s="621"/>
      <c r="N317" s="621"/>
      <c r="O317" s="621"/>
      <c r="P317" s="602"/>
      <c r="Q317" s="622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</row>
    <row r="318" ht="22.5" customHeight="1">
      <c r="A318" s="614">
        <v>45512.0</v>
      </c>
      <c r="B318" s="626" t="s">
        <v>2218</v>
      </c>
      <c r="C318" s="609"/>
      <c r="D318" s="609"/>
      <c r="E318" s="604" t="s">
        <v>33</v>
      </c>
      <c r="F318" s="627" t="s">
        <v>170</v>
      </c>
      <c r="G318" s="597">
        <v>0.0</v>
      </c>
      <c r="H318" s="598">
        <f t="shared" si="19"/>
        <v>0</v>
      </c>
      <c r="I318" s="599"/>
      <c r="J318" s="605">
        <v>50000.0</v>
      </c>
      <c r="K318" s="615"/>
      <c r="L318" s="616" t="s">
        <v>338</v>
      </c>
      <c r="M318" s="612" t="s">
        <v>128</v>
      </c>
      <c r="N318" s="621"/>
      <c r="O318" s="621"/>
      <c r="P318" s="602"/>
      <c r="Q318" s="622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</row>
    <row r="319" ht="22.5" customHeight="1">
      <c r="A319" s="614">
        <v>45516.0</v>
      </c>
      <c r="B319" s="626" t="s">
        <v>2218</v>
      </c>
      <c r="C319" s="609"/>
      <c r="D319" s="610">
        <v>281472.13</v>
      </c>
      <c r="E319" s="606"/>
      <c r="F319" s="627" t="s">
        <v>170</v>
      </c>
      <c r="G319" s="597">
        <v>0.0</v>
      </c>
      <c r="H319" s="598">
        <f t="shared" si="19"/>
        <v>0</v>
      </c>
      <c r="I319" s="599"/>
      <c r="J319" s="599"/>
      <c r="K319" s="615"/>
      <c r="L319" s="616" t="s">
        <v>338</v>
      </c>
      <c r="M319" s="612" t="s">
        <v>339</v>
      </c>
      <c r="N319" s="621"/>
      <c r="O319" s="621"/>
      <c r="P319" s="602"/>
      <c r="Q319" s="622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</row>
    <row r="320" ht="22.5" customHeight="1">
      <c r="A320" s="614">
        <v>45516.0</v>
      </c>
      <c r="B320" s="626" t="s">
        <v>2218</v>
      </c>
      <c r="C320" s="610">
        <v>182122.02</v>
      </c>
      <c r="D320" s="609"/>
      <c r="E320" s="606"/>
      <c r="F320" s="627" t="s">
        <v>2039</v>
      </c>
      <c r="G320" s="597">
        <v>20.0</v>
      </c>
      <c r="H320" s="598">
        <f t="shared" si="19"/>
        <v>30353.67</v>
      </c>
      <c r="I320" s="599"/>
      <c r="J320" s="599"/>
      <c r="K320" s="615"/>
      <c r="L320" s="616" t="s">
        <v>157</v>
      </c>
      <c r="M320" s="612"/>
      <c r="N320" s="612"/>
      <c r="O320" s="612"/>
      <c r="P320" s="602">
        <f t="shared" ref="P320:P325" si="21">A320-IF(O320&gt;0,O320,A320)</f>
        <v>0</v>
      </c>
      <c r="Q320" s="613" t="s">
        <v>340</v>
      </c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</row>
    <row r="321" ht="22.5" customHeight="1">
      <c r="A321" s="614">
        <v>45516.0</v>
      </c>
      <c r="B321" s="626" t="s">
        <v>2218</v>
      </c>
      <c r="C321" s="610">
        <v>138264.88</v>
      </c>
      <c r="D321" s="609"/>
      <c r="E321" s="606"/>
      <c r="F321" s="627" t="s">
        <v>2039</v>
      </c>
      <c r="G321" s="597">
        <v>20.0</v>
      </c>
      <c r="H321" s="598">
        <f t="shared" si="19"/>
        <v>23044.14667</v>
      </c>
      <c r="I321" s="599"/>
      <c r="J321" s="599"/>
      <c r="K321" s="615"/>
      <c r="L321" s="616" t="s">
        <v>157</v>
      </c>
      <c r="M321" s="612"/>
      <c r="N321" s="612"/>
      <c r="O321" s="612"/>
      <c r="P321" s="602">
        <f t="shared" si="21"/>
        <v>0</v>
      </c>
      <c r="Q321" s="613" t="s">
        <v>341</v>
      </c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</row>
    <row r="322" ht="22.5" customHeight="1">
      <c r="A322" s="614">
        <v>45516.0</v>
      </c>
      <c r="B322" s="626" t="s">
        <v>2218</v>
      </c>
      <c r="C322" s="610">
        <v>792065.2</v>
      </c>
      <c r="D322" s="609"/>
      <c r="E322" s="606"/>
      <c r="F322" s="627" t="s">
        <v>2039</v>
      </c>
      <c r="G322" s="597">
        <v>20.0</v>
      </c>
      <c r="H322" s="598">
        <f t="shared" si="19"/>
        <v>132010.8667</v>
      </c>
      <c r="I322" s="599"/>
      <c r="J322" s="599"/>
      <c r="K322" s="615"/>
      <c r="L322" s="616" t="s">
        <v>157</v>
      </c>
      <c r="M322" s="621"/>
      <c r="N322" s="612"/>
      <c r="O322" s="612"/>
      <c r="P322" s="602">
        <f t="shared" si="21"/>
        <v>0</v>
      </c>
      <c r="Q322" s="613" t="s">
        <v>342</v>
      </c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</row>
    <row r="323" ht="22.5" customHeight="1">
      <c r="A323" s="614">
        <v>45517.0</v>
      </c>
      <c r="B323" s="626" t="s">
        <v>2218</v>
      </c>
      <c r="C323" s="610">
        <v>540381.8</v>
      </c>
      <c r="D323" s="609"/>
      <c r="E323" s="606"/>
      <c r="F323" s="627" t="s">
        <v>2039</v>
      </c>
      <c r="G323" s="597">
        <v>20.0</v>
      </c>
      <c r="H323" s="598">
        <f t="shared" si="19"/>
        <v>90063.63333</v>
      </c>
      <c r="I323" s="599"/>
      <c r="J323" s="599"/>
      <c r="K323" s="615"/>
      <c r="L323" s="616" t="s">
        <v>157</v>
      </c>
      <c r="M323" s="621"/>
      <c r="N323" s="612"/>
      <c r="O323" s="612"/>
      <c r="P323" s="602">
        <f t="shared" si="21"/>
        <v>0</v>
      </c>
      <c r="Q323" s="613" t="s">
        <v>343</v>
      </c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</row>
    <row r="324" ht="22.5" customHeight="1">
      <c r="A324" s="614">
        <v>45517.0</v>
      </c>
      <c r="B324" s="626" t="s">
        <v>2218</v>
      </c>
      <c r="C324" s="610">
        <v>815905.56</v>
      </c>
      <c r="D324" s="609"/>
      <c r="E324" s="606"/>
      <c r="F324" s="627" t="s">
        <v>2039</v>
      </c>
      <c r="G324" s="597">
        <v>20.0</v>
      </c>
      <c r="H324" s="598">
        <f t="shared" si="19"/>
        <v>135984.26</v>
      </c>
      <c r="I324" s="599"/>
      <c r="J324" s="599"/>
      <c r="K324" s="615"/>
      <c r="L324" s="616" t="s">
        <v>157</v>
      </c>
      <c r="M324" s="621"/>
      <c r="N324" s="612"/>
      <c r="O324" s="612"/>
      <c r="P324" s="602">
        <f t="shared" si="21"/>
        <v>0</v>
      </c>
      <c r="Q324" s="613" t="s">
        <v>344</v>
      </c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</row>
    <row r="325" ht="22.5" customHeight="1">
      <c r="A325" s="614">
        <v>45517.0</v>
      </c>
      <c r="B325" s="626" t="s">
        <v>2218</v>
      </c>
      <c r="C325" s="610">
        <v>790185.6</v>
      </c>
      <c r="D325" s="609"/>
      <c r="E325" s="606"/>
      <c r="F325" s="627" t="s">
        <v>2039</v>
      </c>
      <c r="G325" s="597">
        <v>20.0</v>
      </c>
      <c r="H325" s="598">
        <f t="shared" si="19"/>
        <v>131697.6</v>
      </c>
      <c r="I325" s="599"/>
      <c r="J325" s="599"/>
      <c r="K325" s="615"/>
      <c r="L325" s="616" t="s">
        <v>157</v>
      </c>
      <c r="M325" s="621"/>
      <c r="N325" s="612"/>
      <c r="O325" s="612"/>
      <c r="P325" s="602">
        <f t="shared" si="21"/>
        <v>0</v>
      </c>
      <c r="Q325" s="613" t="s">
        <v>345</v>
      </c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</row>
    <row r="326" ht="22.5" customHeight="1">
      <c r="A326" s="614">
        <v>45517.0</v>
      </c>
      <c r="B326" s="626" t="s">
        <v>2218</v>
      </c>
      <c r="C326" s="609"/>
      <c r="D326" s="650">
        <v>69034.88</v>
      </c>
      <c r="E326" s="606"/>
      <c r="F326" s="627" t="s">
        <v>2227</v>
      </c>
      <c r="G326" s="597">
        <v>0.0</v>
      </c>
      <c r="H326" s="598">
        <f t="shared" si="19"/>
        <v>0</v>
      </c>
      <c r="I326" s="599"/>
      <c r="J326" s="599"/>
      <c r="K326" s="615"/>
      <c r="L326" s="616" t="s">
        <v>181</v>
      </c>
      <c r="M326" s="621"/>
      <c r="N326" s="612"/>
      <c r="O326" s="612"/>
      <c r="P326" s="602"/>
      <c r="Q326" s="613" t="s">
        <v>346</v>
      </c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</row>
    <row r="327" ht="22.5" customHeight="1">
      <c r="A327" s="614">
        <v>45517.0</v>
      </c>
      <c r="B327" s="626" t="s">
        <v>2218</v>
      </c>
      <c r="C327" s="610"/>
      <c r="D327" s="650">
        <v>149875.44</v>
      </c>
      <c r="E327" s="606"/>
      <c r="F327" s="627" t="s">
        <v>2039</v>
      </c>
      <c r="G327" s="597">
        <v>20.0</v>
      </c>
      <c r="H327" s="598">
        <f t="shared" si="19"/>
        <v>24979.24</v>
      </c>
      <c r="I327" s="599"/>
      <c r="J327" s="599"/>
      <c r="K327" s="615"/>
      <c r="L327" s="616" t="s">
        <v>84</v>
      </c>
      <c r="M327" s="621"/>
      <c r="N327" s="612"/>
      <c r="O327" s="612"/>
      <c r="P327" s="602"/>
      <c r="Q327" s="613" t="s">
        <v>347</v>
      </c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</row>
    <row r="328" ht="22.5" customHeight="1">
      <c r="A328" s="614">
        <v>45517.0</v>
      </c>
      <c r="B328" s="626" t="s">
        <v>2218</v>
      </c>
      <c r="C328" s="609"/>
      <c r="D328" s="609">
        <f>1518050/3</f>
        <v>506016.6667</v>
      </c>
      <c r="E328" s="606"/>
      <c r="F328" s="627" t="s">
        <v>2031</v>
      </c>
      <c r="G328" s="597">
        <v>0.0</v>
      </c>
      <c r="H328" s="598">
        <f t="shared" si="19"/>
        <v>0</v>
      </c>
      <c r="I328" s="599"/>
      <c r="J328" s="599"/>
      <c r="K328" s="615"/>
      <c r="L328" s="616" t="s">
        <v>72</v>
      </c>
      <c r="M328" s="621"/>
      <c r="N328" s="612"/>
      <c r="O328" s="612"/>
      <c r="P328" s="602"/>
      <c r="Q328" s="613" t="s">
        <v>221</v>
      </c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</row>
    <row r="329" ht="22.5" customHeight="1">
      <c r="A329" s="614">
        <v>45517.0</v>
      </c>
      <c r="B329" s="626" t="s">
        <v>2218</v>
      </c>
      <c r="C329" s="609"/>
      <c r="D329" s="610">
        <v>53904.0</v>
      </c>
      <c r="E329" s="606"/>
      <c r="F329" s="627" t="s">
        <v>213</v>
      </c>
      <c r="G329" s="597">
        <v>0.0</v>
      </c>
      <c r="H329" s="598">
        <f t="shared" si="19"/>
        <v>0</v>
      </c>
      <c r="I329" s="599"/>
      <c r="J329" s="599"/>
      <c r="K329" s="615"/>
      <c r="L329" s="616" t="s">
        <v>234</v>
      </c>
      <c r="M329" s="621"/>
      <c r="N329" s="612"/>
      <c r="O329" s="612"/>
      <c r="P329" s="602"/>
      <c r="Q329" s="613" t="s">
        <v>349</v>
      </c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</row>
    <row r="330" ht="22.5" customHeight="1">
      <c r="A330" s="614">
        <v>45517.0</v>
      </c>
      <c r="B330" s="626" t="s">
        <v>2218</v>
      </c>
      <c r="C330" s="609"/>
      <c r="D330" s="610">
        <v>26952.0</v>
      </c>
      <c r="E330" s="606"/>
      <c r="F330" s="627" t="s">
        <v>213</v>
      </c>
      <c r="G330" s="597">
        <v>0.0</v>
      </c>
      <c r="H330" s="598">
        <f t="shared" si="19"/>
        <v>0</v>
      </c>
      <c r="I330" s="599"/>
      <c r="J330" s="599"/>
      <c r="K330" s="615"/>
      <c r="L330" s="616" t="s">
        <v>234</v>
      </c>
      <c r="M330" s="621"/>
      <c r="N330" s="612"/>
      <c r="O330" s="612"/>
      <c r="P330" s="602"/>
      <c r="Q330" s="613" t="s">
        <v>350</v>
      </c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</row>
    <row r="331" ht="22.5" customHeight="1">
      <c r="A331" s="614">
        <v>45517.0</v>
      </c>
      <c r="B331" s="626" t="s">
        <v>2218</v>
      </c>
      <c r="C331" s="609"/>
      <c r="D331" s="610">
        <v>53904.0</v>
      </c>
      <c r="E331" s="606"/>
      <c r="F331" s="627" t="s">
        <v>213</v>
      </c>
      <c r="G331" s="597">
        <v>0.0</v>
      </c>
      <c r="H331" s="598">
        <f t="shared" si="19"/>
        <v>0</v>
      </c>
      <c r="I331" s="599"/>
      <c r="J331" s="599"/>
      <c r="K331" s="615"/>
      <c r="L331" s="616" t="s">
        <v>234</v>
      </c>
      <c r="M331" s="621"/>
      <c r="N331" s="612"/>
      <c r="O331" s="612"/>
      <c r="P331" s="602"/>
      <c r="Q331" s="613" t="s">
        <v>351</v>
      </c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</row>
    <row r="332" ht="22.5" customHeight="1">
      <c r="A332" s="614">
        <v>45518.0</v>
      </c>
      <c r="B332" s="626" t="s">
        <v>2218</v>
      </c>
      <c r="C332" s="610">
        <v>96000.0</v>
      </c>
      <c r="D332" s="609"/>
      <c r="E332" s="635"/>
      <c r="F332" s="636" t="s">
        <v>251</v>
      </c>
      <c r="G332" s="597">
        <v>20.0</v>
      </c>
      <c r="H332" s="598">
        <f t="shared" si="19"/>
        <v>16000</v>
      </c>
      <c r="I332" s="599"/>
      <c r="J332" s="599"/>
      <c r="K332" s="615"/>
      <c r="L332" s="616" t="s">
        <v>157</v>
      </c>
      <c r="M332" s="621"/>
      <c r="N332" s="621"/>
      <c r="O332" s="621"/>
      <c r="P332" s="602">
        <f t="shared" ref="P332:P334" si="22">A332-IF(O332&gt;0,O332,A332)</f>
        <v>0</v>
      </c>
      <c r="Q332" s="622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</row>
    <row r="333" ht="22.5" customHeight="1">
      <c r="A333" s="614">
        <v>45519.0</v>
      </c>
      <c r="B333" s="626" t="s">
        <v>2218</v>
      </c>
      <c r="C333" s="610">
        <v>476781.84</v>
      </c>
      <c r="D333" s="609"/>
      <c r="E333" s="606"/>
      <c r="F333" s="627" t="s">
        <v>2039</v>
      </c>
      <c r="G333" s="597">
        <v>20.0</v>
      </c>
      <c r="H333" s="598">
        <f t="shared" si="19"/>
        <v>79463.64</v>
      </c>
      <c r="I333" s="599"/>
      <c r="J333" s="599"/>
      <c r="K333" s="615"/>
      <c r="L333" s="616" t="s">
        <v>87</v>
      </c>
      <c r="M333" s="612">
        <v>9.0</v>
      </c>
      <c r="N333" s="612"/>
      <c r="O333" s="612"/>
      <c r="P333" s="602">
        <f t="shared" si="22"/>
        <v>0</v>
      </c>
      <c r="Q333" s="613" t="s">
        <v>352</v>
      </c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</row>
    <row r="334" ht="22.5" customHeight="1">
      <c r="A334" s="614">
        <v>45519.0</v>
      </c>
      <c r="B334" s="626" t="s">
        <v>2218</v>
      </c>
      <c r="C334" s="610">
        <v>81048.0</v>
      </c>
      <c r="D334" s="609"/>
      <c r="E334" s="606"/>
      <c r="F334" s="627" t="s">
        <v>955</v>
      </c>
      <c r="G334" s="597">
        <v>20.0</v>
      </c>
      <c r="H334" s="598">
        <f t="shared" si="19"/>
        <v>13508</v>
      </c>
      <c r="I334" s="599"/>
      <c r="J334" s="599"/>
      <c r="K334" s="615"/>
      <c r="L334" s="616" t="s">
        <v>87</v>
      </c>
      <c r="M334" s="612">
        <v>10.0</v>
      </c>
      <c r="N334" s="612"/>
      <c r="O334" s="612"/>
      <c r="P334" s="602">
        <f t="shared" si="22"/>
        <v>0</v>
      </c>
      <c r="Q334" s="613" t="s">
        <v>353</v>
      </c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</row>
    <row r="335" ht="22.5" customHeight="1">
      <c r="A335" s="614">
        <v>45519.0</v>
      </c>
      <c r="B335" s="626" t="s">
        <v>2218</v>
      </c>
      <c r="C335" s="609"/>
      <c r="D335" s="610">
        <v>18102.0</v>
      </c>
      <c r="E335" s="606"/>
      <c r="F335" s="627" t="s">
        <v>213</v>
      </c>
      <c r="G335" s="597">
        <v>0.0</v>
      </c>
      <c r="H335" s="598">
        <f t="shared" si="19"/>
        <v>0</v>
      </c>
      <c r="I335" s="599"/>
      <c r="J335" s="599"/>
      <c r="K335" s="615"/>
      <c r="L335" s="616" t="s">
        <v>354</v>
      </c>
      <c r="M335" s="621"/>
      <c r="N335" s="612"/>
      <c r="O335" s="612"/>
      <c r="P335" s="602"/>
      <c r="Q335" s="613" t="s">
        <v>355</v>
      </c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</row>
    <row r="336" ht="22.5" customHeight="1">
      <c r="A336" s="614">
        <v>45519.0</v>
      </c>
      <c r="B336" s="626" t="s">
        <v>2218</v>
      </c>
      <c r="C336" s="609"/>
      <c r="D336" s="610">
        <v>1000000.0</v>
      </c>
      <c r="E336" s="606"/>
      <c r="F336" s="627" t="s">
        <v>2038</v>
      </c>
      <c r="G336" s="597">
        <v>20.0</v>
      </c>
      <c r="H336" s="598">
        <f t="shared" si="19"/>
        <v>166666.6667</v>
      </c>
      <c r="I336" s="599"/>
      <c r="J336" s="599"/>
      <c r="K336" s="615"/>
      <c r="L336" s="616" t="s">
        <v>77</v>
      </c>
      <c r="M336" s="621"/>
      <c r="N336" s="621"/>
      <c r="O336" s="621"/>
      <c r="P336" s="602"/>
      <c r="Q336" s="622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</row>
    <row r="337" ht="22.5" customHeight="1">
      <c r="A337" s="614">
        <v>45520.0</v>
      </c>
      <c r="B337" s="626" t="s">
        <v>2218</v>
      </c>
      <c r="C337" s="609"/>
      <c r="D337" s="609"/>
      <c r="E337" s="604" t="s">
        <v>33</v>
      </c>
      <c r="F337" s="627" t="s">
        <v>213</v>
      </c>
      <c r="G337" s="597">
        <v>0.0</v>
      </c>
      <c r="H337" s="598">
        <f t="shared" si="19"/>
        <v>0</v>
      </c>
      <c r="I337" s="599"/>
      <c r="J337" s="605">
        <v>8000.0</v>
      </c>
      <c r="K337" s="615"/>
      <c r="L337" s="616" t="s">
        <v>337</v>
      </c>
      <c r="M337" s="621"/>
      <c r="N337" s="621"/>
      <c r="O337" s="621"/>
      <c r="P337" s="602"/>
      <c r="Q337" s="622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</row>
    <row r="338" ht="22.5" customHeight="1">
      <c r="A338" s="614">
        <v>45523.0</v>
      </c>
      <c r="B338" s="626" t="s">
        <v>2218</v>
      </c>
      <c r="C338" s="609"/>
      <c r="D338" s="650">
        <v>191249.28</v>
      </c>
      <c r="E338" s="606"/>
      <c r="F338" s="627" t="s">
        <v>2227</v>
      </c>
      <c r="G338" s="597">
        <v>20.0</v>
      </c>
      <c r="H338" s="598">
        <f t="shared" si="19"/>
        <v>31874.88</v>
      </c>
      <c r="I338" s="599"/>
      <c r="J338" s="599"/>
      <c r="K338" s="615"/>
      <c r="L338" s="616" t="s">
        <v>122</v>
      </c>
      <c r="M338" s="621"/>
      <c r="N338" s="612"/>
      <c r="O338" s="612"/>
      <c r="P338" s="602"/>
      <c r="Q338" s="613" t="s">
        <v>356</v>
      </c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</row>
    <row r="339" ht="22.5" customHeight="1">
      <c r="A339" s="614">
        <v>45523.0</v>
      </c>
      <c r="B339" s="626" t="s">
        <v>2218</v>
      </c>
      <c r="C339" s="650">
        <v>261041.04</v>
      </c>
      <c r="D339" s="609"/>
      <c r="E339" s="606"/>
      <c r="F339" s="627" t="s">
        <v>2030</v>
      </c>
      <c r="G339" s="597">
        <v>20.0</v>
      </c>
      <c r="H339" s="598">
        <f t="shared" si="19"/>
        <v>43506.84</v>
      </c>
      <c r="I339" s="599"/>
      <c r="J339" s="599"/>
      <c r="K339" s="615"/>
      <c r="L339" s="616" t="s">
        <v>122</v>
      </c>
      <c r="M339" s="612">
        <v>13.0</v>
      </c>
      <c r="N339" s="612"/>
      <c r="O339" s="612"/>
      <c r="P339" s="602">
        <f t="shared" ref="P339:P341" si="23">A339-IF(O339&gt;0,O339,A339)</f>
        <v>0</v>
      </c>
      <c r="Q339" s="613" t="s">
        <v>357</v>
      </c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</row>
    <row r="340" ht="22.5" customHeight="1">
      <c r="A340" s="614">
        <v>45523.0</v>
      </c>
      <c r="B340" s="626" t="s">
        <v>2218</v>
      </c>
      <c r="C340" s="650">
        <v>600000.0</v>
      </c>
      <c r="D340" s="609"/>
      <c r="E340" s="652"/>
      <c r="F340" s="653" t="s">
        <v>2030</v>
      </c>
      <c r="G340" s="597">
        <v>20.0</v>
      </c>
      <c r="H340" s="598">
        <f t="shared" si="19"/>
        <v>100000</v>
      </c>
      <c r="I340" s="599"/>
      <c r="J340" s="599"/>
      <c r="K340" s="615"/>
      <c r="L340" s="616" t="s">
        <v>122</v>
      </c>
      <c r="M340" s="612">
        <v>11.0</v>
      </c>
      <c r="N340" s="612"/>
      <c r="O340" s="612"/>
      <c r="P340" s="602">
        <f t="shared" si="23"/>
        <v>0</v>
      </c>
      <c r="Q340" s="613" t="s">
        <v>358</v>
      </c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</row>
    <row r="341" ht="22.5" customHeight="1">
      <c r="A341" s="614">
        <v>45523.0</v>
      </c>
      <c r="B341" s="626" t="s">
        <v>2218</v>
      </c>
      <c r="C341" s="650">
        <v>500000.0</v>
      </c>
      <c r="D341" s="609"/>
      <c r="E341" s="652"/>
      <c r="F341" s="653" t="s">
        <v>2030</v>
      </c>
      <c r="G341" s="597">
        <v>20.0</v>
      </c>
      <c r="H341" s="598">
        <f t="shared" si="19"/>
        <v>83333.33333</v>
      </c>
      <c r="I341" s="599"/>
      <c r="J341" s="599"/>
      <c r="K341" s="615"/>
      <c r="L341" s="616" t="s">
        <v>122</v>
      </c>
      <c r="M341" s="612">
        <v>12.0</v>
      </c>
      <c r="N341" s="612"/>
      <c r="O341" s="612"/>
      <c r="P341" s="602">
        <f t="shared" si="23"/>
        <v>0</v>
      </c>
      <c r="Q341" s="613" t="s">
        <v>359</v>
      </c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</row>
    <row r="342" ht="22.5" customHeight="1">
      <c r="A342" s="614">
        <v>45523.0</v>
      </c>
      <c r="B342" s="626" t="s">
        <v>2218</v>
      </c>
      <c r="C342" s="609"/>
      <c r="D342" s="610">
        <v>14945.07</v>
      </c>
      <c r="E342" s="606"/>
      <c r="F342" s="627" t="s">
        <v>203</v>
      </c>
      <c r="G342" s="597">
        <v>0.0</v>
      </c>
      <c r="H342" s="598">
        <f t="shared" si="19"/>
        <v>0</v>
      </c>
      <c r="I342" s="599"/>
      <c r="J342" s="599"/>
      <c r="K342" s="615"/>
      <c r="L342" s="616" t="s">
        <v>203</v>
      </c>
      <c r="M342" s="654"/>
      <c r="N342" s="612"/>
      <c r="O342" s="612"/>
      <c r="P342" s="602"/>
      <c r="Q342" s="613" t="s">
        <v>360</v>
      </c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</row>
    <row r="343" ht="22.5" customHeight="1">
      <c r="A343" s="614">
        <v>45523.0</v>
      </c>
      <c r="B343" s="626" t="s">
        <v>2218</v>
      </c>
      <c r="C343" s="609"/>
      <c r="D343" s="610">
        <v>1197.68</v>
      </c>
      <c r="E343" s="606"/>
      <c r="F343" s="627" t="s">
        <v>236</v>
      </c>
      <c r="G343" s="597">
        <v>0.0</v>
      </c>
      <c r="H343" s="598">
        <f t="shared" si="19"/>
        <v>0</v>
      </c>
      <c r="I343" s="599"/>
      <c r="J343" s="599"/>
      <c r="K343" s="615"/>
      <c r="L343" s="616" t="s">
        <v>283</v>
      </c>
      <c r="M343" s="654"/>
      <c r="N343" s="612"/>
      <c r="O343" s="612"/>
      <c r="P343" s="602"/>
      <c r="Q343" s="613" t="s">
        <v>361</v>
      </c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</row>
    <row r="344" ht="22.5" customHeight="1">
      <c r="A344" s="614">
        <v>45523.0</v>
      </c>
      <c r="B344" s="626" t="s">
        <v>2218</v>
      </c>
      <c r="C344" s="609"/>
      <c r="D344" s="610">
        <v>80856.0</v>
      </c>
      <c r="E344" s="606"/>
      <c r="F344" s="627" t="s">
        <v>213</v>
      </c>
      <c r="G344" s="597">
        <v>0.0</v>
      </c>
      <c r="H344" s="598">
        <f t="shared" si="19"/>
        <v>0</v>
      </c>
      <c r="I344" s="599"/>
      <c r="J344" s="599"/>
      <c r="K344" s="615"/>
      <c r="L344" s="616" t="s">
        <v>234</v>
      </c>
      <c r="M344" s="621"/>
      <c r="N344" s="612"/>
      <c r="O344" s="612"/>
      <c r="P344" s="602"/>
      <c r="Q344" s="613" t="s">
        <v>362</v>
      </c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</row>
    <row r="345" ht="22.5" customHeight="1">
      <c r="A345" s="614">
        <v>45523.0</v>
      </c>
      <c r="B345" s="626" t="s">
        <v>2218</v>
      </c>
      <c r="C345" s="609"/>
      <c r="D345" s="609"/>
      <c r="E345" s="604" t="s">
        <v>33</v>
      </c>
      <c r="F345" s="627" t="s">
        <v>203</v>
      </c>
      <c r="G345" s="597">
        <v>0.0</v>
      </c>
      <c r="H345" s="598">
        <f t="shared" si="19"/>
        <v>0</v>
      </c>
      <c r="I345" s="599"/>
      <c r="J345" s="605">
        <v>10000.0</v>
      </c>
      <c r="K345" s="615"/>
      <c r="L345" s="616" t="s">
        <v>203</v>
      </c>
      <c r="M345" s="621"/>
      <c r="N345" s="612"/>
      <c r="O345" s="612"/>
      <c r="P345" s="602"/>
      <c r="Q345" s="613" t="s">
        <v>240</v>
      </c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</row>
    <row r="346" ht="22.5" customHeight="1">
      <c r="A346" s="614">
        <v>45525.0</v>
      </c>
      <c r="B346" s="626" t="s">
        <v>2218</v>
      </c>
      <c r="C346" s="610">
        <v>67200.0</v>
      </c>
      <c r="D346" s="609"/>
      <c r="E346" s="606"/>
      <c r="F346" s="627" t="s">
        <v>2039</v>
      </c>
      <c r="G346" s="597">
        <v>20.0</v>
      </c>
      <c r="H346" s="598">
        <f t="shared" si="19"/>
        <v>11200</v>
      </c>
      <c r="I346" s="599"/>
      <c r="J346" s="599"/>
      <c r="K346" s="615"/>
      <c r="L346" s="616" t="s">
        <v>157</v>
      </c>
      <c r="M346" s="621"/>
      <c r="N346" s="612"/>
      <c r="O346" s="612"/>
      <c r="P346" s="602">
        <f>A346-IF(O346&gt;0,O346,A346)</f>
        <v>0</v>
      </c>
      <c r="Q346" s="613" t="s">
        <v>363</v>
      </c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</row>
    <row r="347" ht="22.5" customHeight="1">
      <c r="A347" s="614">
        <v>45525.0</v>
      </c>
      <c r="B347" s="626" t="s">
        <v>2218</v>
      </c>
      <c r="C347" s="609"/>
      <c r="D347" s="610">
        <v>500000.0</v>
      </c>
      <c r="E347" s="606"/>
      <c r="F347" s="627" t="s">
        <v>2038</v>
      </c>
      <c r="G347" s="597">
        <v>20.0</v>
      </c>
      <c r="H347" s="598">
        <f t="shared" si="19"/>
        <v>83333.33333</v>
      </c>
      <c r="I347" s="599"/>
      <c r="J347" s="599"/>
      <c r="K347" s="615"/>
      <c r="L347" s="616" t="s">
        <v>77</v>
      </c>
      <c r="M347" s="621"/>
      <c r="N347" s="621"/>
      <c r="O347" s="621"/>
      <c r="P347" s="602"/>
      <c r="Q347" s="622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</row>
    <row r="348" ht="22.5" customHeight="1">
      <c r="A348" s="614">
        <v>45527.0</v>
      </c>
      <c r="B348" s="626" t="s">
        <v>2218</v>
      </c>
      <c r="C348" s="609"/>
      <c r="D348" s="610">
        <v>240154.0</v>
      </c>
      <c r="E348" s="606"/>
      <c r="F348" s="627" t="s">
        <v>203</v>
      </c>
      <c r="G348" s="597">
        <v>0.0</v>
      </c>
      <c r="H348" s="598">
        <f t="shared" si="19"/>
        <v>0</v>
      </c>
      <c r="I348" s="599"/>
      <c r="J348" s="599"/>
      <c r="K348" s="615"/>
      <c r="L348" s="616" t="s">
        <v>338</v>
      </c>
      <c r="M348" s="621"/>
      <c r="N348" s="621"/>
      <c r="O348" s="621"/>
      <c r="P348" s="602"/>
      <c r="Q348" s="622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</row>
    <row r="349" ht="22.5" customHeight="1">
      <c r="A349" s="614">
        <v>45531.0</v>
      </c>
      <c r="B349" s="626" t="s">
        <v>2218</v>
      </c>
      <c r="C349" s="610">
        <v>147000.0</v>
      </c>
      <c r="D349" s="609"/>
      <c r="E349" s="606"/>
      <c r="F349" s="627" t="s">
        <v>2030</v>
      </c>
      <c r="G349" s="597">
        <v>20.0</v>
      </c>
      <c r="H349" s="598">
        <f t="shared" si="19"/>
        <v>24500</v>
      </c>
      <c r="I349" s="599"/>
      <c r="J349" s="599"/>
      <c r="K349" s="615"/>
      <c r="L349" s="616" t="s">
        <v>317</v>
      </c>
      <c r="M349" s="612">
        <v>4.0</v>
      </c>
      <c r="N349" s="612"/>
      <c r="O349" s="612"/>
      <c r="P349" s="602">
        <f t="shared" ref="P349:P352" si="24">A349-IF(O349&gt;0,O349,A349)</f>
        <v>0</v>
      </c>
      <c r="Q349" s="613" t="s">
        <v>364</v>
      </c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</row>
    <row r="350" ht="22.5" customHeight="1">
      <c r="A350" s="614">
        <v>45531.0</v>
      </c>
      <c r="B350" s="626" t="s">
        <v>2218</v>
      </c>
      <c r="C350" s="610">
        <v>147000.0</v>
      </c>
      <c r="D350" s="609"/>
      <c r="E350" s="606"/>
      <c r="F350" s="627" t="s">
        <v>2030</v>
      </c>
      <c r="G350" s="597">
        <v>20.0</v>
      </c>
      <c r="H350" s="598">
        <f t="shared" si="19"/>
        <v>24500</v>
      </c>
      <c r="I350" s="599"/>
      <c r="J350" s="599"/>
      <c r="K350" s="615"/>
      <c r="L350" s="616" t="s">
        <v>317</v>
      </c>
      <c r="M350" s="612">
        <v>3.0</v>
      </c>
      <c r="N350" s="612"/>
      <c r="O350" s="612"/>
      <c r="P350" s="602">
        <f t="shared" si="24"/>
        <v>0</v>
      </c>
      <c r="Q350" s="613" t="s">
        <v>365</v>
      </c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</row>
    <row r="351" ht="22.5" customHeight="1">
      <c r="A351" s="614">
        <v>45531.0</v>
      </c>
      <c r="B351" s="626" t="s">
        <v>2218</v>
      </c>
      <c r="C351" s="610">
        <v>240000.18</v>
      </c>
      <c r="D351" s="609"/>
      <c r="E351" s="606"/>
      <c r="F351" s="627" t="s">
        <v>2030</v>
      </c>
      <c r="G351" s="597">
        <v>20.0</v>
      </c>
      <c r="H351" s="598">
        <f t="shared" si="19"/>
        <v>40000.03</v>
      </c>
      <c r="I351" s="599"/>
      <c r="J351" s="599"/>
      <c r="K351" s="615"/>
      <c r="L351" s="616" t="s">
        <v>317</v>
      </c>
      <c r="M351" s="612">
        <v>2.0</v>
      </c>
      <c r="N351" s="612"/>
      <c r="O351" s="612"/>
      <c r="P351" s="602">
        <f t="shared" si="24"/>
        <v>0</v>
      </c>
      <c r="Q351" s="613" t="s">
        <v>366</v>
      </c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</row>
    <row r="352" ht="22.5" customHeight="1">
      <c r="A352" s="614">
        <v>45532.0</v>
      </c>
      <c r="B352" s="626" t="s">
        <v>2218</v>
      </c>
      <c r="C352" s="610">
        <v>19517.4</v>
      </c>
      <c r="D352" s="609"/>
      <c r="E352" s="606"/>
      <c r="F352" s="627" t="s">
        <v>955</v>
      </c>
      <c r="G352" s="597">
        <v>20.0</v>
      </c>
      <c r="H352" s="598">
        <f t="shared" si="19"/>
        <v>3252.9</v>
      </c>
      <c r="I352" s="599"/>
      <c r="J352" s="599"/>
      <c r="K352" s="615"/>
      <c r="L352" s="616" t="s">
        <v>367</v>
      </c>
      <c r="M352" s="621"/>
      <c r="N352" s="612"/>
      <c r="O352" s="612"/>
      <c r="P352" s="602">
        <f t="shared" si="24"/>
        <v>0</v>
      </c>
      <c r="Q352" s="613" t="s">
        <v>368</v>
      </c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</row>
    <row r="353" ht="22.5" customHeight="1">
      <c r="A353" s="614">
        <v>45532.0</v>
      </c>
      <c r="B353" s="626" t="s">
        <v>2218</v>
      </c>
      <c r="C353" s="609"/>
      <c r="D353" s="610">
        <v>53904.0</v>
      </c>
      <c r="E353" s="606"/>
      <c r="F353" s="627" t="s">
        <v>213</v>
      </c>
      <c r="G353" s="597">
        <v>0.0</v>
      </c>
      <c r="H353" s="598">
        <f t="shared" si="19"/>
        <v>0</v>
      </c>
      <c r="I353" s="599"/>
      <c r="J353" s="599"/>
      <c r="K353" s="615"/>
      <c r="L353" s="616" t="s">
        <v>234</v>
      </c>
      <c r="M353" s="621"/>
      <c r="N353" s="612"/>
      <c r="O353" s="612"/>
      <c r="P353" s="602"/>
      <c r="Q353" s="613" t="s">
        <v>369</v>
      </c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</row>
    <row r="354" ht="22.5" customHeight="1">
      <c r="A354" s="614">
        <v>45532.0</v>
      </c>
      <c r="B354" s="626" t="s">
        <v>2218</v>
      </c>
      <c r="C354" s="609"/>
      <c r="D354" s="610">
        <v>26952.0</v>
      </c>
      <c r="E354" s="606"/>
      <c r="F354" s="627" t="s">
        <v>213</v>
      </c>
      <c r="G354" s="597">
        <v>0.0</v>
      </c>
      <c r="H354" s="598">
        <f t="shared" si="19"/>
        <v>0</v>
      </c>
      <c r="I354" s="599"/>
      <c r="J354" s="599"/>
      <c r="K354" s="615"/>
      <c r="L354" s="616" t="s">
        <v>234</v>
      </c>
      <c r="M354" s="621"/>
      <c r="N354" s="612"/>
      <c r="O354" s="612"/>
      <c r="P354" s="602"/>
      <c r="Q354" s="613" t="s">
        <v>370</v>
      </c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</row>
    <row r="355" ht="22.5" customHeight="1">
      <c r="A355" s="614">
        <v>45532.0</v>
      </c>
      <c r="B355" s="626" t="s">
        <v>2218</v>
      </c>
      <c r="C355" s="609"/>
      <c r="D355" s="609"/>
      <c r="E355" s="604" t="s">
        <v>33</v>
      </c>
      <c r="F355" s="627" t="s">
        <v>203</v>
      </c>
      <c r="G355" s="597">
        <v>0.0</v>
      </c>
      <c r="H355" s="598">
        <f t="shared" si="19"/>
        <v>0</v>
      </c>
      <c r="I355" s="599"/>
      <c r="J355" s="605">
        <v>15000.0</v>
      </c>
      <c r="K355" s="615"/>
      <c r="L355" s="616" t="s">
        <v>203</v>
      </c>
      <c r="M355" s="621"/>
      <c r="N355" s="612"/>
      <c r="O355" s="612"/>
      <c r="P355" s="602"/>
      <c r="Q355" s="613" t="s">
        <v>240</v>
      </c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</row>
    <row r="356" ht="22.5" customHeight="1">
      <c r="A356" s="614">
        <v>45532.0</v>
      </c>
      <c r="B356" s="626" t="s">
        <v>2218</v>
      </c>
      <c r="C356" s="609"/>
      <c r="D356" s="610">
        <v>140000.0</v>
      </c>
      <c r="E356" s="606"/>
      <c r="F356" s="627" t="s">
        <v>251</v>
      </c>
      <c r="G356" s="597">
        <v>0.0</v>
      </c>
      <c r="H356" s="598">
        <f t="shared" si="19"/>
        <v>0</v>
      </c>
      <c r="I356" s="599"/>
      <c r="J356" s="599"/>
      <c r="K356" s="615"/>
      <c r="L356" s="616" t="s">
        <v>371</v>
      </c>
      <c r="M356" s="621"/>
      <c r="N356" s="612"/>
      <c r="O356" s="612"/>
      <c r="P356" s="602"/>
      <c r="Q356" s="613" t="s">
        <v>372</v>
      </c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</row>
    <row r="357" ht="22.5" customHeight="1">
      <c r="A357" s="614">
        <v>45534.0</v>
      </c>
      <c r="B357" s="626" t="s">
        <v>2218</v>
      </c>
      <c r="C357" s="609"/>
      <c r="D357" s="610">
        <v>67915.4</v>
      </c>
      <c r="E357" s="606"/>
      <c r="F357" s="627" t="s">
        <v>955</v>
      </c>
      <c r="G357" s="597">
        <v>20.0</v>
      </c>
      <c r="H357" s="598">
        <f t="shared" si="19"/>
        <v>11319.23333</v>
      </c>
      <c r="I357" s="599"/>
      <c r="J357" s="599"/>
      <c r="K357" s="615"/>
      <c r="L357" s="616" t="s">
        <v>2222</v>
      </c>
      <c r="M357" s="621"/>
      <c r="N357" s="612"/>
      <c r="O357" s="612"/>
      <c r="P357" s="602"/>
      <c r="Q357" s="613" t="s">
        <v>373</v>
      </c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</row>
    <row r="358" ht="22.5" customHeight="1">
      <c r="A358" s="614">
        <v>45534.0</v>
      </c>
      <c r="B358" s="626" t="s">
        <v>2218</v>
      </c>
      <c r="C358" s="609"/>
      <c r="D358" s="610">
        <v>49623.93</v>
      </c>
      <c r="E358" s="606"/>
      <c r="F358" s="627" t="s">
        <v>2039</v>
      </c>
      <c r="G358" s="597">
        <v>20.0</v>
      </c>
      <c r="H358" s="598">
        <f t="shared" si="19"/>
        <v>8270.655</v>
      </c>
      <c r="I358" s="599"/>
      <c r="J358" s="599"/>
      <c r="K358" s="615"/>
      <c r="L358" s="616" t="s">
        <v>2222</v>
      </c>
      <c r="M358" s="621"/>
      <c r="N358" s="612"/>
      <c r="O358" s="612"/>
      <c r="P358" s="602"/>
      <c r="Q358" s="613" t="s">
        <v>374</v>
      </c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</row>
    <row r="359" ht="22.5" customHeight="1">
      <c r="A359" s="614">
        <v>45534.0</v>
      </c>
      <c r="B359" s="626" t="s">
        <v>2218</v>
      </c>
      <c r="C359" s="609"/>
      <c r="D359" s="610">
        <v>14252.97</v>
      </c>
      <c r="E359" s="606"/>
      <c r="F359" s="627" t="s">
        <v>2030</v>
      </c>
      <c r="G359" s="597">
        <v>20.0</v>
      </c>
      <c r="H359" s="598">
        <f t="shared" si="19"/>
        <v>2375.495</v>
      </c>
      <c r="I359" s="599"/>
      <c r="J359" s="599"/>
      <c r="K359" s="615"/>
      <c r="L359" s="616" t="s">
        <v>2222</v>
      </c>
      <c r="M359" s="621"/>
      <c r="N359" s="612"/>
      <c r="O359" s="612"/>
      <c r="P359" s="602"/>
      <c r="Q359" s="613" t="s">
        <v>375</v>
      </c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</row>
    <row r="360" ht="22.5" customHeight="1">
      <c r="A360" s="614">
        <v>45534.0</v>
      </c>
      <c r="B360" s="626" t="s">
        <v>2218</v>
      </c>
      <c r="C360" s="609"/>
      <c r="D360" s="610">
        <v>179651.74</v>
      </c>
      <c r="E360" s="606"/>
      <c r="F360" s="627" t="s">
        <v>283</v>
      </c>
      <c r="G360" s="597">
        <v>0.0</v>
      </c>
      <c r="H360" s="598">
        <f t="shared" si="19"/>
        <v>0</v>
      </c>
      <c r="I360" s="599"/>
      <c r="J360" s="599"/>
      <c r="K360" s="615"/>
      <c r="L360" s="616" t="s">
        <v>72</v>
      </c>
      <c r="M360" s="621"/>
      <c r="N360" s="612"/>
      <c r="O360" s="612"/>
      <c r="P360" s="602"/>
      <c r="Q360" s="613" t="s">
        <v>208</v>
      </c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</row>
    <row r="361" ht="22.5" customHeight="1">
      <c r="A361" s="614">
        <v>45534.0</v>
      </c>
      <c r="B361" s="626" t="s">
        <v>2218</v>
      </c>
      <c r="C361" s="609"/>
      <c r="D361" s="610">
        <v>35886.0</v>
      </c>
      <c r="E361" s="606"/>
      <c r="F361" s="627" t="s">
        <v>283</v>
      </c>
      <c r="G361" s="597">
        <v>0.0</v>
      </c>
      <c r="H361" s="598">
        <f t="shared" si="19"/>
        <v>0</v>
      </c>
      <c r="I361" s="599"/>
      <c r="J361" s="599"/>
      <c r="K361" s="615"/>
      <c r="L361" s="616" t="s">
        <v>72</v>
      </c>
      <c r="M361" s="621"/>
      <c r="N361" s="612"/>
      <c r="O361" s="612"/>
      <c r="P361" s="602"/>
      <c r="Q361" s="613" t="s">
        <v>209</v>
      </c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</row>
    <row r="362" ht="22.5" customHeight="1">
      <c r="A362" s="614">
        <v>45534.0</v>
      </c>
      <c r="B362" s="626" t="s">
        <v>2218</v>
      </c>
      <c r="C362" s="655">
        <v>1007999.7</v>
      </c>
      <c r="D362" s="609"/>
      <c r="E362" s="606"/>
      <c r="F362" s="627" t="s">
        <v>955</v>
      </c>
      <c r="G362" s="597">
        <v>20.0</v>
      </c>
      <c r="H362" s="598">
        <f t="shared" si="19"/>
        <v>167999.95</v>
      </c>
      <c r="I362" s="599"/>
      <c r="J362" s="599"/>
      <c r="K362" s="615"/>
      <c r="L362" s="616" t="s">
        <v>250</v>
      </c>
      <c r="M362" s="612">
        <v>6.0</v>
      </c>
      <c r="N362" s="612">
        <v>81.0</v>
      </c>
      <c r="O362" s="621"/>
      <c r="P362" s="602">
        <f t="shared" ref="P362:P364" si="25">A362-IF(O362&gt;0,O362,A362)</f>
        <v>0</v>
      </c>
      <c r="Q362" s="622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</row>
    <row r="363" ht="22.5" customHeight="1">
      <c r="A363" s="614">
        <v>45534.0</v>
      </c>
      <c r="B363" s="626" t="s">
        <v>2218</v>
      </c>
      <c r="C363" s="655">
        <v>840000.12</v>
      </c>
      <c r="D363" s="609"/>
      <c r="E363" s="606"/>
      <c r="F363" s="627" t="s">
        <v>955</v>
      </c>
      <c r="G363" s="597">
        <v>20.0</v>
      </c>
      <c r="H363" s="598">
        <f t="shared" si="19"/>
        <v>140000.02</v>
      </c>
      <c r="I363" s="599"/>
      <c r="J363" s="599"/>
      <c r="K363" s="615"/>
      <c r="L363" s="616" t="s">
        <v>250</v>
      </c>
      <c r="M363" s="612">
        <v>7.0</v>
      </c>
      <c r="N363" s="612">
        <v>79.0</v>
      </c>
      <c r="O363" s="621"/>
      <c r="P363" s="602">
        <f t="shared" si="25"/>
        <v>0</v>
      </c>
      <c r="Q363" s="622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</row>
    <row r="364" ht="22.5" customHeight="1">
      <c r="A364" s="614">
        <v>45534.0</v>
      </c>
      <c r="B364" s="626" t="s">
        <v>2218</v>
      </c>
      <c r="C364" s="655">
        <v>1159673.76</v>
      </c>
      <c r="D364" s="609"/>
      <c r="E364" s="606"/>
      <c r="F364" s="627" t="s">
        <v>955</v>
      </c>
      <c r="G364" s="597">
        <v>20.0</v>
      </c>
      <c r="H364" s="598">
        <f t="shared" si="19"/>
        <v>193278.96</v>
      </c>
      <c r="I364" s="599"/>
      <c r="J364" s="599"/>
      <c r="K364" s="615"/>
      <c r="L364" s="616" t="s">
        <v>250</v>
      </c>
      <c r="M364" s="612">
        <v>5.0</v>
      </c>
      <c r="N364" s="612">
        <v>80.0</v>
      </c>
      <c r="O364" s="621"/>
      <c r="P364" s="602">
        <f t="shared" si="25"/>
        <v>0</v>
      </c>
      <c r="Q364" s="622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</row>
    <row r="365" ht="22.5" customHeight="1">
      <c r="A365" s="614">
        <v>45534.0</v>
      </c>
      <c r="B365" s="626" t="s">
        <v>2218</v>
      </c>
      <c r="C365" s="609"/>
      <c r="D365" s="610">
        <v>2400.0</v>
      </c>
      <c r="E365" s="595"/>
      <c r="F365" s="596"/>
      <c r="G365" s="597">
        <v>0.0</v>
      </c>
      <c r="H365" s="598">
        <f t="shared" si="19"/>
        <v>0</v>
      </c>
      <c r="I365" s="599"/>
      <c r="J365" s="599"/>
      <c r="K365" s="615"/>
      <c r="L365" s="616" t="s">
        <v>377</v>
      </c>
      <c r="M365" s="621"/>
      <c r="N365" s="621"/>
      <c r="O365" s="621"/>
      <c r="P365" s="602"/>
      <c r="Q365" s="613" t="s">
        <v>378</v>
      </c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</row>
    <row r="366" ht="22.5" customHeight="1">
      <c r="A366" s="614">
        <v>45534.0</v>
      </c>
      <c r="B366" s="626" t="s">
        <v>2218</v>
      </c>
      <c r="C366" s="609"/>
      <c r="D366" s="610">
        <v>2400.0</v>
      </c>
      <c r="E366" s="595"/>
      <c r="F366" s="596"/>
      <c r="G366" s="597">
        <v>0.0</v>
      </c>
      <c r="H366" s="598">
        <f t="shared" si="19"/>
        <v>0</v>
      </c>
      <c r="I366" s="599"/>
      <c r="J366" s="599"/>
      <c r="K366" s="615"/>
      <c r="L366" s="616" t="s">
        <v>377</v>
      </c>
      <c r="M366" s="621"/>
      <c r="N366" s="621"/>
      <c r="O366" s="621"/>
      <c r="P366" s="602"/>
      <c r="Q366" s="613" t="s">
        <v>378</v>
      </c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</row>
    <row r="367" ht="22.5" customHeight="1">
      <c r="A367" s="614">
        <v>45537.0</v>
      </c>
      <c r="B367" s="626" t="s">
        <v>2218</v>
      </c>
      <c r="C367" s="609"/>
      <c r="D367" s="609">
        <f>1518050/3</f>
        <v>506016.6667</v>
      </c>
      <c r="E367" s="606"/>
      <c r="F367" s="627" t="s">
        <v>2032</v>
      </c>
      <c r="G367" s="597">
        <v>0.0</v>
      </c>
      <c r="H367" s="598">
        <f t="shared" si="19"/>
        <v>0</v>
      </c>
      <c r="I367" s="599"/>
      <c r="J367" s="599"/>
      <c r="K367" s="615"/>
      <c r="L367" s="616" t="s">
        <v>72</v>
      </c>
      <c r="M367" s="621"/>
      <c r="N367" s="612"/>
      <c r="O367" s="612"/>
      <c r="P367" s="602"/>
      <c r="Q367" s="613" t="s">
        <v>221</v>
      </c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</row>
    <row r="368" ht="22.5" customHeight="1">
      <c r="A368" s="614">
        <v>45538.0</v>
      </c>
      <c r="B368" s="626" t="s">
        <v>2218</v>
      </c>
      <c r="C368" s="610">
        <v>96900.0</v>
      </c>
      <c r="D368" s="609"/>
      <c r="E368" s="606"/>
      <c r="F368" s="627" t="s">
        <v>955</v>
      </c>
      <c r="G368" s="597">
        <v>20.0</v>
      </c>
      <c r="H368" s="598">
        <f t="shared" si="19"/>
        <v>16150</v>
      </c>
      <c r="I368" s="599"/>
      <c r="J368" s="599"/>
      <c r="K368" s="615"/>
      <c r="L368" s="616" t="s">
        <v>157</v>
      </c>
      <c r="M368" s="621"/>
      <c r="N368" s="612"/>
      <c r="O368" s="612"/>
      <c r="P368" s="602">
        <f t="shared" ref="P368:P369" si="26">A368-IF(O368&gt;0,O368,A368)</f>
        <v>0</v>
      </c>
      <c r="Q368" s="613" t="s">
        <v>380</v>
      </c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</row>
    <row r="369" ht="22.5" customHeight="1">
      <c r="A369" s="614">
        <v>45538.0</v>
      </c>
      <c r="B369" s="626" t="s">
        <v>2218</v>
      </c>
      <c r="C369" s="610">
        <v>6720.0</v>
      </c>
      <c r="D369" s="609"/>
      <c r="E369" s="606"/>
      <c r="F369" s="627" t="s">
        <v>955</v>
      </c>
      <c r="G369" s="597">
        <v>20.0</v>
      </c>
      <c r="H369" s="598">
        <f t="shared" si="19"/>
        <v>1120</v>
      </c>
      <c r="I369" s="599"/>
      <c r="J369" s="599"/>
      <c r="K369" s="615"/>
      <c r="L369" s="616" t="s">
        <v>157</v>
      </c>
      <c r="M369" s="621"/>
      <c r="N369" s="612"/>
      <c r="O369" s="612"/>
      <c r="P369" s="602">
        <f t="shared" si="26"/>
        <v>0</v>
      </c>
      <c r="Q369" s="613" t="s">
        <v>381</v>
      </c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</row>
    <row r="370" ht="22.5" customHeight="1">
      <c r="A370" s="614">
        <v>45538.0</v>
      </c>
      <c r="B370" s="626" t="s">
        <v>2218</v>
      </c>
      <c r="C370" s="609"/>
      <c r="D370" s="610">
        <v>50429.0</v>
      </c>
      <c r="E370" s="606"/>
      <c r="F370" s="627" t="s">
        <v>283</v>
      </c>
      <c r="G370" s="597">
        <v>0.0</v>
      </c>
      <c r="H370" s="598">
        <f t="shared" si="19"/>
        <v>0</v>
      </c>
      <c r="I370" s="599"/>
      <c r="J370" s="599"/>
      <c r="K370" s="615"/>
      <c r="L370" s="616" t="s">
        <v>72</v>
      </c>
      <c r="M370" s="621"/>
      <c r="N370" s="612"/>
      <c r="O370" s="612"/>
      <c r="P370" s="602"/>
      <c r="Q370" s="613" t="s">
        <v>209</v>
      </c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</row>
    <row r="371" ht="22.5" customHeight="1">
      <c r="A371" s="614">
        <v>45538.0</v>
      </c>
      <c r="B371" s="626" t="s">
        <v>2218</v>
      </c>
      <c r="C371" s="609"/>
      <c r="D371" s="610">
        <v>13990.0</v>
      </c>
      <c r="E371" s="595"/>
      <c r="F371" s="596"/>
      <c r="G371" s="597">
        <v>0.0</v>
      </c>
      <c r="H371" s="598">
        <f t="shared" si="19"/>
        <v>0</v>
      </c>
      <c r="I371" s="599"/>
      <c r="J371" s="599"/>
      <c r="K371" s="623"/>
      <c r="L371" s="624" t="s">
        <v>31</v>
      </c>
      <c r="M371" s="621"/>
      <c r="N371" s="621"/>
      <c r="O371" s="621"/>
      <c r="P371" s="602"/>
      <c r="Q371" s="622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</row>
    <row r="372" ht="22.5" customHeight="1">
      <c r="A372" s="614">
        <v>45538.0</v>
      </c>
      <c r="B372" s="626" t="s">
        <v>2218</v>
      </c>
      <c r="C372" s="609"/>
      <c r="D372" s="610">
        <v>624000.0</v>
      </c>
      <c r="E372" s="604" t="s">
        <v>28</v>
      </c>
      <c r="F372" s="627" t="s">
        <v>382</v>
      </c>
      <c r="G372" s="597">
        <v>20.0</v>
      </c>
      <c r="H372" s="598">
        <f t="shared" si="19"/>
        <v>104000</v>
      </c>
      <c r="I372" s="599"/>
      <c r="J372" s="599"/>
      <c r="K372" s="615"/>
      <c r="L372" s="616" t="s">
        <v>384</v>
      </c>
      <c r="M372" s="621"/>
      <c r="N372" s="621"/>
      <c r="O372" s="621"/>
      <c r="P372" s="602"/>
      <c r="Q372" s="622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</row>
    <row r="373" ht="22.5" customHeight="1">
      <c r="A373" s="614">
        <v>45539.0</v>
      </c>
      <c r="B373" s="626" t="s">
        <v>2218</v>
      </c>
      <c r="C373" s="609"/>
      <c r="D373" s="650">
        <f>2216154.88-500000</f>
        <v>1716154.88</v>
      </c>
      <c r="E373" s="606"/>
      <c r="F373" s="627" t="s">
        <v>2038</v>
      </c>
      <c r="G373" s="597">
        <v>20.0</v>
      </c>
      <c r="H373" s="598">
        <f t="shared" si="19"/>
        <v>286025.8133</v>
      </c>
      <c r="I373" s="599"/>
      <c r="J373" s="599"/>
      <c r="K373" s="615"/>
      <c r="L373" s="616" t="s">
        <v>77</v>
      </c>
      <c r="M373" s="621"/>
      <c r="N373" s="621"/>
      <c r="O373" s="621"/>
      <c r="P373" s="602"/>
      <c r="Q373" s="622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</row>
    <row r="374" ht="22.5" customHeight="1">
      <c r="A374" s="614">
        <v>45539.0</v>
      </c>
      <c r="B374" s="626" t="s">
        <v>2218</v>
      </c>
      <c r="C374" s="609"/>
      <c r="D374" s="609"/>
      <c r="E374" s="604" t="s">
        <v>33</v>
      </c>
      <c r="F374" s="627" t="s">
        <v>203</v>
      </c>
      <c r="G374" s="597">
        <v>0.0</v>
      </c>
      <c r="H374" s="598">
        <f t="shared" si="19"/>
        <v>0</v>
      </c>
      <c r="I374" s="599"/>
      <c r="J374" s="599">
        <f>601900+55000</f>
        <v>656900</v>
      </c>
      <c r="K374" s="656"/>
      <c r="L374" s="657" t="s">
        <v>203</v>
      </c>
      <c r="M374" s="621"/>
      <c r="N374" s="612"/>
      <c r="O374" s="612"/>
      <c r="P374" s="602"/>
      <c r="Q374" s="613" t="s">
        <v>385</v>
      </c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</row>
    <row r="375" ht="22.5" customHeight="1">
      <c r="A375" s="614">
        <v>45539.0</v>
      </c>
      <c r="B375" s="626" t="s">
        <v>2218</v>
      </c>
      <c r="C375" s="609"/>
      <c r="D375" s="610"/>
      <c r="E375" s="604" t="s">
        <v>33</v>
      </c>
      <c r="F375" s="627" t="s">
        <v>108</v>
      </c>
      <c r="G375" s="597">
        <v>0.0</v>
      </c>
      <c r="H375" s="598">
        <f t="shared" si="19"/>
        <v>0</v>
      </c>
      <c r="I375" s="599"/>
      <c r="J375" s="605">
        <v>45800.0</v>
      </c>
      <c r="K375" s="615"/>
      <c r="L375" s="616" t="s">
        <v>386</v>
      </c>
      <c r="M375" s="621"/>
      <c r="N375" s="621"/>
      <c r="O375" s="621"/>
      <c r="P375" s="602"/>
      <c r="Q375" s="622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</row>
    <row r="376" ht="22.5" customHeight="1">
      <c r="A376" s="614">
        <v>45541.0</v>
      </c>
      <c r="B376" s="626" t="s">
        <v>2218</v>
      </c>
      <c r="C376" s="609"/>
      <c r="D376" s="610">
        <v>1300.0</v>
      </c>
      <c r="E376" s="595"/>
      <c r="F376" s="596"/>
      <c r="G376" s="597">
        <v>0.0</v>
      </c>
      <c r="H376" s="598">
        <f t="shared" si="19"/>
        <v>0</v>
      </c>
      <c r="I376" s="599"/>
      <c r="J376" s="599"/>
      <c r="K376" s="615"/>
      <c r="L376" s="616" t="s">
        <v>387</v>
      </c>
      <c r="M376" s="621"/>
      <c r="N376" s="612"/>
      <c r="O376" s="612"/>
      <c r="P376" s="602"/>
      <c r="Q376" s="613" t="s">
        <v>388</v>
      </c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</row>
    <row r="377" ht="22.5" customHeight="1">
      <c r="A377" s="614">
        <v>45544.0</v>
      </c>
      <c r="B377" s="626" t="s">
        <v>2218</v>
      </c>
      <c r="C377" s="610">
        <v>28571.14</v>
      </c>
      <c r="D377" s="609"/>
      <c r="E377" s="606"/>
      <c r="F377" s="627" t="s">
        <v>2030</v>
      </c>
      <c r="G377" s="597">
        <v>20.0</v>
      </c>
      <c r="H377" s="598">
        <f t="shared" si="19"/>
        <v>4761.856667</v>
      </c>
      <c r="I377" s="599"/>
      <c r="J377" s="599"/>
      <c r="K377" s="615"/>
      <c r="L377" s="616" t="s">
        <v>389</v>
      </c>
      <c r="M377" s="612">
        <v>3.0</v>
      </c>
      <c r="N377" s="621"/>
      <c r="O377" s="621"/>
      <c r="P377" s="602">
        <f>A377-IF(O377&gt;0,O377,A377)</f>
        <v>0</v>
      </c>
      <c r="Q377" s="622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</row>
    <row r="378" ht="22.5" customHeight="1">
      <c r="A378" s="614">
        <v>45544.0</v>
      </c>
      <c r="B378" s="626" t="s">
        <v>2218</v>
      </c>
      <c r="C378" s="609"/>
      <c r="D378" s="609"/>
      <c r="E378" s="604" t="s">
        <v>33</v>
      </c>
      <c r="F378" s="627" t="s">
        <v>213</v>
      </c>
      <c r="G378" s="597">
        <v>0.0</v>
      </c>
      <c r="H378" s="598">
        <f t="shared" si="19"/>
        <v>0</v>
      </c>
      <c r="I378" s="599"/>
      <c r="J378" s="605">
        <v>14000.0</v>
      </c>
      <c r="K378" s="615"/>
      <c r="L378" s="616" t="s">
        <v>390</v>
      </c>
      <c r="M378" s="621"/>
      <c r="N378" s="621"/>
      <c r="O378" s="621"/>
      <c r="P378" s="602"/>
      <c r="Q378" s="622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</row>
    <row r="379" ht="22.5" customHeight="1">
      <c r="A379" s="614">
        <v>45544.0</v>
      </c>
      <c r="B379" s="626" t="s">
        <v>2218</v>
      </c>
      <c r="C379" s="609"/>
      <c r="D379" s="609"/>
      <c r="E379" s="604" t="s">
        <v>33</v>
      </c>
      <c r="F379" s="627" t="s">
        <v>213</v>
      </c>
      <c r="G379" s="597">
        <v>0.0</v>
      </c>
      <c r="H379" s="598">
        <f t="shared" si="19"/>
        <v>0</v>
      </c>
      <c r="I379" s="599"/>
      <c r="J379" s="605">
        <v>7450.0</v>
      </c>
      <c r="K379" s="615"/>
      <c r="L379" s="616" t="s">
        <v>391</v>
      </c>
      <c r="M379" s="621"/>
      <c r="N379" s="621"/>
      <c r="O379" s="621"/>
      <c r="P379" s="602"/>
      <c r="Q379" s="622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</row>
    <row r="380" ht="22.5" customHeight="1">
      <c r="A380" s="614">
        <v>45544.0</v>
      </c>
      <c r="B380" s="626" t="s">
        <v>2218</v>
      </c>
      <c r="C380" s="609"/>
      <c r="D380" s="609"/>
      <c r="E380" s="604" t="s">
        <v>33</v>
      </c>
      <c r="F380" s="596"/>
      <c r="G380" s="597">
        <v>0.0</v>
      </c>
      <c r="H380" s="598">
        <f t="shared" si="19"/>
        <v>0</v>
      </c>
      <c r="I380" s="599"/>
      <c r="J380" s="605">
        <v>15000.0</v>
      </c>
      <c r="K380" s="615"/>
      <c r="L380" s="616" t="s">
        <v>392</v>
      </c>
      <c r="M380" s="621"/>
      <c r="N380" s="621"/>
      <c r="O380" s="621"/>
      <c r="P380" s="602"/>
      <c r="Q380" s="622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</row>
    <row r="381" ht="22.5" customHeight="1">
      <c r="A381" s="614">
        <v>45544.0</v>
      </c>
      <c r="B381" s="626" t="s">
        <v>2218</v>
      </c>
      <c r="C381" s="609"/>
      <c r="D381" s="609"/>
      <c r="E381" s="604" t="s">
        <v>33</v>
      </c>
      <c r="F381" s="596"/>
      <c r="G381" s="597">
        <v>0.0</v>
      </c>
      <c r="H381" s="598">
        <f t="shared" si="19"/>
        <v>0</v>
      </c>
      <c r="I381" s="599"/>
      <c r="J381" s="605">
        <v>10000.0</v>
      </c>
      <c r="K381" s="658"/>
      <c r="L381" s="659" t="s">
        <v>393</v>
      </c>
      <c r="M381" s="621"/>
      <c r="N381" s="612"/>
      <c r="O381" s="612"/>
      <c r="P381" s="602"/>
      <c r="Q381" s="613" t="s">
        <v>394</v>
      </c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</row>
    <row r="382" ht="22.5" customHeight="1">
      <c r="A382" s="614">
        <v>45545.0</v>
      </c>
      <c r="B382" s="626" t="s">
        <v>2218</v>
      </c>
      <c r="C382" s="610">
        <v>35280.0</v>
      </c>
      <c r="D382" s="609"/>
      <c r="E382" s="606"/>
      <c r="F382" s="627" t="s">
        <v>955</v>
      </c>
      <c r="G382" s="597">
        <v>20.0</v>
      </c>
      <c r="H382" s="598">
        <f t="shared" si="19"/>
        <v>5880</v>
      </c>
      <c r="I382" s="599"/>
      <c r="J382" s="599"/>
      <c r="K382" s="615"/>
      <c r="L382" s="616" t="s">
        <v>157</v>
      </c>
      <c r="M382" s="621"/>
      <c r="N382" s="621"/>
      <c r="O382" s="621"/>
      <c r="P382" s="602">
        <f t="shared" ref="P382:P385" si="27">A382-IF(O382&gt;0,O382,A382)</f>
        <v>0</v>
      </c>
      <c r="Q382" s="622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</row>
    <row r="383" ht="22.5" customHeight="1">
      <c r="A383" s="614">
        <v>45545.0</v>
      </c>
      <c r="B383" s="626" t="s">
        <v>2218</v>
      </c>
      <c r="C383" s="610">
        <v>6644.87</v>
      </c>
      <c r="D383" s="609"/>
      <c r="E383" s="606"/>
      <c r="F383" s="627" t="s">
        <v>955</v>
      </c>
      <c r="G383" s="597">
        <v>20.0</v>
      </c>
      <c r="H383" s="598">
        <f t="shared" si="19"/>
        <v>1107.478333</v>
      </c>
      <c r="I383" s="599"/>
      <c r="J383" s="599"/>
      <c r="K383" s="615"/>
      <c r="L383" s="616" t="s">
        <v>157</v>
      </c>
      <c r="M383" s="621"/>
      <c r="N383" s="612"/>
      <c r="O383" s="612"/>
      <c r="P383" s="602">
        <f t="shared" si="27"/>
        <v>0</v>
      </c>
      <c r="Q383" s="613" t="s">
        <v>395</v>
      </c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</row>
    <row r="384" ht="22.5" customHeight="1">
      <c r="A384" s="614">
        <v>45545.0</v>
      </c>
      <c r="B384" s="626" t="s">
        <v>2218</v>
      </c>
      <c r="C384" s="610">
        <v>88087.86</v>
      </c>
      <c r="D384" s="609"/>
      <c r="E384" s="606"/>
      <c r="F384" s="627" t="s">
        <v>955</v>
      </c>
      <c r="G384" s="597">
        <v>20.0</v>
      </c>
      <c r="H384" s="598">
        <f t="shared" si="19"/>
        <v>14681.31</v>
      </c>
      <c r="I384" s="599"/>
      <c r="J384" s="599"/>
      <c r="K384" s="615"/>
      <c r="L384" s="616" t="s">
        <v>157</v>
      </c>
      <c r="M384" s="621"/>
      <c r="N384" s="612"/>
      <c r="O384" s="612"/>
      <c r="P384" s="602">
        <f t="shared" si="27"/>
        <v>0</v>
      </c>
      <c r="Q384" s="613" t="s">
        <v>396</v>
      </c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</row>
    <row r="385" ht="22.5" customHeight="1">
      <c r="A385" s="614">
        <v>45545.0</v>
      </c>
      <c r="B385" s="626" t="s">
        <v>2218</v>
      </c>
      <c r="C385" s="610">
        <v>78160.68</v>
      </c>
      <c r="D385" s="609"/>
      <c r="E385" s="606"/>
      <c r="F385" s="627" t="s">
        <v>955</v>
      </c>
      <c r="G385" s="597">
        <v>20.0</v>
      </c>
      <c r="H385" s="598">
        <f t="shared" si="19"/>
        <v>13026.78</v>
      </c>
      <c r="I385" s="599"/>
      <c r="J385" s="599"/>
      <c r="K385" s="615"/>
      <c r="L385" s="616" t="s">
        <v>157</v>
      </c>
      <c r="M385" s="621"/>
      <c r="N385" s="612"/>
      <c r="O385" s="612"/>
      <c r="P385" s="602">
        <f t="shared" si="27"/>
        <v>0</v>
      </c>
      <c r="Q385" s="613" t="s">
        <v>397</v>
      </c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</row>
    <row r="386" ht="22.5" customHeight="1">
      <c r="A386" s="614">
        <v>45547.0</v>
      </c>
      <c r="B386" s="626" t="s">
        <v>2218</v>
      </c>
      <c r="C386" s="609"/>
      <c r="D386" s="609"/>
      <c r="E386" s="604" t="s">
        <v>33</v>
      </c>
      <c r="F386" s="627" t="s">
        <v>213</v>
      </c>
      <c r="G386" s="597">
        <v>0.0</v>
      </c>
      <c r="H386" s="598">
        <f t="shared" si="19"/>
        <v>0</v>
      </c>
      <c r="I386" s="599"/>
      <c r="J386" s="605">
        <v>40000.0</v>
      </c>
      <c r="K386" s="615"/>
      <c r="L386" s="616" t="s">
        <v>264</v>
      </c>
      <c r="M386" s="621"/>
      <c r="N386" s="621"/>
      <c r="O386" s="621"/>
      <c r="P386" s="602"/>
      <c r="Q386" s="622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</row>
    <row r="387" ht="22.5" customHeight="1">
      <c r="A387" s="614">
        <v>45547.0</v>
      </c>
      <c r="B387" s="626" t="s">
        <v>2218</v>
      </c>
      <c r="C387" s="609"/>
      <c r="D387" s="609"/>
      <c r="E387" s="604" t="s">
        <v>33</v>
      </c>
      <c r="F387" s="596"/>
      <c r="G387" s="597">
        <v>0.0</v>
      </c>
      <c r="H387" s="598">
        <f t="shared" si="19"/>
        <v>0</v>
      </c>
      <c r="I387" s="599"/>
      <c r="J387" s="605">
        <v>1500.0</v>
      </c>
      <c r="K387" s="615"/>
      <c r="L387" s="616" t="s">
        <v>398</v>
      </c>
      <c r="M387" s="621"/>
      <c r="N387" s="621"/>
      <c r="O387" s="621"/>
      <c r="P387" s="602"/>
      <c r="Q387" s="622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</row>
    <row r="388" ht="22.5" customHeight="1">
      <c r="A388" s="614">
        <v>45547.0</v>
      </c>
      <c r="B388" s="626" t="s">
        <v>2218</v>
      </c>
      <c r="C388" s="609"/>
      <c r="D388" s="609"/>
      <c r="E388" s="604" t="s">
        <v>33</v>
      </c>
      <c r="F388" s="627" t="s">
        <v>213</v>
      </c>
      <c r="G388" s="597">
        <v>0.0</v>
      </c>
      <c r="H388" s="598">
        <f t="shared" si="19"/>
        <v>0</v>
      </c>
      <c r="I388" s="599"/>
      <c r="J388" s="605">
        <v>9000.0</v>
      </c>
      <c r="K388" s="615"/>
      <c r="L388" s="616" t="s">
        <v>399</v>
      </c>
      <c r="M388" s="621"/>
      <c r="N388" s="621"/>
      <c r="O388" s="621"/>
      <c r="P388" s="602"/>
      <c r="Q388" s="622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</row>
    <row r="389" ht="22.5" customHeight="1">
      <c r="A389" s="614">
        <v>45547.0</v>
      </c>
      <c r="B389" s="626" t="s">
        <v>2218</v>
      </c>
      <c r="C389" s="609"/>
      <c r="D389" s="609"/>
      <c r="E389" s="604" t="s">
        <v>33</v>
      </c>
      <c r="F389" s="627" t="s">
        <v>213</v>
      </c>
      <c r="G389" s="597">
        <v>0.0</v>
      </c>
      <c r="H389" s="598">
        <f t="shared" si="19"/>
        <v>0</v>
      </c>
      <c r="I389" s="599"/>
      <c r="J389" s="605">
        <v>6000.0</v>
      </c>
      <c r="K389" s="615"/>
      <c r="L389" s="616" t="s">
        <v>400</v>
      </c>
      <c r="M389" s="621"/>
      <c r="N389" s="621"/>
      <c r="O389" s="621"/>
      <c r="P389" s="602"/>
      <c r="Q389" s="622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</row>
    <row r="390" ht="22.5" customHeight="1">
      <c r="A390" s="614">
        <v>45550.0</v>
      </c>
      <c r="B390" s="626" t="s">
        <v>2218</v>
      </c>
      <c r="C390" s="609"/>
      <c r="D390" s="609">
        <v>1300000.0</v>
      </c>
      <c r="E390" s="606"/>
      <c r="F390" s="627" t="s">
        <v>48</v>
      </c>
      <c r="G390" s="597">
        <v>20.0</v>
      </c>
      <c r="H390" s="598">
        <f t="shared" si="19"/>
        <v>216666.6667</v>
      </c>
      <c r="I390" s="605">
        <v>975000.0</v>
      </c>
      <c r="J390" s="599"/>
      <c r="K390" s="615"/>
      <c r="L390" s="616" t="s">
        <v>48</v>
      </c>
      <c r="M390" s="621"/>
      <c r="N390" s="621"/>
      <c r="O390" s="621"/>
      <c r="P390" s="602"/>
      <c r="Q390" s="622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</row>
    <row r="391" ht="22.5" customHeight="1">
      <c r="A391" s="614">
        <v>45553.0</v>
      </c>
      <c r="B391" s="626" t="s">
        <v>2218</v>
      </c>
      <c r="C391" s="610">
        <v>44424.0</v>
      </c>
      <c r="D391" s="610"/>
      <c r="E391" s="606"/>
      <c r="F391" s="627" t="s">
        <v>2031</v>
      </c>
      <c r="G391" s="597">
        <v>20.0</v>
      </c>
      <c r="H391" s="598">
        <f t="shared" si="19"/>
        <v>7404</v>
      </c>
      <c r="I391" s="599"/>
      <c r="J391" s="605"/>
      <c r="K391" s="628"/>
      <c r="L391" s="629" t="s">
        <v>120</v>
      </c>
      <c r="M391" s="618">
        <v>16.0</v>
      </c>
      <c r="N391" s="618"/>
      <c r="O391" s="618"/>
      <c r="P391" s="602">
        <f t="shared" ref="P391:P393" si="28">A391-IF(O391&gt;0,O391,A391)</f>
        <v>0</v>
      </c>
      <c r="Q391" s="613" t="s">
        <v>401</v>
      </c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</row>
    <row r="392" ht="22.5" customHeight="1">
      <c r="A392" s="614">
        <v>45553.0</v>
      </c>
      <c r="B392" s="626" t="s">
        <v>2218</v>
      </c>
      <c r="C392" s="610">
        <v>753860.84</v>
      </c>
      <c r="D392" s="610"/>
      <c r="E392" s="606"/>
      <c r="F392" s="627" t="s">
        <v>2031</v>
      </c>
      <c r="G392" s="597">
        <v>20.0</v>
      </c>
      <c r="H392" s="598">
        <f t="shared" si="19"/>
        <v>125643.4733</v>
      </c>
      <c r="I392" s="599"/>
      <c r="J392" s="599"/>
      <c r="K392" s="628"/>
      <c r="L392" s="629" t="s">
        <v>120</v>
      </c>
      <c r="M392" s="618">
        <v>14.0</v>
      </c>
      <c r="N392" s="618"/>
      <c r="O392" s="618"/>
      <c r="P392" s="602">
        <f t="shared" si="28"/>
        <v>0</v>
      </c>
      <c r="Q392" s="613" t="s">
        <v>402</v>
      </c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</row>
    <row r="393" ht="22.5" customHeight="1">
      <c r="A393" s="614">
        <v>45553.0</v>
      </c>
      <c r="B393" s="626" t="s">
        <v>2218</v>
      </c>
      <c r="C393" s="610">
        <v>98958.96</v>
      </c>
      <c r="D393" s="609"/>
      <c r="E393" s="606"/>
      <c r="F393" s="627" t="s">
        <v>2031</v>
      </c>
      <c r="G393" s="597">
        <v>20.0</v>
      </c>
      <c r="H393" s="598">
        <f t="shared" si="19"/>
        <v>16493.16</v>
      </c>
      <c r="I393" s="599"/>
      <c r="J393" s="599"/>
      <c r="K393" s="628"/>
      <c r="L393" s="629" t="s">
        <v>120</v>
      </c>
      <c r="M393" s="612">
        <v>15.0</v>
      </c>
      <c r="N393" s="612"/>
      <c r="O393" s="612"/>
      <c r="P393" s="602">
        <f t="shared" si="28"/>
        <v>0</v>
      </c>
      <c r="Q393" s="613" t="s">
        <v>403</v>
      </c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</row>
    <row r="394" ht="22.5" customHeight="1">
      <c r="A394" s="614">
        <v>45553.0</v>
      </c>
      <c r="B394" s="626" t="s">
        <v>2218</v>
      </c>
      <c r="C394" s="609"/>
      <c r="D394" s="610">
        <v>88500.0</v>
      </c>
      <c r="E394" s="606"/>
      <c r="F394" s="627" t="s">
        <v>2031</v>
      </c>
      <c r="G394" s="597">
        <v>0.0</v>
      </c>
      <c r="H394" s="598">
        <f t="shared" si="19"/>
        <v>0</v>
      </c>
      <c r="I394" s="599"/>
      <c r="J394" s="599"/>
      <c r="K394" s="615"/>
      <c r="L394" s="616" t="s">
        <v>404</v>
      </c>
      <c r="M394" s="621"/>
      <c r="N394" s="612"/>
      <c r="O394" s="612"/>
      <c r="P394" s="602"/>
      <c r="Q394" s="613" t="s">
        <v>405</v>
      </c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</row>
    <row r="395" ht="22.5" customHeight="1">
      <c r="A395" s="614">
        <v>45553.0</v>
      </c>
      <c r="B395" s="626" t="s">
        <v>2218</v>
      </c>
      <c r="C395" s="609"/>
      <c r="D395" s="610"/>
      <c r="E395" s="604" t="s">
        <v>33</v>
      </c>
      <c r="F395" s="627" t="s">
        <v>203</v>
      </c>
      <c r="G395" s="597">
        <v>0.0</v>
      </c>
      <c r="H395" s="598">
        <f t="shared" si="19"/>
        <v>0</v>
      </c>
      <c r="I395" s="599"/>
      <c r="J395" s="605">
        <v>15000.0</v>
      </c>
      <c r="K395" s="615"/>
      <c r="L395" s="616" t="s">
        <v>240</v>
      </c>
      <c r="M395" s="621"/>
      <c r="N395" s="612"/>
      <c r="O395" s="612"/>
      <c r="P395" s="602"/>
      <c r="Q395" s="613" t="s">
        <v>406</v>
      </c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</row>
    <row r="396" ht="22.5" customHeight="1">
      <c r="A396" s="614">
        <v>45554.0</v>
      </c>
      <c r="B396" s="626" t="s">
        <v>2218</v>
      </c>
      <c r="C396" s="610">
        <v>463712.06</v>
      </c>
      <c r="D396" s="609"/>
      <c r="E396" s="606"/>
      <c r="F396" s="627" t="s">
        <v>2039</v>
      </c>
      <c r="G396" s="597">
        <v>20.0</v>
      </c>
      <c r="H396" s="598">
        <f t="shared" si="19"/>
        <v>77285.34333</v>
      </c>
      <c r="I396" s="599"/>
      <c r="J396" s="599"/>
      <c r="K396" s="615"/>
      <c r="L396" s="616" t="s">
        <v>157</v>
      </c>
      <c r="M396" s="621"/>
      <c r="N396" s="612"/>
      <c r="O396" s="612"/>
      <c r="P396" s="602">
        <f t="shared" ref="P396:P399" si="29">A396-IF(O396&gt;0,O396,A396)</f>
        <v>0</v>
      </c>
      <c r="Q396" s="613" t="s">
        <v>407</v>
      </c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</row>
    <row r="397" ht="22.5" customHeight="1">
      <c r="A397" s="614">
        <v>45554.0</v>
      </c>
      <c r="B397" s="626" t="s">
        <v>2218</v>
      </c>
      <c r="C397" s="610">
        <v>182570.11</v>
      </c>
      <c r="D397" s="609"/>
      <c r="E397" s="606"/>
      <c r="F397" s="627" t="s">
        <v>955</v>
      </c>
      <c r="G397" s="597">
        <v>20.0</v>
      </c>
      <c r="H397" s="598">
        <f t="shared" si="19"/>
        <v>30428.35167</v>
      </c>
      <c r="I397" s="599"/>
      <c r="J397" s="599"/>
      <c r="K397" s="615"/>
      <c r="L397" s="616" t="s">
        <v>157</v>
      </c>
      <c r="M397" s="621"/>
      <c r="N397" s="612"/>
      <c r="O397" s="612"/>
      <c r="P397" s="602">
        <f t="shared" si="29"/>
        <v>0</v>
      </c>
      <c r="Q397" s="613" t="s">
        <v>408</v>
      </c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</row>
    <row r="398" ht="22.5" customHeight="1">
      <c r="A398" s="614">
        <v>45554.0</v>
      </c>
      <c r="B398" s="626" t="s">
        <v>2218</v>
      </c>
      <c r="C398" s="610">
        <v>445051.32</v>
      </c>
      <c r="D398" s="609"/>
      <c r="E398" s="606"/>
      <c r="F398" s="627" t="s">
        <v>2031</v>
      </c>
      <c r="G398" s="597">
        <v>20.0</v>
      </c>
      <c r="H398" s="598">
        <f t="shared" si="19"/>
        <v>74175.22</v>
      </c>
      <c r="I398" s="599"/>
      <c r="J398" s="599"/>
      <c r="K398" s="628"/>
      <c r="L398" s="629" t="s">
        <v>120</v>
      </c>
      <c r="M398" s="612">
        <v>17.0</v>
      </c>
      <c r="N398" s="612"/>
      <c r="O398" s="612"/>
      <c r="P398" s="602">
        <f t="shared" si="29"/>
        <v>0</v>
      </c>
      <c r="Q398" s="613" t="s">
        <v>409</v>
      </c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</row>
    <row r="399" ht="22.5" customHeight="1">
      <c r="A399" s="614">
        <v>45554.0</v>
      </c>
      <c r="B399" s="626" t="s">
        <v>2218</v>
      </c>
      <c r="C399" s="610">
        <v>35667.0</v>
      </c>
      <c r="D399" s="609"/>
      <c r="E399" s="606"/>
      <c r="F399" s="627" t="s">
        <v>2031</v>
      </c>
      <c r="G399" s="597">
        <v>20.0</v>
      </c>
      <c r="H399" s="598">
        <f t="shared" si="19"/>
        <v>5944.5</v>
      </c>
      <c r="I399" s="599"/>
      <c r="J399" s="599"/>
      <c r="K399" s="628"/>
      <c r="L399" s="629" t="s">
        <v>120</v>
      </c>
      <c r="M399" s="612">
        <v>18.0</v>
      </c>
      <c r="N399" s="612"/>
      <c r="O399" s="612"/>
      <c r="P399" s="602">
        <f t="shared" si="29"/>
        <v>0</v>
      </c>
      <c r="Q399" s="613" t="s">
        <v>410</v>
      </c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</row>
    <row r="400" ht="22.5" customHeight="1">
      <c r="A400" s="614">
        <v>45554.0</v>
      </c>
      <c r="B400" s="626" t="s">
        <v>2218</v>
      </c>
      <c r="C400" s="609"/>
      <c r="D400" s="610">
        <v>8239.0</v>
      </c>
      <c r="E400" s="606"/>
      <c r="F400" s="627" t="s">
        <v>382</v>
      </c>
      <c r="G400" s="597">
        <v>0.0</v>
      </c>
      <c r="H400" s="598">
        <f t="shared" si="19"/>
        <v>0</v>
      </c>
      <c r="I400" s="599"/>
      <c r="J400" s="599"/>
      <c r="K400" s="615"/>
      <c r="L400" s="616" t="s">
        <v>411</v>
      </c>
      <c r="M400" s="621"/>
      <c r="N400" s="612"/>
      <c r="O400" s="612"/>
      <c r="P400" s="602"/>
      <c r="Q400" s="613" t="s">
        <v>412</v>
      </c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</row>
    <row r="401" ht="22.5" customHeight="1">
      <c r="A401" s="614">
        <v>45555.0</v>
      </c>
      <c r="B401" s="626" t="s">
        <v>2218</v>
      </c>
      <c r="C401" s="609"/>
      <c r="D401" s="609">
        <f>1126210/0.94*1.2</f>
        <v>1437714.894</v>
      </c>
      <c r="E401" s="604" t="s">
        <v>33</v>
      </c>
      <c r="F401" s="627" t="s">
        <v>415</v>
      </c>
      <c r="G401" s="597">
        <v>20.0</v>
      </c>
      <c r="H401" s="598">
        <f t="shared" si="19"/>
        <v>239619.1489</v>
      </c>
      <c r="I401" s="605">
        <v>1126210.0</v>
      </c>
      <c r="J401" s="605">
        <v>1126210.0</v>
      </c>
      <c r="K401" s="615"/>
      <c r="L401" s="616" t="s">
        <v>413</v>
      </c>
      <c r="M401" s="621"/>
      <c r="N401" s="621"/>
      <c r="O401" s="621"/>
      <c r="P401" s="602"/>
      <c r="Q401" s="613" t="s">
        <v>414</v>
      </c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</row>
    <row r="402" ht="22.5" customHeight="1">
      <c r="A402" s="614">
        <v>45555.0</v>
      </c>
      <c r="B402" s="626" t="s">
        <v>2218</v>
      </c>
      <c r="C402" s="609"/>
      <c r="D402" s="610"/>
      <c r="E402" s="604" t="s">
        <v>33</v>
      </c>
      <c r="F402" s="627" t="s">
        <v>203</v>
      </c>
      <c r="G402" s="597">
        <v>0.0</v>
      </c>
      <c r="H402" s="598">
        <f t="shared" si="19"/>
        <v>0</v>
      </c>
      <c r="I402" s="599"/>
      <c r="J402" s="605">
        <v>30000.0</v>
      </c>
      <c r="K402" s="615"/>
      <c r="L402" s="616" t="s">
        <v>240</v>
      </c>
      <c r="M402" s="621"/>
      <c r="N402" s="612"/>
      <c r="O402" s="612"/>
      <c r="P402" s="602"/>
      <c r="Q402" s="613" t="s">
        <v>406</v>
      </c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</row>
    <row r="403" ht="22.5" customHeight="1">
      <c r="A403" s="614">
        <v>45555.0</v>
      </c>
      <c r="B403" s="626" t="s">
        <v>2218</v>
      </c>
      <c r="C403" s="609"/>
      <c r="D403" s="610">
        <v>48409.6</v>
      </c>
      <c r="E403" s="606"/>
      <c r="F403" s="627" t="s">
        <v>382</v>
      </c>
      <c r="G403" s="597">
        <v>0.0</v>
      </c>
      <c r="H403" s="598">
        <f t="shared" si="19"/>
        <v>0</v>
      </c>
      <c r="I403" s="599"/>
      <c r="J403" s="599"/>
      <c r="K403" s="615"/>
      <c r="L403" s="616" t="s">
        <v>416</v>
      </c>
      <c r="M403" s="621"/>
      <c r="N403" s="612"/>
      <c r="O403" s="612"/>
      <c r="P403" s="602"/>
      <c r="Q403" s="613" t="s">
        <v>417</v>
      </c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</row>
    <row r="404" ht="22.5" customHeight="1">
      <c r="A404" s="614">
        <v>45555.0</v>
      </c>
      <c r="B404" s="626" t="s">
        <v>2218</v>
      </c>
      <c r="C404" s="609"/>
      <c r="D404" s="609"/>
      <c r="E404" s="604" t="s">
        <v>33</v>
      </c>
      <c r="F404" s="627" t="s">
        <v>418</v>
      </c>
      <c r="G404" s="597">
        <v>0.0</v>
      </c>
      <c r="H404" s="598">
        <f t="shared" si="19"/>
        <v>0</v>
      </c>
      <c r="I404" s="599"/>
      <c r="J404" s="605">
        <v>20000.0</v>
      </c>
      <c r="K404" s="615"/>
      <c r="L404" s="616" t="s">
        <v>418</v>
      </c>
      <c r="M404" s="621"/>
      <c r="N404" s="612"/>
      <c r="O404" s="612"/>
      <c r="P404" s="602"/>
      <c r="Q404" s="613" t="s">
        <v>419</v>
      </c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</row>
    <row r="405" ht="22.5" customHeight="1">
      <c r="A405" s="614">
        <v>45555.0</v>
      </c>
      <c r="B405" s="626" t="s">
        <v>2218</v>
      </c>
      <c r="C405" s="609"/>
      <c r="D405" s="660">
        <f>1102500/0.94*1.2</f>
        <v>1407446.809</v>
      </c>
      <c r="E405" s="606"/>
      <c r="F405" s="627" t="s">
        <v>434</v>
      </c>
      <c r="G405" s="597">
        <v>20.0</v>
      </c>
      <c r="H405" s="598">
        <f t="shared" si="19"/>
        <v>234574.4681</v>
      </c>
      <c r="I405" s="605">
        <v>1102500.0</v>
      </c>
      <c r="J405" s="599"/>
      <c r="K405" s="611"/>
      <c r="L405" s="611"/>
      <c r="M405" s="621"/>
      <c r="N405" s="621"/>
      <c r="O405" s="621"/>
      <c r="P405" s="602"/>
      <c r="Q405" s="622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</row>
    <row r="406" ht="22.5" customHeight="1">
      <c r="A406" s="614">
        <v>45558.0</v>
      </c>
      <c r="B406" s="626" t="s">
        <v>2218</v>
      </c>
      <c r="C406" s="609"/>
      <c r="D406" s="610">
        <v>29700.0</v>
      </c>
      <c r="E406" s="606"/>
      <c r="F406" s="627" t="s">
        <v>382</v>
      </c>
      <c r="G406" s="597">
        <v>0.0</v>
      </c>
      <c r="H406" s="598">
        <f t="shared" si="19"/>
        <v>0</v>
      </c>
      <c r="I406" s="599"/>
      <c r="J406" s="599"/>
      <c r="K406" s="615"/>
      <c r="L406" s="616" t="s">
        <v>420</v>
      </c>
      <c r="M406" s="621"/>
      <c r="N406" s="612"/>
      <c r="O406" s="612"/>
      <c r="P406" s="602"/>
      <c r="Q406" s="613" t="s">
        <v>421</v>
      </c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</row>
    <row r="407" ht="22.5" customHeight="1">
      <c r="A407" s="614">
        <v>45558.0</v>
      </c>
      <c r="B407" s="626" t="s">
        <v>2218</v>
      </c>
      <c r="C407" s="609"/>
      <c r="D407" s="610">
        <v>2400.0</v>
      </c>
      <c r="E407" s="595"/>
      <c r="F407" s="596"/>
      <c r="G407" s="597">
        <v>0.0</v>
      </c>
      <c r="H407" s="598">
        <f t="shared" si="19"/>
        <v>0</v>
      </c>
      <c r="I407" s="599"/>
      <c r="J407" s="599"/>
      <c r="K407" s="615"/>
      <c r="L407" s="616" t="s">
        <v>377</v>
      </c>
      <c r="M407" s="621"/>
      <c r="N407" s="621"/>
      <c r="O407" s="621"/>
      <c r="P407" s="602"/>
      <c r="Q407" s="613" t="s">
        <v>378</v>
      </c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</row>
    <row r="408" ht="22.5" customHeight="1">
      <c r="A408" s="614">
        <v>45559.0</v>
      </c>
      <c r="B408" s="626" t="s">
        <v>2218</v>
      </c>
      <c r="C408" s="610">
        <v>1547000.0</v>
      </c>
      <c r="D408" s="609"/>
      <c r="E408" s="606"/>
      <c r="F408" s="627" t="s">
        <v>2031</v>
      </c>
      <c r="G408" s="597">
        <v>20.0</v>
      </c>
      <c r="H408" s="598">
        <f t="shared" si="19"/>
        <v>257833.3333</v>
      </c>
      <c r="I408" s="599"/>
      <c r="J408" s="599"/>
      <c r="K408" s="615"/>
      <c r="L408" s="616" t="s">
        <v>317</v>
      </c>
      <c r="M408" s="612">
        <v>5.0</v>
      </c>
      <c r="N408" s="612"/>
      <c r="O408" s="612"/>
      <c r="P408" s="602">
        <f>A408-IF(O408&gt;0,O408,A408)</f>
        <v>0</v>
      </c>
      <c r="Q408" s="613" t="s">
        <v>422</v>
      </c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</row>
    <row r="409" ht="22.5" customHeight="1">
      <c r="A409" s="614">
        <v>45559.0</v>
      </c>
      <c r="B409" s="626" t="s">
        <v>2218</v>
      </c>
      <c r="C409" s="609"/>
      <c r="D409" s="609">
        <f>10980+2700</f>
        <v>13680</v>
      </c>
      <c r="E409" s="606"/>
      <c r="F409" s="627" t="s">
        <v>382</v>
      </c>
      <c r="G409" s="597">
        <v>20.0</v>
      </c>
      <c r="H409" s="598">
        <f t="shared" si="19"/>
        <v>2280</v>
      </c>
      <c r="I409" s="599"/>
      <c r="J409" s="599"/>
      <c r="K409" s="615"/>
      <c r="L409" s="616" t="s">
        <v>423</v>
      </c>
      <c r="M409" s="621"/>
      <c r="N409" s="612"/>
      <c r="O409" s="612"/>
      <c r="P409" s="602"/>
      <c r="Q409" s="613" t="s">
        <v>424</v>
      </c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</row>
    <row r="410" ht="22.5" customHeight="1">
      <c r="A410" s="614">
        <v>45559.0</v>
      </c>
      <c r="B410" s="626" t="s">
        <v>2218</v>
      </c>
      <c r="C410" s="609"/>
      <c r="D410" s="609"/>
      <c r="E410" s="604" t="s">
        <v>33</v>
      </c>
      <c r="F410" s="627" t="s">
        <v>382</v>
      </c>
      <c r="G410" s="597">
        <v>0.0</v>
      </c>
      <c r="H410" s="598">
        <f t="shared" si="19"/>
        <v>0</v>
      </c>
      <c r="I410" s="599"/>
      <c r="J410" s="605">
        <v>55000.0</v>
      </c>
      <c r="K410" s="615"/>
      <c r="L410" s="616" t="s">
        <v>386</v>
      </c>
      <c r="M410" s="621"/>
      <c r="N410" s="612"/>
      <c r="O410" s="612"/>
      <c r="P410" s="602"/>
      <c r="Q410" s="613" t="s">
        <v>425</v>
      </c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</row>
    <row r="411" ht="22.5" customHeight="1">
      <c r="A411" s="614">
        <v>45559.0</v>
      </c>
      <c r="B411" s="626" t="s">
        <v>2218</v>
      </c>
      <c r="C411" s="609"/>
      <c r="D411" s="609"/>
      <c r="E411" s="604" t="s">
        <v>33</v>
      </c>
      <c r="F411" s="627" t="s">
        <v>382</v>
      </c>
      <c r="G411" s="597">
        <v>0.0</v>
      </c>
      <c r="H411" s="598">
        <f t="shared" si="19"/>
        <v>0</v>
      </c>
      <c r="I411" s="599"/>
      <c r="J411" s="605">
        <f>6500+9700</f>
        <v>16200</v>
      </c>
      <c r="K411" s="615"/>
      <c r="L411" s="616" t="s">
        <v>254</v>
      </c>
      <c r="M411" s="621"/>
      <c r="N411" s="612"/>
      <c r="O411" s="612"/>
      <c r="P411" s="602"/>
      <c r="Q411" s="613" t="s">
        <v>426</v>
      </c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</row>
    <row r="412" ht="22.5" customHeight="1">
      <c r="A412" s="614">
        <v>45560.0</v>
      </c>
      <c r="B412" s="626" t="s">
        <v>2218</v>
      </c>
      <c r="C412" s="609"/>
      <c r="D412" s="610">
        <v>256162.0</v>
      </c>
      <c r="E412" s="606"/>
      <c r="F412" s="627" t="s">
        <v>203</v>
      </c>
      <c r="G412" s="597">
        <v>0.0</v>
      </c>
      <c r="H412" s="598">
        <f t="shared" si="19"/>
        <v>0</v>
      </c>
      <c r="I412" s="599"/>
      <c r="J412" s="599"/>
      <c r="K412" s="615"/>
      <c r="L412" s="616" t="s">
        <v>338</v>
      </c>
      <c r="M412" s="621"/>
      <c r="N412" s="612"/>
      <c r="O412" s="612"/>
      <c r="P412" s="602"/>
      <c r="Q412" s="613" t="s">
        <v>427</v>
      </c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</row>
    <row r="413" ht="22.5" customHeight="1">
      <c r="A413" s="614">
        <v>45562.0</v>
      </c>
      <c r="B413" s="626" t="s">
        <v>2218</v>
      </c>
      <c r="C413" s="650">
        <v>362971.56</v>
      </c>
      <c r="D413" s="609"/>
      <c r="E413" s="606"/>
      <c r="F413" s="627" t="s">
        <v>2030</v>
      </c>
      <c r="G413" s="597">
        <v>20.0</v>
      </c>
      <c r="H413" s="598">
        <f t="shared" si="19"/>
        <v>60495.26</v>
      </c>
      <c r="I413" s="599"/>
      <c r="J413" s="599"/>
      <c r="K413" s="615"/>
      <c r="L413" s="616" t="s">
        <v>367</v>
      </c>
      <c r="M413" s="612">
        <v>2.0</v>
      </c>
      <c r="N413" s="612"/>
      <c r="O413" s="612"/>
      <c r="P413" s="602">
        <f t="shared" ref="P413:P414" si="30">A413-IF(O413&gt;0,O413,A413)</f>
        <v>0</v>
      </c>
      <c r="Q413" s="613" t="s">
        <v>428</v>
      </c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</row>
    <row r="414" ht="22.5" customHeight="1">
      <c r="A414" s="614">
        <v>45562.0</v>
      </c>
      <c r="B414" s="626" t="s">
        <v>2218</v>
      </c>
      <c r="C414" s="655">
        <v>1200000.06</v>
      </c>
      <c r="D414" s="609"/>
      <c r="E414" s="606"/>
      <c r="F414" s="627" t="s">
        <v>2030</v>
      </c>
      <c r="G414" s="597">
        <v>20.0</v>
      </c>
      <c r="H414" s="598">
        <f t="shared" si="19"/>
        <v>200000.01</v>
      </c>
      <c r="I414" s="599"/>
      <c r="J414" s="599"/>
      <c r="K414" s="615"/>
      <c r="L414" s="616" t="s">
        <v>250</v>
      </c>
      <c r="M414" s="612">
        <v>8.0</v>
      </c>
      <c r="N414" s="661">
        <v>98.0</v>
      </c>
      <c r="O414" s="612"/>
      <c r="P414" s="602">
        <f t="shared" si="30"/>
        <v>0</v>
      </c>
      <c r="Q414" s="613" t="s">
        <v>429</v>
      </c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</row>
    <row r="415" ht="22.5" customHeight="1">
      <c r="A415" s="614">
        <v>45565.0</v>
      </c>
      <c r="B415" s="626" t="s">
        <v>2218</v>
      </c>
      <c r="C415" s="609"/>
      <c r="D415" s="609"/>
      <c r="E415" s="604" t="s">
        <v>33</v>
      </c>
      <c r="F415" s="627" t="s">
        <v>203</v>
      </c>
      <c r="G415" s="597">
        <v>0.0</v>
      </c>
      <c r="H415" s="598">
        <f t="shared" si="19"/>
        <v>0</v>
      </c>
      <c r="I415" s="599"/>
      <c r="J415" s="605">
        <v>25000.0</v>
      </c>
      <c r="K415" s="615"/>
      <c r="L415" s="616" t="s">
        <v>240</v>
      </c>
      <c r="M415" s="621"/>
      <c r="N415" s="612"/>
      <c r="O415" s="612"/>
      <c r="P415" s="602"/>
      <c r="Q415" s="613" t="s">
        <v>406</v>
      </c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</row>
    <row r="416" ht="22.5" customHeight="1">
      <c r="A416" s="614">
        <v>45565.0</v>
      </c>
      <c r="B416" s="626" t="s">
        <v>2218</v>
      </c>
      <c r="C416" s="609"/>
      <c r="D416" s="610">
        <v>474678.0</v>
      </c>
      <c r="E416" s="606"/>
      <c r="F416" s="627" t="s">
        <v>236</v>
      </c>
      <c r="G416" s="597">
        <v>0.0</v>
      </c>
      <c r="H416" s="598">
        <f t="shared" si="19"/>
        <v>0</v>
      </c>
      <c r="I416" s="599"/>
      <c r="J416" s="599"/>
      <c r="K416" s="615"/>
      <c r="L416" s="616" t="s">
        <v>72</v>
      </c>
      <c r="M416" s="621"/>
      <c r="N416" s="612"/>
      <c r="O416" s="612"/>
      <c r="P416" s="602"/>
      <c r="Q416" s="613" t="s">
        <v>430</v>
      </c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</row>
    <row r="417" ht="22.5" customHeight="1">
      <c r="A417" s="614">
        <v>45565.0</v>
      </c>
      <c r="B417" s="626" t="s">
        <v>2218</v>
      </c>
      <c r="C417" s="609"/>
      <c r="D417" s="610">
        <v>204342.51</v>
      </c>
      <c r="E417" s="606"/>
      <c r="F417" s="627" t="s">
        <v>283</v>
      </c>
      <c r="G417" s="597">
        <v>0.0</v>
      </c>
      <c r="H417" s="598">
        <f t="shared" si="19"/>
        <v>0</v>
      </c>
      <c r="I417" s="599"/>
      <c r="J417" s="599"/>
      <c r="K417" s="615"/>
      <c r="L417" s="616" t="s">
        <v>72</v>
      </c>
      <c r="M417" s="621"/>
      <c r="N417" s="612"/>
      <c r="O417" s="612"/>
      <c r="P417" s="602"/>
      <c r="Q417" s="613" t="s">
        <v>208</v>
      </c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</row>
    <row r="418" ht="22.5" customHeight="1">
      <c r="A418" s="614">
        <v>45565.0</v>
      </c>
      <c r="B418" s="626" t="s">
        <v>2218</v>
      </c>
      <c r="C418" s="609"/>
      <c r="D418" s="610">
        <v>38278.0</v>
      </c>
      <c r="E418" s="606"/>
      <c r="F418" s="627" t="s">
        <v>283</v>
      </c>
      <c r="G418" s="597">
        <v>0.0</v>
      </c>
      <c r="H418" s="598">
        <f t="shared" si="19"/>
        <v>0</v>
      </c>
      <c r="I418" s="599"/>
      <c r="J418" s="599"/>
      <c r="K418" s="615"/>
      <c r="L418" s="616" t="s">
        <v>72</v>
      </c>
      <c r="M418" s="621"/>
      <c r="N418" s="612"/>
      <c r="O418" s="612"/>
      <c r="P418" s="602"/>
      <c r="Q418" s="613" t="s">
        <v>209</v>
      </c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</row>
    <row r="419" ht="22.5" customHeight="1">
      <c r="A419" s="614">
        <v>45566.0</v>
      </c>
      <c r="B419" s="626" t="s">
        <v>2218</v>
      </c>
      <c r="C419" s="609"/>
      <c r="D419" s="610">
        <v>13990.0</v>
      </c>
      <c r="E419" s="595"/>
      <c r="F419" s="596"/>
      <c r="G419" s="597">
        <v>0.0</v>
      </c>
      <c r="H419" s="598">
        <f t="shared" si="19"/>
        <v>0</v>
      </c>
      <c r="I419" s="599"/>
      <c r="J419" s="599"/>
      <c r="K419" s="600"/>
      <c r="L419" s="601" t="s">
        <v>31</v>
      </c>
      <c r="M419" s="621"/>
      <c r="N419" s="621"/>
      <c r="O419" s="621"/>
      <c r="P419" s="602"/>
      <c r="Q419" s="622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</row>
    <row r="420" ht="22.5" customHeight="1">
      <c r="A420" s="614">
        <v>45567.0</v>
      </c>
      <c r="B420" s="626" t="s">
        <v>2218</v>
      </c>
      <c r="C420" s="610">
        <v>210000.0</v>
      </c>
      <c r="D420" s="610"/>
      <c r="E420" s="606"/>
      <c r="F420" s="627" t="s">
        <v>2031</v>
      </c>
      <c r="G420" s="597">
        <v>20.0</v>
      </c>
      <c r="H420" s="598">
        <f t="shared" si="19"/>
        <v>35000</v>
      </c>
      <c r="I420" s="599"/>
      <c r="J420" s="599"/>
      <c r="K420" s="615"/>
      <c r="L420" s="616" t="s">
        <v>317</v>
      </c>
      <c r="M420" s="612">
        <v>6.0</v>
      </c>
      <c r="N420" s="612"/>
      <c r="O420" s="612"/>
      <c r="P420" s="602">
        <f>A420-IF(O420&gt;0,O420,A420)</f>
        <v>0</v>
      </c>
      <c r="Q420" s="613" t="s">
        <v>431</v>
      </c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</row>
    <row r="421" ht="22.5" customHeight="1">
      <c r="A421" s="614">
        <v>45567.0</v>
      </c>
      <c r="B421" s="626" t="s">
        <v>2218</v>
      </c>
      <c r="C421" s="609"/>
      <c r="D421" s="610">
        <v>2000000.0</v>
      </c>
      <c r="E421" s="606"/>
      <c r="F421" s="627" t="s">
        <v>2039</v>
      </c>
      <c r="G421" s="597">
        <v>20.0</v>
      </c>
      <c r="H421" s="598">
        <f t="shared" si="19"/>
        <v>333333.3333</v>
      </c>
      <c r="I421" s="599"/>
      <c r="J421" s="599"/>
      <c r="K421" s="615"/>
      <c r="L421" s="616" t="s">
        <v>77</v>
      </c>
      <c r="M421" s="621"/>
      <c r="N421" s="612"/>
      <c r="O421" s="612"/>
      <c r="P421" s="602"/>
      <c r="Q421" s="613" t="s">
        <v>432</v>
      </c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</row>
    <row r="422" ht="22.5" customHeight="1">
      <c r="A422" s="614">
        <v>45569.0</v>
      </c>
      <c r="B422" s="626" t="s">
        <v>2218</v>
      </c>
      <c r="C422" s="609"/>
      <c r="D422" s="610"/>
      <c r="E422" s="604" t="s">
        <v>33</v>
      </c>
      <c r="F422" s="627" t="s">
        <v>2032</v>
      </c>
      <c r="G422" s="597">
        <v>0.0</v>
      </c>
      <c r="H422" s="598">
        <f t="shared" si="19"/>
        <v>0</v>
      </c>
      <c r="I422" s="599"/>
      <c r="J422" s="599">
        <f>545000+100000+55000</f>
        <v>700000</v>
      </c>
      <c r="K422" s="615"/>
      <c r="L422" s="616" t="s">
        <v>203</v>
      </c>
      <c r="M422" s="621"/>
      <c r="N422" s="612"/>
      <c r="O422" s="612"/>
      <c r="P422" s="602"/>
      <c r="Q422" s="613" t="s">
        <v>406</v>
      </c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</row>
    <row r="423" ht="22.5" customHeight="1">
      <c r="A423" s="614">
        <v>45569.0</v>
      </c>
      <c r="B423" s="626" t="s">
        <v>2218</v>
      </c>
      <c r="C423" s="609"/>
      <c r="D423" s="609"/>
      <c r="E423" s="604" t="s">
        <v>33</v>
      </c>
      <c r="F423" s="627" t="s">
        <v>2032</v>
      </c>
      <c r="G423" s="597">
        <v>0.0</v>
      </c>
      <c r="H423" s="598">
        <f t="shared" si="19"/>
        <v>0</v>
      </c>
      <c r="I423" s="599"/>
      <c r="J423" s="605">
        <v>296035.0</v>
      </c>
      <c r="K423" s="615"/>
      <c r="L423" s="616" t="s">
        <v>203</v>
      </c>
      <c r="M423" s="621"/>
      <c r="N423" s="612"/>
      <c r="O423" s="612"/>
      <c r="P423" s="602"/>
      <c r="Q423" s="613" t="s">
        <v>433</v>
      </c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</row>
    <row r="424" ht="22.5" customHeight="1">
      <c r="A424" s="614">
        <v>45569.0</v>
      </c>
      <c r="B424" s="626" t="s">
        <v>2218</v>
      </c>
      <c r="C424" s="609"/>
      <c r="D424" s="609"/>
      <c r="E424" s="604" t="s">
        <v>33</v>
      </c>
      <c r="F424" s="627" t="s">
        <v>434</v>
      </c>
      <c r="G424" s="597">
        <v>0.0</v>
      </c>
      <c r="H424" s="598">
        <f t="shared" si="19"/>
        <v>0</v>
      </c>
      <c r="I424" s="599"/>
      <c r="J424" s="605">
        <v>315000.0</v>
      </c>
      <c r="K424" s="615"/>
      <c r="L424" s="616" t="s">
        <v>413</v>
      </c>
      <c r="M424" s="621"/>
      <c r="N424" s="612"/>
      <c r="O424" s="612"/>
      <c r="P424" s="602"/>
      <c r="Q424" s="613" t="s">
        <v>435</v>
      </c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</row>
    <row r="425" ht="22.5" customHeight="1">
      <c r="A425" s="614">
        <v>45569.0</v>
      </c>
      <c r="B425" s="626" t="s">
        <v>2218</v>
      </c>
      <c r="C425" s="610">
        <v>360000.06</v>
      </c>
      <c r="D425" s="610"/>
      <c r="E425" s="606"/>
      <c r="F425" s="627" t="s">
        <v>2031</v>
      </c>
      <c r="G425" s="597">
        <v>20.0</v>
      </c>
      <c r="H425" s="598">
        <f t="shared" si="19"/>
        <v>60000.01</v>
      </c>
      <c r="I425" s="599"/>
      <c r="J425" s="599"/>
      <c r="K425" s="615"/>
      <c r="L425" s="616" t="s">
        <v>317</v>
      </c>
      <c r="M425" s="612">
        <v>7.0</v>
      </c>
      <c r="N425" s="612"/>
      <c r="O425" s="612"/>
      <c r="P425" s="602">
        <f>A425-IF(O425&gt;0,O425,A425)</f>
        <v>0</v>
      </c>
      <c r="Q425" s="613" t="s">
        <v>436</v>
      </c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</row>
    <row r="426" ht="22.5" customHeight="1">
      <c r="A426" s="614">
        <v>45569.0</v>
      </c>
      <c r="B426" s="626" t="s">
        <v>2218</v>
      </c>
      <c r="C426" s="609"/>
      <c r="D426" s="610">
        <v>57415.0</v>
      </c>
      <c r="E426" s="606"/>
      <c r="F426" s="627" t="s">
        <v>236</v>
      </c>
      <c r="G426" s="597">
        <v>0.0</v>
      </c>
      <c r="H426" s="598">
        <f t="shared" si="19"/>
        <v>0</v>
      </c>
      <c r="I426" s="599"/>
      <c r="J426" s="599"/>
      <c r="K426" s="611"/>
      <c r="L426" s="611"/>
      <c r="M426" s="621"/>
      <c r="N426" s="621"/>
      <c r="O426" s="621"/>
      <c r="P426" s="602"/>
      <c r="Q426" s="622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</row>
    <row r="427" ht="22.5" customHeight="1">
      <c r="A427" s="614">
        <v>45569.0</v>
      </c>
      <c r="B427" s="626" t="s">
        <v>2218</v>
      </c>
      <c r="C427" s="609"/>
      <c r="D427" s="610">
        <v>15000.0</v>
      </c>
      <c r="E427" s="606"/>
      <c r="F427" s="607"/>
      <c r="G427" s="597">
        <v>20.0</v>
      </c>
      <c r="H427" s="598">
        <f t="shared" si="19"/>
        <v>2500</v>
      </c>
      <c r="I427" s="599"/>
      <c r="J427" s="599"/>
      <c r="K427" s="615"/>
      <c r="L427" s="616" t="s">
        <v>437</v>
      </c>
      <c r="M427" s="621"/>
      <c r="N427" s="612"/>
      <c r="O427" s="612"/>
      <c r="P427" s="602"/>
      <c r="Q427" s="613" t="s">
        <v>438</v>
      </c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</row>
    <row r="428" ht="22.5" customHeight="1">
      <c r="A428" s="614">
        <v>45573.0</v>
      </c>
      <c r="B428" s="626" t="s">
        <v>2218</v>
      </c>
      <c r="C428" s="610"/>
      <c r="D428" s="610">
        <f>3808177.21-2000000</f>
        <v>1808177.21</v>
      </c>
      <c r="E428" s="606"/>
      <c r="F428" s="627" t="s">
        <v>2039</v>
      </c>
      <c r="G428" s="597">
        <v>20.0</v>
      </c>
      <c r="H428" s="598">
        <f t="shared" si="19"/>
        <v>301362.8683</v>
      </c>
      <c r="I428" s="599"/>
      <c r="J428" s="599"/>
      <c r="K428" s="615"/>
      <c r="L428" s="616" t="s">
        <v>77</v>
      </c>
      <c r="M428" s="621"/>
      <c r="N428" s="612"/>
      <c r="O428" s="612"/>
      <c r="P428" s="602"/>
      <c r="Q428" s="613" t="s">
        <v>432</v>
      </c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</row>
    <row r="429" ht="22.5" customHeight="1">
      <c r="A429" s="614">
        <v>45575.0</v>
      </c>
      <c r="B429" s="626" t="s">
        <v>2218</v>
      </c>
      <c r="C429" s="609"/>
      <c r="D429" s="610">
        <v>384245.0</v>
      </c>
      <c r="E429" s="606"/>
      <c r="F429" s="627" t="s">
        <v>2032</v>
      </c>
      <c r="G429" s="597">
        <v>0.0</v>
      </c>
      <c r="H429" s="598">
        <f t="shared" si="19"/>
        <v>0</v>
      </c>
      <c r="I429" s="599"/>
      <c r="J429" s="599"/>
      <c r="K429" s="615"/>
      <c r="L429" s="616" t="s">
        <v>203</v>
      </c>
      <c r="M429" s="621"/>
      <c r="N429" s="612"/>
      <c r="O429" s="612"/>
      <c r="P429" s="602"/>
      <c r="Q429" s="613" t="s">
        <v>439</v>
      </c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</row>
    <row r="430" ht="22.5" customHeight="1">
      <c r="A430" s="614">
        <v>45575.0</v>
      </c>
      <c r="B430" s="626" t="s">
        <v>2218</v>
      </c>
      <c r="C430" s="609"/>
      <c r="D430" s="610">
        <v>1054839.0</v>
      </c>
      <c r="E430" s="606"/>
      <c r="F430" s="627" t="s">
        <v>48</v>
      </c>
      <c r="G430" s="597">
        <v>20.0</v>
      </c>
      <c r="H430" s="598">
        <f t="shared" si="19"/>
        <v>175806.5</v>
      </c>
      <c r="I430" s="605">
        <v>801677.64</v>
      </c>
      <c r="J430" s="599"/>
      <c r="K430" s="611"/>
      <c r="L430" s="611"/>
      <c r="M430" s="621"/>
      <c r="N430" s="621"/>
      <c r="O430" s="621"/>
      <c r="P430" s="602"/>
      <c r="Q430" s="622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</row>
    <row r="431" ht="22.5" customHeight="1">
      <c r="A431" s="614">
        <v>45576.0</v>
      </c>
      <c r="B431" s="626" t="s">
        <v>2218</v>
      </c>
      <c r="C431" s="655">
        <v>2394687.12</v>
      </c>
      <c r="D431" s="609"/>
      <c r="E431" s="606"/>
      <c r="F431" s="627" t="s">
        <v>2030</v>
      </c>
      <c r="G431" s="597">
        <v>20.0</v>
      </c>
      <c r="H431" s="598">
        <f t="shared" si="19"/>
        <v>399114.52</v>
      </c>
      <c r="I431" s="599"/>
      <c r="J431" s="599"/>
      <c r="K431" s="615"/>
      <c r="L431" s="616" t="s">
        <v>250</v>
      </c>
      <c r="M431" s="612">
        <v>11.0</v>
      </c>
      <c r="N431" s="612">
        <v>122.0</v>
      </c>
      <c r="O431" s="621"/>
      <c r="P431" s="602">
        <f t="shared" ref="P431:P435" si="31">A431-IF(O431&gt;0,O431,A431)</f>
        <v>0</v>
      </c>
      <c r="Q431" s="622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</row>
    <row r="432" ht="22.5" customHeight="1">
      <c r="A432" s="614">
        <v>45576.0</v>
      </c>
      <c r="B432" s="626" t="s">
        <v>2218</v>
      </c>
      <c r="C432" s="610">
        <v>450030.0</v>
      </c>
      <c r="D432" s="609"/>
      <c r="E432" s="606"/>
      <c r="F432" s="627" t="s">
        <v>2030</v>
      </c>
      <c r="G432" s="597">
        <v>20.0</v>
      </c>
      <c r="H432" s="598">
        <f t="shared" si="19"/>
        <v>75005</v>
      </c>
      <c r="I432" s="599"/>
      <c r="J432" s="599"/>
      <c r="K432" s="615"/>
      <c r="L432" s="616" t="s">
        <v>2228</v>
      </c>
      <c r="M432" s="612">
        <v>1.0</v>
      </c>
      <c r="N432" s="612"/>
      <c r="O432" s="612"/>
      <c r="P432" s="602">
        <f t="shared" si="31"/>
        <v>0</v>
      </c>
      <c r="Q432" s="613" t="s">
        <v>441</v>
      </c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</row>
    <row r="433" ht="22.5" customHeight="1">
      <c r="A433" s="614">
        <v>45576.0</v>
      </c>
      <c r="B433" s="626" t="s">
        <v>2218</v>
      </c>
      <c r="C433" s="610">
        <v>600000.24</v>
      </c>
      <c r="D433" s="609"/>
      <c r="E433" s="606"/>
      <c r="F433" s="627" t="s">
        <v>2030</v>
      </c>
      <c r="G433" s="597">
        <v>20.0</v>
      </c>
      <c r="H433" s="598">
        <f t="shared" si="19"/>
        <v>100000.04</v>
      </c>
      <c r="I433" s="599"/>
      <c r="J433" s="599"/>
      <c r="K433" s="615"/>
      <c r="L433" s="616" t="s">
        <v>2228</v>
      </c>
      <c r="M433" s="612">
        <v>2.0</v>
      </c>
      <c r="N433" s="612"/>
      <c r="O433" s="612"/>
      <c r="P433" s="602">
        <f t="shared" si="31"/>
        <v>0</v>
      </c>
      <c r="Q433" s="613" t="s">
        <v>441</v>
      </c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</row>
    <row r="434" ht="22.5" customHeight="1">
      <c r="A434" s="614">
        <v>45576.0</v>
      </c>
      <c r="B434" s="626" t="s">
        <v>2218</v>
      </c>
      <c r="C434" s="610">
        <v>600000.24</v>
      </c>
      <c r="D434" s="609"/>
      <c r="E434" s="606"/>
      <c r="F434" s="627" t="s">
        <v>2030</v>
      </c>
      <c r="G434" s="597">
        <v>20.0</v>
      </c>
      <c r="H434" s="598">
        <f t="shared" si="19"/>
        <v>100000.04</v>
      </c>
      <c r="I434" s="599"/>
      <c r="J434" s="599"/>
      <c r="K434" s="615"/>
      <c r="L434" s="616" t="s">
        <v>2228</v>
      </c>
      <c r="M434" s="612">
        <v>3.0</v>
      </c>
      <c r="N434" s="612"/>
      <c r="O434" s="612"/>
      <c r="P434" s="602">
        <f t="shared" si="31"/>
        <v>0</v>
      </c>
      <c r="Q434" s="613" t="s">
        <v>441</v>
      </c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</row>
    <row r="435" ht="22.5" customHeight="1">
      <c r="A435" s="614">
        <v>45576.0</v>
      </c>
      <c r="B435" s="626" t="s">
        <v>2218</v>
      </c>
      <c r="C435" s="655">
        <v>1605312.88</v>
      </c>
      <c r="D435" s="609"/>
      <c r="E435" s="606"/>
      <c r="F435" s="627" t="s">
        <v>2030</v>
      </c>
      <c r="G435" s="597">
        <v>20.0</v>
      </c>
      <c r="H435" s="598">
        <f t="shared" si="19"/>
        <v>267552.1467</v>
      </c>
      <c r="I435" s="599"/>
      <c r="J435" s="599"/>
      <c r="K435" s="615"/>
      <c r="L435" s="616" t="s">
        <v>250</v>
      </c>
      <c r="M435" s="612">
        <v>9.0</v>
      </c>
      <c r="N435" s="612">
        <v>91.0</v>
      </c>
      <c r="O435" s="621"/>
      <c r="P435" s="602">
        <f t="shared" si="31"/>
        <v>0</v>
      </c>
      <c r="Q435" s="622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</row>
    <row r="436" ht="22.5" customHeight="1">
      <c r="A436" s="614">
        <v>45576.0</v>
      </c>
      <c r="B436" s="626" t="s">
        <v>2218</v>
      </c>
      <c r="C436" s="609"/>
      <c r="D436" s="609"/>
      <c r="E436" s="604" t="s">
        <v>33</v>
      </c>
      <c r="F436" s="596"/>
      <c r="G436" s="597">
        <v>0.0</v>
      </c>
      <c r="H436" s="598">
        <f t="shared" si="19"/>
        <v>0</v>
      </c>
      <c r="I436" s="599"/>
      <c r="J436" s="605">
        <v>170000.0</v>
      </c>
      <c r="K436" s="615"/>
      <c r="L436" s="616" t="s">
        <v>108</v>
      </c>
      <c r="M436" s="621"/>
      <c r="N436" s="612"/>
      <c r="O436" s="612"/>
      <c r="P436" s="602"/>
      <c r="Q436" s="613" t="s">
        <v>442</v>
      </c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</row>
    <row r="437" ht="22.5" customHeight="1">
      <c r="A437" s="614">
        <v>45579.0</v>
      </c>
      <c r="B437" s="626" t="s">
        <v>2218</v>
      </c>
      <c r="C437" s="609"/>
      <c r="D437" s="610">
        <v>3578.78</v>
      </c>
      <c r="E437" s="606"/>
      <c r="F437" s="627" t="s">
        <v>443</v>
      </c>
      <c r="G437" s="597">
        <v>20.0</v>
      </c>
      <c r="H437" s="598">
        <f t="shared" si="19"/>
        <v>596.4633333</v>
      </c>
      <c r="I437" s="599"/>
      <c r="J437" s="599"/>
      <c r="K437" s="615"/>
      <c r="L437" s="616" t="s">
        <v>444</v>
      </c>
      <c r="M437" s="621"/>
      <c r="N437" s="612"/>
      <c r="O437" s="612"/>
      <c r="P437" s="602"/>
      <c r="Q437" s="613" t="s">
        <v>445</v>
      </c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</row>
    <row r="438" ht="22.5" customHeight="1">
      <c r="A438" s="614">
        <v>45580.0</v>
      </c>
      <c r="B438" s="626" t="s">
        <v>2218</v>
      </c>
      <c r="C438" s="609"/>
      <c r="D438" s="610">
        <v>1472.2</v>
      </c>
      <c r="E438" s="595"/>
      <c r="F438" s="596"/>
      <c r="G438" s="597">
        <v>0.0</v>
      </c>
      <c r="H438" s="598">
        <f t="shared" si="19"/>
        <v>0</v>
      </c>
      <c r="I438" s="599"/>
      <c r="J438" s="599"/>
      <c r="K438" s="611"/>
      <c r="L438" s="611"/>
      <c r="M438" s="621"/>
      <c r="N438" s="621"/>
      <c r="O438" s="621"/>
      <c r="P438" s="602"/>
      <c r="Q438" s="622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</row>
    <row r="439" ht="22.5" customHeight="1">
      <c r="A439" s="614">
        <v>45580.0</v>
      </c>
      <c r="B439" s="626" t="s">
        <v>2218</v>
      </c>
      <c r="C439" s="609"/>
      <c r="D439" s="609"/>
      <c r="E439" s="604" t="s">
        <v>33</v>
      </c>
      <c r="F439" s="596"/>
      <c r="G439" s="597">
        <v>0.0</v>
      </c>
      <c r="H439" s="598">
        <f t="shared" si="19"/>
        <v>0</v>
      </c>
      <c r="I439" s="599"/>
      <c r="J439" s="605">
        <v>1500.0</v>
      </c>
      <c r="K439" s="615"/>
      <c r="L439" s="616" t="s">
        <v>446</v>
      </c>
      <c r="M439" s="621"/>
      <c r="N439" s="612"/>
      <c r="O439" s="612"/>
      <c r="P439" s="602"/>
      <c r="Q439" s="613" t="s">
        <v>447</v>
      </c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</row>
    <row r="440" ht="22.5" customHeight="1">
      <c r="A440" s="614">
        <v>45581.0</v>
      </c>
      <c r="B440" s="626" t="s">
        <v>2218</v>
      </c>
      <c r="C440" s="609"/>
      <c r="D440" s="650">
        <v>701021.03</v>
      </c>
      <c r="E440" s="606"/>
      <c r="F440" s="627" t="s">
        <v>955</v>
      </c>
      <c r="G440" s="597">
        <v>20.0</v>
      </c>
      <c r="H440" s="598">
        <f t="shared" si="19"/>
        <v>116836.8383</v>
      </c>
      <c r="I440" s="599"/>
      <c r="J440" s="599"/>
      <c r="K440" s="615"/>
      <c r="L440" s="616" t="s">
        <v>77</v>
      </c>
      <c r="M440" s="621"/>
      <c r="N440" s="612"/>
      <c r="O440" s="612"/>
      <c r="P440" s="602"/>
      <c r="Q440" s="613" t="s">
        <v>448</v>
      </c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</row>
    <row r="441" ht="22.5" customHeight="1">
      <c r="A441" s="614">
        <v>45581.0</v>
      </c>
      <c r="B441" s="626" t="s">
        <v>2218</v>
      </c>
      <c r="C441" s="650">
        <v>459123.84</v>
      </c>
      <c r="D441" s="609"/>
      <c r="E441" s="606"/>
      <c r="F441" s="627" t="s">
        <v>2039</v>
      </c>
      <c r="G441" s="597">
        <v>20.0</v>
      </c>
      <c r="H441" s="598">
        <f t="shared" si="19"/>
        <v>76520.64</v>
      </c>
      <c r="I441" s="599"/>
      <c r="J441" s="599"/>
      <c r="K441" s="615"/>
      <c r="L441" s="616" t="s">
        <v>157</v>
      </c>
      <c r="M441" s="621"/>
      <c r="N441" s="612"/>
      <c r="O441" s="612"/>
      <c r="P441" s="602">
        <f t="shared" ref="P441:P445" si="32">A441-IF(O441&gt;0,O441,A441)</f>
        <v>0</v>
      </c>
      <c r="Q441" s="613" t="s">
        <v>449</v>
      </c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</row>
    <row r="442" ht="22.5" customHeight="1">
      <c r="A442" s="614">
        <v>45581.0</v>
      </c>
      <c r="B442" s="626" t="s">
        <v>2218</v>
      </c>
      <c r="C442" s="650">
        <v>222783.51</v>
      </c>
      <c r="D442" s="609"/>
      <c r="E442" s="606"/>
      <c r="F442" s="627" t="s">
        <v>955</v>
      </c>
      <c r="G442" s="597">
        <v>20.0</v>
      </c>
      <c r="H442" s="598">
        <f t="shared" si="19"/>
        <v>37130.585</v>
      </c>
      <c r="I442" s="599"/>
      <c r="J442" s="599"/>
      <c r="K442" s="615"/>
      <c r="L442" s="616" t="s">
        <v>157</v>
      </c>
      <c r="M442" s="621"/>
      <c r="N442" s="621"/>
      <c r="O442" s="621"/>
      <c r="P442" s="602">
        <f t="shared" si="32"/>
        <v>0</v>
      </c>
      <c r="Q442" s="622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</row>
    <row r="443" ht="22.5" customHeight="1">
      <c r="A443" s="614">
        <v>45581.0</v>
      </c>
      <c r="B443" s="626" t="s">
        <v>2218</v>
      </c>
      <c r="C443" s="610">
        <v>500000.0</v>
      </c>
      <c r="D443" s="609"/>
      <c r="E443" s="606"/>
      <c r="F443" s="627" t="s">
        <v>2032</v>
      </c>
      <c r="G443" s="597">
        <v>20.0</v>
      </c>
      <c r="H443" s="598">
        <f t="shared" si="19"/>
        <v>83333.33333</v>
      </c>
      <c r="I443" s="599"/>
      <c r="J443" s="599"/>
      <c r="K443" s="628"/>
      <c r="L443" s="629" t="s">
        <v>120</v>
      </c>
      <c r="M443" s="612">
        <v>21.0</v>
      </c>
      <c r="N443" s="612"/>
      <c r="O443" s="612"/>
      <c r="P443" s="602">
        <f t="shared" si="32"/>
        <v>0</v>
      </c>
      <c r="Q443" s="613" t="s">
        <v>450</v>
      </c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</row>
    <row r="444" ht="22.5" customHeight="1">
      <c r="A444" s="614">
        <v>45581.0</v>
      </c>
      <c r="B444" s="626" t="s">
        <v>2218</v>
      </c>
      <c r="C444" s="610">
        <v>44018.64</v>
      </c>
      <c r="D444" s="609"/>
      <c r="E444" s="606"/>
      <c r="F444" s="627" t="s">
        <v>2032</v>
      </c>
      <c r="G444" s="597">
        <v>20.0</v>
      </c>
      <c r="H444" s="598">
        <f t="shared" si="19"/>
        <v>7336.44</v>
      </c>
      <c r="I444" s="599"/>
      <c r="J444" s="599"/>
      <c r="K444" s="628"/>
      <c r="L444" s="629" t="s">
        <v>120</v>
      </c>
      <c r="M444" s="612">
        <v>20.0</v>
      </c>
      <c r="N444" s="612"/>
      <c r="O444" s="612"/>
      <c r="P444" s="602">
        <f t="shared" si="32"/>
        <v>0</v>
      </c>
      <c r="Q444" s="613" t="s">
        <v>451</v>
      </c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</row>
    <row r="445" ht="22.5" customHeight="1">
      <c r="A445" s="614">
        <v>45583.0</v>
      </c>
      <c r="B445" s="626" t="s">
        <v>2218</v>
      </c>
      <c r="C445" s="610">
        <v>210000.0</v>
      </c>
      <c r="D445" s="609"/>
      <c r="E445" s="606"/>
      <c r="F445" s="627" t="s">
        <v>2031</v>
      </c>
      <c r="G445" s="597">
        <v>20.0</v>
      </c>
      <c r="H445" s="598">
        <f t="shared" si="19"/>
        <v>35000</v>
      </c>
      <c r="I445" s="599"/>
      <c r="J445" s="599"/>
      <c r="K445" s="615"/>
      <c r="L445" s="616" t="s">
        <v>317</v>
      </c>
      <c r="M445" s="612">
        <v>8.0</v>
      </c>
      <c r="N445" s="612"/>
      <c r="O445" s="612"/>
      <c r="P445" s="602">
        <f t="shared" si="32"/>
        <v>0</v>
      </c>
      <c r="Q445" s="613" t="s">
        <v>452</v>
      </c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</row>
    <row r="446" ht="22.5" customHeight="1">
      <c r="A446" s="614">
        <v>45583.0</v>
      </c>
      <c r="B446" s="626" t="s">
        <v>2218</v>
      </c>
      <c r="C446" s="609"/>
      <c r="D446" s="650">
        <v>72000.0</v>
      </c>
      <c r="E446" s="606"/>
      <c r="F446" s="627" t="s">
        <v>453</v>
      </c>
      <c r="G446" s="597">
        <v>0.0</v>
      </c>
      <c r="H446" s="598">
        <f t="shared" si="19"/>
        <v>0</v>
      </c>
      <c r="I446" s="599"/>
      <c r="J446" s="599"/>
      <c r="K446" s="615"/>
      <c r="L446" s="616" t="s">
        <v>454</v>
      </c>
      <c r="M446" s="612">
        <v>2.0</v>
      </c>
      <c r="N446" s="612"/>
      <c r="O446" s="612"/>
      <c r="P446" s="602"/>
      <c r="Q446" s="613" t="s">
        <v>455</v>
      </c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</row>
    <row r="447" ht="22.5" customHeight="1">
      <c r="A447" s="614">
        <v>45583.0</v>
      </c>
      <c r="B447" s="626" t="s">
        <v>2218</v>
      </c>
      <c r="C447" s="609"/>
      <c r="D447" s="610"/>
      <c r="E447" s="604" t="s">
        <v>33</v>
      </c>
      <c r="F447" s="627" t="s">
        <v>203</v>
      </c>
      <c r="G447" s="597">
        <v>0.0</v>
      </c>
      <c r="H447" s="598">
        <f t="shared" si="19"/>
        <v>0</v>
      </c>
      <c r="I447" s="599"/>
      <c r="J447" s="605">
        <v>50000.0</v>
      </c>
      <c r="K447" s="615"/>
      <c r="L447" s="616" t="s">
        <v>203</v>
      </c>
      <c r="M447" s="621"/>
      <c r="N447" s="621"/>
      <c r="O447" s="621"/>
      <c r="P447" s="602"/>
      <c r="Q447" s="613" t="s">
        <v>240</v>
      </c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</row>
    <row r="448" ht="22.5" customHeight="1">
      <c r="A448" s="614">
        <v>45586.0</v>
      </c>
      <c r="B448" s="626" t="s">
        <v>2218</v>
      </c>
      <c r="C448" s="609"/>
      <c r="D448" s="650">
        <v>535239.5</v>
      </c>
      <c r="E448" s="606"/>
      <c r="F448" s="627" t="s">
        <v>456</v>
      </c>
      <c r="G448" s="597">
        <v>0.0</v>
      </c>
      <c r="H448" s="598">
        <f t="shared" si="19"/>
        <v>0</v>
      </c>
      <c r="I448" s="599"/>
      <c r="J448" s="599"/>
      <c r="K448" s="615"/>
      <c r="L448" s="616" t="s">
        <v>305</v>
      </c>
      <c r="M448" s="621"/>
      <c r="N448" s="621"/>
      <c r="O448" s="621"/>
      <c r="P448" s="602"/>
      <c r="Q448" s="622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</row>
    <row r="449" ht="22.5" customHeight="1">
      <c r="A449" s="614">
        <v>45586.0</v>
      </c>
      <c r="B449" s="626" t="s">
        <v>2218</v>
      </c>
      <c r="C449" s="609"/>
      <c r="D449" s="610">
        <v>35000.0</v>
      </c>
      <c r="E449" s="606"/>
      <c r="F449" s="627" t="s">
        <v>456</v>
      </c>
      <c r="G449" s="597">
        <v>0.0</v>
      </c>
      <c r="H449" s="598">
        <f t="shared" si="19"/>
        <v>0</v>
      </c>
      <c r="I449" s="599"/>
      <c r="J449" s="599"/>
      <c r="K449" s="615"/>
      <c r="L449" s="616" t="s">
        <v>317</v>
      </c>
      <c r="M449" s="621"/>
      <c r="N449" s="621"/>
      <c r="O449" s="662">
        <v>45504.0</v>
      </c>
      <c r="P449" s="602"/>
      <c r="Q449" s="622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</row>
    <row r="450" ht="22.5" customHeight="1">
      <c r="A450" s="614">
        <v>45586.0</v>
      </c>
      <c r="B450" s="626" t="s">
        <v>2218</v>
      </c>
      <c r="C450" s="609"/>
      <c r="D450" s="650">
        <v>155025.55</v>
      </c>
      <c r="E450" s="606"/>
      <c r="F450" s="627" t="s">
        <v>456</v>
      </c>
      <c r="G450" s="597">
        <v>0.0</v>
      </c>
      <c r="H450" s="598">
        <f t="shared" si="19"/>
        <v>0</v>
      </c>
      <c r="I450" s="599"/>
      <c r="J450" s="599"/>
      <c r="K450" s="628"/>
      <c r="L450" s="629" t="s">
        <v>120</v>
      </c>
      <c r="M450" s="621"/>
      <c r="N450" s="621"/>
      <c r="O450" s="621"/>
      <c r="P450" s="602"/>
      <c r="Q450" s="622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</row>
    <row r="451" ht="22.5" customHeight="1">
      <c r="A451" s="614">
        <v>45586.0</v>
      </c>
      <c r="B451" s="626" t="s">
        <v>2218</v>
      </c>
      <c r="C451" s="609"/>
      <c r="D451" s="609"/>
      <c r="E451" s="604" t="s">
        <v>33</v>
      </c>
      <c r="F451" s="627" t="s">
        <v>108</v>
      </c>
      <c r="G451" s="597">
        <v>0.0</v>
      </c>
      <c r="H451" s="598">
        <f t="shared" si="19"/>
        <v>0</v>
      </c>
      <c r="I451" s="599"/>
      <c r="J451" s="605">
        <v>25000.0</v>
      </c>
      <c r="K451" s="615"/>
      <c r="L451" s="616" t="s">
        <v>457</v>
      </c>
      <c r="M451" s="621"/>
      <c r="N451" s="621"/>
      <c r="O451" s="621"/>
      <c r="P451" s="602"/>
      <c r="Q451" s="613" t="s">
        <v>458</v>
      </c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</row>
    <row r="452" ht="22.5" customHeight="1">
      <c r="A452" s="614">
        <v>45586.0</v>
      </c>
      <c r="B452" s="626" t="s">
        <v>2218</v>
      </c>
      <c r="C452" s="650">
        <v>441000.0</v>
      </c>
      <c r="D452" s="663"/>
      <c r="E452" s="606"/>
      <c r="F452" s="627" t="s">
        <v>2030</v>
      </c>
      <c r="G452" s="597">
        <v>20.0</v>
      </c>
      <c r="H452" s="598">
        <f t="shared" si="19"/>
        <v>73500</v>
      </c>
      <c r="I452" s="599"/>
      <c r="J452" s="599"/>
      <c r="K452" s="615"/>
      <c r="L452" s="616" t="s">
        <v>305</v>
      </c>
      <c r="M452" s="612">
        <v>4.0</v>
      </c>
      <c r="N452" s="612">
        <v>97.0</v>
      </c>
      <c r="O452" s="621"/>
      <c r="P452" s="602">
        <f>A452-IF(O452&gt;0,O452,A452)</f>
        <v>0</v>
      </c>
      <c r="Q452" s="622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</row>
    <row r="453" ht="22.5" customHeight="1">
      <c r="A453" s="614">
        <v>45588.0</v>
      </c>
      <c r="B453" s="626" t="s">
        <v>2218</v>
      </c>
      <c r="C453" s="663"/>
      <c r="D453" s="650">
        <v>648696.46</v>
      </c>
      <c r="E453" s="606"/>
      <c r="F453" s="627" t="s">
        <v>456</v>
      </c>
      <c r="G453" s="597">
        <v>0.0</v>
      </c>
      <c r="H453" s="598">
        <f t="shared" si="19"/>
        <v>0</v>
      </c>
      <c r="I453" s="599"/>
      <c r="J453" s="599"/>
      <c r="K453" s="615"/>
      <c r="L453" s="616" t="s">
        <v>157</v>
      </c>
      <c r="M453" s="621"/>
      <c r="N453" s="621"/>
      <c r="O453" s="621"/>
      <c r="P453" s="602"/>
      <c r="Q453" s="622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</row>
    <row r="454" ht="22.5" customHeight="1">
      <c r="A454" s="614">
        <v>45588.0</v>
      </c>
      <c r="B454" s="626" t="s">
        <v>2218</v>
      </c>
      <c r="C454" s="663"/>
      <c r="D454" s="650">
        <v>60679.57</v>
      </c>
      <c r="E454" s="606"/>
      <c r="F454" s="627" t="s">
        <v>456</v>
      </c>
      <c r="G454" s="597">
        <v>0.0</v>
      </c>
      <c r="H454" s="598">
        <f t="shared" si="19"/>
        <v>0</v>
      </c>
      <c r="I454" s="599"/>
      <c r="J454" s="599"/>
      <c r="K454" s="615"/>
      <c r="L454" s="616" t="s">
        <v>181</v>
      </c>
      <c r="M454" s="621"/>
      <c r="N454" s="621"/>
      <c r="O454" s="621"/>
      <c r="P454" s="602"/>
      <c r="Q454" s="622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</row>
    <row r="455" ht="22.5" customHeight="1">
      <c r="A455" s="614">
        <v>45588.0</v>
      </c>
      <c r="B455" s="626" t="s">
        <v>2218</v>
      </c>
      <c r="C455" s="609"/>
      <c r="D455" s="610">
        <v>2400.0</v>
      </c>
      <c r="E455" s="595"/>
      <c r="F455" s="596"/>
      <c r="G455" s="597">
        <v>0.0</v>
      </c>
      <c r="H455" s="598">
        <f t="shared" si="19"/>
        <v>0</v>
      </c>
      <c r="I455" s="599"/>
      <c r="J455" s="599"/>
      <c r="K455" s="615"/>
      <c r="L455" s="616" t="s">
        <v>377</v>
      </c>
      <c r="M455" s="621"/>
      <c r="N455" s="621"/>
      <c r="O455" s="621"/>
      <c r="P455" s="602"/>
      <c r="Q455" s="613" t="s">
        <v>378</v>
      </c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</row>
    <row r="456" ht="22.5" customHeight="1">
      <c r="A456" s="614">
        <v>45590.0</v>
      </c>
      <c r="B456" s="626" t="s">
        <v>2218</v>
      </c>
      <c r="C456" s="609"/>
      <c r="D456" s="610">
        <v>260167.64</v>
      </c>
      <c r="E456" s="606"/>
      <c r="F456" s="627" t="s">
        <v>203</v>
      </c>
      <c r="G456" s="597">
        <v>0.0</v>
      </c>
      <c r="H456" s="598">
        <f t="shared" si="19"/>
        <v>0</v>
      </c>
      <c r="I456" s="599"/>
      <c r="J456" s="599"/>
      <c r="K456" s="615"/>
      <c r="L456" s="616" t="s">
        <v>203</v>
      </c>
      <c r="M456" s="621"/>
      <c r="N456" s="621"/>
      <c r="O456" s="621"/>
      <c r="P456" s="602"/>
      <c r="Q456" s="613" t="s">
        <v>459</v>
      </c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</row>
    <row r="457" ht="22.5" customHeight="1">
      <c r="A457" s="614">
        <v>45591.0</v>
      </c>
      <c r="B457" s="626" t="s">
        <v>2218</v>
      </c>
      <c r="C457" s="609"/>
      <c r="D457" s="609"/>
      <c r="E457" s="604" t="s">
        <v>33</v>
      </c>
      <c r="F457" s="596"/>
      <c r="G457" s="597">
        <v>0.0</v>
      </c>
      <c r="H457" s="598">
        <f t="shared" si="19"/>
        <v>0</v>
      </c>
      <c r="I457" s="599"/>
      <c r="J457" s="605">
        <v>3000.0</v>
      </c>
      <c r="K457" s="615"/>
      <c r="L457" s="616" t="s">
        <v>460</v>
      </c>
      <c r="M457" s="621"/>
      <c r="N457" s="621"/>
      <c r="O457" s="621"/>
      <c r="P457" s="602"/>
      <c r="Q457" s="622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</row>
    <row r="458" ht="22.5" customHeight="1">
      <c r="A458" s="614">
        <v>45591.0</v>
      </c>
      <c r="B458" s="626" t="s">
        <v>2218</v>
      </c>
      <c r="C458" s="609"/>
      <c r="D458" s="609"/>
      <c r="E458" s="604" t="s">
        <v>33</v>
      </c>
      <c r="F458" s="596"/>
      <c r="G458" s="597">
        <v>0.0</v>
      </c>
      <c r="H458" s="598">
        <f t="shared" si="19"/>
        <v>0</v>
      </c>
      <c r="I458" s="599"/>
      <c r="J458" s="605">
        <v>10000.0</v>
      </c>
      <c r="K458" s="615"/>
      <c r="L458" s="616" t="s">
        <v>461</v>
      </c>
      <c r="M458" s="621"/>
      <c r="N458" s="621"/>
      <c r="O458" s="621"/>
      <c r="P458" s="602"/>
      <c r="Q458" s="622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</row>
    <row r="459" ht="22.5" customHeight="1">
      <c r="A459" s="614">
        <v>45593.0</v>
      </c>
      <c r="B459" s="626" t="s">
        <v>2218</v>
      </c>
      <c r="C459" s="609"/>
      <c r="D459" s="610">
        <v>925093.0</v>
      </c>
      <c r="E459" s="606"/>
      <c r="F459" s="627" t="s">
        <v>236</v>
      </c>
      <c r="G459" s="597">
        <v>0.0</v>
      </c>
      <c r="H459" s="598">
        <f t="shared" si="19"/>
        <v>0</v>
      </c>
      <c r="I459" s="599"/>
      <c r="J459" s="599"/>
      <c r="K459" s="615"/>
      <c r="L459" s="616" t="s">
        <v>72</v>
      </c>
      <c r="M459" s="621"/>
      <c r="N459" s="621"/>
      <c r="O459" s="621"/>
      <c r="P459" s="602"/>
      <c r="Q459" s="613" t="s">
        <v>462</v>
      </c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</row>
    <row r="460" ht="22.5" customHeight="1">
      <c r="A460" s="614">
        <v>45593.0</v>
      </c>
      <c r="B460" s="626" t="s">
        <v>2218</v>
      </c>
      <c r="C460" s="609"/>
      <c r="D460" s="610">
        <v>682714.0</v>
      </c>
      <c r="E460" s="606"/>
      <c r="F460" s="627" t="s">
        <v>236</v>
      </c>
      <c r="G460" s="597">
        <v>0.0</v>
      </c>
      <c r="H460" s="598">
        <f t="shared" si="19"/>
        <v>0</v>
      </c>
      <c r="I460" s="599"/>
      <c r="J460" s="599"/>
      <c r="K460" s="615"/>
      <c r="L460" s="616" t="s">
        <v>72</v>
      </c>
      <c r="M460" s="621"/>
      <c r="N460" s="621"/>
      <c r="O460" s="621"/>
      <c r="P460" s="602"/>
      <c r="Q460" s="613" t="s">
        <v>463</v>
      </c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</row>
    <row r="461" ht="22.5" customHeight="1">
      <c r="A461" s="614">
        <v>45593.0</v>
      </c>
      <c r="B461" s="626" t="s">
        <v>2218</v>
      </c>
      <c r="C461" s="609"/>
      <c r="D461" s="610">
        <v>130679.1</v>
      </c>
      <c r="E461" s="606"/>
      <c r="F461" s="627" t="s">
        <v>283</v>
      </c>
      <c r="G461" s="597">
        <v>0.0</v>
      </c>
      <c r="H461" s="598">
        <f t="shared" si="19"/>
        <v>0</v>
      </c>
      <c r="I461" s="599"/>
      <c r="J461" s="599"/>
      <c r="K461" s="615"/>
      <c r="L461" s="616" t="s">
        <v>72</v>
      </c>
      <c r="M461" s="621"/>
      <c r="N461" s="621"/>
      <c r="O461" s="621"/>
      <c r="P461" s="602"/>
      <c r="Q461" s="613" t="s">
        <v>208</v>
      </c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</row>
    <row r="462" ht="22.5" customHeight="1">
      <c r="A462" s="614">
        <v>45593.0</v>
      </c>
      <c r="B462" s="626" t="s">
        <v>2218</v>
      </c>
      <c r="C462" s="609"/>
      <c r="D462" s="610">
        <v>38876.0</v>
      </c>
      <c r="E462" s="606"/>
      <c r="F462" s="627" t="s">
        <v>283</v>
      </c>
      <c r="G462" s="597">
        <v>0.0</v>
      </c>
      <c r="H462" s="598">
        <f t="shared" si="19"/>
        <v>0</v>
      </c>
      <c r="I462" s="599"/>
      <c r="J462" s="599"/>
      <c r="K462" s="615"/>
      <c r="L462" s="616" t="s">
        <v>72</v>
      </c>
      <c r="M462" s="621"/>
      <c r="N462" s="621"/>
      <c r="O462" s="621"/>
      <c r="P462" s="602"/>
      <c r="Q462" s="613" t="s">
        <v>209</v>
      </c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</row>
    <row r="463" ht="22.5" customHeight="1">
      <c r="A463" s="614">
        <v>45594.0</v>
      </c>
      <c r="B463" s="626" t="s">
        <v>2218</v>
      </c>
      <c r="C463" s="610">
        <v>684652.5</v>
      </c>
      <c r="D463" s="609"/>
      <c r="E463" s="606"/>
      <c r="F463" s="627" t="s">
        <v>2031</v>
      </c>
      <c r="G463" s="597">
        <v>20.0</v>
      </c>
      <c r="H463" s="598">
        <f t="shared" si="19"/>
        <v>114108.75</v>
      </c>
      <c r="I463" s="599"/>
      <c r="J463" s="599"/>
      <c r="K463" s="615"/>
      <c r="L463" s="616" t="s">
        <v>367</v>
      </c>
      <c r="M463" s="612">
        <v>3.0</v>
      </c>
      <c r="N463" s="621"/>
      <c r="O463" s="621"/>
      <c r="P463" s="602">
        <f>A463-IF(O463&gt;0,O463,A463)</f>
        <v>0</v>
      </c>
      <c r="Q463" s="622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</row>
    <row r="464" ht="22.5" customHeight="1">
      <c r="A464" s="614">
        <v>45594.0</v>
      </c>
      <c r="B464" s="626" t="s">
        <v>2218</v>
      </c>
      <c r="C464" s="609"/>
      <c r="D464" s="610">
        <v>19277.4</v>
      </c>
      <c r="E464" s="606"/>
      <c r="F464" s="627" t="s">
        <v>464</v>
      </c>
      <c r="G464" s="597">
        <v>20.0</v>
      </c>
      <c r="H464" s="598">
        <f t="shared" si="19"/>
        <v>3212.9</v>
      </c>
      <c r="I464" s="599"/>
      <c r="J464" s="599"/>
      <c r="K464" s="615"/>
      <c r="L464" s="616" t="s">
        <v>465</v>
      </c>
      <c r="M464" s="621"/>
      <c r="N464" s="621"/>
      <c r="O464" s="621"/>
      <c r="P464" s="602"/>
      <c r="Q464" s="622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</row>
    <row r="465" ht="22.5" customHeight="1">
      <c r="A465" s="614">
        <v>45596.0</v>
      </c>
      <c r="B465" s="626" t="s">
        <v>2218</v>
      </c>
      <c r="C465" s="609"/>
      <c r="D465" s="610">
        <v>29250.0</v>
      </c>
      <c r="E465" s="606"/>
      <c r="F465" s="627" t="s">
        <v>466</v>
      </c>
      <c r="G465" s="664"/>
      <c r="H465" s="665"/>
      <c r="I465" s="599"/>
      <c r="J465" s="599"/>
      <c r="K465" s="615"/>
      <c r="L465" s="616" t="s">
        <v>467</v>
      </c>
      <c r="M465" s="621"/>
      <c r="N465" s="621"/>
      <c r="O465" s="621"/>
      <c r="P465" s="602"/>
      <c r="Q465" s="613" t="s">
        <v>468</v>
      </c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</row>
    <row r="466" ht="22.5" customHeight="1">
      <c r="A466" s="614">
        <v>45596.0</v>
      </c>
      <c r="B466" s="626" t="s">
        <v>2218</v>
      </c>
      <c r="C466" s="666">
        <v>441000.0</v>
      </c>
      <c r="D466" s="609"/>
      <c r="E466" s="606"/>
      <c r="F466" s="627" t="s">
        <v>955</v>
      </c>
      <c r="G466" s="597">
        <v>20.0</v>
      </c>
      <c r="H466" s="598">
        <f t="shared" ref="H466:H547" si="33">SUM(C466:D466)*G466/(G466+100)</f>
        <v>73500</v>
      </c>
      <c r="I466" s="599"/>
      <c r="J466" s="599"/>
      <c r="K466" s="615"/>
      <c r="L466" s="616" t="s">
        <v>305</v>
      </c>
      <c r="M466" s="621"/>
      <c r="N466" s="612">
        <v>78.0</v>
      </c>
      <c r="O466" s="621"/>
      <c r="P466" s="602">
        <f t="shared" ref="P466:P474" si="34">A466-IF(O466&gt;0,O466,A466)</f>
        <v>0</v>
      </c>
      <c r="Q466" s="613" t="s">
        <v>469</v>
      </c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</row>
    <row r="467" ht="22.5" customHeight="1">
      <c r="A467" s="614">
        <v>45596.0</v>
      </c>
      <c r="B467" s="626" t="s">
        <v>2218</v>
      </c>
      <c r="C467" s="655">
        <v>3150000.0</v>
      </c>
      <c r="D467" s="609"/>
      <c r="E467" s="606"/>
      <c r="F467" s="627" t="s">
        <v>2030</v>
      </c>
      <c r="G467" s="597">
        <v>20.0</v>
      </c>
      <c r="H467" s="598">
        <f t="shared" si="33"/>
        <v>525000</v>
      </c>
      <c r="I467" s="599"/>
      <c r="J467" s="599"/>
      <c r="K467" s="615"/>
      <c r="L467" s="616" t="s">
        <v>250</v>
      </c>
      <c r="M467" s="612">
        <v>10.0</v>
      </c>
      <c r="N467" s="612">
        <v>92.0</v>
      </c>
      <c r="O467" s="621"/>
      <c r="P467" s="602">
        <f t="shared" si="34"/>
        <v>0</v>
      </c>
      <c r="Q467" s="613" t="s">
        <v>470</v>
      </c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</row>
    <row r="468" ht="22.5" customHeight="1">
      <c r="A468" s="614">
        <v>45596.0</v>
      </c>
      <c r="B468" s="626" t="s">
        <v>2218</v>
      </c>
      <c r="C468" s="655">
        <v>1859687.12</v>
      </c>
      <c r="D468" s="609"/>
      <c r="E468" s="606"/>
      <c r="F468" s="627" t="s">
        <v>2030</v>
      </c>
      <c r="G468" s="597">
        <v>20.0</v>
      </c>
      <c r="H468" s="598">
        <f t="shared" si="33"/>
        <v>309947.8533</v>
      </c>
      <c r="I468" s="599"/>
      <c r="J468" s="599"/>
      <c r="K468" s="615"/>
      <c r="L468" s="616" t="s">
        <v>250</v>
      </c>
      <c r="M468" s="612">
        <v>9.0</v>
      </c>
      <c r="N468" s="612">
        <v>91.0</v>
      </c>
      <c r="O468" s="621"/>
      <c r="P468" s="602">
        <f t="shared" si="34"/>
        <v>0</v>
      </c>
      <c r="Q468" s="622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</row>
    <row r="469" ht="22.5" customHeight="1">
      <c r="A469" s="614">
        <v>45596.0</v>
      </c>
      <c r="B469" s="626" t="s">
        <v>2218</v>
      </c>
      <c r="C469" s="666">
        <v>36000.0</v>
      </c>
      <c r="D469" s="609"/>
      <c r="E469" s="606"/>
      <c r="F469" s="627" t="s">
        <v>2030</v>
      </c>
      <c r="G469" s="597">
        <v>20.0</v>
      </c>
      <c r="H469" s="598">
        <f t="shared" si="33"/>
        <v>6000</v>
      </c>
      <c r="I469" s="599"/>
      <c r="J469" s="599"/>
      <c r="K469" s="628"/>
      <c r="L469" s="629" t="s">
        <v>205</v>
      </c>
      <c r="M469" s="621"/>
      <c r="N469" s="621"/>
      <c r="O469" s="621"/>
      <c r="P469" s="602">
        <f t="shared" si="34"/>
        <v>0</v>
      </c>
      <c r="Q469" s="613" t="s">
        <v>471</v>
      </c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</row>
    <row r="470" ht="22.5" customHeight="1">
      <c r="A470" s="614">
        <v>45596.0</v>
      </c>
      <c r="B470" s="626" t="s">
        <v>2218</v>
      </c>
      <c r="C470" s="655">
        <v>336000.12</v>
      </c>
      <c r="D470" s="609"/>
      <c r="E470" s="606"/>
      <c r="F470" s="627" t="s">
        <v>2031</v>
      </c>
      <c r="G470" s="597">
        <v>20.0</v>
      </c>
      <c r="H470" s="598">
        <f t="shared" si="33"/>
        <v>56000.02</v>
      </c>
      <c r="I470" s="599"/>
      <c r="J470" s="599"/>
      <c r="K470" s="615"/>
      <c r="L470" s="616" t="s">
        <v>250</v>
      </c>
      <c r="M470" s="612">
        <v>15.0</v>
      </c>
      <c r="N470" s="661">
        <v>111.0</v>
      </c>
      <c r="O470" s="621"/>
      <c r="P470" s="602">
        <f t="shared" si="34"/>
        <v>0</v>
      </c>
      <c r="Q470" s="622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</row>
    <row r="471" ht="22.5" customHeight="1">
      <c r="A471" s="614">
        <v>45596.0</v>
      </c>
      <c r="B471" s="626" t="s">
        <v>2218</v>
      </c>
      <c r="C471" s="650">
        <v>1049640.0</v>
      </c>
      <c r="D471" s="650"/>
      <c r="E471" s="606"/>
      <c r="F471" s="627" t="s">
        <v>2032</v>
      </c>
      <c r="G471" s="597">
        <v>20.0</v>
      </c>
      <c r="H471" s="598">
        <f t="shared" si="33"/>
        <v>174940</v>
      </c>
      <c r="I471" s="599"/>
      <c r="J471" s="599"/>
      <c r="K471" s="628"/>
      <c r="L471" s="629" t="s">
        <v>205</v>
      </c>
      <c r="M471" s="612">
        <v>4.0</v>
      </c>
      <c r="N471" s="621"/>
      <c r="O471" s="621"/>
      <c r="P471" s="602">
        <f t="shared" si="34"/>
        <v>0</v>
      </c>
      <c r="Q471" s="613" t="s">
        <v>472</v>
      </c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</row>
    <row r="472" ht="22.5" customHeight="1">
      <c r="A472" s="614">
        <v>45596.0</v>
      </c>
      <c r="B472" s="626" t="s">
        <v>2218</v>
      </c>
      <c r="C472" s="650">
        <v>30000.0</v>
      </c>
      <c r="D472" s="663"/>
      <c r="E472" s="606"/>
      <c r="F472" s="627" t="s">
        <v>2039</v>
      </c>
      <c r="G472" s="597">
        <v>20.0</v>
      </c>
      <c r="H472" s="598">
        <f t="shared" si="33"/>
        <v>5000</v>
      </c>
      <c r="I472" s="599"/>
      <c r="J472" s="599"/>
      <c r="K472" s="615"/>
      <c r="L472" s="616" t="s">
        <v>473</v>
      </c>
      <c r="M472" s="621"/>
      <c r="N472" s="621"/>
      <c r="O472" s="621"/>
      <c r="P472" s="602">
        <f t="shared" si="34"/>
        <v>0</v>
      </c>
      <c r="Q472" s="622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</row>
    <row r="473" ht="22.5" customHeight="1">
      <c r="A473" s="614">
        <v>45596.0</v>
      </c>
      <c r="B473" s="626" t="s">
        <v>2218</v>
      </c>
      <c r="C473" s="650">
        <v>252000.0</v>
      </c>
      <c r="D473" s="663"/>
      <c r="E473" s="606"/>
      <c r="F473" s="627" t="s">
        <v>955</v>
      </c>
      <c r="G473" s="597">
        <v>20.0</v>
      </c>
      <c r="H473" s="598">
        <f t="shared" si="33"/>
        <v>42000</v>
      </c>
      <c r="I473" s="599"/>
      <c r="J473" s="599"/>
      <c r="K473" s="615"/>
      <c r="L473" s="616" t="s">
        <v>473</v>
      </c>
      <c r="M473" s="621"/>
      <c r="N473" s="621"/>
      <c r="O473" s="621"/>
      <c r="P473" s="602">
        <f t="shared" si="34"/>
        <v>0</v>
      </c>
      <c r="Q473" s="622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</row>
    <row r="474" ht="22.5" customHeight="1">
      <c r="A474" s="614">
        <v>45596.0</v>
      </c>
      <c r="B474" s="626" t="s">
        <v>2218</v>
      </c>
      <c r="C474" s="650">
        <v>252000.0</v>
      </c>
      <c r="D474" s="663"/>
      <c r="E474" s="606"/>
      <c r="F474" s="627" t="s">
        <v>2030</v>
      </c>
      <c r="G474" s="597">
        <v>20.0</v>
      </c>
      <c r="H474" s="598">
        <f t="shared" si="33"/>
        <v>42000</v>
      </c>
      <c r="I474" s="599"/>
      <c r="J474" s="599"/>
      <c r="K474" s="615"/>
      <c r="L474" s="616" t="s">
        <v>473</v>
      </c>
      <c r="M474" s="621"/>
      <c r="N474" s="621"/>
      <c r="O474" s="621"/>
      <c r="P474" s="602">
        <f t="shared" si="34"/>
        <v>0</v>
      </c>
      <c r="Q474" s="622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</row>
    <row r="475" ht="22.5" customHeight="1">
      <c r="A475" s="614">
        <v>45596.0</v>
      </c>
      <c r="B475" s="626" t="s">
        <v>2218</v>
      </c>
      <c r="C475" s="663"/>
      <c r="D475" s="650">
        <v>5452578.67</v>
      </c>
      <c r="E475" s="606"/>
      <c r="F475" s="627" t="s">
        <v>2030</v>
      </c>
      <c r="G475" s="597">
        <v>20.0</v>
      </c>
      <c r="H475" s="598">
        <f t="shared" si="33"/>
        <v>908763.1117</v>
      </c>
      <c r="I475" s="599"/>
      <c r="J475" s="599"/>
      <c r="K475" s="615"/>
      <c r="L475" s="616" t="s">
        <v>473</v>
      </c>
      <c r="M475" s="621"/>
      <c r="N475" s="621"/>
      <c r="O475" s="621"/>
      <c r="P475" s="602"/>
      <c r="Q475" s="622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</row>
    <row r="476" ht="22.5" customHeight="1">
      <c r="A476" s="614">
        <v>45597.0</v>
      </c>
      <c r="B476" s="626" t="s">
        <v>2218</v>
      </c>
      <c r="C476" s="610">
        <v>462000.0</v>
      </c>
      <c r="D476" s="610"/>
      <c r="E476" s="606"/>
      <c r="F476" s="627" t="s">
        <v>2031</v>
      </c>
      <c r="G476" s="597">
        <v>20.0</v>
      </c>
      <c r="H476" s="598">
        <f t="shared" si="33"/>
        <v>77000</v>
      </c>
      <c r="I476" s="599"/>
      <c r="J476" s="599"/>
      <c r="K476" s="615"/>
      <c r="L476" s="616" t="s">
        <v>2229</v>
      </c>
      <c r="M476" s="612">
        <v>1.0</v>
      </c>
      <c r="N476" s="621"/>
      <c r="O476" s="621"/>
      <c r="P476" s="602">
        <f t="shared" ref="P476:P481" si="35">A476-IF(O476&gt;0,O476,A476)</f>
        <v>0</v>
      </c>
      <c r="Q476" s="613" t="s">
        <v>475</v>
      </c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</row>
    <row r="477" ht="22.5" customHeight="1">
      <c r="A477" s="614">
        <v>45597.0</v>
      </c>
      <c r="B477" s="626" t="s">
        <v>2218</v>
      </c>
      <c r="C477" s="610">
        <v>480000.0</v>
      </c>
      <c r="D477" s="609"/>
      <c r="E477" s="606"/>
      <c r="F477" s="627" t="s">
        <v>2032</v>
      </c>
      <c r="G477" s="597">
        <v>20.0</v>
      </c>
      <c r="H477" s="598">
        <f t="shared" si="33"/>
        <v>80000</v>
      </c>
      <c r="I477" s="599"/>
      <c r="J477" s="599"/>
      <c r="K477" s="615"/>
      <c r="L477" s="616" t="s">
        <v>317</v>
      </c>
      <c r="M477" s="612">
        <v>12.0</v>
      </c>
      <c r="N477" s="621"/>
      <c r="O477" s="621"/>
      <c r="P477" s="602">
        <f t="shared" si="35"/>
        <v>0</v>
      </c>
      <c r="Q477" s="613" t="s">
        <v>476</v>
      </c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</row>
    <row r="478" ht="22.5" customHeight="1">
      <c r="A478" s="614">
        <v>45597.0</v>
      </c>
      <c r="B478" s="626" t="s">
        <v>2218</v>
      </c>
      <c r="C478" s="610">
        <v>273000.0</v>
      </c>
      <c r="D478" s="609"/>
      <c r="E478" s="606"/>
      <c r="F478" s="627" t="s">
        <v>2032</v>
      </c>
      <c r="G478" s="597">
        <v>20.0</v>
      </c>
      <c r="H478" s="598">
        <f t="shared" si="33"/>
        <v>45500</v>
      </c>
      <c r="I478" s="599"/>
      <c r="J478" s="599"/>
      <c r="K478" s="615"/>
      <c r="L478" s="616" t="s">
        <v>317</v>
      </c>
      <c r="M478" s="612">
        <v>10.0</v>
      </c>
      <c r="N478" s="621"/>
      <c r="O478" s="621"/>
      <c r="P478" s="602">
        <f t="shared" si="35"/>
        <v>0</v>
      </c>
      <c r="Q478" s="613" t="s">
        <v>477</v>
      </c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</row>
    <row r="479" ht="22.5" customHeight="1">
      <c r="A479" s="614">
        <v>45597.0</v>
      </c>
      <c r="B479" s="626" t="s">
        <v>2218</v>
      </c>
      <c r="C479" s="610">
        <v>273000.0</v>
      </c>
      <c r="D479" s="609"/>
      <c r="E479" s="606"/>
      <c r="F479" s="627" t="s">
        <v>2032</v>
      </c>
      <c r="G479" s="597">
        <v>20.0</v>
      </c>
      <c r="H479" s="598">
        <f t="shared" si="33"/>
        <v>45500</v>
      </c>
      <c r="I479" s="599"/>
      <c r="J479" s="599"/>
      <c r="K479" s="615"/>
      <c r="L479" s="616" t="s">
        <v>317</v>
      </c>
      <c r="M479" s="612">
        <v>11.0</v>
      </c>
      <c r="N479" s="621"/>
      <c r="O479" s="621"/>
      <c r="P479" s="602">
        <f t="shared" si="35"/>
        <v>0</v>
      </c>
      <c r="Q479" s="613" t="s">
        <v>478</v>
      </c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</row>
    <row r="480" ht="22.5" customHeight="1">
      <c r="A480" s="614">
        <v>45597.0</v>
      </c>
      <c r="B480" s="626" t="s">
        <v>2218</v>
      </c>
      <c r="C480" s="610">
        <v>1932000.0</v>
      </c>
      <c r="D480" s="609"/>
      <c r="E480" s="606"/>
      <c r="F480" s="627" t="s">
        <v>2032</v>
      </c>
      <c r="G480" s="597">
        <v>20.0</v>
      </c>
      <c r="H480" s="598">
        <f t="shared" si="33"/>
        <v>322000</v>
      </c>
      <c r="I480" s="599"/>
      <c r="J480" s="599"/>
      <c r="K480" s="615"/>
      <c r="L480" s="616" t="s">
        <v>317</v>
      </c>
      <c r="M480" s="612">
        <v>9.0</v>
      </c>
      <c r="N480" s="621"/>
      <c r="O480" s="621"/>
      <c r="P480" s="602">
        <f t="shared" si="35"/>
        <v>0</v>
      </c>
      <c r="Q480" s="613" t="s">
        <v>479</v>
      </c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</row>
    <row r="481" ht="22.5" customHeight="1">
      <c r="A481" s="614">
        <v>45597.0</v>
      </c>
      <c r="B481" s="626" t="s">
        <v>2218</v>
      </c>
      <c r="C481" s="610">
        <v>295081.92</v>
      </c>
      <c r="D481" s="609"/>
      <c r="E481" s="606"/>
      <c r="F481" s="627" t="s">
        <v>2032</v>
      </c>
      <c r="G481" s="597">
        <v>20.0</v>
      </c>
      <c r="H481" s="598">
        <f t="shared" si="33"/>
        <v>49180.32</v>
      </c>
      <c r="I481" s="599"/>
      <c r="J481" s="599"/>
      <c r="K481" s="615"/>
      <c r="L481" s="616" t="s">
        <v>317</v>
      </c>
      <c r="M481" s="612">
        <v>13.0</v>
      </c>
      <c r="N481" s="621"/>
      <c r="O481" s="621"/>
      <c r="P481" s="602">
        <f t="shared" si="35"/>
        <v>0</v>
      </c>
      <c r="Q481" s="613" t="s">
        <v>480</v>
      </c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</row>
    <row r="482" ht="22.5" customHeight="1">
      <c r="A482" s="614">
        <v>45598.0</v>
      </c>
      <c r="B482" s="626" t="s">
        <v>2218</v>
      </c>
      <c r="C482" s="609"/>
      <c r="D482" s="609"/>
      <c r="E482" s="604" t="s">
        <v>33</v>
      </c>
      <c r="F482" s="596"/>
      <c r="G482" s="597">
        <v>0.0</v>
      </c>
      <c r="H482" s="598">
        <f t="shared" si="33"/>
        <v>0</v>
      </c>
      <c r="I482" s="599"/>
      <c r="J482" s="605">
        <v>1500.0</v>
      </c>
      <c r="K482" s="615"/>
      <c r="L482" s="616" t="s">
        <v>446</v>
      </c>
      <c r="M482" s="621"/>
      <c r="N482" s="621"/>
      <c r="O482" s="621"/>
      <c r="P482" s="602"/>
      <c r="Q482" s="622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</row>
    <row r="483" ht="22.5" customHeight="1">
      <c r="A483" s="614">
        <v>45601.0</v>
      </c>
      <c r="B483" s="626" t="s">
        <v>2218</v>
      </c>
      <c r="C483" s="609"/>
      <c r="D483" s="610">
        <v>13990.0</v>
      </c>
      <c r="E483" s="595"/>
      <c r="F483" s="596"/>
      <c r="G483" s="597">
        <v>0.0</v>
      </c>
      <c r="H483" s="598">
        <f t="shared" si="33"/>
        <v>0</v>
      </c>
      <c r="I483" s="599"/>
      <c r="J483" s="599"/>
      <c r="K483" s="600"/>
      <c r="L483" s="601" t="s">
        <v>31</v>
      </c>
      <c r="M483" s="621"/>
      <c r="N483" s="621"/>
      <c r="O483" s="621"/>
      <c r="P483" s="602"/>
      <c r="Q483" s="622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</row>
    <row r="484" ht="22.5" customHeight="1">
      <c r="A484" s="614">
        <v>45601.0</v>
      </c>
      <c r="B484" s="626" t="s">
        <v>2218</v>
      </c>
      <c r="C484" s="610">
        <v>501622.15</v>
      </c>
      <c r="D484" s="609"/>
      <c r="E484" s="606"/>
      <c r="F484" s="627" t="s">
        <v>2032</v>
      </c>
      <c r="G484" s="597">
        <v>20.0</v>
      </c>
      <c r="H484" s="598">
        <f t="shared" si="33"/>
        <v>83603.69167</v>
      </c>
      <c r="I484" s="599"/>
      <c r="J484" s="599"/>
      <c r="K484" s="628"/>
      <c r="L484" s="629" t="s">
        <v>120</v>
      </c>
      <c r="M484" s="612">
        <v>19.0</v>
      </c>
      <c r="N484" s="621"/>
      <c r="O484" s="621"/>
      <c r="P484" s="602">
        <f t="shared" ref="P484:P486" si="36">A484-IF(O484&gt;0,O484,A484)</f>
        <v>0</v>
      </c>
      <c r="Q484" s="613" t="s">
        <v>481</v>
      </c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</row>
    <row r="485" ht="22.5" customHeight="1">
      <c r="A485" s="614">
        <v>45601.0</v>
      </c>
      <c r="B485" s="626" t="s">
        <v>2218</v>
      </c>
      <c r="C485" s="610">
        <v>546000.0</v>
      </c>
      <c r="D485" s="610"/>
      <c r="E485" s="606"/>
      <c r="F485" s="627" t="s">
        <v>2032</v>
      </c>
      <c r="G485" s="597">
        <v>20.0</v>
      </c>
      <c r="H485" s="598">
        <f t="shared" si="33"/>
        <v>91000</v>
      </c>
      <c r="I485" s="599"/>
      <c r="J485" s="599"/>
      <c r="K485" s="615"/>
      <c r="L485" s="616" t="s">
        <v>482</v>
      </c>
      <c r="M485" s="612">
        <v>2.0</v>
      </c>
      <c r="N485" s="621"/>
      <c r="O485" s="621"/>
      <c r="P485" s="602">
        <f t="shared" si="36"/>
        <v>0</v>
      </c>
      <c r="Q485" s="613" t="s">
        <v>483</v>
      </c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</row>
    <row r="486" ht="22.5" customHeight="1">
      <c r="A486" s="614">
        <v>45601.0</v>
      </c>
      <c r="B486" s="626" t="s">
        <v>2218</v>
      </c>
      <c r="C486" s="610">
        <v>560280.0</v>
      </c>
      <c r="D486" s="609"/>
      <c r="E486" s="606"/>
      <c r="F486" s="627" t="s">
        <v>2032</v>
      </c>
      <c r="G486" s="597">
        <v>20.0</v>
      </c>
      <c r="H486" s="598">
        <f t="shared" si="33"/>
        <v>93380</v>
      </c>
      <c r="I486" s="599"/>
      <c r="J486" s="599"/>
      <c r="K486" s="615"/>
      <c r="L486" s="616" t="s">
        <v>482</v>
      </c>
      <c r="M486" s="612">
        <v>1.0</v>
      </c>
      <c r="N486" s="621"/>
      <c r="O486" s="621"/>
      <c r="P486" s="602">
        <f t="shared" si="36"/>
        <v>0</v>
      </c>
      <c r="Q486" s="613" t="s">
        <v>484</v>
      </c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</row>
    <row r="487" ht="22.5" customHeight="1">
      <c r="A487" s="614">
        <v>45601.0</v>
      </c>
      <c r="B487" s="626" t="s">
        <v>2218</v>
      </c>
      <c r="C487" s="609"/>
      <c r="D487" s="610">
        <v>6728.0</v>
      </c>
      <c r="E487" s="606"/>
      <c r="F487" s="627" t="s">
        <v>485</v>
      </c>
      <c r="G487" s="597">
        <v>0.0</v>
      </c>
      <c r="H487" s="598">
        <f t="shared" si="33"/>
        <v>0</v>
      </c>
      <c r="I487" s="599"/>
      <c r="J487" s="599"/>
      <c r="K487" s="615"/>
      <c r="L487" s="616" t="s">
        <v>72</v>
      </c>
      <c r="M487" s="621"/>
      <c r="N487" s="621"/>
      <c r="O487" s="621"/>
      <c r="P487" s="602"/>
      <c r="Q487" s="613" t="s">
        <v>209</v>
      </c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</row>
    <row r="488" ht="22.5" customHeight="1">
      <c r="A488" s="614">
        <v>45601.0</v>
      </c>
      <c r="B488" s="626" t="s">
        <v>2218</v>
      </c>
      <c r="C488" s="609"/>
      <c r="D488" s="610">
        <v>61826.0</v>
      </c>
      <c r="E488" s="606"/>
      <c r="F488" s="627" t="s">
        <v>485</v>
      </c>
      <c r="G488" s="597">
        <v>0.0</v>
      </c>
      <c r="H488" s="598">
        <f t="shared" si="33"/>
        <v>0</v>
      </c>
      <c r="I488" s="599"/>
      <c r="J488" s="599"/>
      <c r="K488" s="615"/>
      <c r="L488" s="616" t="s">
        <v>72</v>
      </c>
      <c r="M488" s="621"/>
      <c r="N488" s="621"/>
      <c r="O488" s="621"/>
      <c r="P488" s="602"/>
      <c r="Q488" s="613" t="s">
        <v>209</v>
      </c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</row>
    <row r="489" ht="22.5" customHeight="1">
      <c r="A489" s="614">
        <v>45601.0</v>
      </c>
      <c r="B489" s="626" t="s">
        <v>2218</v>
      </c>
      <c r="C489" s="609"/>
      <c r="D489" s="610">
        <v>46850.0</v>
      </c>
      <c r="E489" s="606"/>
      <c r="F489" s="627" t="s">
        <v>108</v>
      </c>
      <c r="G489" s="597">
        <v>0.0</v>
      </c>
      <c r="H489" s="598">
        <f t="shared" si="33"/>
        <v>0</v>
      </c>
      <c r="I489" s="599"/>
      <c r="J489" s="599"/>
      <c r="K489" s="615"/>
      <c r="L489" s="616" t="s">
        <v>486</v>
      </c>
      <c r="M489" s="621"/>
      <c r="N489" s="621"/>
      <c r="O489" s="621"/>
      <c r="P489" s="602"/>
      <c r="Q489" s="667" t="s">
        <v>487</v>
      </c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</row>
    <row r="490" ht="22.5" customHeight="1">
      <c r="A490" s="614">
        <v>45601.0</v>
      </c>
      <c r="B490" s="626" t="s">
        <v>2218</v>
      </c>
      <c r="C490" s="609"/>
      <c r="D490" s="609"/>
      <c r="E490" s="604" t="s">
        <v>33</v>
      </c>
      <c r="F490" s="627" t="s">
        <v>203</v>
      </c>
      <c r="G490" s="597">
        <v>0.0</v>
      </c>
      <c r="H490" s="598">
        <f t="shared" si="33"/>
        <v>0</v>
      </c>
      <c r="I490" s="599"/>
      <c r="J490" s="605">
        <v>639900.0</v>
      </c>
      <c r="K490" s="615"/>
      <c r="L490" s="616" t="s">
        <v>203</v>
      </c>
      <c r="M490" s="621"/>
      <c r="N490" s="621"/>
      <c r="O490" s="621"/>
      <c r="P490" s="602"/>
      <c r="Q490" s="613" t="s">
        <v>488</v>
      </c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</row>
    <row r="491" ht="22.5" customHeight="1">
      <c r="A491" s="614">
        <v>45601.0</v>
      </c>
      <c r="B491" s="626" t="s">
        <v>2218</v>
      </c>
      <c r="C491" s="609"/>
      <c r="D491" s="609"/>
      <c r="E491" s="604" t="s">
        <v>33</v>
      </c>
      <c r="F491" s="627" t="s">
        <v>489</v>
      </c>
      <c r="G491" s="597">
        <v>0.0</v>
      </c>
      <c r="H491" s="598">
        <f t="shared" si="33"/>
        <v>0</v>
      </c>
      <c r="I491" s="599"/>
      <c r="J491" s="605">
        <v>58700.0</v>
      </c>
      <c r="K491" s="615"/>
      <c r="L491" s="616" t="s">
        <v>489</v>
      </c>
      <c r="M491" s="621"/>
      <c r="N491" s="621"/>
      <c r="O491" s="621"/>
      <c r="P491" s="602"/>
      <c r="Q491" s="613" t="s">
        <v>491</v>
      </c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</row>
    <row r="492" ht="22.5" customHeight="1">
      <c r="A492" s="614">
        <v>45601.0</v>
      </c>
      <c r="B492" s="626" t="s">
        <v>2218</v>
      </c>
      <c r="C492" s="609"/>
      <c r="D492" s="609"/>
      <c r="E492" s="604" t="s">
        <v>33</v>
      </c>
      <c r="F492" s="627" t="s">
        <v>492</v>
      </c>
      <c r="G492" s="597">
        <v>0.0</v>
      </c>
      <c r="H492" s="598">
        <f t="shared" si="33"/>
        <v>0</v>
      </c>
      <c r="I492" s="599"/>
      <c r="J492" s="605">
        <v>315000.0</v>
      </c>
      <c r="K492" s="615"/>
      <c r="L492" s="616" t="s">
        <v>413</v>
      </c>
      <c r="M492" s="621"/>
      <c r="N492" s="621"/>
      <c r="O492" s="621"/>
      <c r="P492" s="602"/>
      <c r="Q492" s="613" t="s">
        <v>435</v>
      </c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</row>
    <row r="493" ht="22.5" customHeight="1">
      <c r="A493" s="614">
        <v>45601.0</v>
      </c>
      <c r="B493" s="626" t="s">
        <v>2218</v>
      </c>
      <c r="C493" s="609"/>
      <c r="D493" s="609"/>
      <c r="E493" s="604" t="s">
        <v>33</v>
      </c>
      <c r="F493" s="596"/>
      <c r="G493" s="597">
        <v>0.0</v>
      </c>
      <c r="H493" s="598">
        <f t="shared" si="33"/>
        <v>0</v>
      </c>
      <c r="I493" s="605"/>
      <c r="J493" s="605">
        <v>2600.0</v>
      </c>
      <c r="K493" s="615"/>
      <c r="L493" s="616" t="s">
        <v>493</v>
      </c>
      <c r="M493" s="621"/>
      <c r="N493" s="621"/>
      <c r="O493" s="621"/>
      <c r="P493" s="602"/>
      <c r="Q493" s="622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</row>
    <row r="494" ht="22.5" customHeight="1">
      <c r="A494" s="614">
        <v>45602.0</v>
      </c>
      <c r="B494" s="626" t="s">
        <v>2218</v>
      </c>
      <c r="C494" s="609"/>
      <c r="D494" s="610">
        <v>217200.0</v>
      </c>
      <c r="E494" s="606"/>
      <c r="F494" s="627" t="s">
        <v>494</v>
      </c>
      <c r="G494" s="597">
        <v>0.0</v>
      </c>
      <c r="H494" s="598">
        <f t="shared" si="33"/>
        <v>0</v>
      </c>
      <c r="I494" s="599"/>
      <c r="J494" s="599"/>
      <c r="K494" s="615"/>
      <c r="L494" s="616" t="s">
        <v>496</v>
      </c>
      <c r="M494" s="621"/>
      <c r="N494" s="621"/>
      <c r="O494" s="621"/>
      <c r="P494" s="602"/>
      <c r="Q494" s="613" t="s">
        <v>497</v>
      </c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</row>
    <row r="495" ht="22.5" customHeight="1">
      <c r="A495" s="614">
        <v>45602.0</v>
      </c>
      <c r="B495" s="626" t="s">
        <v>2218</v>
      </c>
      <c r="C495" s="609"/>
      <c r="D495" s="610">
        <v>233852.0</v>
      </c>
      <c r="E495" s="606"/>
      <c r="F495" s="627" t="s">
        <v>494</v>
      </c>
      <c r="G495" s="597">
        <v>0.0</v>
      </c>
      <c r="H495" s="598">
        <f t="shared" si="33"/>
        <v>0</v>
      </c>
      <c r="I495" s="599"/>
      <c r="J495" s="599"/>
      <c r="K495" s="615"/>
      <c r="L495" s="616" t="s">
        <v>496</v>
      </c>
      <c r="M495" s="621"/>
      <c r="N495" s="621"/>
      <c r="O495" s="621"/>
      <c r="P495" s="602"/>
      <c r="Q495" s="613" t="s">
        <v>498</v>
      </c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</row>
    <row r="496" ht="22.5" customHeight="1">
      <c r="A496" s="614">
        <v>45602.0</v>
      </c>
      <c r="B496" s="626" t="s">
        <v>2218</v>
      </c>
      <c r="C496" s="609"/>
      <c r="D496" s="610">
        <v>12588.55</v>
      </c>
      <c r="E496" s="606"/>
      <c r="F496" s="627" t="s">
        <v>203</v>
      </c>
      <c r="G496" s="597">
        <v>0.0</v>
      </c>
      <c r="H496" s="598">
        <f t="shared" si="33"/>
        <v>0</v>
      </c>
      <c r="I496" s="599"/>
      <c r="J496" s="599"/>
      <c r="K496" s="615"/>
      <c r="L496" s="616" t="s">
        <v>499</v>
      </c>
      <c r="M496" s="621"/>
      <c r="N496" s="621"/>
      <c r="O496" s="621"/>
      <c r="P496" s="602"/>
      <c r="Q496" s="622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</row>
    <row r="497" ht="22.5" customHeight="1">
      <c r="A497" s="614">
        <v>45603.0</v>
      </c>
      <c r="B497" s="626" t="s">
        <v>2218</v>
      </c>
      <c r="C497" s="650">
        <v>1339154.04</v>
      </c>
      <c r="D497" s="610"/>
      <c r="E497" s="606"/>
      <c r="F497" s="627" t="s">
        <v>2031</v>
      </c>
      <c r="G497" s="597">
        <v>20.0</v>
      </c>
      <c r="H497" s="598">
        <f t="shared" si="33"/>
        <v>223192.34</v>
      </c>
      <c r="I497" s="599"/>
      <c r="J497" s="599"/>
      <c r="K497" s="615"/>
      <c r="L497" s="616" t="s">
        <v>250</v>
      </c>
      <c r="M497" s="612">
        <v>16.0</v>
      </c>
      <c r="N497" s="661">
        <v>119.0</v>
      </c>
      <c r="O497" s="621"/>
      <c r="P497" s="602">
        <f t="shared" ref="P497:P498" si="37">A497-IF(O497&gt;0,O497,A497)</f>
        <v>0</v>
      </c>
      <c r="Q497" s="622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</row>
    <row r="498" ht="22.5" customHeight="1">
      <c r="A498" s="614">
        <v>45603.0</v>
      </c>
      <c r="B498" s="626" t="s">
        <v>2218</v>
      </c>
      <c r="C498" s="650">
        <v>5864880.0</v>
      </c>
      <c r="D498" s="610"/>
      <c r="E498" s="606"/>
      <c r="F498" s="627" t="s">
        <v>2031</v>
      </c>
      <c r="G498" s="597">
        <v>20.0</v>
      </c>
      <c r="H498" s="598">
        <f t="shared" si="33"/>
        <v>977480</v>
      </c>
      <c r="I498" s="599"/>
      <c r="J498" s="599"/>
      <c r="K498" s="615"/>
      <c r="L498" s="616" t="s">
        <v>250</v>
      </c>
      <c r="M498" s="612">
        <v>12.0</v>
      </c>
      <c r="N498" s="661">
        <v>120.0</v>
      </c>
      <c r="O498" s="621"/>
      <c r="P498" s="602">
        <f t="shared" si="37"/>
        <v>0</v>
      </c>
      <c r="Q498" s="622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</row>
    <row r="499" ht="22.5" customHeight="1">
      <c r="A499" s="614">
        <v>45603.0</v>
      </c>
      <c r="B499" s="626" t="s">
        <v>2218</v>
      </c>
      <c r="C499" s="609"/>
      <c r="D499" s="610">
        <v>38160.0</v>
      </c>
      <c r="E499" s="595"/>
      <c r="F499" s="596"/>
      <c r="G499" s="597">
        <v>0.0</v>
      </c>
      <c r="H499" s="598">
        <f t="shared" si="33"/>
        <v>0</v>
      </c>
      <c r="I499" s="599"/>
      <c r="J499" s="599"/>
      <c r="K499" s="615"/>
      <c r="L499" s="616" t="s">
        <v>500</v>
      </c>
      <c r="M499" s="621"/>
      <c r="N499" s="621"/>
      <c r="O499" s="621"/>
      <c r="P499" s="602"/>
      <c r="Q499" s="613" t="s">
        <v>501</v>
      </c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</row>
    <row r="500" ht="22.5" customHeight="1">
      <c r="A500" s="614">
        <v>45604.0</v>
      </c>
      <c r="B500" s="626" t="s">
        <v>2218</v>
      </c>
      <c r="C500" s="609"/>
      <c r="D500" s="610">
        <v>925740.99</v>
      </c>
      <c r="E500" s="606"/>
      <c r="F500" s="627" t="s">
        <v>2030</v>
      </c>
      <c r="G500" s="597">
        <v>20.0</v>
      </c>
      <c r="H500" s="598">
        <f t="shared" si="33"/>
        <v>154290.165</v>
      </c>
      <c r="I500" s="599"/>
      <c r="J500" s="599"/>
      <c r="K500" s="615"/>
      <c r="L500" s="616" t="s">
        <v>77</v>
      </c>
      <c r="M500" s="621"/>
      <c r="N500" s="621"/>
      <c r="O500" s="621"/>
      <c r="P500" s="602"/>
      <c r="Q500" s="622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</row>
    <row r="501" ht="22.5" customHeight="1">
      <c r="A501" s="614">
        <v>45604.0</v>
      </c>
      <c r="B501" s="626" t="s">
        <v>2218</v>
      </c>
      <c r="C501" s="609"/>
      <c r="D501" s="610">
        <v>117120.0</v>
      </c>
      <c r="E501" s="606"/>
      <c r="F501" s="627" t="s">
        <v>443</v>
      </c>
      <c r="G501" s="597">
        <v>20.0</v>
      </c>
      <c r="H501" s="598">
        <f t="shared" si="33"/>
        <v>19520</v>
      </c>
      <c r="I501" s="599"/>
      <c r="J501" s="599"/>
      <c r="K501" s="615"/>
      <c r="L501" s="616" t="s">
        <v>502</v>
      </c>
      <c r="M501" s="621"/>
      <c r="N501" s="612">
        <v>123.0</v>
      </c>
      <c r="O501" s="668">
        <v>45575.0</v>
      </c>
      <c r="P501" s="602"/>
      <c r="Q501" s="622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</row>
    <row r="502" ht="22.5" customHeight="1">
      <c r="A502" s="614">
        <v>45604.0</v>
      </c>
      <c r="B502" s="626" t="s">
        <v>2218</v>
      </c>
      <c r="C502" s="609"/>
      <c r="D502" s="610">
        <v>41163.93</v>
      </c>
      <c r="E502" s="606"/>
      <c r="F502" s="627" t="s">
        <v>44</v>
      </c>
      <c r="G502" s="597">
        <v>20.0</v>
      </c>
      <c r="H502" s="598">
        <f t="shared" si="33"/>
        <v>6860.655</v>
      </c>
      <c r="I502" s="599"/>
      <c r="J502" s="599"/>
      <c r="K502" s="615"/>
      <c r="L502" s="616" t="s">
        <v>2226</v>
      </c>
      <c r="M502" s="621"/>
      <c r="N502" s="621"/>
      <c r="O502" s="621"/>
      <c r="P502" s="602"/>
      <c r="Q502" s="613" t="s">
        <v>503</v>
      </c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</row>
    <row r="503" ht="22.5" customHeight="1">
      <c r="A503" s="614">
        <v>45604.0</v>
      </c>
      <c r="B503" s="626" t="s">
        <v>2218</v>
      </c>
      <c r="C503" s="609"/>
      <c r="D503" s="610">
        <v>1000.0</v>
      </c>
      <c r="E503" s="606"/>
      <c r="F503" s="627" t="s">
        <v>44</v>
      </c>
      <c r="G503" s="597">
        <v>20.0</v>
      </c>
      <c r="H503" s="598">
        <f t="shared" si="33"/>
        <v>166.6666667</v>
      </c>
      <c r="I503" s="599"/>
      <c r="J503" s="599"/>
      <c r="K503" s="615"/>
      <c r="L503" s="616" t="s">
        <v>2226</v>
      </c>
      <c r="M503" s="621"/>
      <c r="N503" s="621"/>
      <c r="O503" s="621"/>
      <c r="P503" s="602"/>
      <c r="Q503" s="622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</row>
    <row r="504" ht="22.5" customHeight="1">
      <c r="A504" s="614">
        <v>45604.0</v>
      </c>
      <c r="B504" s="626" t="s">
        <v>2218</v>
      </c>
      <c r="C504" s="609"/>
      <c r="D504" s="666">
        <v>123000.0</v>
      </c>
      <c r="E504" s="606"/>
      <c r="F504" s="627" t="s">
        <v>168</v>
      </c>
      <c r="G504" s="597">
        <v>0.0</v>
      </c>
      <c r="H504" s="598">
        <f t="shared" si="33"/>
        <v>0</v>
      </c>
      <c r="I504" s="599"/>
      <c r="J504" s="599"/>
      <c r="K504" s="615" t="s">
        <v>2230</v>
      </c>
      <c r="L504" s="616" t="s">
        <v>505</v>
      </c>
      <c r="M504" s="621"/>
      <c r="N504" s="621"/>
      <c r="O504" s="621"/>
      <c r="P504" s="602"/>
      <c r="Q504" s="613" t="s">
        <v>506</v>
      </c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</row>
    <row r="505" ht="22.5" customHeight="1">
      <c r="A505" s="614">
        <v>45604.0</v>
      </c>
      <c r="B505" s="626" t="s">
        <v>2218</v>
      </c>
      <c r="C505" s="609"/>
      <c r="D505" s="610">
        <f>1431502</f>
        <v>1431502</v>
      </c>
      <c r="E505" s="606"/>
      <c r="F505" s="627" t="s">
        <v>2231</v>
      </c>
      <c r="G505" s="597">
        <v>20.0</v>
      </c>
      <c r="H505" s="598">
        <f t="shared" si="33"/>
        <v>238583.6667</v>
      </c>
      <c r="I505" s="599"/>
      <c r="J505" s="599"/>
      <c r="K505" s="615"/>
      <c r="L505" s="616" t="s">
        <v>250</v>
      </c>
      <c r="M505" s="621"/>
      <c r="N505" s="612" t="s">
        <v>508</v>
      </c>
      <c r="O505" s="662">
        <v>45554.0</v>
      </c>
      <c r="P505" s="602"/>
      <c r="Q505" s="622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</row>
    <row r="506" ht="22.5" customHeight="1">
      <c r="A506" s="614">
        <v>45604.0</v>
      </c>
      <c r="B506" s="626" t="s">
        <v>2218</v>
      </c>
      <c r="C506" s="609"/>
      <c r="D506" s="610">
        <v>3179.0</v>
      </c>
      <c r="E506" s="606"/>
      <c r="F506" s="627" t="s">
        <v>2031</v>
      </c>
      <c r="G506" s="597">
        <v>0.0</v>
      </c>
      <c r="H506" s="598">
        <f t="shared" si="33"/>
        <v>0</v>
      </c>
      <c r="I506" s="599"/>
      <c r="J506" s="599"/>
      <c r="K506" s="615"/>
      <c r="L506" s="616" t="s">
        <v>2232</v>
      </c>
      <c r="M506" s="621"/>
      <c r="N506" s="612" t="s">
        <v>510</v>
      </c>
      <c r="O506" s="621"/>
      <c r="P506" s="602"/>
      <c r="Q506" s="613" t="s">
        <v>511</v>
      </c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</row>
    <row r="507" ht="22.5" customHeight="1">
      <c r="A507" s="614">
        <v>45604.0</v>
      </c>
      <c r="B507" s="626" t="s">
        <v>2218</v>
      </c>
      <c r="C507" s="609"/>
      <c r="D507" s="610">
        <v>458727.79</v>
      </c>
      <c r="E507" s="606"/>
      <c r="F507" s="627" t="s">
        <v>203</v>
      </c>
      <c r="G507" s="597">
        <v>0.0</v>
      </c>
      <c r="H507" s="598">
        <f t="shared" si="33"/>
        <v>0</v>
      </c>
      <c r="I507" s="599"/>
      <c r="J507" s="599"/>
      <c r="K507" s="611"/>
      <c r="L507" s="611"/>
      <c r="M507" s="621"/>
      <c r="N507" s="621"/>
      <c r="O507" s="621"/>
      <c r="P507" s="602"/>
      <c r="Q507" s="622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</row>
    <row r="508" ht="22.5" customHeight="1">
      <c r="A508" s="614">
        <v>45604.0</v>
      </c>
      <c r="B508" s="626" t="s">
        <v>2218</v>
      </c>
      <c r="C508" s="609"/>
      <c r="D508" s="609"/>
      <c r="E508" s="604" t="s">
        <v>33</v>
      </c>
      <c r="F508" s="627" t="s">
        <v>512</v>
      </c>
      <c r="G508" s="597">
        <v>0.0</v>
      </c>
      <c r="H508" s="598">
        <f t="shared" si="33"/>
        <v>0</v>
      </c>
      <c r="I508" s="599"/>
      <c r="J508" s="605">
        <v>1632900.0</v>
      </c>
      <c r="K508" s="615"/>
      <c r="L508" s="616" t="s">
        <v>413</v>
      </c>
      <c r="M508" s="621"/>
      <c r="N508" s="621"/>
      <c r="O508" s="621"/>
      <c r="P508" s="602"/>
      <c r="Q508" s="613" t="s">
        <v>414</v>
      </c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</row>
    <row r="509" ht="22.5" customHeight="1">
      <c r="A509" s="614">
        <v>45604.0</v>
      </c>
      <c r="B509" s="626" t="s">
        <v>2218</v>
      </c>
      <c r="C509" s="609"/>
      <c r="D509" s="610">
        <v>3896103.0</v>
      </c>
      <c r="E509" s="606"/>
      <c r="F509" s="627" t="s">
        <v>48</v>
      </c>
      <c r="G509" s="597">
        <v>20.0</v>
      </c>
      <c r="H509" s="598">
        <f t="shared" si="33"/>
        <v>649350.5</v>
      </c>
      <c r="I509" s="605">
        <v>3000000.0</v>
      </c>
      <c r="J509" s="599"/>
      <c r="K509" s="611"/>
      <c r="L509" s="611"/>
      <c r="M509" s="621"/>
      <c r="N509" s="621"/>
      <c r="O509" s="621"/>
      <c r="P509" s="602"/>
      <c r="Q509" s="622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</row>
    <row r="510" ht="22.5" customHeight="1">
      <c r="A510" s="614">
        <v>45607.0</v>
      </c>
      <c r="B510" s="626" t="s">
        <v>2218</v>
      </c>
      <c r="C510" s="610"/>
      <c r="D510" s="610">
        <v>1731237.35</v>
      </c>
      <c r="E510" s="606"/>
      <c r="F510" s="627" t="s">
        <v>2031</v>
      </c>
      <c r="G510" s="597">
        <v>20.0</v>
      </c>
      <c r="H510" s="598">
        <f t="shared" si="33"/>
        <v>288539.5583</v>
      </c>
      <c r="I510" s="599"/>
      <c r="J510" s="599"/>
      <c r="K510" s="615"/>
      <c r="L510" s="616" t="s">
        <v>77</v>
      </c>
      <c r="M510" s="621"/>
      <c r="N510" s="621"/>
      <c r="O510" s="621"/>
      <c r="P510" s="602"/>
      <c r="Q510" s="622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</row>
    <row r="511" ht="22.5" customHeight="1">
      <c r="A511" s="614">
        <v>45607.0</v>
      </c>
      <c r="B511" s="626" t="s">
        <v>2218</v>
      </c>
      <c r="C511" s="610">
        <v>378000.0</v>
      </c>
      <c r="D511" s="609"/>
      <c r="E511" s="606"/>
      <c r="F511" s="627" t="s">
        <v>2031</v>
      </c>
      <c r="G511" s="597">
        <v>20.0</v>
      </c>
      <c r="H511" s="598">
        <f t="shared" si="33"/>
        <v>63000</v>
      </c>
      <c r="I511" s="599"/>
      <c r="J511" s="599"/>
      <c r="K511" s="615"/>
      <c r="L511" s="616" t="s">
        <v>473</v>
      </c>
      <c r="M511" s="612">
        <v>4.0</v>
      </c>
      <c r="N511" s="621"/>
      <c r="O511" s="621"/>
      <c r="P511" s="602">
        <f>A511-IF(O511&gt;0,O511,A511)</f>
        <v>0</v>
      </c>
      <c r="Q511" s="622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</row>
    <row r="512" ht="22.5" customHeight="1">
      <c r="A512" s="614">
        <v>45607.0</v>
      </c>
      <c r="B512" s="626" t="s">
        <v>2218</v>
      </c>
      <c r="C512" s="609"/>
      <c r="D512" s="650">
        <f>5160002</f>
        <v>5160002</v>
      </c>
      <c r="E512" s="606"/>
      <c r="F512" s="627" t="s">
        <v>2031</v>
      </c>
      <c r="G512" s="597">
        <v>20.0</v>
      </c>
      <c r="H512" s="598">
        <f t="shared" si="33"/>
        <v>860000.3333</v>
      </c>
      <c r="I512" s="599"/>
      <c r="J512" s="599"/>
      <c r="K512" s="615"/>
      <c r="L512" s="616" t="s">
        <v>473</v>
      </c>
      <c r="M512" s="621"/>
      <c r="N512" s="621"/>
      <c r="O512" s="621"/>
      <c r="P512" s="602"/>
      <c r="Q512" s="622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</row>
    <row r="513" ht="22.5" customHeight="1">
      <c r="A513" s="614">
        <v>45607.0</v>
      </c>
      <c r="B513" s="626" t="s">
        <v>2218</v>
      </c>
      <c r="C513" s="609"/>
      <c r="D513" s="609"/>
      <c r="E513" s="604" t="s">
        <v>33</v>
      </c>
      <c r="F513" s="627" t="s">
        <v>108</v>
      </c>
      <c r="G513" s="597">
        <v>0.0</v>
      </c>
      <c r="H513" s="598">
        <f t="shared" si="33"/>
        <v>0</v>
      </c>
      <c r="I513" s="599"/>
      <c r="J513" s="605">
        <v>16500.0</v>
      </c>
      <c r="K513" s="615"/>
      <c r="L513" s="616" t="s">
        <v>513</v>
      </c>
      <c r="M513" s="621"/>
      <c r="N513" s="621"/>
      <c r="O513" s="621"/>
      <c r="P513" s="602"/>
      <c r="Q513" s="622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</row>
    <row r="514" ht="22.5" customHeight="1">
      <c r="A514" s="614">
        <v>45607.0</v>
      </c>
      <c r="B514" s="626" t="s">
        <v>2218</v>
      </c>
      <c r="C514" s="609"/>
      <c r="D514" s="609"/>
      <c r="E514" s="604" t="s">
        <v>33</v>
      </c>
      <c r="F514" s="627" t="s">
        <v>203</v>
      </c>
      <c r="G514" s="597">
        <v>0.0</v>
      </c>
      <c r="H514" s="598">
        <f t="shared" si="33"/>
        <v>0</v>
      </c>
      <c r="I514" s="599"/>
      <c r="J514" s="605">
        <v>50000.0</v>
      </c>
      <c r="K514" s="615"/>
      <c r="L514" s="616" t="s">
        <v>240</v>
      </c>
      <c r="M514" s="621"/>
      <c r="N514" s="621"/>
      <c r="O514" s="621"/>
      <c r="P514" s="602"/>
      <c r="Q514" s="622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</row>
    <row r="515" ht="22.5" customHeight="1">
      <c r="A515" s="614">
        <v>45607.0</v>
      </c>
      <c r="B515" s="626" t="s">
        <v>2218</v>
      </c>
      <c r="C515" s="609"/>
      <c r="D515" s="609"/>
      <c r="E515" s="604" t="s">
        <v>33</v>
      </c>
      <c r="F515" s="627" t="s">
        <v>108</v>
      </c>
      <c r="G515" s="597">
        <v>0.0</v>
      </c>
      <c r="H515" s="598">
        <f t="shared" si="33"/>
        <v>0</v>
      </c>
      <c r="I515" s="599"/>
      <c r="J515" s="605">
        <v>15000.0</v>
      </c>
      <c r="K515" s="615"/>
      <c r="L515" s="616" t="s">
        <v>514</v>
      </c>
      <c r="M515" s="621"/>
      <c r="N515" s="621"/>
      <c r="O515" s="621"/>
      <c r="P515" s="602"/>
      <c r="Q515" s="622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</row>
    <row r="516" ht="22.5" customHeight="1">
      <c r="A516" s="614">
        <v>45610.0</v>
      </c>
      <c r="B516" s="626" t="s">
        <v>2218</v>
      </c>
      <c r="C516" s="609"/>
      <c r="D516" s="610">
        <v>138285.0</v>
      </c>
      <c r="E516" s="606"/>
      <c r="F516" s="627" t="s">
        <v>515</v>
      </c>
      <c r="G516" s="597">
        <v>0.0</v>
      </c>
      <c r="H516" s="598">
        <f t="shared" si="33"/>
        <v>0</v>
      </c>
      <c r="I516" s="599"/>
      <c r="J516" s="599"/>
      <c r="K516" s="615"/>
      <c r="L516" s="616" t="s">
        <v>2233</v>
      </c>
      <c r="M516" s="621"/>
      <c r="N516" s="612">
        <v>1.0</v>
      </c>
      <c r="O516" s="662">
        <v>45565.0</v>
      </c>
      <c r="P516" s="602"/>
      <c r="Q516" s="613" t="s">
        <v>517</v>
      </c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</row>
    <row r="517" ht="22.5" customHeight="1">
      <c r="A517" s="614">
        <v>45610.0</v>
      </c>
      <c r="B517" s="626" t="s">
        <v>2218</v>
      </c>
      <c r="C517" s="609"/>
      <c r="D517" s="610">
        <v>19282.0</v>
      </c>
      <c r="E517" s="606"/>
      <c r="F517" s="627" t="s">
        <v>518</v>
      </c>
      <c r="G517" s="597">
        <v>20.0</v>
      </c>
      <c r="H517" s="598">
        <f t="shared" si="33"/>
        <v>3213.666667</v>
      </c>
      <c r="I517" s="599"/>
      <c r="J517" s="599"/>
      <c r="K517" s="615"/>
      <c r="L517" s="616" t="s">
        <v>519</v>
      </c>
      <c r="M517" s="621"/>
      <c r="N517" s="621"/>
      <c r="O517" s="621"/>
      <c r="P517" s="602"/>
      <c r="Q517" s="622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</row>
    <row r="518" ht="22.5" customHeight="1">
      <c r="A518" s="614">
        <v>45611.0</v>
      </c>
      <c r="B518" s="626" t="s">
        <v>2218</v>
      </c>
      <c r="C518" s="609"/>
      <c r="D518" s="610">
        <v>5076.0</v>
      </c>
      <c r="E518" s="606"/>
      <c r="F518" s="627" t="s">
        <v>108</v>
      </c>
      <c r="G518" s="597">
        <v>0.0</v>
      </c>
      <c r="H518" s="598">
        <f t="shared" si="33"/>
        <v>0</v>
      </c>
      <c r="I518" s="599"/>
      <c r="J518" s="599"/>
      <c r="K518" s="615"/>
      <c r="L518" s="616" t="s">
        <v>266</v>
      </c>
      <c r="M518" s="621"/>
      <c r="N518" s="621"/>
      <c r="O518" s="621"/>
      <c r="P518" s="602"/>
      <c r="Q518" s="613" t="s">
        <v>520</v>
      </c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</row>
    <row r="519" ht="22.5" customHeight="1">
      <c r="A519" s="614">
        <v>45611.0</v>
      </c>
      <c r="B519" s="626" t="s">
        <v>2218</v>
      </c>
      <c r="C519" s="609"/>
      <c r="D519" s="610">
        <v>1652.76</v>
      </c>
      <c r="E519" s="606"/>
      <c r="F519" s="627" t="s">
        <v>283</v>
      </c>
      <c r="G519" s="597">
        <v>0.0</v>
      </c>
      <c r="H519" s="598">
        <f t="shared" si="33"/>
        <v>0</v>
      </c>
      <c r="I519" s="599"/>
      <c r="J519" s="599"/>
      <c r="K519" s="615"/>
      <c r="L519" s="616" t="s">
        <v>309</v>
      </c>
      <c r="M519" s="621"/>
      <c r="N519" s="621"/>
      <c r="O519" s="621"/>
      <c r="P519" s="602"/>
      <c r="Q519" s="613" t="s">
        <v>521</v>
      </c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</row>
    <row r="520" ht="22.5" customHeight="1">
      <c r="A520" s="614">
        <v>45616.0</v>
      </c>
      <c r="B520" s="626" t="s">
        <v>2218</v>
      </c>
      <c r="C520" s="610">
        <v>2100000.0</v>
      </c>
      <c r="D520" s="609"/>
      <c r="E520" s="606"/>
      <c r="F520" s="627" t="s">
        <v>2032</v>
      </c>
      <c r="G520" s="597">
        <v>20.0</v>
      </c>
      <c r="H520" s="598">
        <f t="shared" si="33"/>
        <v>350000</v>
      </c>
      <c r="I520" s="599"/>
      <c r="J520" s="599"/>
      <c r="K520" s="628"/>
      <c r="L520" s="629" t="s">
        <v>205</v>
      </c>
      <c r="M520" s="612">
        <v>5.0</v>
      </c>
      <c r="N520" s="612">
        <v>144.0</v>
      </c>
      <c r="O520" s="662">
        <v>45572.0</v>
      </c>
      <c r="P520" s="602">
        <f>A520-IF(O520&gt;0,O520,A520)</f>
        <v>44</v>
      </c>
      <c r="Q520" s="613" t="s">
        <v>522</v>
      </c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</row>
    <row r="521" ht="22.5" customHeight="1">
      <c r="A521" s="614">
        <v>45616.0</v>
      </c>
      <c r="B521" s="626" t="s">
        <v>2218</v>
      </c>
      <c r="C521" s="609"/>
      <c r="D521" s="610">
        <v>140000.0</v>
      </c>
      <c r="E521" s="606"/>
      <c r="F521" s="627" t="s">
        <v>108</v>
      </c>
      <c r="G521" s="597">
        <v>0.0</v>
      </c>
      <c r="H521" s="598">
        <f t="shared" si="33"/>
        <v>0</v>
      </c>
      <c r="I521" s="599"/>
      <c r="J521" s="599"/>
      <c r="K521" s="615"/>
      <c r="L521" s="616" t="s">
        <v>523</v>
      </c>
      <c r="M521" s="621"/>
      <c r="N521" s="621"/>
      <c r="O521" s="621"/>
      <c r="P521" s="602"/>
      <c r="Q521" s="613" t="s">
        <v>524</v>
      </c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</row>
    <row r="522" ht="22.5" customHeight="1">
      <c r="A522" s="614">
        <v>45616.0</v>
      </c>
      <c r="B522" s="626" t="s">
        <v>2218</v>
      </c>
      <c r="C522" s="609"/>
      <c r="D522" s="610">
        <v>231000.0</v>
      </c>
      <c r="E522" s="606"/>
      <c r="F522" s="627" t="s">
        <v>525</v>
      </c>
      <c r="G522" s="597">
        <v>0.0</v>
      </c>
      <c r="H522" s="598">
        <f t="shared" si="33"/>
        <v>0</v>
      </c>
      <c r="I522" s="599"/>
      <c r="J522" s="599"/>
      <c r="K522" s="615"/>
      <c r="L522" s="616" t="s">
        <v>526</v>
      </c>
      <c r="M522" s="621"/>
      <c r="N522" s="621"/>
      <c r="O522" s="621"/>
      <c r="P522" s="602"/>
      <c r="Q522" s="613" t="s">
        <v>527</v>
      </c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</row>
    <row r="523" ht="22.5" customHeight="1">
      <c r="A523" s="614">
        <v>45617.0</v>
      </c>
      <c r="B523" s="626" t="s">
        <v>2218</v>
      </c>
      <c r="C523" s="610">
        <v>300000.0</v>
      </c>
      <c r="D523" s="609"/>
      <c r="E523" s="606"/>
      <c r="F523" s="627" t="s">
        <v>2033</v>
      </c>
      <c r="G523" s="597">
        <v>20.0</v>
      </c>
      <c r="H523" s="598">
        <f t="shared" si="33"/>
        <v>50000</v>
      </c>
      <c r="I523" s="599"/>
      <c r="J523" s="599"/>
      <c r="K523" s="615"/>
      <c r="L523" s="616" t="s">
        <v>122</v>
      </c>
      <c r="M523" s="612">
        <v>23.0</v>
      </c>
      <c r="N523" s="612">
        <v>164.0</v>
      </c>
      <c r="O523" s="662">
        <v>45604.0</v>
      </c>
      <c r="P523" s="602">
        <f t="shared" ref="P523:P524" si="38">A523-IF(O523&gt;0,O523,A523)</f>
        <v>13</v>
      </c>
      <c r="Q523" s="613" t="s">
        <v>529</v>
      </c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</row>
    <row r="524" ht="22.5" customHeight="1">
      <c r="A524" s="614">
        <v>45617.0</v>
      </c>
      <c r="B524" s="626" t="s">
        <v>2218</v>
      </c>
      <c r="C524" s="610">
        <v>15024.48</v>
      </c>
      <c r="D524" s="609"/>
      <c r="E524" s="606"/>
      <c r="F524" s="627" t="s">
        <v>2033</v>
      </c>
      <c r="G524" s="597">
        <v>20.0</v>
      </c>
      <c r="H524" s="598">
        <f t="shared" si="33"/>
        <v>2504.08</v>
      </c>
      <c r="I524" s="599"/>
      <c r="J524" s="599"/>
      <c r="K524" s="615"/>
      <c r="L524" s="616" t="s">
        <v>122</v>
      </c>
      <c r="M524" s="612">
        <v>22.0</v>
      </c>
      <c r="N524" s="612">
        <v>165.0</v>
      </c>
      <c r="O524" s="662">
        <v>45604.0</v>
      </c>
      <c r="P524" s="602">
        <f t="shared" si="38"/>
        <v>13</v>
      </c>
      <c r="Q524" s="613" t="s">
        <v>530</v>
      </c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</row>
    <row r="525" ht="22.5" customHeight="1">
      <c r="A525" s="614">
        <v>45617.0</v>
      </c>
      <c r="B525" s="626" t="s">
        <v>2218</v>
      </c>
      <c r="C525" s="609"/>
      <c r="D525" s="609"/>
      <c r="E525" s="604" t="s">
        <v>33</v>
      </c>
      <c r="F525" s="627" t="s">
        <v>108</v>
      </c>
      <c r="G525" s="597">
        <v>0.0</v>
      </c>
      <c r="H525" s="598">
        <f t="shared" si="33"/>
        <v>0</v>
      </c>
      <c r="I525" s="599"/>
      <c r="J525" s="605">
        <v>500.0</v>
      </c>
      <c r="K525" s="615"/>
      <c r="L525" s="616" t="s">
        <v>446</v>
      </c>
      <c r="M525" s="621"/>
      <c r="N525" s="621"/>
      <c r="O525" s="621"/>
      <c r="P525" s="602"/>
      <c r="Q525" s="622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</row>
    <row r="526" ht="22.5" customHeight="1">
      <c r="A526" s="614">
        <v>45617.0</v>
      </c>
      <c r="B526" s="626" t="s">
        <v>2218</v>
      </c>
      <c r="C526" s="609"/>
      <c r="D526" s="609"/>
      <c r="E526" s="604" t="s">
        <v>33</v>
      </c>
      <c r="F526" s="627" t="s">
        <v>525</v>
      </c>
      <c r="G526" s="597">
        <v>0.0</v>
      </c>
      <c r="H526" s="598">
        <f t="shared" si="33"/>
        <v>0</v>
      </c>
      <c r="I526" s="599"/>
      <c r="J526" s="605">
        <v>21000.0</v>
      </c>
      <c r="K526" s="615"/>
      <c r="L526" s="616" t="s">
        <v>531</v>
      </c>
      <c r="M526" s="621"/>
      <c r="N526" s="621"/>
      <c r="O526" s="621"/>
      <c r="P526" s="602"/>
      <c r="Q526" s="622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</row>
    <row r="527" ht="22.5" customHeight="1">
      <c r="A527" s="614">
        <v>45617.0</v>
      </c>
      <c r="B527" s="626" t="s">
        <v>2218</v>
      </c>
      <c r="C527" s="610">
        <v>600000.0</v>
      </c>
      <c r="D527" s="609"/>
      <c r="E527" s="606"/>
      <c r="F527" s="627" t="s">
        <v>2031</v>
      </c>
      <c r="G527" s="597">
        <v>20.0</v>
      </c>
      <c r="H527" s="598">
        <f t="shared" si="33"/>
        <v>100000</v>
      </c>
      <c r="I527" s="599"/>
      <c r="J527" s="599"/>
      <c r="K527" s="615"/>
      <c r="L527" s="616" t="s">
        <v>532</v>
      </c>
      <c r="M527" s="612">
        <v>1.0</v>
      </c>
      <c r="N527" s="612">
        <v>126.0</v>
      </c>
      <c r="O527" s="621"/>
      <c r="P527" s="602">
        <f t="shared" ref="P527:P528" si="39">A527-IF(O527&gt;0,O527,A527)</f>
        <v>0</v>
      </c>
      <c r="Q527" s="613" t="s">
        <v>533</v>
      </c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</row>
    <row r="528" ht="22.5" customHeight="1">
      <c r="A528" s="614">
        <v>45617.0</v>
      </c>
      <c r="B528" s="626" t="s">
        <v>2218</v>
      </c>
      <c r="C528" s="610">
        <v>180000.0</v>
      </c>
      <c r="D528" s="609"/>
      <c r="E528" s="606"/>
      <c r="F528" s="627" t="s">
        <v>2033</v>
      </c>
      <c r="G528" s="597">
        <v>20.0</v>
      </c>
      <c r="H528" s="598">
        <f t="shared" si="33"/>
        <v>30000</v>
      </c>
      <c r="I528" s="599"/>
      <c r="J528" s="599"/>
      <c r="K528" s="615"/>
      <c r="L528" s="616" t="s">
        <v>315</v>
      </c>
      <c r="M528" s="612">
        <v>3.0</v>
      </c>
      <c r="N528" s="612">
        <v>166.0</v>
      </c>
      <c r="O528" s="662">
        <v>45604.0</v>
      </c>
      <c r="P528" s="602">
        <f t="shared" si="39"/>
        <v>13</v>
      </c>
      <c r="Q528" s="613" t="s">
        <v>534</v>
      </c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</row>
    <row r="529" ht="22.5" customHeight="1">
      <c r="A529" s="614">
        <v>45617.0</v>
      </c>
      <c r="B529" s="626" t="s">
        <v>2218</v>
      </c>
      <c r="C529" s="609"/>
      <c r="D529" s="609"/>
      <c r="E529" s="604" t="s">
        <v>33</v>
      </c>
      <c r="F529" s="627" t="s">
        <v>535</v>
      </c>
      <c r="G529" s="597">
        <v>0.0</v>
      </c>
      <c r="H529" s="598">
        <f t="shared" si="33"/>
        <v>0</v>
      </c>
      <c r="I529" s="599"/>
      <c r="J529" s="605">
        <v>12600.0</v>
      </c>
      <c r="K529" s="615"/>
      <c r="L529" s="616" t="s">
        <v>536</v>
      </c>
      <c r="M529" s="621"/>
      <c r="N529" s="621"/>
      <c r="O529" s="621"/>
      <c r="P529" s="602"/>
      <c r="Q529" s="613" t="s">
        <v>537</v>
      </c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</row>
    <row r="530" ht="22.5" customHeight="1">
      <c r="A530" s="614">
        <v>45618.0</v>
      </c>
      <c r="B530" s="626" t="s">
        <v>2218</v>
      </c>
      <c r="C530" s="650">
        <v>600000.24</v>
      </c>
      <c r="D530" s="609"/>
      <c r="E530" s="606"/>
      <c r="F530" s="627" t="s">
        <v>2031</v>
      </c>
      <c r="G530" s="597">
        <v>20.0</v>
      </c>
      <c r="H530" s="598">
        <f t="shared" si="33"/>
        <v>100000.04</v>
      </c>
      <c r="I530" s="599"/>
      <c r="J530" s="599"/>
      <c r="K530" s="615"/>
      <c r="L530" s="616" t="s">
        <v>2228</v>
      </c>
      <c r="M530" s="612">
        <v>3.0</v>
      </c>
      <c r="N530" s="612">
        <v>110.0</v>
      </c>
      <c r="O530" s="621"/>
      <c r="P530" s="602">
        <f t="shared" ref="P530:P532" si="40">A530-IF(O530&gt;0,O530,A530)</f>
        <v>0</v>
      </c>
      <c r="Q530" s="613" t="s">
        <v>538</v>
      </c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</row>
    <row r="531" ht="22.5" customHeight="1">
      <c r="A531" s="614">
        <v>45618.0</v>
      </c>
      <c r="B531" s="626" t="s">
        <v>2218</v>
      </c>
      <c r="C531" s="650">
        <v>600000.24</v>
      </c>
      <c r="D531" s="609"/>
      <c r="E531" s="606"/>
      <c r="F531" s="627" t="s">
        <v>2031</v>
      </c>
      <c r="G531" s="597">
        <v>20.0</v>
      </c>
      <c r="H531" s="598">
        <f t="shared" si="33"/>
        <v>100000.04</v>
      </c>
      <c r="I531" s="599"/>
      <c r="J531" s="599"/>
      <c r="K531" s="615"/>
      <c r="L531" s="616" t="s">
        <v>2228</v>
      </c>
      <c r="M531" s="612">
        <v>2.0</v>
      </c>
      <c r="N531" s="612">
        <v>109.0</v>
      </c>
      <c r="O531" s="621"/>
      <c r="P531" s="602">
        <f t="shared" si="40"/>
        <v>0</v>
      </c>
      <c r="Q531" s="613" t="s">
        <v>538</v>
      </c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</row>
    <row r="532" ht="22.5" customHeight="1">
      <c r="A532" s="614">
        <v>45618.0</v>
      </c>
      <c r="B532" s="626" t="s">
        <v>2218</v>
      </c>
      <c r="C532" s="650">
        <v>450030.0</v>
      </c>
      <c r="D532" s="609"/>
      <c r="E532" s="606"/>
      <c r="F532" s="627" t="s">
        <v>2031</v>
      </c>
      <c r="G532" s="597">
        <v>20.0</v>
      </c>
      <c r="H532" s="598">
        <f t="shared" si="33"/>
        <v>75005</v>
      </c>
      <c r="I532" s="599"/>
      <c r="J532" s="599"/>
      <c r="K532" s="615"/>
      <c r="L532" s="616" t="s">
        <v>2228</v>
      </c>
      <c r="M532" s="612">
        <v>1.0</v>
      </c>
      <c r="N532" s="612">
        <v>108.0</v>
      </c>
      <c r="O532" s="621"/>
      <c r="P532" s="602">
        <f t="shared" si="40"/>
        <v>0</v>
      </c>
      <c r="Q532" s="613" t="s">
        <v>538</v>
      </c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</row>
    <row r="533" ht="22.5" customHeight="1">
      <c r="A533" s="614">
        <v>45618.0</v>
      </c>
      <c r="B533" s="626" t="s">
        <v>2218</v>
      </c>
      <c r="C533" s="609"/>
      <c r="D533" s="610">
        <v>2400.0</v>
      </c>
      <c r="E533" s="606"/>
      <c r="F533" s="627" t="s">
        <v>2234</v>
      </c>
      <c r="G533" s="597">
        <v>0.0</v>
      </c>
      <c r="H533" s="598">
        <f t="shared" si="33"/>
        <v>0</v>
      </c>
      <c r="I533" s="599"/>
      <c r="J533" s="599"/>
      <c r="K533" s="615"/>
      <c r="L533" s="616" t="s">
        <v>377</v>
      </c>
      <c r="M533" s="621"/>
      <c r="N533" s="621"/>
      <c r="O533" s="621"/>
      <c r="P533" s="602"/>
      <c r="Q533" s="613" t="s">
        <v>378</v>
      </c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</row>
    <row r="534" ht="22.5" customHeight="1">
      <c r="A534" s="614">
        <v>45618.0</v>
      </c>
      <c r="B534" s="626" t="s">
        <v>2218</v>
      </c>
      <c r="C534" s="610">
        <v>304917.9</v>
      </c>
      <c r="D534" s="609"/>
      <c r="E534" s="606"/>
      <c r="F534" s="627" t="s">
        <v>2033</v>
      </c>
      <c r="G534" s="597">
        <v>20.0</v>
      </c>
      <c r="H534" s="598">
        <f t="shared" si="33"/>
        <v>50819.65</v>
      </c>
      <c r="I534" s="599"/>
      <c r="J534" s="599"/>
      <c r="K534" s="615"/>
      <c r="L534" s="616" t="s">
        <v>317</v>
      </c>
      <c r="M534" s="612">
        <v>17.0</v>
      </c>
      <c r="N534" s="612">
        <v>168.0</v>
      </c>
      <c r="O534" s="662">
        <v>45608.0</v>
      </c>
      <c r="P534" s="602">
        <f t="shared" ref="P534:P536" si="41">A534-IF(O534&gt;0,O534,A534)</f>
        <v>10</v>
      </c>
      <c r="Q534" s="613" t="s">
        <v>540</v>
      </c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</row>
    <row r="535" ht="22.5" customHeight="1">
      <c r="A535" s="614">
        <v>45621.0</v>
      </c>
      <c r="B535" s="626" t="s">
        <v>2218</v>
      </c>
      <c r="C535" s="650">
        <v>2394687.12</v>
      </c>
      <c r="D535" s="610"/>
      <c r="E535" s="606"/>
      <c r="F535" s="627" t="s">
        <v>2031</v>
      </c>
      <c r="G535" s="597">
        <v>20.0</v>
      </c>
      <c r="H535" s="598">
        <f t="shared" si="33"/>
        <v>399114.52</v>
      </c>
      <c r="I535" s="599"/>
      <c r="J535" s="599"/>
      <c r="K535" s="615"/>
      <c r="L535" s="616" t="s">
        <v>250</v>
      </c>
      <c r="M535" s="612">
        <v>13.0</v>
      </c>
      <c r="N535" s="661">
        <v>122.0</v>
      </c>
      <c r="O535" s="621"/>
      <c r="P535" s="602">
        <f t="shared" si="41"/>
        <v>0</v>
      </c>
      <c r="Q535" s="613" t="s">
        <v>541</v>
      </c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</row>
    <row r="536" ht="22.5" customHeight="1">
      <c r="A536" s="614">
        <v>45621.0</v>
      </c>
      <c r="B536" s="626" t="s">
        <v>2218</v>
      </c>
      <c r="C536" s="650">
        <v>3465000.0</v>
      </c>
      <c r="D536" s="610"/>
      <c r="E536" s="606"/>
      <c r="F536" s="627" t="s">
        <v>2031</v>
      </c>
      <c r="G536" s="597">
        <v>20.0</v>
      </c>
      <c r="H536" s="598">
        <f t="shared" si="33"/>
        <v>577500</v>
      </c>
      <c r="I536" s="599"/>
      <c r="J536" s="599"/>
      <c r="K536" s="615"/>
      <c r="L536" s="616" t="s">
        <v>250</v>
      </c>
      <c r="M536" s="612">
        <v>14.0</v>
      </c>
      <c r="N536" s="661">
        <v>121.0</v>
      </c>
      <c r="O536" s="621"/>
      <c r="P536" s="602">
        <f t="shared" si="41"/>
        <v>0</v>
      </c>
      <c r="Q536" s="613" t="s">
        <v>541</v>
      </c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</row>
    <row r="537" ht="22.5" customHeight="1">
      <c r="A537" s="614">
        <v>45622.0</v>
      </c>
      <c r="B537" s="626" t="s">
        <v>2218</v>
      </c>
      <c r="C537" s="609"/>
      <c r="D537" s="610">
        <v>278008.91</v>
      </c>
      <c r="E537" s="606"/>
      <c r="F537" s="627" t="s">
        <v>203</v>
      </c>
      <c r="G537" s="597">
        <v>0.0</v>
      </c>
      <c r="H537" s="598">
        <f t="shared" si="33"/>
        <v>0</v>
      </c>
      <c r="I537" s="599"/>
      <c r="J537" s="599"/>
      <c r="K537" s="615"/>
      <c r="L537" s="616" t="s">
        <v>542</v>
      </c>
      <c r="M537" s="621"/>
      <c r="N537" s="621"/>
      <c r="O537" s="621"/>
      <c r="P537" s="602"/>
      <c r="Q537" s="622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</row>
    <row r="538" ht="22.5" customHeight="1">
      <c r="A538" s="614">
        <v>45622.0</v>
      </c>
      <c r="B538" s="626" t="s">
        <v>2218</v>
      </c>
      <c r="C538" s="609"/>
      <c r="D538" s="610">
        <v>175000.0</v>
      </c>
      <c r="E538" s="606"/>
      <c r="F538" s="627" t="s">
        <v>108</v>
      </c>
      <c r="G538" s="597">
        <v>0.0</v>
      </c>
      <c r="H538" s="598">
        <f t="shared" si="33"/>
        <v>0</v>
      </c>
      <c r="I538" s="599"/>
      <c r="J538" s="599"/>
      <c r="K538" s="615"/>
      <c r="L538" s="616" t="s">
        <v>523</v>
      </c>
      <c r="M538" s="621"/>
      <c r="N538" s="621"/>
      <c r="O538" s="621"/>
      <c r="P538" s="602"/>
      <c r="Q538" s="622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</row>
    <row r="539" ht="22.5" customHeight="1">
      <c r="A539" s="614">
        <v>45623.0</v>
      </c>
      <c r="B539" s="626" t="s">
        <v>2218</v>
      </c>
      <c r="C539" s="610">
        <v>420000.0</v>
      </c>
      <c r="D539" s="609"/>
      <c r="E539" s="606"/>
      <c r="F539" s="627" t="s">
        <v>2032</v>
      </c>
      <c r="G539" s="597">
        <v>20.0</v>
      </c>
      <c r="H539" s="598">
        <f t="shared" si="33"/>
        <v>70000</v>
      </c>
      <c r="I539" s="599"/>
      <c r="J539" s="599"/>
      <c r="K539" s="615"/>
      <c r="L539" s="616" t="s">
        <v>250</v>
      </c>
      <c r="M539" s="612">
        <v>22.0</v>
      </c>
      <c r="N539" s="661">
        <v>145.0</v>
      </c>
      <c r="O539" s="621"/>
      <c r="P539" s="602">
        <f t="shared" ref="P539:P547" si="42">A539-IF(O539&gt;0,O539,A539)</f>
        <v>0</v>
      </c>
      <c r="Q539" s="622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</row>
    <row r="540" ht="22.5" customHeight="1">
      <c r="A540" s="614">
        <v>45623.0</v>
      </c>
      <c r="B540" s="626" t="s">
        <v>2218</v>
      </c>
      <c r="C540" s="610">
        <v>324578.52</v>
      </c>
      <c r="D540" s="609"/>
      <c r="E540" s="606"/>
      <c r="F540" s="627" t="s">
        <v>2032</v>
      </c>
      <c r="G540" s="597">
        <v>20.0</v>
      </c>
      <c r="H540" s="598">
        <f t="shared" si="33"/>
        <v>54096.42</v>
      </c>
      <c r="I540" s="599"/>
      <c r="J540" s="599"/>
      <c r="K540" s="615"/>
      <c r="L540" s="616" t="s">
        <v>250</v>
      </c>
      <c r="M540" s="612">
        <v>17.0</v>
      </c>
      <c r="N540" s="661">
        <v>129.0</v>
      </c>
      <c r="O540" s="621"/>
      <c r="P540" s="602">
        <f t="shared" si="42"/>
        <v>0</v>
      </c>
      <c r="Q540" s="651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</row>
    <row r="541" ht="22.5" customHeight="1">
      <c r="A541" s="614">
        <v>45623.0</v>
      </c>
      <c r="B541" s="626" t="s">
        <v>2218</v>
      </c>
      <c r="C541" s="610">
        <v>1115958.18</v>
      </c>
      <c r="D541" s="609"/>
      <c r="E541" s="606"/>
      <c r="F541" s="627" t="s">
        <v>2032</v>
      </c>
      <c r="G541" s="597">
        <v>20.0</v>
      </c>
      <c r="H541" s="598">
        <f t="shared" si="33"/>
        <v>185993.03</v>
      </c>
      <c r="I541" s="599"/>
      <c r="J541" s="599"/>
      <c r="K541" s="615"/>
      <c r="L541" s="616" t="s">
        <v>250</v>
      </c>
      <c r="M541" s="612">
        <v>18.0</v>
      </c>
      <c r="N541" s="661">
        <v>150.0</v>
      </c>
      <c r="O541" s="621"/>
      <c r="P541" s="602">
        <f t="shared" si="42"/>
        <v>0</v>
      </c>
      <c r="Q541" s="622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</row>
    <row r="542" ht="22.5" customHeight="1">
      <c r="A542" s="614">
        <v>45623.0</v>
      </c>
      <c r="B542" s="626" t="s">
        <v>2218</v>
      </c>
      <c r="C542" s="610">
        <v>600000.24</v>
      </c>
      <c r="D542" s="609"/>
      <c r="E542" s="606"/>
      <c r="F542" s="627" t="s">
        <v>2032</v>
      </c>
      <c r="G542" s="597">
        <v>20.0</v>
      </c>
      <c r="H542" s="598">
        <f t="shared" si="33"/>
        <v>100000.04</v>
      </c>
      <c r="I542" s="599"/>
      <c r="J542" s="599"/>
      <c r="K542" s="615"/>
      <c r="L542" s="616" t="s">
        <v>250</v>
      </c>
      <c r="M542" s="612">
        <v>21.0</v>
      </c>
      <c r="N542" s="661">
        <v>149.0</v>
      </c>
      <c r="O542" s="621"/>
      <c r="P542" s="602">
        <f t="shared" si="42"/>
        <v>0</v>
      </c>
      <c r="Q542" s="622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</row>
    <row r="543" ht="22.5" customHeight="1">
      <c r="A543" s="614">
        <v>45623.0</v>
      </c>
      <c r="B543" s="626" t="s">
        <v>2218</v>
      </c>
      <c r="C543" s="610">
        <v>600000.24</v>
      </c>
      <c r="D543" s="609"/>
      <c r="E543" s="606"/>
      <c r="F543" s="627" t="s">
        <v>2032</v>
      </c>
      <c r="G543" s="597">
        <v>20.0</v>
      </c>
      <c r="H543" s="598">
        <f t="shared" si="33"/>
        <v>100000.04</v>
      </c>
      <c r="I543" s="599"/>
      <c r="J543" s="599"/>
      <c r="K543" s="615"/>
      <c r="L543" s="616" t="s">
        <v>250</v>
      </c>
      <c r="M543" s="612">
        <v>20.0</v>
      </c>
      <c r="N543" s="661">
        <v>146.0</v>
      </c>
      <c r="O543" s="621"/>
      <c r="P543" s="602">
        <f t="shared" si="42"/>
        <v>0</v>
      </c>
      <c r="Q543" s="622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</row>
    <row r="544" ht="22.5" customHeight="1">
      <c r="A544" s="614">
        <v>45624.0</v>
      </c>
      <c r="B544" s="626" t="s">
        <v>2218</v>
      </c>
      <c r="C544" s="610">
        <v>627529.98</v>
      </c>
      <c r="D544" s="609"/>
      <c r="E544" s="606"/>
      <c r="F544" s="627" t="s">
        <v>2033</v>
      </c>
      <c r="G544" s="597">
        <v>20.0</v>
      </c>
      <c r="H544" s="598">
        <f t="shared" si="33"/>
        <v>104588.33</v>
      </c>
      <c r="I544" s="599"/>
      <c r="J544" s="599"/>
      <c r="K544" s="615"/>
      <c r="L544" s="616" t="s">
        <v>317</v>
      </c>
      <c r="M544" s="612">
        <v>18.0</v>
      </c>
      <c r="N544" s="612">
        <v>169.0</v>
      </c>
      <c r="O544" s="662">
        <v>45608.0</v>
      </c>
      <c r="P544" s="602">
        <f t="shared" si="42"/>
        <v>16</v>
      </c>
      <c r="Q544" s="613" t="s">
        <v>543</v>
      </c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</row>
    <row r="545" ht="22.5" customHeight="1">
      <c r="A545" s="614">
        <v>45624.0</v>
      </c>
      <c r="B545" s="626" t="s">
        <v>2218</v>
      </c>
      <c r="C545" s="610">
        <v>203456.4</v>
      </c>
      <c r="D545" s="609"/>
      <c r="E545" s="606"/>
      <c r="F545" s="627" t="s">
        <v>2033</v>
      </c>
      <c r="G545" s="597">
        <v>20.0</v>
      </c>
      <c r="H545" s="598">
        <f t="shared" si="33"/>
        <v>33909.4</v>
      </c>
      <c r="I545" s="599"/>
      <c r="J545" s="599"/>
      <c r="K545" s="615"/>
      <c r="L545" s="616" t="s">
        <v>317</v>
      </c>
      <c r="M545" s="612">
        <v>14.0</v>
      </c>
      <c r="N545" s="612">
        <v>170.0</v>
      </c>
      <c r="O545" s="662">
        <v>45608.0</v>
      </c>
      <c r="P545" s="602">
        <f t="shared" si="42"/>
        <v>16</v>
      </c>
      <c r="Q545" s="613" t="s">
        <v>544</v>
      </c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</row>
    <row r="546" ht="22.5" customHeight="1">
      <c r="A546" s="614">
        <v>45624.0</v>
      </c>
      <c r="B546" s="626" t="s">
        <v>2218</v>
      </c>
      <c r="C546" s="610">
        <v>133512.12</v>
      </c>
      <c r="D546" s="609"/>
      <c r="E546" s="606"/>
      <c r="F546" s="627" t="s">
        <v>2033</v>
      </c>
      <c r="G546" s="597">
        <v>20.0</v>
      </c>
      <c r="H546" s="598">
        <f t="shared" si="33"/>
        <v>22252.02</v>
      </c>
      <c r="I546" s="599"/>
      <c r="J546" s="599"/>
      <c r="K546" s="615"/>
      <c r="L546" s="616" t="s">
        <v>317</v>
      </c>
      <c r="M546" s="621"/>
      <c r="N546" s="612">
        <v>171.0</v>
      </c>
      <c r="O546" s="621"/>
      <c r="P546" s="602">
        <f t="shared" si="42"/>
        <v>0</v>
      </c>
      <c r="Q546" s="613" t="s">
        <v>545</v>
      </c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</row>
    <row r="547" ht="22.5" customHeight="1">
      <c r="A547" s="614">
        <v>45624.0</v>
      </c>
      <c r="B547" s="626" t="s">
        <v>2218</v>
      </c>
      <c r="C547" s="610">
        <v>1932000.0</v>
      </c>
      <c r="D547" s="609"/>
      <c r="E547" s="606"/>
      <c r="F547" s="627" t="s">
        <v>2033</v>
      </c>
      <c r="G547" s="597">
        <v>20.0</v>
      </c>
      <c r="H547" s="598">
        <f t="shared" si="33"/>
        <v>322000</v>
      </c>
      <c r="I547" s="599"/>
      <c r="J547" s="599"/>
      <c r="K547" s="615"/>
      <c r="L547" s="616" t="s">
        <v>317</v>
      </c>
      <c r="M547" s="612">
        <v>16.0</v>
      </c>
      <c r="N547" s="612">
        <v>187.0</v>
      </c>
      <c r="O547" s="621"/>
      <c r="P547" s="602">
        <f t="shared" si="42"/>
        <v>0</v>
      </c>
      <c r="Q547" s="613" t="s">
        <v>546</v>
      </c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</row>
    <row r="548" ht="22.5" customHeight="1">
      <c r="A548" s="614">
        <v>45624.0</v>
      </c>
      <c r="B548" s="626" t="s">
        <v>2218</v>
      </c>
      <c r="C548" s="609"/>
      <c r="D548" s="610">
        <v>348681.0</v>
      </c>
      <c r="E548" s="606"/>
      <c r="F548" s="627" t="s">
        <v>236</v>
      </c>
      <c r="G548" s="664"/>
      <c r="H548" s="665"/>
      <c r="I548" s="599"/>
      <c r="J548" s="599"/>
      <c r="K548" s="615"/>
      <c r="L548" s="616" t="s">
        <v>72</v>
      </c>
      <c r="M548" s="621"/>
      <c r="N548" s="621"/>
      <c r="O548" s="621"/>
      <c r="P548" s="602"/>
      <c r="Q548" s="613" t="s">
        <v>547</v>
      </c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</row>
    <row r="549" ht="22.5" customHeight="1">
      <c r="A549" s="614">
        <v>45624.0</v>
      </c>
      <c r="B549" s="626" t="s">
        <v>2218</v>
      </c>
      <c r="C549" s="609"/>
      <c r="D549" s="610">
        <v>147047.46</v>
      </c>
      <c r="E549" s="606"/>
      <c r="F549" s="627" t="s">
        <v>283</v>
      </c>
      <c r="G549" s="664"/>
      <c r="H549" s="665"/>
      <c r="I549" s="599"/>
      <c r="J549" s="599"/>
      <c r="K549" s="615"/>
      <c r="L549" s="616" t="s">
        <v>72</v>
      </c>
      <c r="M549" s="621"/>
      <c r="N549" s="621"/>
      <c r="O549" s="621"/>
      <c r="P549" s="602"/>
      <c r="Q549" s="613" t="s">
        <v>208</v>
      </c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</row>
    <row r="550" ht="22.5" customHeight="1">
      <c r="A550" s="614">
        <v>45624.0</v>
      </c>
      <c r="B550" s="626" t="s">
        <v>2218</v>
      </c>
      <c r="C550" s="609"/>
      <c r="D550" s="610">
        <v>43423.0</v>
      </c>
      <c r="E550" s="606"/>
      <c r="F550" s="627" t="s">
        <v>283</v>
      </c>
      <c r="G550" s="664"/>
      <c r="H550" s="665"/>
      <c r="I550" s="599"/>
      <c r="J550" s="599"/>
      <c r="K550" s="615"/>
      <c r="L550" s="616" t="s">
        <v>72</v>
      </c>
      <c r="M550" s="621"/>
      <c r="N550" s="621"/>
      <c r="O550" s="621"/>
      <c r="P550" s="602"/>
      <c r="Q550" s="613" t="s">
        <v>209</v>
      </c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</row>
    <row r="551" ht="22.5" customHeight="1">
      <c r="A551" s="614">
        <v>45625.0</v>
      </c>
      <c r="B551" s="626" t="s">
        <v>2218</v>
      </c>
      <c r="C551" s="609"/>
      <c r="D551" s="609"/>
      <c r="E551" s="604" t="s">
        <v>33</v>
      </c>
      <c r="F551" s="627" t="s">
        <v>108</v>
      </c>
      <c r="G551" s="597">
        <v>0.0</v>
      </c>
      <c r="H551" s="598">
        <f t="shared" ref="H551:H618" si="43">SUM(C551:D551)*G551/(G551+100)</f>
        <v>0</v>
      </c>
      <c r="I551" s="599"/>
      <c r="J551" s="605">
        <v>22200.0</v>
      </c>
      <c r="K551" s="615"/>
      <c r="L551" s="616" t="s">
        <v>489</v>
      </c>
      <c r="M551" s="621"/>
      <c r="N551" s="621"/>
      <c r="O551" s="621"/>
      <c r="P551" s="602"/>
      <c r="Q551" s="613" t="s">
        <v>548</v>
      </c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</row>
    <row r="552" ht="22.5" customHeight="1">
      <c r="A552" s="614">
        <v>45625.0</v>
      </c>
      <c r="B552" s="626" t="s">
        <v>2218</v>
      </c>
      <c r="C552" s="650">
        <v>738150.0</v>
      </c>
      <c r="D552" s="609"/>
      <c r="E552" s="606"/>
      <c r="F552" s="627" t="s">
        <v>2032</v>
      </c>
      <c r="G552" s="597">
        <v>20.0</v>
      </c>
      <c r="H552" s="598">
        <f t="shared" si="43"/>
        <v>123025</v>
      </c>
      <c r="I552" s="599"/>
      <c r="J552" s="599"/>
      <c r="K552" s="615"/>
      <c r="L552" s="616" t="s">
        <v>549</v>
      </c>
      <c r="M552" s="612">
        <v>4.0</v>
      </c>
      <c r="N552" s="621"/>
      <c r="O552" s="621"/>
      <c r="P552" s="602">
        <f t="shared" ref="P552:P554" si="44">A552-IF(O552&gt;0,O552,A552)</f>
        <v>0</v>
      </c>
      <c r="Q552" s="613" t="s">
        <v>550</v>
      </c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</row>
    <row r="553" ht="22.5" customHeight="1">
      <c r="A553" s="614">
        <v>45625.0</v>
      </c>
      <c r="B553" s="626" t="s">
        <v>2218</v>
      </c>
      <c r="C553" s="610">
        <v>2100000.0</v>
      </c>
      <c r="D553" s="609"/>
      <c r="E553" s="606"/>
      <c r="F553" s="627" t="s">
        <v>2033</v>
      </c>
      <c r="G553" s="597">
        <v>20.0</v>
      </c>
      <c r="H553" s="598">
        <f t="shared" si="43"/>
        <v>350000</v>
      </c>
      <c r="I553" s="599"/>
      <c r="J553" s="599"/>
      <c r="K553" s="615"/>
      <c r="L553" s="616" t="s">
        <v>205</v>
      </c>
      <c r="M553" s="612">
        <v>6.0</v>
      </c>
      <c r="N553" s="612">
        <v>163.0</v>
      </c>
      <c r="O553" s="662">
        <v>45604.0</v>
      </c>
      <c r="P553" s="602">
        <f t="shared" si="44"/>
        <v>21</v>
      </c>
      <c r="Q553" s="613" t="s">
        <v>551</v>
      </c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</row>
    <row r="554" ht="22.5" customHeight="1">
      <c r="A554" s="614">
        <v>45625.0</v>
      </c>
      <c r="B554" s="626" t="s">
        <v>2218</v>
      </c>
      <c r="C554" s="610">
        <v>1800120.0</v>
      </c>
      <c r="D554" s="609"/>
      <c r="E554" s="606"/>
      <c r="F554" s="627" t="s">
        <v>2033</v>
      </c>
      <c r="G554" s="597">
        <v>20.0</v>
      </c>
      <c r="H554" s="598">
        <f t="shared" si="43"/>
        <v>300020</v>
      </c>
      <c r="I554" s="599"/>
      <c r="J554" s="599"/>
      <c r="K554" s="615"/>
      <c r="L554" s="616" t="s">
        <v>205</v>
      </c>
      <c r="M554" s="612">
        <v>7.0</v>
      </c>
      <c r="N554" s="612">
        <v>184.0</v>
      </c>
      <c r="O554" s="621"/>
      <c r="P554" s="602">
        <f t="shared" si="44"/>
        <v>0</v>
      </c>
      <c r="Q554" s="613" t="s">
        <v>552</v>
      </c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</row>
    <row r="555" ht="22.5" customHeight="1">
      <c r="A555" s="614">
        <v>45626.0</v>
      </c>
      <c r="B555" s="626" t="s">
        <v>2218</v>
      </c>
      <c r="C555" s="609"/>
      <c r="D555" s="609"/>
      <c r="E555" s="604" t="s">
        <v>33</v>
      </c>
      <c r="F555" s="627" t="s">
        <v>203</v>
      </c>
      <c r="G555" s="597">
        <v>0.0</v>
      </c>
      <c r="H555" s="598">
        <f t="shared" si="43"/>
        <v>0</v>
      </c>
      <c r="I555" s="599"/>
      <c r="J555" s="605">
        <v>30000.0</v>
      </c>
      <c r="K555" s="615"/>
      <c r="L555" s="616" t="s">
        <v>240</v>
      </c>
      <c r="M555" s="621"/>
      <c r="N555" s="621"/>
      <c r="O555" s="621"/>
      <c r="P555" s="602"/>
      <c r="Q555" s="622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</row>
    <row r="556" ht="22.5" customHeight="1">
      <c r="A556" s="614">
        <v>45628.0</v>
      </c>
      <c r="B556" s="626" t="s">
        <v>2218</v>
      </c>
      <c r="C556" s="609"/>
      <c r="D556" s="669">
        <v>350000.0</v>
      </c>
      <c r="E556" s="606"/>
      <c r="F556" s="627" t="s">
        <v>553</v>
      </c>
      <c r="G556" s="597">
        <v>0.0</v>
      </c>
      <c r="H556" s="598">
        <f t="shared" si="43"/>
        <v>0</v>
      </c>
      <c r="I556" s="599"/>
      <c r="J556" s="599"/>
      <c r="K556" s="615"/>
      <c r="L556" s="616" t="s">
        <v>555</v>
      </c>
      <c r="M556" s="621"/>
      <c r="N556" s="621"/>
      <c r="O556" s="621"/>
      <c r="P556" s="602"/>
      <c r="Q556" s="622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</row>
    <row r="557" ht="22.5" customHeight="1">
      <c r="A557" s="614">
        <v>45628.0</v>
      </c>
      <c r="B557" s="626" t="s">
        <v>2218</v>
      </c>
      <c r="C557" s="609"/>
      <c r="D557" s="610">
        <v>1935336.19</v>
      </c>
      <c r="E557" s="606"/>
      <c r="F557" s="627" t="s">
        <v>2032</v>
      </c>
      <c r="G557" s="597">
        <v>20.0</v>
      </c>
      <c r="H557" s="598">
        <f t="shared" si="43"/>
        <v>322556.0317</v>
      </c>
      <c r="I557" s="599"/>
      <c r="J557" s="599"/>
      <c r="K557" s="615"/>
      <c r="L557" s="616" t="s">
        <v>77</v>
      </c>
      <c r="M557" s="621"/>
      <c r="N557" s="621"/>
      <c r="O557" s="621"/>
      <c r="P557" s="602"/>
      <c r="Q557" s="622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</row>
    <row r="558" ht="22.5" customHeight="1">
      <c r="A558" s="614">
        <v>45628.0</v>
      </c>
      <c r="B558" s="626" t="s">
        <v>2218</v>
      </c>
      <c r="C558" s="609"/>
      <c r="D558" s="610">
        <v>37067.39</v>
      </c>
      <c r="E558" s="606"/>
      <c r="F558" s="627" t="s">
        <v>2033</v>
      </c>
      <c r="G558" s="597">
        <v>20.0</v>
      </c>
      <c r="H558" s="598">
        <f t="shared" si="43"/>
        <v>6177.898333</v>
      </c>
      <c r="I558" s="599"/>
      <c r="J558" s="599"/>
      <c r="K558" s="615"/>
      <c r="L558" s="616" t="s">
        <v>2226</v>
      </c>
      <c r="M558" s="621"/>
      <c r="N558" s="612">
        <v>41992.0</v>
      </c>
      <c r="O558" s="668">
        <v>45596.0</v>
      </c>
      <c r="P558" s="602"/>
      <c r="Q558" s="622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</row>
    <row r="559" ht="22.5" customHeight="1">
      <c r="A559" s="614">
        <v>45628.0</v>
      </c>
      <c r="B559" s="626" t="s">
        <v>2218</v>
      </c>
      <c r="C559" s="609"/>
      <c r="D559" s="610">
        <v>50780.58</v>
      </c>
      <c r="E559" s="606"/>
      <c r="F559" s="627" t="s">
        <v>2033</v>
      </c>
      <c r="G559" s="597">
        <v>20.0</v>
      </c>
      <c r="H559" s="598">
        <f t="shared" si="43"/>
        <v>8463.43</v>
      </c>
      <c r="I559" s="599"/>
      <c r="J559" s="599"/>
      <c r="K559" s="615"/>
      <c r="L559" s="616" t="s">
        <v>2232</v>
      </c>
      <c r="M559" s="621"/>
      <c r="N559" s="612" t="s">
        <v>556</v>
      </c>
      <c r="O559" s="668">
        <v>45596.0</v>
      </c>
      <c r="P559" s="602"/>
      <c r="Q559" s="622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</row>
    <row r="560" ht="22.5" customHeight="1">
      <c r="A560" s="614">
        <v>45628.0</v>
      </c>
      <c r="B560" s="626" t="s">
        <v>2218</v>
      </c>
      <c r="C560" s="609"/>
      <c r="D560" s="610">
        <v>162000.0</v>
      </c>
      <c r="E560" s="606"/>
      <c r="F560" s="627" t="s">
        <v>2235</v>
      </c>
      <c r="G560" s="597">
        <v>0.0</v>
      </c>
      <c r="H560" s="598">
        <f t="shared" si="43"/>
        <v>0</v>
      </c>
      <c r="I560" s="599"/>
      <c r="J560" s="599"/>
      <c r="K560" s="615"/>
      <c r="L560" s="616" t="s">
        <v>454</v>
      </c>
      <c r="M560" s="621"/>
      <c r="N560" s="621"/>
      <c r="O560" s="621"/>
      <c r="P560" s="602"/>
      <c r="Q560" s="622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</row>
    <row r="561" ht="22.5" customHeight="1">
      <c r="A561" s="614">
        <v>45628.0</v>
      </c>
      <c r="B561" s="626" t="s">
        <v>2218</v>
      </c>
      <c r="C561" s="609"/>
      <c r="D561" s="610">
        <v>13990.0</v>
      </c>
      <c r="E561" s="606"/>
      <c r="F561" s="627" t="s">
        <v>2034</v>
      </c>
      <c r="G561" s="597">
        <v>0.0</v>
      </c>
      <c r="H561" s="598">
        <f t="shared" si="43"/>
        <v>0</v>
      </c>
      <c r="I561" s="599"/>
      <c r="J561" s="599"/>
      <c r="K561" s="600"/>
      <c r="L561" s="601" t="s">
        <v>31</v>
      </c>
      <c r="M561" s="621"/>
      <c r="N561" s="621"/>
      <c r="O561" s="621"/>
      <c r="P561" s="602"/>
      <c r="Q561" s="622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</row>
    <row r="562" ht="22.5" customHeight="1">
      <c r="A562" s="614">
        <v>45629.0</v>
      </c>
      <c r="B562" s="626" t="s">
        <v>2218</v>
      </c>
      <c r="C562" s="610">
        <v>432507.5</v>
      </c>
      <c r="D562" s="610"/>
      <c r="E562" s="606"/>
      <c r="F562" s="627" t="s">
        <v>2032</v>
      </c>
      <c r="G562" s="597">
        <v>20.0</v>
      </c>
      <c r="H562" s="598">
        <f t="shared" si="43"/>
        <v>72084.58333</v>
      </c>
      <c r="I562" s="599"/>
      <c r="J562" s="599"/>
      <c r="K562" s="615"/>
      <c r="L562" s="616" t="s">
        <v>2236</v>
      </c>
      <c r="M562" s="612">
        <v>1.0</v>
      </c>
      <c r="N562" s="621"/>
      <c r="O562" s="621"/>
      <c r="P562" s="602">
        <f>A562-IF(O562&gt;0,O562,A562)</f>
        <v>0</v>
      </c>
      <c r="Q562" s="613" t="s">
        <v>558</v>
      </c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</row>
    <row r="563" ht="22.5" customHeight="1">
      <c r="A563" s="614">
        <v>45629.0</v>
      </c>
      <c r="B563" s="626" t="s">
        <v>2218</v>
      </c>
      <c r="C563" s="609"/>
      <c r="D563" s="610">
        <v>41902.0</v>
      </c>
      <c r="E563" s="606"/>
      <c r="F563" s="627" t="s">
        <v>203</v>
      </c>
      <c r="G563" s="597">
        <v>0.0</v>
      </c>
      <c r="H563" s="598">
        <f t="shared" si="43"/>
        <v>0</v>
      </c>
      <c r="I563" s="599"/>
      <c r="J563" s="599"/>
      <c r="K563" s="615"/>
      <c r="L563" s="616" t="s">
        <v>559</v>
      </c>
      <c r="M563" s="621"/>
      <c r="N563" s="621"/>
      <c r="O563" s="621"/>
      <c r="P563" s="602"/>
      <c r="Q563" s="613" t="s">
        <v>560</v>
      </c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</row>
    <row r="564" ht="22.5" customHeight="1">
      <c r="A564" s="614">
        <v>45629.0</v>
      </c>
      <c r="B564" s="626" t="s">
        <v>2218</v>
      </c>
      <c r="C564" s="609"/>
      <c r="D564" s="609"/>
      <c r="E564" s="604" t="s">
        <v>33</v>
      </c>
      <c r="F564" s="627" t="s">
        <v>494</v>
      </c>
      <c r="G564" s="597">
        <v>0.0</v>
      </c>
      <c r="H564" s="598">
        <f t="shared" si="43"/>
        <v>0</v>
      </c>
      <c r="I564" s="599"/>
      <c r="J564" s="605">
        <v>22000.0</v>
      </c>
      <c r="K564" s="615"/>
      <c r="L564" s="616" t="s">
        <v>561</v>
      </c>
      <c r="M564" s="621"/>
      <c r="N564" s="621"/>
      <c r="O564" s="621"/>
      <c r="P564" s="602"/>
      <c r="Q564" s="613" t="s">
        <v>536</v>
      </c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</row>
    <row r="565" ht="22.5" customHeight="1">
      <c r="A565" s="614">
        <v>45631.0</v>
      </c>
      <c r="B565" s="626" t="s">
        <v>2218</v>
      </c>
      <c r="C565" s="609"/>
      <c r="D565" s="609"/>
      <c r="E565" s="604" t="s">
        <v>33</v>
      </c>
      <c r="F565" s="627" t="s">
        <v>108</v>
      </c>
      <c r="G565" s="597">
        <v>0.0</v>
      </c>
      <c r="H565" s="598">
        <f t="shared" si="43"/>
        <v>0</v>
      </c>
      <c r="I565" s="599"/>
      <c r="J565" s="605">
        <f>48500*2</f>
        <v>97000</v>
      </c>
      <c r="K565" s="611"/>
      <c r="L565" s="611"/>
      <c r="M565" s="621"/>
      <c r="N565" s="621"/>
      <c r="O565" s="621"/>
      <c r="P565" s="602"/>
      <c r="Q565" s="613" t="s">
        <v>562</v>
      </c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</row>
    <row r="566" ht="22.5" customHeight="1">
      <c r="A566" s="614">
        <v>45631.0</v>
      </c>
      <c r="B566" s="626" t="s">
        <v>2218</v>
      </c>
      <c r="C566" s="609"/>
      <c r="D566" s="609"/>
      <c r="E566" s="604" t="s">
        <v>33</v>
      </c>
      <c r="F566" s="627" t="s">
        <v>563</v>
      </c>
      <c r="G566" s="597">
        <v>0.0</v>
      </c>
      <c r="H566" s="598">
        <f t="shared" si="43"/>
        <v>0</v>
      </c>
      <c r="I566" s="599"/>
      <c r="J566" s="605">
        <v>6500.0</v>
      </c>
      <c r="K566" s="615"/>
      <c r="L566" s="616" t="s">
        <v>564</v>
      </c>
      <c r="M566" s="621"/>
      <c r="N566" s="621"/>
      <c r="O566" s="621"/>
      <c r="P566" s="602"/>
      <c r="Q566" s="622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</row>
    <row r="567" ht="22.5" customHeight="1">
      <c r="A567" s="614">
        <v>45631.0</v>
      </c>
      <c r="B567" s="626" t="s">
        <v>2218</v>
      </c>
      <c r="C567" s="609"/>
      <c r="D567" s="609"/>
      <c r="E567" s="604" t="s">
        <v>33</v>
      </c>
      <c r="F567" s="627" t="s">
        <v>203</v>
      </c>
      <c r="G567" s="597">
        <v>0.0</v>
      </c>
      <c r="H567" s="598">
        <f t="shared" si="43"/>
        <v>0</v>
      </c>
      <c r="I567" s="599"/>
      <c r="J567" s="605">
        <v>750000.0</v>
      </c>
      <c r="K567" s="615"/>
      <c r="L567" s="616" t="s">
        <v>565</v>
      </c>
      <c r="M567" s="621"/>
      <c r="N567" s="621"/>
      <c r="O567" s="621"/>
      <c r="P567" s="602"/>
      <c r="Q567" s="622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</row>
    <row r="568" ht="22.5" customHeight="1">
      <c r="A568" s="614">
        <v>45631.0</v>
      </c>
      <c r="B568" s="626" t="s">
        <v>2218</v>
      </c>
      <c r="C568" s="609"/>
      <c r="D568" s="609"/>
      <c r="E568" s="604" t="s">
        <v>33</v>
      </c>
      <c r="F568" s="627" t="s">
        <v>108</v>
      </c>
      <c r="G568" s="597">
        <v>0.0</v>
      </c>
      <c r="H568" s="598">
        <f t="shared" si="43"/>
        <v>0</v>
      </c>
      <c r="I568" s="599"/>
      <c r="J568" s="605">
        <v>200000.0</v>
      </c>
      <c r="K568" s="615"/>
      <c r="L568" s="616" t="s">
        <v>566</v>
      </c>
      <c r="M568" s="621"/>
      <c r="N568" s="621"/>
      <c r="O568" s="621"/>
      <c r="P568" s="602"/>
      <c r="Q568" s="622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</row>
    <row r="569" ht="22.5" customHeight="1">
      <c r="A569" s="614">
        <v>45631.0</v>
      </c>
      <c r="B569" s="626" t="s">
        <v>2218</v>
      </c>
      <c r="C569" s="609"/>
      <c r="D569" s="609"/>
      <c r="E569" s="604" t="s">
        <v>33</v>
      </c>
      <c r="F569" s="627" t="s">
        <v>525</v>
      </c>
      <c r="G569" s="597">
        <v>0.0</v>
      </c>
      <c r="H569" s="598">
        <f t="shared" si="43"/>
        <v>0</v>
      </c>
      <c r="I569" s="599"/>
      <c r="J569" s="605">
        <v>5000.0</v>
      </c>
      <c r="K569" s="615"/>
      <c r="L569" s="616" t="s">
        <v>567</v>
      </c>
      <c r="M569" s="621"/>
      <c r="N569" s="621"/>
      <c r="O569" s="621"/>
      <c r="P569" s="602"/>
      <c r="Q569" s="622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</row>
    <row r="570" ht="22.5" customHeight="1">
      <c r="A570" s="614">
        <v>45632.0</v>
      </c>
      <c r="B570" s="626" t="s">
        <v>2218</v>
      </c>
      <c r="C570" s="610">
        <v>138035.94</v>
      </c>
      <c r="D570" s="609"/>
      <c r="E570" s="606"/>
      <c r="F570" s="627" t="s">
        <v>2032</v>
      </c>
      <c r="G570" s="597">
        <v>20.0</v>
      </c>
      <c r="H570" s="598">
        <f t="shared" si="43"/>
        <v>23005.99</v>
      </c>
      <c r="I570" s="599"/>
      <c r="J570" s="599"/>
      <c r="K570" s="615"/>
      <c r="L570" s="616" t="s">
        <v>2229</v>
      </c>
      <c r="M570" s="612">
        <v>2.0</v>
      </c>
      <c r="N570" s="621"/>
      <c r="O570" s="621"/>
      <c r="P570" s="602">
        <f>A570-IF(O570&gt;0,O570,A570)</f>
        <v>0</v>
      </c>
      <c r="Q570" s="613" t="s">
        <v>568</v>
      </c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</row>
    <row r="571" ht="22.5" customHeight="1">
      <c r="A571" s="614">
        <v>45632.0</v>
      </c>
      <c r="B571" s="626" t="s">
        <v>2218</v>
      </c>
      <c r="C571" s="609"/>
      <c r="D571" s="610">
        <v>66872.0</v>
      </c>
      <c r="E571" s="606"/>
      <c r="F571" s="627" t="s">
        <v>283</v>
      </c>
      <c r="G571" s="597">
        <v>0.0</v>
      </c>
      <c r="H571" s="598">
        <f t="shared" si="43"/>
        <v>0</v>
      </c>
      <c r="I571" s="599"/>
      <c r="J571" s="599"/>
      <c r="K571" s="615"/>
      <c r="L571" s="616" t="s">
        <v>72</v>
      </c>
      <c r="M571" s="621"/>
      <c r="N571" s="621"/>
      <c r="O571" s="621"/>
      <c r="P571" s="602"/>
      <c r="Q571" s="613" t="s">
        <v>209</v>
      </c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</row>
    <row r="572" ht="22.5" customHeight="1">
      <c r="A572" s="614">
        <v>45636.0</v>
      </c>
      <c r="B572" s="626" t="s">
        <v>2218</v>
      </c>
      <c r="C572" s="610">
        <v>206055.9</v>
      </c>
      <c r="D572" s="609"/>
      <c r="E572" s="606"/>
      <c r="F572" s="627" t="s">
        <v>2032</v>
      </c>
      <c r="G572" s="597">
        <v>20.0</v>
      </c>
      <c r="H572" s="598">
        <f t="shared" si="43"/>
        <v>34342.65</v>
      </c>
      <c r="I572" s="599"/>
      <c r="J572" s="599"/>
      <c r="K572" s="615"/>
      <c r="L572" s="616" t="s">
        <v>532</v>
      </c>
      <c r="M572" s="612">
        <v>2.0</v>
      </c>
      <c r="N572" s="621"/>
      <c r="O572" s="621"/>
      <c r="P572" s="602">
        <f t="shared" ref="P572:P576" si="45">A572-IF(O572&gt;0,O572,A572)</f>
        <v>0</v>
      </c>
      <c r="Q572" s="622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</row>
    <row r="573" ht="22.5" customHeight="1">
      <c r="A573" s="614">
        <v>45636.0</v>
      </c>
      <c r="B573" s="626" t="s">
        <v>2218</v>
      </c>
      <c r="C573" s="610">
        <v>378000.0</v>
      </c>
      <c r="D573" s="609"/>
      <c r="E573" s="606"/>
      <c r="F573" s="627" t="s">
        <v>2032</v>
      </c>
      <c r="G573" s="597">
        <v>20.0</v>
      </c>
      <c r="H573" s="598">
        <f t="shared" si="43"/>
        <v>63000</v>
      </c>
      <c r="I573" s="599"/>
      <c r="J573" s="599"/>
      <c r="K573" s="615"/>
      <c r="L573" s="616" t="s">
        <v>532</v>
      </c>
      <c r="M573" s="612">
        <v>3.0</v>
      </c>
      <c r="N573" s="621"/>
      <c r="O573" s="621"/>
      <c r="P573" s="602">
        <f t="shared" si="45"/>
        <v>0</v>
      </c>
      <c r="Q573" s="622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</row>
    <row r="574" ht="22.5" customHeight="1">
      <c r="A574" s="614">
        <v>45636.0</v>
      </c>
      <c r="B574" s="626" t="s">
        <v>2218</v>
      </c>
      <c r="C574" s="610">
        <v>378000.0</v>
      </c>
      <c r="D574" s="609"/>
      <c r="E574" s="606"/>
      <c r="F574" s="627" t="s">
        <v>2032</v>
      </c>
      <c r="G574" s="597">
        <v>20.0</v>
      </c>
      <c r="H574" s="598">
        <f t="shared" si="43"/>
        <v>63000</v>
      </c>
      <c r="I574" s="599"/>
      <c r="J574" s="599"/>
      <c r="K574" s="615"/>
      <c r="L574" s="616" t="s">
        <v>532</v>
      </c>
      <c r="M574" s="612">
        <v>4.0</v>
      </c>
      <c r="N574" s="621"/>
      <c r="O574" s="621"/>
      <c r="P574" s="602">
        <f t="shared" si="45"/>
        <v>0</v>
      </c>
      <c r="Q574" s="622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</row>
    <row r="575" ht="22.5" customHeight="1">
      <c r="A575" s="614">
        <v>45636.0</v>
      </c>
      <c r="B575" s="626" t="s">
        <v>2218</v>
      </c>
      <c r="C575" s="610">
        <v>240000.0</v>
      </c>
      <c r="D575" s="609"/>
      <c r="E575" s="606"/>
      <c r="F575" s="627" t="s">
        <v>2032</v>
      </c>
      <c r="G575" s="597">
        <v>20.0</v>
      </c>
      <c r="H575" s="598">
        <f t="shared" si="43"/>
        <v>40000</v>
      </c>
      <c r="I575" s="599"/>
      <c r="J575" s="599"/>
      <c r="K575" s="615"/>
      <c r="L575" s="616" t="s">
        <v>157</v>
      </c>
      <c r="M575" s="612">
        <v>38.0</v>
      </c>
      <c r="N575" s="621"/>
      <c r="O575" s="621"/>
      <c r="P575" s="602">
        <f t="shared" si="45"/>
        <v>0</v>
      </c>
      <c r="Q575" s="622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</row>
    <row r="576" ht="22.5" customHeight="1">
      <c r="A576" s="614">
        <v>45636.0</v>
      </c>
      <c r="B576" s="626" t="s">
        <v>2218</v>
      </c>
      <c r="C576" s="610">
        <v>223420.81</v>
      </c>
      <c r="D576" s="609"/>
      <c r="E576" s="606"/>
      <c r="F576" s="627" t="s">
        <v>2032</v>
      </c>
      <c r="G576" s="597">
        <v>20.0</v>
      </c>
      <c r="H576" s="598">
        <f t="shared" si="43"/>
        <v>37236.80167</v>
      </c>
      <c r="I576" s="599"/>
      <c r="J576" s="599"/>
      <c r="K576" s="615"/>
      <c r="L576" s="616" t="s">
        <v>157</v>
      </c>
      <c r="M576" s="612">
        <v>37.0</v>
      </c>
      <c r="N576" s="621"/>
      <c r="O576" s="621"/>
      <c r="P576" s="602">
        <f t="shared" si="45"/>
        <v>0</v>
      </c>
      <c r="Q576" s="622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</row>
    <row r="577" ht="22.5" customHeight="1">
      <c r="A577" s="614">
        <v>45636.0</v>
      </c>
      <c r="B577" s="626" t="s">
        <v>2218</v>
      </c>
      <c r="C577" s="609"/>
      <c r="D577" s="609"/>
      <c r="E577" s="604" t="s">
        <v>33</v>
      </c>
      <c r="F577" s="627" t="s">
        <v>525</v>
      </c>
      <c r="G577" s="597">
        <v>0.0</v>
      </c>
      <c r="H577" s="598">
        <f t="shared" si="43"/>
        <v>0</v>
      </c>
      <c r="I577" s="599"/>
      <c r="J577" s="605">
        <v>42000.0</v>
      </c>
      <c r="K577" s="615"/>
      <c r="L577" s="616" t="s">
        <v>569</v>
      </c>
      <c r="M577" s="621"/>
      <c r="N577" s="621"/>
      <c r="O577" s="621"/>
      <c r="P577" s="602"/>
      <c r="Q577" s="622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</row>
    <row r="578" ht="22.5" customHeight="1">
      <c r="A578" s="614">
        <v>45636.0</v>
      </c>
      <c r="B578" s="626" t="s">
        <v>2218</v>
      </c>
      <c r="C578" s="609"/>
      <c r="D578" s="610">
        <v>405627.14</v>
      </c>
      <c r="E578" s="606"/>
      <c r="F578" s="627" t="s">
        <v>203</v>
      </c>
      <c r="G578" s="597">
        <v>0.0</v>
      </c>
      <c r="H578" s="598">
        <f t="shared" si="43"/>
        <v>0</v>
      </c>
      <c r="I578" s="599"/>
      <c r="J578" s="599"/>
      <c r="K578" s="615"/>
      <c r="L578" s="616" t="s">
        <v>565</v>
      </c>
      <c r="M578" s="621"/>
      <c r="N578" s="621"/>
      <c r="O578" s="621"/>
      <c r="P578" s="602"/>
      <c r="Q578" s="622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</row>
    <row r="579" ht="22.5" customHeight="1">
      <c r="A579" s="614">
        <v>45638.0</v>
      </c>
      <c r="B579" s="626" t="s">
        <v>2218</v>
      </c>
      <c r="C579" s="610">
        <v>159419.82</v>
      </c>
      <c r="D579" s="609"/>
      <c r="E579" s="606"/>
      <c r="F579" s="627" t="s">
        <v>2032</v>
      </c>
      <c r="G579" s="597">
        <v>20.0</v>
      </c>
      <c r="H579" s="598">
        <f t="shared" si="43"/>
        <v>26569.97</v>
      </c>
      <c r="I579" s="599"/>
      <c r="J579" s="599"/>
      <c r="K579" s="615"/>
      <c r="L579" s="616" t="s">
        <v>305</v>
      </c>
      <c r="M579" s="612">
        <v>5.0</v>
      </c>
      <c r="N579" s="621"/>
      <c r="O579" s="621"/>
      <c r="P579" s="602">
        <f t="shared" ref="P579:P584" si="46">A579-IF(O579&gt;0,O579,A579)</f>
        <v>0</v>
      </c>
      <c r="Q579" s="622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</row>
    <row r="580" ht="22.5" customHeight="1">
      <c r="A580" s="614">
        <v>45638.0</v>
      </c>
      <c r="B580" s="626" t="s">
        <v>2218</v>
      </c>
      <c r="C580" s="610">
        <v>159419.82</v>
      </c>
      <c r="D580" s="610"/>
      <c r="E580" s="606"/>
      <c r="F580" s="627" t="s">
        <v>2033</v>
      </c>
      <c r="G580" s="597">
        <v>20.0</v>
      </c>
      <c r="H580" s="598">
        <f t="shared" si="43"/>
        <v>26569.97</v>
      </c>
      <c r="I580" s="599"/>
      <c r="J580" s="599"/>
      <c r="K580" s="615"/>
      <c r="L580" s="616" t="s">
        <v>305</v>
      </c>
      <c r="M580" s="612">
        <v>6.0</v>
      </c>
      <c r="N580" s="612">
        <v>161.0</v>
      </c>
      <c r="O580" s="662">
        <v>45604.0</v>
      </c>
      <c r="P580" s="602">
        <f t="shared" si="46"/>
        <v>34</v>
      </c>
      <c r="Q580" s="622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</row>
    <row r="581" ht="22.5" customHeight="1">
      <c r="A581" s="614">
        <v>45638.0</v>
      </c>
      <c r="B581" s="626" t="s">
        <v>2218</v>
      </c>
      <c r="C581" s="610">
        <v>630000.0</v>
      </c>
      <c r="D581" s="609"/>
      <c r="E581" s="606"/>
      <c r="F581" s="627" t="s">
        <v>2033</v>
      </c>
      <c r="G581" s="597">
        <v>20.0</v>
      </c>
      <c r="H581" s="598">
        <f t="shared" si="43"/>
        <v>105000</v>
      </c>
      <c r="I581" s="599"/>
      <c r="J581" s="599"/>
      <c r="K581" s="615"/>
      <c r="L581" s="616" t="s">
        <v>482</v>
      </c>
      <c r="M581" s="612">
        <v>3.0</v>
      </c>
      <c r="N581" s="612">
        <v>167.0</v>
      </c>
      <c r="O581" s="662">
        <v>45608.0</v>
      </c>
      <c r="P581" s="602">
        <f t="shared" si="46"/>
        <v>30</v>
      </c>
      <c r="Q581" s="622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</row>
    <row r="582" ht="22.5" customHeight="1">
      <c r="A582" s="614">
        <v>45644.0</v>
      </c>
      <c r="B582" s="626" t="s">
        <v>2218</v>
      </c>
      <c r="C582" s="610">
        <v>3553845.54</v>
      </c>
      <c r="D582" s="610"/>
      <c r="E582" s="606"/>
      <c r="F582" s="627" t="s">
        <v>2032</v>
      </c>
      <c r="G582" s="597">
        <v>20.0</v>
      </c>
      <c r="H582" s="598">
        <f t="shared" si="43"/>
        <v>592307.59</v>
      </c>
      <c r="I582" s="599"/>
      <c r="J582" s="599"/>
      <c r="K582" s="615"/>
      <c r="L582" s="616" t="s">
        <v>250</v>
      </c>
      <c r="M582" s="612">
        <v>19.0</v>
      </c>
      <c r="N582" s="661">
        <v>151.0</v>
      </c>
      <c r="O582" s="621"/>
      <c r="P582" s="602">
        <f t="shared" si="46"/>
        <v>0</v>
      </c>
      <c r="Q582" s="622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</row>
    <row r="583" ht="22.5" customHeight="1">
      <c r="A583" s="614">
        <v>45644.0</v>
      </c>
      <c r="B583" s="626" t="s">
        <v>2218</v>
      </c>
      <c r="C583" s="610">
        <v>1609612.62</v>
      </c>
      <c r="D583" s="609"/>
      <c r="E583" s="606"/>
      <c r="F583" s="627" t="s">
        <v>565</v>
      </c>
      <c r="G583" s="597">
        <v>20.0</v>
      </c>
      <c r="H583" s="598">
        <f t="shared" si="43"/>
        <v>268268.77</v>
      </c>
      <c r="I583" s="599"/>
      <c r="J583" s="599"/>
      <c r="K583" s="615"/>
      <c r="L583" s="616" t="s">
        <v>317</v>
      </c>
      <c r="M583" s="621"/>
      <c r="N583" s="612">
        <v>217.0</v>
      </c>
      <c r="O583" s="668">
        <v>45637.0</v>
      </c>
      <c r="P583" s="602">
        <f t="shared" si="46"/>
        <v>7</v>
      </c>
      <c r="Q583" s="622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</row>
    <row r="584" ht="22.5" customHeight="1">
      <c r="A584" s="614">
        <v>45644.0</v>
      </c>
      <c r="B584" s="626" t="s">
        <v>2218</v>
      </c>
      <c r="C584" s="610">
        <v>1035338.22</v>
      </c>
      <c r="D584" s="609"/>
      <c r="E584" s="606"/>
      <c r="F584" s="627" t="s">
        <v>565</v>
      </c>
      <c r="G584" s="597">
        <v>20.0</v>
      </c>
      <c r="H584" s="598">
        <f t="shared" si="43"/>
        <v>172556.37</v>
      </c>
      <c r="I584" s="599"/>
      <c r="J584" s="599"/>
      <c r="K584" s="615"/>
      <c r="L584" s="616" t="s">
        <v>317</v>
      </c>
      <c r="M584" s="621"/>
      <c r="N584" s="612">
        <v>218.0</v>
      </c>
      <c r="O584" s="668">
        <v>45637.0</v>
      </c>
      <c r="P584" s="602">
        <f t="shared" si="46"/>
        <v>7</v>
      </c>
      <c r="Q584" s="622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</row>
    <row r="585" ht="22.5" customHeight="1">
      <c r="A585" s="614">
        <v>45644.0</v>
      </c>
      <c r="B585" s="626" t="s">
        <v>2218</v>
      </c>
      <c r="C585" s="609"/>
      <c r="D585" s="610">
        <v>1696.85</v>
      </c>
      <c r="E585" s="595"/>
      <c r="F585" s="596"/>
      <c r="G585" s="597">
        <v>0.0</v>
      </c>
      <c r="H585" s="598">
        <f t="shared" si="43"/>
        <v>0</v>
      </c>
      <c r="I585" s="599"/>
      <c r="J585" s="599"/>
      <c r="K585" s="615"/>
      <c r="L585" s="616" t="s">
        <v>309</v>
      </c>
      <c r="M585" s="621"/>
      <c r="N585" s="621"/>
      <c r="O585" s="621"/>
      <c r="P585" s="602"/>
      <c r="Q585" s="613" t="s">
        <v>571</v>
      </c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</row>
    <row r="586" ht="22.5" customHeight="1">
      <c r="A586" s="614">
        <v>45644.0</v>
      </c>
      <c r="B586" s="626" t="s">
        <v>2218</v>
      </c>
      <c r="C586" s="609"/>
      <c r="D586" s="609"/>
      <c r="E586" s="604" t="s">
        <v>33</v>
      </c>
      <c r="F586" s="627" t="s">
        <v>413</v>
      </c>
      <c r="G586" s="597">
        <v>0.0</v>
      </c>
      <c r="H586" s="598">
        <f t="shared" si="43"/>
        <v>0</v>
      </c>
      <c r="I586" s="599"/>
      <c r="J586" s="605">
        <v>472500.0</v>
      </c>
      <c r="K586" s="615"/>
      <c r="L586" s="616" t="s">
        <v>572</v>
      </c>
      <c r="M586" s="621"/>
      <c r="N586" s="621"/>
      <c r="O586" s="621"/>
      <c r="P586" s="602"/>
      <c r="Q586" s="622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</row>
    <row r="587" ht="22.5" customHeight="1">
      <c r="A587" s="614">
        <v>45644.0</v>
      </c>
      <c r="B587" s="626" t="s">
        <v>2218</v>
      </c>
      <c r="C587" s="609"/>
      <c r="D587" s="609"/>
      <c r="E587" s="604" t="s">
        <v>33</v>
      </c>
      <c r="F587" s="627" t="s">
        <v>413</v>
      </c>
      <c r="G587" s="597">
        <v>0.0</v>
      </c>
      <c r="H587" s="598">
        <f t="shared" si="43"/>
        <v>0</v>
      </c>
      <c r="I587" s="599"/>
      <c r="J587" s="605">
        <v>444230.69</v>
      </c>
      <c r="K587" s="615"/>
      <c r="L587" s="616" t="s">
        <v>573</v>
      </c>
      <c r="M587" s="621"/>
      <c r="N587" s="621"/>
      <c r="O587" s="621"/>
      <c r="P587" s="602"/>
      <c r="Q587" s="622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</row>
    <row r="588" ht="22.5" customHeight="1">
      <c r="A588" s="614">
        <v>45644.0</v>
      </c>
      <c r="B588" s="626" t="s">
        <v>2218</v>
      </c>
      <c r="C588" s="609"/>
      <c r="D588" s="609">
        <v>2631578.947368421</v>
      </c>
      <c r="E588" s="606"/>
      <c r="F588" s="627" t="s">
        <v>48</v>
      </c>
      <c r="G588" s="597">
        <v>20.0</v>
      </c>
      <c r="H588" s="598">
        <f t="shared" si="43"/>
        <v>438596.4912</v>
      </c>
      <c r="I588" s="605">
        <v>2000000.0</v>
      </c>
      <c r="J588" s="599"/>
      <c r="K588" s="611"/>
      <c r="L588" s="611"/>
      <c r="M588" s="621"/>
      <c r="N588" s="621"/>
      <c r="O588" s="621"/>
      <c r="P588" s="602"/>
      <c r="Q588" s="622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</row>
    <row r="589" ht="22.5" customHeight="1">
      <c r="A589" s="614">
        <v>45644.0</v>
      </c>
      <c r="B589" s="626" t="s">
        <v>2218</v>
      </c>
      <c r="C589" s="610">
        <v>420000.0</v>
      </c>
      <c r="D589" s="609"/>
      <c r="E589" s="606"/>
      <c r="F589" s="627" t="s">
        <v>2033</v>
      </c>
      <c r="G589" s="597">
        <v>20.0</v>
      </c>
      <c r="H589" s="598">
        <f t="shared" si="43"/>
        <v>70000</v>
      </c>
      <c r="I589" s="599"/>
      <c r="J589" s="599"/>
      <c r="K589" s="615"/>
      <c r="L589" s="616" t="s">
        <v>250</v>
      </c>
      <c r="M589" s="621"/>
      <c r="N589" s="661">
        <v>180.0</v>
      </c>
      <c r="O589" s="621"/>
      <c r="P589" s="602">
        <f t="shared" ref="P589:P590" si="47">A589-IF(O589&gt;0,O589,A589)</f>
        <v>0</v>
      </c>
      <c r="Q589" s="622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</row>
    <row r="590" ht="22.5" customHeight="1">
      <c r="A590" s="614">
        <v>45644.0</v>
      </c>
      <c r="B590" s="626" t="s">
        <v>2218</v>
      </c>
      <c r="C590" s="610">
        <v>180000.0</v>
      </c>
      <c r="D590" s="609"/>
      <c r="E590" s="606"/>
      <c r="F590" s="627" t="s">
        <v>565</v>
      </c>
      <c r="G590" s="597">
        <v>20.0</v>
      </c>
      <c r="H590" s="598">
        <f t="shared" si="43"/>
        <v>30000</v>
      </c>
      <c r="I590" s="599"/>
      <c r="J590" s="599"/>
      <c r="K590" s="615"/>
      <c r="L590" s="616" t="s">
        <v>315</v>
      </c>
      <c r="M590" s="621"/>
      <c r="N590" s="612">
        <v>192.0</v>
      </c>
      <c r="O590" s="662">
        <v>45635.0</v>
      </c>
      <c r="P590" s="602">
        <f t="shared" si="47"/>
        <v>9</v>
      </c>
      <c r="Q590" s="622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</row>
    <row r="591" ht="22.5" customHeight="1">
      <c r="A591" s="614">
        <v>45645.0</v>
      </c>
      <c r="B591" s="626" t="s">
        <v>2218</v>
      </c>
      <c r="C591" s="609"/>
      <c r="D591" s="610">
        <v>1783273.96</v>
      </c>
      <c r="E591" s="606"/>
      <c r="F591" s="627" t="s">
        <v>515</v>
      </c>
      <c r="G591" s="597">
        <v>0.0</v>
      </c>
      <c r="H591" s="598">
        <f t="shared" si="43"/>
        <v>0</v>
      </c>
      <c r="I591" s="599"/>
      <c r="J591" s="599"/>
      <c r="K591" s="615"/>
      <c r="L591" s="616" t="s">
        <v>317</v>
      </c>
      <c r="M591" s="621"/>
      <c r="N591" s="612" t="s">
        <v>575</v>
      </c>
      <c r="O591" s="662">
        <v>45565.0</v>
      </c>
      <c r="P591" s="602"/>
      <c r="Q591" s="613" t="s">
        <v>576</v>
      </c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</row>
    <row r="592" ht="22.5" customHeight="1">
      <c r="A592" s="614">
        <v>45645.0</v>
      </c>
      <c r="B592" s="626" t="s">
        <v>2218</v>
      </c>
      <c r="C592" s="609"/>
      <c r="D592" s="610">
        <v>486047.64</v>
      </c>
      <c r="E592" s="606"/>
      <c r="F592" s="627" t="s">
        <v>515</v>
      </c>
      <c r="G592" s="597">
        <v>0.0</v>
      </c>
      <c r="H592" s="598">
        <f t="shared" si="43"/>
        <v>0</v>
      </c>
      <c r="I592" s="599"/>
      <c r="J592" s="599"/>
      <c r="K592" s="615"/>
      <c r="L592" s="616" t="s">
        <v>122</v>
      </c>
      <c r="M592" s="621"/>
      <c r="N592" s="621"/>
      <c r="O592" s="621"/>
      <c r="P592" s="602"/>
      <c r="Q592" s="622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</row>
    <row r="593" ht="22.5" customHeight="1">
      <c r="A593" s="614">
        <v>45645.0</v>
      </c>
      <c r="B593" s="626" t="s">
        <v>2218</v>
      </c>
      <c r="C593" s="609"/>
      <c r="D593" s="610">
        <v>241508.99</v>
      </c>
      <c r="E593" s="606"/>
      <c r="F593" s="627" t="s">
        <v>515</v>
      </c>
      <c r="G593" s="597">
        <v>0.0</v>
      </c>
      <c r="H593" s="598">
        <f t="shared" si="43"/>
        <v>0</v>
      </c>
      <c r="I593" s="599"/>
      <c r="J593" s="599"/>
      <c r="K593" s="615"/>
      <c r="L593" s="616" t="s">
        <v>2229</v>
      </c>
      <c r="M593" s="621"/>
      <c r="N593" s="612">
        <v>1764.0</v>
      </c>
      <c r="O593" s="662">
        <v>45565.0</v>
      </c>
      <c r="P593" s="602"/>
      <c r="Q593" s="622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</row>
    <row r="594" ht="22.5" customHeight="1">
      <c r="A594" s="614">
        <v>45645.0</v>
      </c>
      <c r="B594" s="626" t="s">
        <v>2218</v>
      </c>
      <c r="C594" s="609"/>
      <c r="D594" s="610">
        <v>961394.0</v>
      </c>
      <c r="E594" s="606"/>
      <c r="F594" s="627" t="s">
        <v>515</v>
      </c>
      <c r="G594" s="597">
        <v>0.0</v>
      </c>
      <c r="H594" s="598">
        <f t="shared" si="43"/>
        <v>0</v>
      </c>
      <c r="I594" s="599"/>
      <c r="J594" s="599"/>
      <c r="K594" s="615"/>
      <c r="L594" s="616" t="s">
        <v>205</v>
      </c>
      <c r="M594" s="621"/>
      <c r="N594" s="621"/>
      <c r="O594" s="621"/>
      <c r="P594" s="602"/>
      <c r="Q594" s="622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</row>
    <row r="595" ht="22.5" customHeight="1">
      <c r="A595" s="614">
        <v>45645.0</v>
      </c>
      <c r="B595" s="626" t="s">
        <v>2218</v>
      </c>
      <c r="C595" s="609"/>
      <c r="D595" s="610">
        <v>150104.96</v>
      </c>
      <c r="E595" s="606"/>
      <c r="F595" s="627" t="s">
        <v>515</v>
      </c>
      <c r="G595" s="597">
        <v>0.0</v>
      </c>
      <c r="H595" s="598">
        <f t="shared" si="43"/>
        <v>0</v>
      </c>
      <c r="I595" s="599"/>
      <c r="J595" s="599"/>
      <c r="K595" s="615"/>
      <c r="L595" s="616" t="s">
        <v>305</v>
      </c>
      <c r="M595" s="621"/>
      <c r="N595" s="612">
        <v>5398.0</v>
      </c>
      <c r="O595" s="668">
        <v>45589.0</v>
      </c>
      <c r="P595" s="602"/>
      <c r="Q595" s="622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</row>
    <row r="596" ht="22.5" customHeight="1">
      <c r="A596" s="614">
        <v>45645.0</v>
      </c>
      <c r="B596" s="626" t="s">
        <v>2218</v>
      </c>
      <c r="C596" s="609"/>
      <c r="D596" s="610">
        <v>38618.4</v>
      </c>
      <c r="E596" s="606"/>
      <c r="F596" s="627" t="s">
        <v>515</v>
      </c>
      <c r="G596" s="597">
        <v>0.0</v>
      </c>
      <c r="H596" s="598">
        <f t="shared" si="43"/>
        <v>0</v>
      </c>
      <c r="I596" s="599"/>
      <c r="J596" s="599"/>
      <c r="K596" s="615"/>
      <c r="L596" s="616" t="s">
        <v>157</v>
      </c>
      <c r="M596" s="621"/>
      <c r="N596" s="612" t="s">
        <v>577</v>
      </c>
      <c r="O596" s="662">
        <v>45565.0</v>
      </c>
      <c r="P596" s="602"/>
      <c r="Q596" s="622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</row>
    <row r="597" ht="22.5" customHeight="1">
      <c r="A597" s="614">
        <v>45645.0</v>
      </c>
      <c r="B597" s="626" t="s">
        <v>2218</v>
      </c>
      <c r="C597" s="609"/>
      <c r="D597" s="610">
        <v>184380.0</v>
      </c>
      <c r="E597" s="606"/>
      <c r="F597" s="627" t="s">
        <v>515</v>
      </c>
      <c r="G597" s="597">
        <v>0.0</v>
      </c>
      <c r="H597" s="598">
        <f t="shared" si="43"/>
        <v>0</v>
      </c>
      <c r="I597" s="599"/>
      <c r="J597" s="599"/>
      <c r="K597" s="615"/>
      <c r="L597" s="616" t="s">
        <v>482</v>
      </c>
      <c r="M597" s="621"/>
      <c r="N597" s="621"/>
      <c r="O597" s="621"/>
      <c r="P597" s="602"/>
      <c r="Q597" s="622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</row>
    <row r="598" ht="22.5" customHeight="1">
      <c r="A598" s="614">
        <v>45645.0</v>
      </c>
      <c r="B598" s="626" t="s">
        <v>2218</v>
      </c>
      <c r="C598" s="609"/>
      <c r="D598" s="610">
        <v>6430660.84</v>
      </c>
      <c r="E598" s="606"/>
      <c r="F598" s="627" t="s">
        <v>2032</v>
      </c>
      <c r="G598" s="597">
        <v>20.0</v>
      </c>
      <c r="H598" s="598">
        <f t="shared" si="43"/>
        <v>1071776.807</v>
      </c>
      <c r="I598" s="599"/>
      <c r="J598" s="599"/>
      <c r="K598" s="615"/>
      <c r="L598" s="616" t="s">
        <v>473</v>
      </c>
      <c r="M598" s="621"/>
      <c r="N598" s="621"/>
      <c r="O598" s="621"/>
      <c r="P598" s="602"/>
      <c r="Q598" s="622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</row>
    <row r="599" ht="22.5" customHeight="1">
      <c r="A599" s="614">
        <v>45646.0</v>
      </c>
      <c r="B599" s="626" t="s">
        <v>2218</v>
      </c>
      <c r="C599" s="609"/>
      <c r="D599" s="610">
        <v>5508000.0</v>
      </c>
      <c r="E599" s="606"/>
      <c r="F599" s="627" t="s">
        <v>515</v>
      </c>
      <c r="G599" s="597">
        <v>20.0</v>
      </c>
      <c r="H599" s="598">
        <f t="shared" si="43"/>
        <v>918000</v>
      </c>
      <c r="I599" s="599"/>
      <c r="J599" s="599"/>
      <c r="K599" s="615"/>
      <c r="L599" s="616" t="s">
        <v>578</v>
      </c>
      <c r="M599" s="621"/>
      <c r="N599" s="621"/>
      <c r="O599" s="621"/>
      <c r="P599" s="602"/>
      <c r="Q599" s="622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</row>
    <row r="600" ht="22.5" customHeight="1">
      <c r="A600" s="614">
        <v>45646.0</v>
      </c>
      <c r="B600" s="626" t="s">
        <v>2218</v>
      </c>
      <c r="C600" s="609"/>
      <c r="D600" s="610">
        <v>810648.02</v>
      </c>
      <c r="E600" s="606"/>
      <c r="F600" s="627" t="s">
        <v>2033</v>
      </c>
      <c r="G600" s="597">
        <v>20.0</v>
      </c>
      <c r="H600" s="598">
        <f t="shared" si="43"/>
        <v>135108.0033</v>
      </c>
      <c r="I600" s="599"/>
      <c r="J600" s="599"/>
      <c r="K600" s="615"/>
      <c r="L600" s="616" t="s">
        <v>77</v>
      </c>
      <c r="M600" s="621"/>
      <c r="N600" s="621"/>
      <c r="O600" s="621"/>
      <c r="P600" s="602"/>
      <c r="Q600" s="622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</row>
    <row r="601" ht="22.5" customHeight="1">
      <c r="A601" s="614">
        <v>45646.0</v>
      </c>
      <c r="B601" s="626" t="s">
        <v>2218</v>
      </c>
      <c r="C601" s="609"/>
      <c r="D601" s="610">
        <v>247510.0</v>
      </c>
      <c r="E601" s="606"/>
      <c r="F601" s="627" t="s">
        <v>2231</v>
      </c>
      <c r="G601" s="597">
        <v>20.0</v>
      </c>
      <c r="H601" s="598">
        <f t="shared" si="43"/>
        <v>41251.66667</v>
      </c>
      <c r="I601" s="599"/>
      <c r="J601" s="599"/>
      <c r="K601" s="615"/>
      <c r="L601" s="616" t="s">
        <v>250</v>
      </c>
      <c r="M601" s="621"/>
      <c r="N601" s="612" t="s">
        <v>508</v>
      </c>
      <c r="O601" s="662">
        <v>45554.0</v>
      </c>
      <c r="P601" s="602"/>
      <c r="Q601" s="622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</row>
    <row r="602" ht="22.5" customHeight="1">
      <c r="A602" s="614">
        <v>45646.0</v>
      </c>
      <c r="B602" s="626" t="s">
        <v>2218</v>
      </c>
      <c r="C602" s="609"/>
      <c r="D602" s="610">
        <v>164160.0</v>
      </c>
      <c r="E602" s="606"/>
      <c r="F602" s="627" t="s">
        <v>2033</v>
      </c>
      <c r="G602" s="597">
        <v>20.0</v>
      </c>
      <c r="H602" s="598">
        <f t="shared" si="43"/>
        <v>27360</v>
      </c>
      <c r="I602" s="599"/>
      <c r="J602" s="599"/>
      <c r="K602" s="615"/>
      <c r="L602" s="616" t="s">
        <v>502</v>
      </c>
      <c r="M602" s="621"/>
      <c r="N602" s="612">
        <v>156.0</v>
      </c>
      <c r="O602" s="621"/>
      <c r="P602" s="602"/>
      <c r="Q602" s="622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</row>
    <row r="603" ht="22.5" customHeight="1">
      <c r="A603" s="614">
        <v>45646.0</v>
      </c>
      <c r="B603" s="626" t="s">
        <v>2218</v>
      </c>
      <c r="C603" s="609"/>
      <c r="D603" s="609"/>
      <c r="E603" s="604" t="s">
        <v>33</v>
      </c>
      <c r="F603" s="627" t="s">
        <v>108</v>
      </c>
      <c r="G603" s="597">
        <v>0.0</v>
      </c>
      <c r="H603" s="598">
        <f t="shared" si="43"/>
        <v>0</v>
      </c>
      <c r="I603" s="599"/>
      <c r="J603" s="605">
        <v>2350000.0</v>
      </c>
      <c r="K603" s="615"/>
      <c r="L603" s="616" t="s">
        <v>579</v>
      </c>
      <c r="M603" s="621"/>
      <c r="N603" s="621"/>
      <c r="O603" s="621"/>
      <c r="P603" s="602"/>
      <c r="Q603" s="622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</row>
    <row r="604" ht="22.5" customHeight="1">
      <c r="A604" s="614">
        <v>45646.0</v>
      </c>
      <c r="B604" s="626" t="s">
        <v>2218</v>
      </c>
      <c r="C604" s="609"/>
      <c r="D604" s="610">
        <v>522771.0</v>
      </c>
      <c r="E604" s="606"/>
      <c r="F604" s="627" t="s">
        <v>515</v>
      </c>
      <c r="G604" s="597">
        <v>0.0</v>
      </c>
      <c r="H604" s="598">
        <f t="shared" si="43"/>
        <v>0</v>
      </c>
      <c r="I604" s="599"/>
      <c r="J604" s="599"/>
      <c r="K604" s="615"/>
      <c r="L604" s="616" t="s">
        <v>532</v>
      </c>
      <c r="M604" s="621"/>
      <c r="N604" s="621"/>
      <c r="O604" s="621"/>
      <c r="P604" s="602"/>
      <c r="Q604" s="622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</row>
    <row r="605" ht="22.5" customHeight="1">
      <c r="A605" s="614">
        <v>45646.0</v>
      </c>
      <c r="B605" s="626" t="s">
        <v>2218</v>
      </c>
      <c r="C605" s="609"/>
      <c r="D605" s="609">
        <f>79*4</f>
        <v>316</v>
      </c>
      <c r="E605" s="606"/>
      <c r="F605" s="627" t="s">
        <v>108</v>
      </c>
      <c r="G605" s="597">
        <v>0.0</v>
      </c>
      <c r="H605" s="598">
        <f t="shared" si="43"/>
        <v>0</v>
      </c>
      <c r="I605" s="599"/>
      <c r="J605" s="599"/>
      <c r="K605" s="615"/>
      <c r="L605" s="616" t="s">
        <v>295</v>
      </c>
      <c r="M605" s="621"/>
      <c r="N605" s="621"/>
      <c r="O605" s="621"/>
      <c r="P605" s="602"/>
      <c r="Q605" s="613" t="s">
        <v>580</v>
      </c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</row>
    <row r="606" ht="22.5" customHeight="1">
      <c r="A606" s="614">
        <v>45646.0</v>
      </c>
      <c r="B606" s="626" t="s">
        <v>2218</v>
      </c>
      <c r="C606" s="609"/>
      <c r="D606" s="610">
        <v>3827670.0</v>
      </c>
      <c r="E606" s="606"/>
      <c r="F606" s="627" t="s">
        <v>48</v>
      </c>
      <c r="G606" s="597">
        <v>20.0</v>
      </c>
      <c r="H606" s="598">
        <f t="shared" si="43"/>
        <v>637945</v>
      </c>
      <c r="I606" s="605">
        <v>2947000.0</v>
      </c>
      <c r="J606" s="599"/>
      <c r="K606" s="611"/>
      <c r="L606" s="611"/>
      <c r="M606" s="621"/>
      <c r="N606" s="621"/>
      <c r="O606" s="621"/>
      <c r="P606" s="602"/>
      <c r="Q606" s="622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</row>
    <row r="607" ht="22.5" customHeight="1">
      <c r="A607" s="614">
        <v>45646.0</v>
      </c>
      <c r="B607" s="626" t="s">
        <v>2218</v>
      </c>
      <c r="C607" s="610">
        <v>630000.0</v>
      </c>
      <c r="D607" s="609"/>
      <c r="E607" s="606"/>
      <c r="F607" s="627" t="s">
        <v>565</v>
      </c>
      <c r="G607" s="597">
        <v>20.0</v>
      </c>
      <c r="H607" s="598">
        <f t="shared" si="43"/>
        <v>105000</v>
      </c>
      <c r="I607" s="599"/>
      <c r="J607" s="599"/>
      <c r="K607" s="615"/>
      <c r="L607" s="616" t="s">
        <v>482</v>
      </c>
      <c r="M607" s="621"/>
      <c r="N607" s="612">
        <v>198.0</v>
      </c>
      <c r="O607" s="668">
        <v>45636.0</v>
      </c>
      <c r="P607" s="602">
        <f t="shared" ref="P607:P608" si="48">A607-IF(O607&gt;0,O607,A607)</f>
        <v>10</v>
      </c>
      <c r="Q607" s="613" t="s">
        <v>581</v>
      </c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</row>
    <row r="608" ht="22.5" customHeight="1">
      <c r="A608" s="614">
        <v>45646.0</v>
      </c>
      <c r="B608" s="626" t="s">
        <v>2218</v>
      </c>
      <c r="C608" s="610">
        <v>575820.0</v>
      </c>
      <c r="D608" s="609"/>
      <c r="E608" s="606"/>
      <c r="F608" s="627" t="s">
        <v>565</v>
      </c>
      <c r="G608" s="597">
        <v>20.0</v>
      </c>
      <c r="H608" s="598">
        <f t="shared" si="43"/>
        <v>95970</v>
      </c>
      <c r="I608" s="599"/>
      <c r="J608" s="599"/>
      <c r="K608" s="615"/>
      <c r="L608" s="616" t="s">
        <v>482</v>
      </c>
      <c r="M608" s="621"/>
      <c r="N608" s="612">
        <v>206.0</v>
      </c>
      <c r="O608" s="668">
        <v>45636.0</v>
      </c>
      <c r="P608" s="602">
        <f t="shared" si="48"/>
        <v>10</v>
      </c>
      <c r="Q608" s="613" t="s">
        <v>582</v>
      </c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</row>
    <row r="609" ht="22.5" customHeight="1">
      <c r="A609" s="614">
        <v>45646.0</v>
      </c>
      <c r="B609" s="626" t="s">
        <v>2218</v>
      </c>
      <c r="C609" s="609"/>
      <c r="D609" s="609"/>
      <c r="E609" s="604" t="s">
        <v>33</v>
      </c>
      <c r="F609" s="627" t="s">
        <v>203</v>
      </c>
      <c r="G609" s="597">
        <v>0.0</v>
      </c>
      <c r="H609" s="598">
        <f t="shared" si="43"/>
        <v>0</v>
      </c>
      <c r="I609" s="599"/>
      <c r="J609" s="605">
        <v>60000.0</v>
      </c>
      <c r="K609" s="615"/>
      <c r="L609" s="616" t="s">
        <v>583</v>
      </c>
      <c r="M609" s="621"/>
      <c r="N609" s="621"/>
      <c r="O609" s="621"/>
      <c r="P609" s="602"/>
      <c r="Q609" s="613" t="s">
        <v>584</v>
      </c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</row>
    <row r="610" ht="22.5" customHeight="1">
      <c r="A610" s="614">
        <v>45650.0</v>
      </c>
      <c r="B610" s="626" t="s">
        <v>2218</v>
      </c>
      <c r="C610" s="610">
        <v>360000.0</v>
      </c>
      <c r="D610" s="609"/>
      <c r="E610" s="606"/>
      <c r="F610" s="627" t="s">
        <v>565</v>
      </c>
      <c r="G610" s="597">
        <v>20.0</v>
      </c>
      <c r="H610" s="598">
        <f t="shared" si="43"/>
        <v>60000</v>
      </c>
      <c r="I610" s="599"/>
      <c r="J610" s="599"/>
      <c r="K610" s="615"/>
      <c r="L610" s="616" t="s">
        <v>122</v>
      </c>
      <c r="M610" s="621"/>
      <c r="N610" s="612">
        <v>199.0</v>
      </c>
      <c r="O610" s="668">
        <v>45636.0</v>
      </c>
      <c r="P610" s="602">
        <f>A610-IF(O610&gt;0,O610,A610)</f>
        <v>14</v>
      </c>
      <c r="Q610" s="622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</row>
    <row r="611" ht="22.5" customHeight="1">
      <c r="A611" s="614">
        <v>45650.0</v>
      </c>
      <c r="B611" s="626" t="s">
        <v>2218</v>
      </c>
      <c r="C611" s="609"/>
      <c r="D611" s="609"/>
      <c r="E611" s="604" t="s">
        <v>33</v>
      </c>
      <c r="F611" s="627" t="s">
        <v>203</v>
      </c>
      <c r="G611" s="597">
        <v>0.0</v>
      </c>
      <c r="H611" s="598">
        <f t="shared" si="43"/>
        <v>0</v>
      </c>
      <c r="I611" s="599"/>
      <c r="J611" s="605">
        <v>30000.0</v>
      </c>
      <c r="K611" s="615"/>
      <c r="L611" s="616" t="s">
        <v>128</v>
      </c>
      <c r="M611" s="621"/>
      <c r="N611" s="621"/>
      <c r="O611" s="621"/>
      <c r="P611" s="602"/>
      <c r="Q611" s="622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</row>
    <row r="612" ht="22.5" customHeight="1">
      <c r="A612" s="614">
        <v>45650.0</v>
      </c>
      <c r="B612" s="626" t="s">
        <v>2218</v>
      </c>
      <c r="C612" s="650">
        <v>366000.0</v>
      </c>
      <c r="D612" s="609"/>
      <c r="E612" s="606"/>
      <c r="F612" s="627" t="s">
        <v>2032</v>
      </c>
      <c r="G612" s="597">
        <v>20.0</v>
      </c>
      <c r="H612" s="598">
        <f t="shared" si="43"/>
        <v>61000</v>
      </c>
      <c r="I612" s="599"/>
      <c r="J612" s="599"/>
      <c r="K612" s="615"/>
      <c r="L612" s="616" t="s">
        <v>2229</v>
      </c>
      <c r="M612" s="612">
        <v>3.0</v>
      </c>
      <c r="N612" s="612">
        <v>157.0</v>
      </c>
      <c r="O612" s="621"/>
      <c r="P612" s="602">
        <f t="shared" ref="P612:P615" si="49">A612-IF(O612&gt;0,O612,A612)</f>
        <v>0</v>
      </c>
      <c r="Q612" s="613" t="s">
        <v>585</v>
      </c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</row>
    <row r="613" ht="22.5" customHeight="1">
      <c r="A613" s="614">
        <v>45651.0</v>
      </c>
      <c r="B613" s="626" t="s">
        <v>2218</v>
      </c>
      <c r="C613" s="610">
        <v>378000.0</v>
      </c>
      <c r="D613" s="609"/>
      <c r="E613" s="606"/>
      <c r="F613" s="627" t="s">
        <v>2033</v>
      </c>
      <c r="G613" s="597">
        <v>20.0</v>
      </c>
      <c r="H613" s="598">
        <f t="shared" si="43"/>
        <v>63000</v>
      </c>
      <c r="I613" s="599"/>
      <c r="J613" s="599"/>
      <c r="K613" s="615"/>
      <c r="L613" s="616" t="s">
        <v>532</v>
      </c>
      <c r="M613" s="621"/>
      <c r="N613" s="612">
        <v>183.0</v>
      </c>
      <c r="O613" s="621"/>
      <c r="P613" s="602">
        <f t="shared" si="49"/>
        <v>0</v>
      </c>
      <c r="Q613" s="622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</row>
    <row r="614" ht="22.5" customHeight="1">
      <c r="A614" s="614">
        <v>45651.0</v>
      </c>
      <c r="B614" s="626" t="s">
        <v>2218</v>
      </c>
      <c r="C614" s="610">
        <v>600000.24</v>
      </c>
      <c r="D614" s="609"/>
      <c r="E614" s="606"/>
      <c r="F614" s="627" t="s">
        <v>2033</v>
      </c>
      <c r="G614" s="597">
        <v>20.0</v>
      </c>
      <c r="H614" s="598">
        <f t="shared" si="43"/>
        <v>100000.04</v>
      </c>
      <c r="I614" s="599"/>
      <c r="J614" s="599"/>
      <c r="K614" s="615"/>
      <c r="L614" s="616" t="s">
        <v>532</v>
      </c>
      <c r="M614" s="621"/>
      <c r="N614" s="612">
        <v>182.0</v>
      </c>
      <c r="O614" s="621"/>
      <c r="P614" s="602">
        <f t="shared" si="49"/>
        <v>0</v>
      </c>
      <c r="Q614" s="622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</row>
    <row r="615" ht="22.5" customHeight="1">
      <c r="A615" s="614">
        <v>45651.0</v>
      </c>
      <c r="B615" s="626" t="s">
        <v>2218</v>
      </c>
      <c r="C615" s="610">
        <v>378000.0</v>
      </c>
      <c r="D615" s="609"/>
      <c r="E615" s="606"/>
      <c r="F615" s="627" t="s">
        <v>2033</v>
      </c>
      <c r="G615" s="597">
        <v>20.0</v>
      </c>
      <c r="H615" s="598">
        <f t="shared" si="43"/>
        <v>63000</v>
      </c>
      <c r="I615" s="599"/>
      <c r="J615" s="599"/>
      <c r="K615" s="615"/>
      <c r="L615" s="616" t="s">
        <v>532</v>
      </c>
      <c r="M615" s="621"/>
      <c r="N615" s="612">
        <v>181.0</v>
      </c>
      <c r="O615" s="621"/>
      <c r="P615" s="602">
        <f t="shared" si="49"/>
        <v>0</v>
      </c>
      <c r="Q615" s="622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</row>
    <row r="616" ht="22.5" customHeight="1">
      <c r="A616" s="614">
        <v>45651.0</v>
      </c>
      <c r="B616" s="626" t="s">
        <v>2218</v>
      </c>
      <c r="C616" s="609"/>
      <c r="D616" s="610">
        <v>469664.91</v>
      </c>
      <c r="E616" s="606"/>
      <c r="F616" s="627" t="s">
        <v>413</v>
      </c>
      <c r="G616" s="597">
        <v>0.0</v>
      </c>
      <c r="H616" s="598">
        <f t="shared" si="43"/>
        <v>0</v>
      </c>
      <c r="I616" s="599"/>
      <c r="J616" s="599"/>
      <c r="K616" s="615"/>
      <c r="L616" s="616" t="s">
        <v>2233</v>
      </c>
      <c r="M616" s="621"/>
      <c r="N616" s="621"/>
      <c r="O616" s="621"/>
      <c r="P616" s="602"/>
      <c r="Q616" s="622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</row>
    <row r="617" ht="22.5" customHeight="1">
      <c r="A617" s="614">
        <v>45651.0</v>
      </c>
      <c r="B617" s="626" t="s">
        <v>2218</v>
      </c>
      <c r="C617" s="609"/>
      <c r="D617" s="610">
        <v>675757.5</v>
      </c>
      <c r="E617" s="606"/>
      <c r="F617" s="627" t="s">
        <v>413</v>
      </c>
      <c r="G617" s="597">
        <v>0.0</v>
      </c>
      <c r="H617" s="598">
        <f t="shared" si="43"/>
        <v>0</v>
      </c>
      <c r="I617" s="599"/>
      <c r="J617" s="599"/>
      <c r="K617" s="615"/>
      <c r="L617" s="616" t="s">
        <v>2233</v>
      </c>
      <c r="M617" s="621"/>
      <c r="N617" s="621"/>
      <c r="O617" s="621"/>
      <c r="P617" s="602"/>
      <c r="Q617" s="622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</row>
    <row r="618" ht="22.5" customHeight="1">
      <c r="A618" s="614">
        <v>45651.0</v>
      </c>
      <c r="B618" s="626" t="s">
        <v>2218</v>
      </c>
      <c r="C618" s="610">
        <v>1050000.0</v>
      </c>
      <c r="D618" s="609"/>
      <c r="E618" s="606"/>
      <c r="F618" s="627" t="s">
        <v>2033</v>
      </c>
      <c r="G618" s="597">
        <v>20.0</v>
      </c>
      <c r="H618" s="598">
        <f t="shared" si="43"/>
        <v>175000</v>
      </c>
      <c r="I618" s="599"/>
      <c r="J618" s="599"/>
      <c r="K618" s="615"/>
      <c r="L618" s="616" t="s">
        <v>586</v>
      </c>
      <c r="M618" s="612">
        <v>1.0</v>
      </c>
      <c r="N618" s="612">
        <v>185.0</v>
      </c>
      <c r="O618" s="621"/>
      <c r="P618" s="602">
        <f>A618-IF(O618&gt;0,O618,A618)</f>
        <v>0</v>
      </c>
      <c r="Q618" s="622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</row>
    <row r="619" ht="22.5" customHeight="1">
      <c r="A619" s="614">
        <v>45651.0</v>
      </c>
      <c r="B619" s="626" t="s">
        <v>2218</v>
      </c>
      <c r="C619" s="609"/>
      <c r="D619" s="610">
        <v>314191.0</v>
      </c>
      <c r="E619" s="606"/>
      <c r="F619" s="627" t="s">
        <v>203</v>
      </c>
      <c r="G619" s="664"/>
      <c r="H619" s="665"/>
      <c r="I619" s="599"/>
      <c r="J619" s="599"/>
      <c r="K619" s="615"/>
      <c r="L619" s="616" t="s">
        <v>587</v>
      </c>
      <c r="M619" s="621"/>
      <c r="N619" s="621"/>
      <c r="O619" s="621"/>
      <c r="P619" s="602"/>
      <c r="Q619" s="622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</row>
    <row r="620" ht="22.5" customHeight="1">
      <c r="A620" s="614">
        <v>45651.0</v>
      </c>
      <c r="B620" s="626" t="s">
        <v>2218</v>
      </c>
      <c r="C620" s="609"/>
      <c r="D620" s="609"/>
      <c r="E620" s="604" t="s">
        <v>33</v>
      </c>
      <c r="F620" s="627" t="s">
        <v>525</v>
      </c>
      <c r="G620" s="597">
        <v>0.0</v>
      </c>
      <c r="H620" s="598">
        <f t="shared" ref="H620:H696" si="50">SUM(C620:D620)*G620/(G620+100)</f>
        <v>0</v>
      </c>
      <c r="I620" s="599"/>
      <c r="J620" s="605">
        <v>15000.0</v>
      </c>
      <c r="K620" s="615"/>
      <c r="L620" s="616" t="s">
        <v>588</v>
      </c>
      <c r="M620" s="621"/>
      <c r="N620" s="621"/>
      <c r="O620" s="621"/>
      <c r="P620" s="602"/>
      <c r="Q620" s="622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</row>
    <row r="621" ht="22.5" customHeight="1">
      <c r="A621" s="614">
        <v>45651.0</v>
      </c>
      <c r="B621" s="626" t="s">
        <v>2218</v>
      </c>
      <c r="C621" s="610">
        <v>573000.0</v>
      </c>
      <c r="D621" s="609"/>
      <c r="E621" s="606"/>
      <c r="F621" s="627" t="s">
        <v>2033</v>
      </c>
      <c r="G621" s="597">
        <v>20.0</v>
      </c>
      <c r="H621" s="598">
        <f t="shared" si="50"/>
        <v>95500</v>
      </c>
      <c r="I621" s="599"/>
      <c r="J621" s="599"/>
      <c r="K621" s="615"/>
      <c r="L621" s="616" t="s">
        <v>2236</v>
      </c>
      <c r="M621" s="621"/>
      <c r="N621" s="612">
        <v>158.0</v>
      </c>
      <c r="O621" s="612"/>
      <c r="P621" s="602">
        <f t="shared" ref="P621:P622" si="51">A621-IF(O621&gt;0,O621,A621)</f>
        <v>0</v>
      </c>
      <c r="Q621" s="622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</row>
    <row r="622" ht="22.5" customHeight="1">
      <c r="A622" s="614">
        <v>45651.0</v>
      </c>
      <c r="B622" s="626" t="s">
        <v>2218</v>
      </c>
      <c r="C622" s="610">
        <v>941560.5</v>
      </c>
      <c r="D622" s="609"/>
      <c r="E622" s="606"/>
      <c r="F622" s="627" t="s">
        <v>2033</v>
      </c>
      <c r="G622" s="597">
        <v>20.0</v>
      </c>
      <c r="H622" s="598">
        <f t="shared" si="50"/>
        <v>156926.75</v>
      </c>
      <c r="I622" s="599"/>
      <c r="J622" s="599"/>
      <c r="K622" s="615"/>
      <c r="L622" s="616" t="s">
        <v>2236</v>
      </c>
      <c r="M622" s="621"/>
      <c r="N622" s="612">
        <v>159.0</v>
      </c>
      <c r="O622" s="612"/>
      <c r="P622" s="602">
        <f t="shared" si="51"/>
        <v>0</v>
      </c>
      <c r="Q622" s="622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</row>
    <row r="623" ht="22.5" customHeight="1">
      <c r="A623" s="614">
        <v>45651.0</v>
      </c>
      <c r="B623" s="626" t="s">
        <v>2218</v>
      </c>
      <c r="C623" s="609"/>
      <c r="D623" s="610">
        <v>2400.0</v>
      </c>
      <c r="E623" s="595"/>
      <c r="F623" s="596"/>
      <c r="G623" s="597">
        <v>0.0</v>
      </c>
      <c r="H623" s="598">
        <f t="shared" si="50"/>
        <v>0</v>
      </c>
      <c r="I623" s="599"/>
      <c r="J623" s="599"/>
      <c r="K623" s="615"/>
      <c r="L623" s="616" t="s">
        <v>377</v>
      </c>
      <c r="M623" s="621"/>
      <c r="N623" s="621"/>
      <c r="O623" s="621"/>
      <c r="P623" s="602"/>
      <c r="Q623" s="613" t="s">
        <v>378</v>
      </c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</row>
    <row r="624" ht="22.5" customHeight="1">
      <c r="A624" s="614">
        <v>45653.0</v>
      </c>
      <c r="B624" s="626" t="s">
        <v>2218</v>
      </c>
      <c r="C624" s="610">
        <v>720000.12</v>
      </c>
      <c r="D624" s="609"/>
      <c r="E624" s="606"/>
      <c r="F624" s="627" t="s">
        <v>2033</v>
      </c>
      <c r="G624" s="597">
        <v>20.0</v>
      </c>
      <c r="H624" s="598">
        <f t="shared" si="50"/>
        <v>120000.02</v>
      </c>
      <c r="I624" s="599"/>
      <c r="J624" s="599"/>
      <c r="K624" s="615"/>
      <c r="L624" s="616" t="s">
        <v>250</v>
      </c>
      <c r="M624" s="621"/>
      <c r="N624" s="612">
        <v>175.0</v>
      </c>
      <c r="O624" s="621"/>
      <c r="P624" s="602">
        <f t="shared" ref="P624:P631" si="52">A624-IF(O624&gt;0,O624,A624)</f>
        <v>0</v>
      </c>
      <c r="Q624" s="622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</row>
    <row r="625" ht="22.5" customHeight="1">
      <c r="A625" s="614">
        <v>45653.0</v>
      </c>
      <c r="B625" s="626" t="s">
        <v>2218</v>
      </c>
      <c r="C625" s="610">
        <v>1079985.18</v>
      </c>
      <c r="D625" s="609"/>
      <c r="E625" s="606"/>
      <c r="F625" s="627" t="s">
        <v>2033</v>
      </c>
      <c r="G625" s="597">
        <v>20.0</v>
      </c>
      <c r="H625" s="598">
        <f t="shared" si="50"/>
        <v>179997.53</v>
      </c>
      <c r="I625" s="599"/>
      <c r="J625" s="599"/>
      <c r="K625" s="615"/>
      <c r="L625" s="616" t="s">
        <v>250</v>
      </c>
      <c r="M625" s="621"/>
      <c r="N625" s="612">
        <v>174.0</v>
      </c>
      <c r="O625" s="621"/>
      <c r="P625" s="602">
        <f t="shared" si="52"/>
        <v>0</v>
      </c>
      <c r="Q625" s="622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</row>
    <row r="626" ht="22.5" customHeight="1">
      <c r="A626" s="614">
        <v>45653.0</v>
      </c>
      <c r="B626" s="626" t="s">
        <v>2218</v>
      </c>
      <c r="C626" s="610">
        <v>600000.24</v>
      </c>
      <c r="D626" s="609"/>
      <c r="E626" s="606"/>
      <c r="F626" s="627" t="s">
        <v>2033</v>
      </c>
      <c r="G626" s="597">
        <v>20.0</v>
      </c>
      <c r="H626" s="598">
        <f t="shared" si="50"/>
        <v>100000.04</v>
      </c>
      <c r="I626" s="599"/>
      <c r="J626" s="599"/>
      <c r="K626" s="615"/>
      <c r="L626" s="616" t="s">
        <v>250</v>
      </c>
      <c r="M626" s="621"/>
      <c r="N626" s="612">
        <v>172.0</v>
      </c>
      <c r="O626" s="621"/>
      <c r="P626" s="602">
        <f t="shared" si="52"/>
        <v>0</v>
      </c>
      <c r="Q626" s="622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</row>
    <row r="627" ht="22.5" customHeight="1">
      <c r="A627" s="614">
        <v>45653.0</v>
      </c>
      <c r="B627" s="626" t="s">
        <v>2218</v>
      </c>
      <c r="C627" s="610">
        <v>360000.06</v>
      </c>
      <c r="D627" s="609"/>
      <c r="E627" s="606"/>
      <c r="F627" s="627" t="s">
        <v>2033</v>
      </c>
      <c r="G627" s="597">
        <v>20.0</v>
      </c>
      <c r="H627" s="598">
        <f t="shared" si="50"/>
        <v>60000.01</v>
      </c>
      <c r="I627" s="599"/>
      <c r="J627" s="599"/>
      <c r="K627" s="615"/>
      <c r="L627" s="616" t="s">
        <v>250</v>
      </c>
      <c r="M627" s="621"/>
      <c r="N627" s="612">
        <v>173.0</v>
      </c>
      <c r="O627" s="621"/>
      <c r="P627" s="602">
        <f t="shared" si="52"/>
        <v>0</v>
      </c>
      <c r="Q627" s="622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</row>
    <row r="628" ht="22.5" customHeight="1">
      <c r="A628" s="614">
        <v>45653.0</v>
      </c>
      <c r="B628" s="626" t="s">
        <v>2218</v>
      </c>
      <c r="C628" s="610">
        <v>18000.0</v>
      </c>
      <c r="D628" s="609"/>
      <c r="E628" s="606"/>
      <c r="F628" s="627" t="s">
        <v>2033</v>
      </c>
      <c r="G628" s="597">
        <v>20.0</v>
      </c>
      <c r="H628" s="598">
        <f t="shared" si="50"/>
        <v>3000</v>
      </c>
      <c r="I628" s="599"/>
      <c r="J628" s="599"/>
      <c r="K628" s="615"/>
      <c r="L628" s="616" t="s">
        <v>250</v>
      </c>
      <c r="M628" s="612">
        <v>27.0</v>
      </c>
      <c r="N628" s="612">
        <v>186.0</v>
      </c>
      <c r="O628" s="621"/>
      <c r="P628" s="602">
        <f t="shared" si="52"/>
        <v>0</v>
      </c>
      <c r="Q628" s="622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</row>
    <row r="629" ht="22.5" customHeight="1">
      <c r="A629" s="614">
        <v>45653.0</v>
      </c>
      <c r="B629" s="626" t="s">
        <v>2218</v>
      </c>
      <c r="C629" s="610">
        <v>1050000.0</v>
      </c>
      <c r="D629" s="609"/>
      <c r="E629" s="606"/>
      <c r="F629" s="627" t="s">
        <v>565</v>
      </c>
      <c r="G629" s="597">
        <v>20.0</v>
      </c>
      <c r="H629" s="598">
        <f t="shared" si="50"/>
        <v>175000</v>
      </c>
      <c r="I629" s="599"/>
      <c r="J629" s="599"/>
      <c r="K629" s="615"/>
      <c r="L629" s="616" t="s">
        <v>586</v>
      </c>
      <c r="M629" s="621"/>
      <c r="N629" s="612">
        <v>215.0</v>
      </c>
      <c r="O629" s="668">
        <v>45637.0</v>
      </c>
      <c r="P629" s="602">
        <f t="shared" si="52"/>
        <v>16</v>
      </c>
      <c r="Q629" s="622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</row>
    <row r="630" ht="22.5" customHeight="1">
      <c r="A630" s="614">
        <v>45653.0</v>
      </c>
      <c r="B630" s="626" t="s">
        <v>2218</v>
      </c>
      <c r="C630" s="610">
        <v>526046.98</v>
      </c>
      <c r="D630" s="609"/>
      <c r="E630" s="606"/>
      <c r="F630" s="627" t="s">
        <v>2032</v>
      </c>
      <c r="G630" s="597">
        <v>20.0</v>
      </c>
      <c r="H630" s="598">
        <f t="shared" si="50"/>
        <v>87674.49667</v>
      </c>
      <c r="I630" s="599"/>
      <c r="J630" s="599"/>
      <c r="K630" s="615"/>
      <c r="L630" s="616" t="s">
        <v>549</v>
      </c>
      <c r="M630" s="612">
        <v>5.0</v>
      </c>
      <c r="N630" s="621"/>
      <c r="O630" s="621"/>
      <c r="P630" s="602">
        <f t="shared" si="52"/>
        <v>0</v>
      </c>
      <c r="Q630" s="622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</row>
    <row r="631" ht="22.5" customHeight="1">
      <c r="A631" s="614">
        <v>45654.0</v>
      </c>
      <c r="B631" s="626" t="s">
        <v>2218</v>
      </c>
      <c r="C631" s="610">
        <v>180000.0</v>
      </c>
      <c r="D631" s="609"/>
      <c r="E631" s="606"/>
      <c r="F631" s="627" t="s">
        <v>565</v>
      </c>
      <c r="G631" s="597">
        <v>20.0</v>
      </c>
      <c r="H631" s="598">
        <f t="shared" si="50"/>
        <v>30000</v>
      </c>
      <c r="I631" s="599"/>
      <c r="J631" s="599"/>
      <c r="K631" s="615"/>
      <c r="L631" s="616" t="s">
        <v>589</v>
      </c>
      <c r="M631" s="621"/>
      <c r="N631" s="612">
        <v>222.0</v>
      </c>
      <c r="O631" s="668">
        <v>45639.0</v>
      </c>
      <c r="P631" s="602">
        <f t="shared" si="52"/>
        <v>15</v>
      </c>
      <c r="Q631" s="622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</row>
    <row r="632" ht="22.5" customHeight="1">
      <c r="A632" s="614">
        <v>45654.0</v>
      </c>
      <c r="B632" s="626" t="s">
        <v>2218</v>
      </c>
      <c r="C632" s="609"/>
      <c r="D632" s="610">
        <v>471288.0</v>
      </c>
      <c r="E632" s="606"/>
      <c r="F632" s="627" t="s">
        <v>203</v>
      </c>
      <c r="G632" s="597">
        <v>0.0</v>
      </c>
      <c r="H632" s="598">
        <f t="shared" si="50"/>
        <v>0</v>
      </c>
      <c r="I632" s="599"/>
      <c r="J632" s="599"/>
      <c r="K632" s="615"/>
      <c r="L632" s="616" t="s">
        <v>590</v>
      </c>
      <c r="M632" s="621"/>
      <c r="N632" s="621"/>
      <c r="O632" s="621"/>
      <c r="P632" s="602"/>
      <c r="Q632" s="622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</row>
    <row r="633" ht="22.5" customHeight="1">
      <c r="A633" s="614">
        <v>45654.0</v>
      </c>
      <c r="B633" s="626" t="s">
        <v>2218</v>
      </c>
      <c r="C633" s="609"/>
      <c r="D633" s="609"/>
      <c r="E633" s="604" t="s">
        <v>33</v>
      </c>
      <c r="F633" s="627" t="s">
        <v>203</v>
      </c>
      <c r="G633" s="597">
        <v>0.0</v>
      </c>
      <c r="H633" s="598">
        <f t="shared" si="50"/>
        <v>0</v>
      </c>
      <c r="I633" s="599"/>
      <c r="J633" s="605">
        <v>882571.0</v>
      </c>
      <c r="K633" s="615"/>
      <c r="L633" s="616" t="s">
        <v>591</v>
      </c>
      <c r="M633" s="621"/>
      <c r="N633" s="621"/>
      <c r="O633" s="621"/>
      <c r="P633" s="602"/>
      <c r="Q633" s="622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</row>
    <row r="634" ht="22.5" customHeight="1">
      <c r="A634" s="614">
        <v>45654.0</v>
      </c>
      <c r="B634" s="626" t="s">
        <v>2218</v>
      </c>
      <c r="C634" s="609"/>
      <c r="D634" s="609"/>
      <c r="E634" s="604" t="s">
        <v>33</v>
      </c>
      <c r="F634" s="627" t="s">
        <v>108</v>
      </c>
      <c r="G634" s="597">
        <v>0.0</v>
      </c>
      <c r="H634" s="598">
        <f t="shared" si="50"/>
        <v>0</v>
      </c>
      <c r="I634" s="599"/>
      <c r="J634" s="605">
        <v>32571.0</v>
      </c>
      <c r="K634" s="615"/>
      <c r="L634" s="616" t="s">
        <v>489</v>
      </c>
      <c r="M634" s="621"/>
      <c r="N634" s="621"/>
      <c r="O634" s="621"/>
      <c r="P634" s="602"/>
      <c r="Q634" s="622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</row>
    <row r="635" ht="22.5" customHeight="1">
      <c r="A635" s="614">
        <v>45654.0</v>
      </c>
      <c r="B635" s="626" t="s">
        <v>2218</v>
      </c>
      <c r="C635" s="609"/>
      <c r="D635" s="609"/>
      <c r="E635" s="604" t="s">
        <v>33</v>
      </c>
      <c r="F635" s="627" t="s">
        <v>203</v>
      </c>
      <c r="G635" s="597">
        <v>0.0</v>
      </c>
      <c r="H635" s="598">
        <f t="shared" si="50"/>
        <v>0</v>
      </c>
      <c r="I635" s="599"/>
      <c r="J635" s="605">
        <v>350000.0</v>
      </c>
      <c r="K635" s="615"/>
      <c r="L635" s="616" t="s">
        <v>592</v>
      </c>
      <c r="M635" s="621"/>
      <c r="N635" s="621"/>
      <c r="O635" s="621"/>
      <c r="P635" s="602"/>
      <c r="Q635" s="622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</row>
    <row r="636" ht="22.5" customHeight="1">
      <c r="A636" s="614">
        <v>45656.0</v>
      </c>
      <c r="B636" s="626" t="s">
        <v>2218</v>
      </c>
      <c r="C636" s="609"/>
      <c r="D636" s="609"/>
      <c r="E636" s="604" t="s">
        <v>33</v>
      </c>
      <c r="F636" s="627" t="s">
        <v>413</v>
      </c>
      <c r="G636" s="597">
        <v>0.0</v>
      </c>
      <c r="H636" s="598">
        <f t="shared" si="50"/>
        <v>0</v>
      </c>
      <c r="I636" s="599"/>
      <c r="J636" s="605">
        <v>1010134.0</v>
      </c>
      <c r="K636" s="615"/>
      <c r="L636" s="616" t="s">
        <v>593</v>
      </c>
      <c r="M636" s="621"/>
      <c r="N636" s="621"/>
      <c r="O636" s="621"/>
      <c r="P636" s="602"/>
      <c r="Q636" s="622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</row>
    <row r="637" ht="22.5" customHeight="1">
      <c r="A637" s="614">
        <v>45656.0</v>
      </c>
      <c r="B637" s="626" t="s">
        <v>2218</v>
      </c>
      <c r="C637" s="609"/>
      <c r="D637" s="609"/>
      <c r="E637" s="604" t="s">
        <v>33</v>
      </c>
      <c r="F637" s="627" t="s">
        <v>413</v>
      </c>
      <c r="G637" s="597">
        <v>0.0</v>
      </c>
      <c r="H637" s="598">
        <f t="shared" si="50"/>
        <v>0</v>
      </c>
      <c r="I637" s="599"/>
      <c r="J637" s="605">
        <v>262500.0</v>
      </c>
      <c r="K637" s="615"/>
      <c r="L637" s="616" t="s">
        <v>572</v>
      </c>
      <c r="M637" s="621"/>
      <c r="N637" s="621"/>
      <c r="O637" s="621"/>
      <c r="P637" s="602"/>
      <c r="Q637" s="622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</row>
    <row r="638" ht="22.5" customHeight="1">
      <c r="A638" s="614">
        <v>45659.0</v>
      </c>
      <c r="B638" s="626" t="s">
        <v>2218</v>
      </c>
      <c r="C638" s="609"/>
      <c r="D638" s="610">
        <v>13999.0</v>
      </c>
      <c r="E638" s="606"/>
      <c r="F638" s="627" t="s">
        <v>594</v>
      </c>
      <c r="G638" s="597">
        <v>0.0</v>
      </c>
      <c r="H638" s="598">
        <f t="shared" si="50"/>
        <v>0</v>
      </c>
      <c r="I638" s="599"/>
      <c r="J638" s="599"/>
      <c r="K638" s="600" t="s">
        <v>30</v>
      </c>
      <c r="L638" s="601" t="s">
        <v>31</v>
      </c>
      <c r="M638" s="621"/>
      <c r="N638" s="621"/>
      <c r="O638" s="621"/>
      <c r="P638" s="602"/>
      <c r="Q638" s="622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</row>
    <row r="639" ht="22.5" customHeight="1">
      <c r="A639" s="614">
        <v>45659.0</v>
      </c>
      <c r="B639" s="626" t="s">
        <v>2218</v>
      </c>
      <c r="C639" s="609"/>
      <c r="D639" s="610">
        <f>1706400-1431502-247510</f>
        <v>27388</v>
      </c>
      <c r="E639" s="606"/>
      <c r="F639" s="627" t="s">
        <v>574</v>
      </c>
      <c r="G639" s="597">
        <v>20.0</v>
      </c>
      <c r="H639" s="598">
        <f t="shared" si="50"/>
        <v>4564.666667</v>
      </c>
      <c r="I639" s="599"/>
      <c r="J639" s="599"/>
      <c r="K639" s="615" t="s">
        <v>322</v>
      </c>
      <c r="L639" s="616" t="s">
        <v>250</v>
      </c>
      <c r="M639" s="621"/>
      <c r="N639" s="612" t="s">
        <v>508</v>
      </c>
      <c r="O639" s="662">
        <v>45554.0</v>
      </c>
      <c r="P639" s="602"/>
      <c r="Q639" s="622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</row>
    <row r="640" ht="22.5" customHeight="1">
      <c r="A640" s="614">
        <v>45660.0</v>
      </c>
      <c r="B640" s="626" t="s">
        <v>2218</v>
      </c>
      <c r="C640" s="609"/>
      <c r="D640" s="609"/>
      <c r="E640" s="604" t="s">
        <v>33</v>
      </c>
      <c r="F640" s="627" t="s">
        <v>594</v>
      </c>
      <c r="G640" s="597">
        <v>0.0</v>
      </c>
      <c r="H640" s="598">
        <f t="shared" si="50"/>
        <v>0</v>
      </c>
      <c r="I640" s="599"/>
      <c r="J640" s="605">
        <v>10000.0</v>
      </c>
      <c r="K640" s="615" t="s">
        <v>108</v>
      </c>
      <c r="L640" s="616" t="s">
        <v>595</v>
      </c>
      <c r="M640" s="621"/>
      <c r="N640" s="621"/>
      <c r="O640" s="621"/>
      <c r="P640" s="602"/>
      <c r="Q640" s="622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</row>
    <row r="641" ht="22.5" customHeight="1">
      <c r="A641" s="614">
        <v>45666.0</v>
      </c>
      <c r="B641" s="626" t="s">
        <v>2218</v>
      </c>
      <c r="C641" s="610">
        <v>624000.24</v>
      </c>
      <c r="D641" s="609"/>
      <c r="E641" s="606"/>
      <c r="F641" s="627" t="s">
        <v>570</v>
      </c>
      <c r="G641" s="597">
        <v>20.0</v>
      </c>
      <c r="H641" s="598">
        <f t="shared" si="50"/>
        <v>104000.04</v>
      </c>
      <c r="I641" s="599"/>
      <c r="J641" s="599"/>
      <c r="K641" s="615" t="s">
        <v>51</v>
      </c>
      <c r="L641" s="616" t="s">
        <v>596</v>
      </c>
      <c r="M641" s="621"/>
      <c r="N641" s="612">
        <v>202.0</v>
      </c>
      <c r="O641" s="668">
        <v>45636.0</v>
      </c>
      <c r="P641" s="602">
        <f t="shared" ref="P641:P646" si="53">A641-IF(O641&gt;0,O641,A641)</f>
        <v>30</v>
      </c>
      <c r="Q641" s="622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</row>
    <row r="642" ht="22.5" customHeight="1">
      <c r="A642" s="614">
        <v>45666.0</v>
      </c>
      <c r="B642" s="626" t="s">
        <v>2218</v>
      </c>
      <c r="C642" s="610">
        <v>2999880.0</v>
      </c>
      <c r="D642" s="609"/>
      <c r="E642" s="606"/>
      <c r="F642" s="627" t="s">
        <v>570</v>
      </c>
      <c r="G642" s="597">
        <v>20.0</v>
      </c>
      <c r="H642" s="598">
        <f t="shared" si="50"/>
        <v>499980</v>
      </c>
      <c r="I642" s="599"/>
      <c r="J642" s="599"/>
      <c r="K642" s="615" t="s">
        <v>51</v>
      </c>
      <c r="L642" s="616" t="s">
        <v>596</v>
      </c>
      <c r="M642" s="621"/>
      <c r="N642" s="612">
        <v>207.0</v>
      </c>
      <c r="O642" s="668">
        <v>45636.0</v>
      </c>
      <c r="P642" s="602">
        <f t="shared" si="53"/>
        <v>30</v>
      </c>
      <c r="Q642" s="622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</row>
    <row r="643" ht="22.5" customHeight="1">
      <c r="A643" s="614">
        <v>45666.0</v>
      </c>
      <c r="B643" s="626" t="s">
        <v>2218</v>
      </c>
      <c r="C643" s="610">
        <v>600180.0</v>
      </c>
      <c r="D643" s="609"/>
      <c r="E643" s="606"/>
      <c r="F643" s="627" t="s">
        <v>570</v>
      </c>
      <c r="G643" s="597">
        <v>20.0</v>
      </c>
      <c r="H643" s="598">
        <f t="shared" si="50"/>
        <v>100030</v>
      </c>
      <c r="I643" s="599"/>
      <c r="J643" s="599"/>
      <c r="K643" s="615" t="s">
        <v>51</v>
      </c>
      <c r="L643" s="616" t="s">
        <v>596</v>
      </c>
      <c r="M643" s="621"/>
      <c r="N643" s="612">
        <v>208.0</v>
      </c>
      <c r="O643" s="668">
        <v>45636.0</v>
      </c>
      <c r="P643" s="602">
        <f t="shared" si="53"/>
        <v>30</v>
      </c>
      <c r="Q643" s="622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</row>
    <row r="644" ht="22.5" customHeight="1">
      <c r="A644" s="614">
        <v>45666.0</v>
      </c>
      <c r="B644" s="626" t="s">
        <v>2218</v>
      </c>
      <c r="C644" s="610">
        <v>600180.0</v>
      </c>
      <c r="D644" s="609"/>
      <c r="E644" s="606"/>
      <c r="F644" s="627" t="s">
        <v>570</v>
      </c>
      <c r="G644" s="597">
        <v>20.0</v>
      </c>
      <c r="H644" s="598">
        <f t="shared" si="50"/>
        <v>100030</v>
      </c>
      <c r="I644" s="599"/>
      <c r="J644" s="599"/>
      <c r="K644" s="615" t="s">
        <v>51</v>
      </c>
      <c r="L644" s="616" t="s">
        <v>596</v>
      </c>
      <c r="M644" s="621"/>
      <c r="N644" s="612">
        <v>209.0</v>
      </c>
      <c r="O644" s="668">
        <v>45636.0</v>
      </c>
      <c r="P644" s="602">
        <f t="shared" si="53"/>
        <v>30</v>
      </c>
      <c r="Q644" s="622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</row>
    <row r="645" ht="22.5" customHeight="1">
      <c r="A645" s="614">
        <v>45666.0</v>
      </c>
      <c r="B645" s="626" t="s">
        <v>2218</v>
      </c>
      <c r="C645" s="610">
        <v>342720.0</v>
      </c>
      <c r="D645" s="609"/>
      <c r="E645" s="606"/>
      <c r="F645" s="627" t="s">
        <v>570</v>
      </c>
      <c r="G645" s="597">
        <v>20.0</v>
      </c>
      <c r="H645" s="598">
        <f t="shared" si="50"/>
        <v>57120</v>
      </c>
      <c r="I645" s="599"/>
      <c r="J645" s="599"/>
      <c r="K645" s="615" t="s">
        <v>51</v>
      </c>
      <c r="L645" s="616" t="s">
        <v>596</v>
      </c>
      <c r="M645" s="621"/>
      <c r="N645" s="612">
        <v>210.0</v>
      </c>
      <c r="O645" s="668">
        <v>45636.0</v>
      </c>
      <c r="P645" s="602">
        <f t="shared" si="53"/>
        <v>30</v>
      </c>
      <c r="Q645" s="622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</row>
    <row r="646" ht="22.5" customHeight="1">
      <c r="A646" s="614">
        <v>45667.0</v>
      </c>
      <c r="B646" s="626" t="s">
        <v>2218</v>
      </c>
      <c r="C646" s="610">
        <v>2111550.0</v>
      </c>
      <c r="D646" s="609"/>
      <c r="E646" s="606"/>
      <c r="F646" s="627" t="s">
        <v>570</v>
      </c>
      <c r="G646" s="597">
        <v>20.0</v>
      </c>
      <c r="H646" s="598">
        <f t="shared" si="50"/>
        <v>351925</v>
      </c>
      <c r="I646" s="599"/>
      <c r="J646" s="599"/>
      <c r="K646" s="615" t="s">
        <v>51</v>
      </c>
      <c r="L646" s="616" t="s">
        <v>317</v>
      </c>
      <c r="M646" s="621"/>
      <c r="N646" s="612">
        <v>214.0</v>
      </c>
      <c r="O646" s="668">
        <v>45637.0</v>
      </c>
      <c r="P646" s="602">
        <f t="shared" si="53"/>
        <v>30</v>
      </c>
      <c r="Q646" s="622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</row>
    <row r="647" ht="22.5" customHeight="1">
      <c r="A647" s="614">
        <v>45670.0</v>
      </c>
      <c r="B647" s="626" t="s">
        <v>2218</v>
      </c>
      <c r="C647" s="609"/>
      <c r="D647" s="610">
        <v>954457.05</v>
      </c>
      <c r="E647" s="606"/>
      <c r="F647" s="627" t="s">
        <v>528</v>
      </c>
      <c r="G647" s="597">
        <v>20.0</v>
      </c>
      <c r="H647" s="598">
        <f t="shared" si="50"/>
        <v>159076.175</v>
      </c>
      <c r="I647" s="599"/>
      <c r="J647" s="599"/>
      <c r="K647" s="615" t="s">
        <v>101</v>
      </c>
      <c r="L647" s="670" t="s">
        <v>597</v>
      </c>
      <c r="M647" s="621"/>
      <c r="N647" s="612">
        <v>1.0</v>
      </c>
      <c r="O647" s="662">
        <v>45604.0</v>
      </c>
      <c r="P647" s="602"/>
      <c r="Q647" s="622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</row>
    <row r="648" ht="22.5" customHeight="1">
      <c r="A648" s="614">
        <v>45670.0</v>
      </c>
      <c r="B648" s="626" t="s">
        <v>2218</v>
      </c>
      <c r="C648" s="609"/>
      <c r="D648" s="610">
        <v>6541.33</v>
      </c>
      <c r="E648" s="606"/>
      <c r="F648" s="627" t="s">
        <v>570</v>
      </c>
      <c r="G648" s="597">
        <v>20.0</v>
      </c>
      <c r="H648" s="598">
        <f t="shared" si="50"/>
        <v>1090.221667</v>
      </c>
      <c r="I648" s="599"/>
      <c r="J648" s="599"/>
      <c r="K648" s="615" t="s">
        <v>44</v>
      </c>
      <c r="L648" s="616" t="s">
        <v>2226</v>
      </c>
      <c r="M648" s="621"/>
      <c r="N648" s="621"/>
      <c r="O648" s="621"/>
      <c r="P648" s="602"/>
      <c r="Q648" s="622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</row>
    <row r="649" ht="22.5" customHeight="1">
      <c r="A649" s="614">
        <v>45670.0</v>
      </c>
      <c r="B649" s="626" t="s">
        <v>2218</v>
      </c>
      <c r="C649" s="609"/>
      <c r="D649" s="610">
        <v>38366.72</v>
      </c>
      <c r="E649" s="606"/>
      <c r="F649" s="627" t="s">
        <v>570</v>
      </c>
      <c r="G649" s="597">
        <v>20.0</v>
      </c>
      <c r="H649" s="598">
        <f t="shared" si="50"/>
        <v>6394.453333</v>
      </c>
      <c r="I649" s="599"/>
      <c r="J649" s="599"/>
      <c r="K649" s="615" t="s">
        <v>2237</v>
      </c>
      <c r="L649" s="615" t="s">
        <v>509</v>
      </c>
      <c r="M649" s="621"/>
      <c r="N649" s="621"/>
      <c r="O649" s="621"/>
      <c r="P649" s="602"/>
      <c r="Q649" s="622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</row>
    <row r="650" ht="22.5" customHeight="1">
      <c r="A650" s="614">
        <v>45670.0</v>
      </c>
      <c r="B650" s="626" t="s">
        <v>2218</v>
      </c>
      <c r="C650" s="610">
        <v>865015.0</v>
      </c>
      <c r="D650" s="610"/>
      <c r="E650" s="606"/>
      <c r="F650" s="627" t="s">
        <v>528</v>
      </c>
      <c r="G650" s="597">
        <v>20.0</v>
      </c>
      <c r="H650" s="598">
        <f t="shared" si="50"/>
        <v>144169.1667</v>
      </c>
      <c r="I650" s="599"/>
      <c r="J650" s="599"/>
      <c r="K650" s="615" t="s">
        <v>51</v>
      </c>
      <c r="L650" s="616" t="s">
        <v>2236</v>
      </c>
      <c r="M650" s="612">
        <v>1.0</v>
      </c>
      <c r="N650" s="612">
        <v>160.0</v>
      </c>
      <c r="O650" s="662">
        <v>45604.0</v>
      </c>
      <c r="P650" s="602">
        <f t="shared" ref="P650:P651" si="54">A650-IF(O650&gt;0,O650,A650)</f>
        <v>66</v>
      </c>
      <c r="Q650" s="622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</row>
    <row r="651" ht="22.5" customHeight="1">
      <c r="A651" s="614">
        <v>45670.0</v>
      </c>
      <c r="B651" s="626" t="s">
        <v>2218</v>
      </c>
      <c r="C651" s="610">
        <v>865015.0</v>
      </c>
      <c r="D651" s="609"/>
      <c r="E651" s="606"/>
      <c r="F651" s="627" t="s">
        <v>570</v>
      </c>
      <c r="G651" s="597">
        <v>20.0</v>
      </c>
      <c r="H651" s="598">
        <f t="shared" si="50"/>
        <v>144169.1667</v>
      </c>
      <c r="I651" s="599"/>
      <c r="J651" s="599"/>
      <c r="K651" s="615" t="s">
        <v>51</v>
      </c>
      <c r="L651" s="616" t="s">
        <v>2236</v>
      </c>
      <c r="M651" s="621"/>
      <c r="N651" s="612">
        <v>184.0</v>
      </c>
      <c r="O651" s="662">
        <v>45635.0</v>
      </c>
      <c r="P651" s="602">
        <f t="shared" si="54"/>
        <v>35</v>
      </c>
      <c r="Q651" s="622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</row>
    <row r="652" ht="22.5" customHeight="1">
      <c r="A652" s="614">
        <v>45672.0</v>
      </c>
      <c r="B652" s="626" t="s">
        <v>2218</v>
      </c>
      <c r="C652" s="609"/>
      <c r="D652" s="610">
        <v>1382287.93</v>
      </c>
      <c r="E652" s="606"/>
      <c r="F652" s="627" t="s">
        <v>570</v>
      </c>
      <c r="G652" s="597">
        <v>20.0</v>
      </c>
      <c r="H652" s="598">
        <f t="shared" si="50"/>
        <v>230381.3217</v>
      </c>
      <c r="I652" s="599"/>
      <c r="J652" s="599"/>
      <c r="K652" s="615" t="s">
        <v>2237</v>
      </c>
      <c r="L652" s="671" t="s">
        <v>228</v>
      </c>
      <c r="M652" s="621"/>
      <c r="N652" s="621"/>
      <c r="O652" s="621"/>
      <c r="P652" s="602"/>
      <c r="Q652" s="622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</row>
    <row r="653" ht="22.5" customHeight="1">
      <c r="A653" s="614">
        <v>45672.0</v>
      </c>
      <c r="B653" s="626" t="s">
        <v>2218</v>
      </c>
      <c r="C653" s="609"/>
      <c r="D653" s="610">
        <v>337033.0</v>
      </c>
      <c r="E653" s="606"/>
      <c r="F653" s="627" t="s">
        <v>594</v>
      </c>
      <c r="G653" s="597">
        <v>0.0</v>
      </c>
      <c r="H653" s="598">
        <f t="shared" si="50"/>
        <v>0</v>
      </c>
      <c r="I653" s="599"/>
      <c r="J653" s="599"/>
      <c r="K653" s="615" t="s">
        <v>236</v>
      </c>
      <c r="L653" s="616" t="s">
        <v>72</v>
      </c>
      <c r="M653" s="621"/>
      <c r="N653" s="621"/>
      <c r="O653" s="621"/>
      <c r="P653" s="602"/>
      <c r="Q653" s="622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</row>
    <row r="654" ht="22.5" customHeight="1">
      <c r="A654" s="614">
        <v>45672.0</v>
      </c>
      <c r="B654" s="626" t="s">
        <v>2218</v>
      </c>
      <c r="C654" s="609"/>
      <c r="D654" s="610">
        <v>70422.0</v>
      </c>
      <c r="E654" s="606"/>
      <c r="F654" s="627" t="s">
        <v>594</v>
      </c>
      <c r="G654" s="597">
        <v>0.0</v>
      </c>
      <c r="H654" s="598">
        <f t="shared" si="50"/>
        <v>0</v>
      </c>
      <c r="I654" s="599"/>
      <c r="J654" s="599"/>
      <c r="K654" s="615" t="s">
        <v>236</v>
      </c>
      <c r="L654" s="616" t="s">
        <v>72</v>
      </c>
      <c r="M654" s="621"/>
      <c r="N654" s="621"/>
      <c r="O654" s="621"/>
      <c r="P654" s="602"/>
      <c r="Q654" s="622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</row>
    <row r="655" ht="22.5" customHeight="1">
      <c r="A655" s="614">
        <v>45672.0</v>
      </c>
      <c r="B655" s="626" t="s">
        <v>2218</v>
      </c>
      <c r="C655" s="609"/>
      <c r="D655" s="610">
        <v>1805.7</v>
      </c>
      <c r="E655" s="606"/>
      <c r="F655" s="627" t="s">
        <v>594</v>
      </c>
      <c r="G655" s="597">
        <v>0.0</v>
      </c>
      <c r="H655" s="598">
        <f t="shared" si="50"/>
        <v>0</v>
      </c>
      <c r="I655" s="599"/>
      <c r="J655" s="599"/>
      <c r="K655" s="615" t="s">
        <v>236</v>
      </c>
      <c r="L655" s="616" t="s">
        <v>72</v>
      </c>
      <c r="M655" s="621"/>
      <c r="N655" s="621"/>
      <c r="O655" s="621"/>
      <c r="P655" s="602"/>
      <c r="Q655" s="622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</row>
    <row r="656" ht="22.5" customHeight="1">
      <c r="A656" s="614">
        <v>45672.0</v>
      </c>
      <c r="B656" s="626" t="s">
        <v>2218</v>
      </c>
      <c r="C656" s="609"/>
      <c r="D656" s="609"/>
      <c r="E656" s="604" t="s">
        <v>33</v>
      </c>
      <c r="F656" s="627" t="s">
        <v>119</v>
      </c>
      <c r="G656" s="597">
        <v>0.0</v>
      </c>
      <c r="H656" s="598">
        <f t="shared" si="50"/>
        <v>0</v>
      </c>
      <c r="I656" s="599"/>
      <c r="J656" s="605">
        <v>50000.0</v>
      </c>
      <c r="K656" s="615" t="s">
        <v>591</v>
      </c>
      <c r="L656" s="616" t="s">
        <v>601</v>
      </c>
      <c r="M656" s="621"/>
      <c r="N656" s="621"/>
      <c r="O656" s="621"/>
      <c r="P656" s="602"/>
      <c r="Q656" s="622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</row>
    <row r="657" ht="22.5" customHeight="1">
      <c r="A657" s="614">
        <v>45672.0</v>
      </c>
      <c r="B657" s="626" t="s">
        <v>2218</v>
      </c>
      <c r="C657" s="609"/>
      <c r="D657" s="609"/>
      <c r="E657" s="604" t="s">
        <v>33</v>
      </c>
      <c r="F657" s="627" t="s">
        <v>594</v>
      </c>
      <c r="G657" s="597">
        <v>0.0</v>
      </c>
      <c r="H657" s="598">
        <f t="shared" si="50"/>
        <v>0</v>
      </c>
      <c r="I657" s="599"/>
      <c r="J657" s="599">
        <f>11728+8680</f>
        <v>20408</v>
      </c>
      <c r="K657" s="615" t="s">
        <v>1181</v>
      </c>
      <c r="L657" s="616" t="s">
        <v>602</v>
      </c>
      <c r="M657" s="621"/>
      <c r="N657" s="621"/>
      <c r="O657" s="621"/>
      <c r="P657" s="602"/>
      <c r="Q657" s="622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</row>
    <row r="658" ht="22.5" customHeight="1">
      <c r="A658" s="614">
        <v>45678.0</v>
      </c>
      <c r="B658" s="626" t="s">
        <v>2218</v>
      </c>
      <c r="C658" s="610">
        <v>3557999.76</v>
      </c>
      <c r="D658" s="609"/>
      <c r="E658" s="606"/>
      <c r="F658" s="627" t="s">
        <v>528</v>
      </c>
      <c r="G658" s="597">
        <v>20.0</v>
      </c>
      <c r="H658" s="598">
        <f t="shared" si="50"/>
        <v>592999.96</v>
      </c>
      <c r="I658" s="599"/>
      <c r="J658" s="599"/>
      <c r="K658" s="672" t="s">
        <v>51</v>
      </c>
      <c r="L658" s="616" t="s">
        <v>250</v>
      </c>
      <c r="M658" s="621"/>
      <c r="N658" s="612">
        <v>177.0</v>
      </c>
      <c r="O658" s="621"/>
      <c r="P658" s="602">
        <f t="shared" ref="P658:P661" si="55">A658-IF(O658&gt;0,O658,A658)</f>
        <v>0</v>
      </c>
      <c r="Q658" s="622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</row>
    <row r="659" ht="22.5" customHeight="1">
      <c r="A659" s="614">
        <v>45678.0</v>
      </c>
      <c r="B659" s="626" t="s">
        <v>2218</v>
      </c>
      <c r="C659" s="610">
        <v>4523077.02</v>
      </c>
      <c r="D659" s="609"/>
      <c r="E659" s="606"/>
      <c r="F659" s="627" t="s">
        <v>528</v>
      </c>
      <c r="G659" s="597">
        <v>20.0</v>
      </c>
      <c r="H659" s="598">
        <f t="shared" si="50"/>
        <v>753846.17</v>
      </c>
      <c r="I659" s="599"/>
      <c r="J659" s="599"/>
      <c r="K659" s="673" t="s">
        <v>51</v>
      </c>
      <c r="L659" s="616" t="s">
        <v>250</v>
      </c>
      <c r="M659" s="621"/>
      <c r="N659" s="612">
        <v>176.0</v>
      </c>
      <c r="O659" s="621"/>
      <c r="P659" s="602">
        <f t="shared" si="55"/>
        <v>0</v>
      </c>
      <c r="Q659" s="622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</row>
    <row r="660" ht="22.5" customHeight="1">
      <c r="A660" s="614">
        <v>45678.0</v>
      </c>
      <c r="B660" s="626" t="s">
        <v>2218</v>
      </c>
      <c r="C660" s="610">
        <v>360000.0</v>
      </c>
      <c r="D660" s="610"/>
      <c r="E660" s="606"/>
      <c r="F660" s="627" t="s">
        <v>119</v>
      </c>
      <c r="G660" s="597">
        <v>20.0</v>
      </c>
      <c r="H660" s="598">
        <f t="shared" si="50"/>
        <v>60000</v>
      </c>
      <c r="I660" s="599"/>
      <c r="J660" s="599"/>
      <c r="K660" s="674" t="s">
        <v>51</v>
      </c>
      <c r="L660" s="616" t="s">
        <v>315</v>
      </c>
      <c r="M660" s="621"/>
      <c r="N660" s="612">
        <v>20.0</v>
      </c>
      <c r="O660" s="662">
        <v>45672.0</v>
      </c>
      <c r="P660" s="602">
        <f t="shared" si="55"/>
        <v>6</v>
      </c>
      <c r="Q660" s="622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</row>
    <row r="661" ht="22.5" customHeight="1">
      <c r="A661" s="614">
        <v>45679.0</v>
      </c>
      <c r="B661" s="626" t="s">
        <v>2218</v>
      </c>
      <c r="C661" s="610">
        <v>210000.0</v>
      </c>
      <c r="D661" s="609"/>
      <c r="E661" s="606"/>
      <c r="F661" s="627" t="s">
        <v>528</v>
      </c>
      <c r="G661" s="597">
        <v>20.0</v>
      </c>
      <c r="H661" s="598">
        <f t="shared" si="50"/>
        <v>35000</v>
      </c>
      <c r="I661" s="599"/>
      <c r="J661" s="599"/>
      <c r="K661" s="615" t="s">
        <v>51</v>
      </c>
      <c r="L661" s="616" t="s">
        <v>473</v>
      </c>
      <c r="M661" s="621"/>
      <c r="N661" s="612">
        <v>179.0</v>
      </c>
      <c r="O661" s="621"/>
      <c r="P661" s="602">
        <f t="shared" si="55"/>
        <v>0</v>
      </c>
      <c r="Q661" s="622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</row>
    <row r="662" ht="22.5" customHeight="1">
      <c r="A662" s="614">
        <v>45679.0</v>
      </c>
      <c r="B662" s="626" t="s">
        <v>2218</v>
      </c>
      <c r="C662" s="609"/>
      <c r="D662" s="610">
        <v>7664369.77</v>
      </c>
      <c r="E662" s="606"/>
      <c r="F662" s="627" t="s">
        <v>528</v>
      </c>
      <c r="G662" s="597">
        <v>20.0</v>
      </c>
      <c r="H662" s="598">
        <f t="shared" si="50"/>
        <v>1277394.962</v>
      </c>
      <c r="I662" s="599"/>
      <c r="J662" s="599"/>
      <c r="K662" s="615" t="s">
        <v>101</v>
      </c>
      <c r="L662" s="616" t="s">
        <v>473</v>
      </c>
      <c r="M662" s="621"/>
      <c r="N662" s="621"/>
      <c r="O662" s="621"/>
      <c r="P662" s="602"/>
      <c r="Q662" s="622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</row>
    <row r="663" ht="22.5" customHeight="1">
      <c r="A663" s="614">
        <v>45679.0</v>
      </c>
      <c r="B663" s="626" t="s">
        <v>2218</v>
      </c>
      <c r="C663" s="666">
        <v>4800.0</v>
      </c>
      <c r="D663" s="609"/>
      <c r="E663" s="606"/>
      <c r="F663" s="627" t="s">
        <v>244</v>
      </c>
      <c r="G663" s="597">
        <v>20.0</v>
      </c>
      <c r="H663" s="598">
        <f t="shared" si="50"/>
        <v>800</v>
      </c>
      <c r="I663" s="599"/>
      <c r="J663" s="599"/>
      <c r="K663" s="615" t="s">
        <v>51</v>
      </c>
      <c r="L663" s="616" t="s">
        <v>611</v>
      </c>
      <c r="M663" s="621"/>
      <c r="N663" s="621"/>
      <c r="O663" s="621"/>
      <c r="P663" s="602">
        <f t="shared" ref="P663:P665" si="56">A663-IF(O663&gt;0,O663,A663)</f>
        <v>0</v>
      </c>
      <c r="Q663" s="622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</row>
    <row r="664" ht="22.5" customHeight="1">
      <c r="A664" s="614">
        <v>45679.0</v>
      </c>
      <c r="B664" s="626" t="s">
        <v>2218</v>
      </c>
      <c r="C664" s="610">
        <v>257341.8</v>
      </c>
      <c r="D664" s="609"/>
      <c r="E664" s="606"/>
      <c r="F664" s="627" t="s">
        <v>570</v>
      </c>
      <c r="G664" s="597">
        <v>20.0</v>
      </c>
      <c r="H664" s="598">
        <f t="shared" si="50"/>
        <v>42890.3</v>
      </c>
      <c r="I664" s="599"/>
      <c r="J664" s="599"/>
      <c r="K664" s="615" t="s">
        <v>51</v>
      </c>
      <c r="L664" s="616" t="s">
        <v>122</v>
      </c>
      <c r="M664" s="621"/>
      <c r="N664" s="612">
        <v>200.0</v>
      </c>
      <c r="O664" s="668">
        <v>45636.0</v>
      </c>
      <c r="P664" s="602">
        <f t="shared" si="56"/>
        <v>43</v>
      </c>
      <c r="Q664" s="622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</row>
    <row r="665" ht="22.5" customHeight="1">
      <c r="A665" s="614">
        <v>45679.0</v>
      </c>
      <c r="B665" s="626" t="s">
        <v>2218</v>
      </c>
      <c r="C665" s="610">
        <v>240000.0</v>
      </c>
      <c r="D665" s="609"/>
      <c r="E665" s="606"/>
      <c r="F665" s="627" t="s">
        <v>570</v>
      </c>
      <c r="G665" s="597">
        <v>20.0</v>
      </c>
      <c r="H665" s="598">
        <f t="shared" si="50"/>
        <v>40000</v>
      </c>
      <c r="I665" s="599"/>
      <c r="J665" s="599"/>
      <c r="K665" s="615" t="s">
        <v>51</v>
      </c>
      <c r="L665" s="616" t="s">
        <v>122</v>
      </c>
      <c r="M665" s="621"/>
      <c r="N665" s="612">
        <v>201.0</v>
      </c>
      <c r="O665" s="668">
        <v>45636.0</v>
      </c>
      <c r="P665" s="602">
        <f t="shared" si="56"/>
        <v>43</v>
      </c>
      <c r="Q665" s="622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</row>
    <row r="666" ht="22.5" customHeight="1">
      <c r="A666" s="614">
        <v>45679.0</v>
      </c>
      <c r="B666" s="626" t="s">
        <v>2218</v>
      </c>
      <c r="C666" s="609"/>
      <c r="D666" s="609"/>
      <c r="E666" s="604" t="s">
        <v>33</v>
      </c>
      <c r="F666" s="627" t="s">
        <v>594</v>
      </c>
      <c r="G666" s="597">
        <v>0.0</v>
      </c>
      <c r="H666" s="598">
        <f t="shared" si="50"/>
        <v>0</v>
      </c>
      <c r="I666" s="599"/>
      <c r="J666" s="605">
        <v>962525.0</v>
      </c>
      <c r="K666" s="615" t="s">
        <v>93</v>
      </c>
      <c r="L666" s="616" t="s">
        <v>612</v>
      </c>
      <c r="M666" s="621"/>
      <c r="N666" s="621"/>
      <c r="O666" s="621"/>
      <c r="P666" s="602"/>
      <c r="Q666" s="622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</row>
    <row r="667" ht="22.5" customHeight="1">
      <c r="A667" s="614">
        <v>45680.0</v>
      </c>
      <c r="B667" s="626" t="s">
        <v>2218</v>
      </c>
      <c r="C667" s="609"/>
      <c r="D667" s="609"/>
      <c r="E667" s="604" t="s">
        <v>33</v>
      </c>
      <c r="F667" s="627" t="s">
        <v>594</v>
      </c>
      <c r="G667" s="597">
        <v>0.0</v>
      </c>
      <c r="H667" s="598">
        <f t="shared" si="50"/>
        <v>0</v>
      </c>
      <c r="I667" s="599"/>
      <c r="J667" s="605">
        <v>100000.0</v>
      </c>
      <c r="K667" s="615" t="s">
        <v>494</v>
      </c>
      <c r="L667" s="616" t="s">
        <v>613</v>
      </c>
      <c r="M667" s="621"/>
      <c r="N667" s="621"/>
      <c r="O667" s="621"/>
      <c r="P667" s="602"/>
      <c r="Q667" s="622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</row>
    <row r="668" ht="22.5" customHeight="1">
      <c r="A668" s="614">
        <v>45680.0</v>
      </c>
      <c r="B668" s="626" t="s">
        <v>2218</v>
      </c>
      <c r="C668" s="609"/>
      <c r="D668" s="609"/>
      <c r="E668" s="604" t="s">
        <v>33</v>
      </c>
      <c r="F668" s="627" t="s">
        <v>594</v>
      </c>
      <c r="G668" s="597">
        <v>0.0</v>
      </c>
      <c r="H668" s="598">
        <f t="shared" si="50"/>
        <v>0</v>
      </c>
      <c r="I668" s="599"/>
      <c r="J668" s="605">
        <v>4650.0</v>
      </c>
      <c r="K668" s="615" t="s">
        <v>494</v>
      </c>
      <c r="L668" s="616" t="s">
        <v>614</v>
      </c>
      <c r="M668" s="621"/>
      <c r="N668" s="621"/>
      <c r="O668" s="621"/>
      <c r="P668" s="602"/>
      <c r="Q668" s="622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</row>
    <row r="669" ht="22.5" customHeight="1">
      <c r="A669" s="614">
        <v>45680.0</v>
      </c>
      <c r="B669" s="675" t="s">
        <v>2218</v>
      </c>
      <c r="C669" s="609"/>
      <c r="D669" s="610">
        <v>2400.0</v>
      </c>
      <c r="E669" s="606"/>
      <c r="F669" s="627" t="s">
        <v>594</v>
      </c>
      <c r="G669" s="597">
        <v>0.0</v>
      </c>
      <c r="H669" s="598">
        <f t="shared" si="50"/>
        <v>0</v>
      </c>
      <c r="I669" s="599"/>
      <c r="J669" s="599"/>
      <c r="K669" s="615" t="s">
        <v>294</v>
      </c>
      <c r="L669" s="616" t="s">
        <v>377</v>
      </c>
      <c r="M669" s="621"/>
      <c r="N669" s="621"/>
      <c r="O669" s="621"/>
      <c r="P669" s="602"/>
      <c r="Q669" s="622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</row>
    <row r="670" ht="22.5" customHeight="1">
      <c r="A670" s="614">
        <v>45681.0</v>
      </c>
      <c r="B670" s="626" t="s">
        <v>2218</v>
      </c>
      <c r="C670" s="609"/>
      <c r="D670" s="610">
        <v>396349.0</v>
      </c>
      <c r="E670" s="606"/>
      <c r="F670" s="627" t="s">
        <v>594</v>
      </c>
      <c r="G670" s="597">
        <v>0.0</v>
      </c>
      <c r="H670" s="598">
        <f t="shared" si="50"/>
        <v>0</v>
      </c>
      <c r="I670" s="599"/>
      <c r="J670" s="599"/>
      <c r="K670" s="615" t="s">
        <v>280</v>
      </c>
      <c r="L670" s="616" t="s">
        <v>615</v>
      </c>
      <c r="M670" s="621"/>
      <c r="N670" s="621"/>
      <c r="O670" s="621"/>
      <c r="P670" s="602"/>
      <c r="Q670" s="622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</row>
    <row r="671" ht="22.5" customHeight="1">
      <c r="A671" s="614">
        <v>45684.0</v>
      </c>
      <c r="B671" s="626" t="s">
        <v>2218</v>
      </c>
      <c r="C671" s="609"/>
      <c r="D671" s="610">
        <v>1200000.0</v>
      </c>
      <c r="E671" s="606"/>
      <c r="F671" s="627" t="s">
        <v>594</v>
      </c>
      <c r="G671" s="597">
        <v>20.0</v>
      </c>
      <c r="H671" s="598">
        <f t="shared" si="50"/>
        <v>200000</v>
      </c>
      <c r="I671" s="599"/>
      <c r="J671" s="599"/>
      <c r="K671" s="615" t="s">
        <v>2238</v>
      </c>
      <c r="L671" s="671" t="s">
        <v>228</v>
      </c>
      <c r="M671" s="621"/>
      <c r="N671" s="621"/>
      <c r="O671" s="621"/>
      <c r="P671" s="602"/>
      <c r="Q671" s="622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</row>
    <row r="672" ht="22.5" customHeight="1">
      <c r="A672" s="614">
        <v>45684.0</v>
      </c>
      <c r="B672" s="626" t="s">
        <v>2218</v>
      </c>
      <c r="C672" s="609"/>
      <c r="D672" s="609"/>
      <c r="E672" s="604" t="s">
        <v>33</v>
      </c>
      <c r="F672" s="627" t="s">
        <v>570</v>
      </c>
      <c r="G672" s="597">
        <v>0.0</v>
      </c>
      <c r="H672" s="598">
        <f t="shared" si="50"/>
        <v>0</v>
      </c>
      <c r="I672" s="599"/>
      <c r="J672" s="605">
        <v>1243010.0</v>
      </c>
      <c r="K672" s="615" t="s">
        <v>93</v>
      </c>
      <c r="L672" s="616" t="s">
        <v>593</v>
      </c>
      <c r="M672" s="621"/>
      <c r="N672" s="621"/>
      <c r="O672" s="621"/>
      <c r="P672" s="602"/>
      <c r="Q672" s="622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</row>
    <row r="673" ht="22.5" customHeight="1">
      <c r="A673" s="614">
        <v>45684.0</v>
      </c>
      <c r="B673" s="626" t="s">
        <v>2218</v>
      </c>
      <c r="C673" s="609"/>
      <c r="D673" s="609"/>
      <c r="E673" s="604" t="s">
        <v>33</v>
      </c>
      <c r="F673" s="627" t="s">
        <v>570</v>
      </c>
      <c r="G673" s="597">
        <v>0.0</v>
      </c>
      <c r="H673" s="598">
        <f t="shared" si="50"/>
        <v>0</v>
      </c>
      <c r="I673" s="599"/>
      <c r="J673" s="605">
        <v>315000.0</v>
      </c>
      <c r="K673" s="615" t="s">
        <v>93</v>
      </c>
      <c r="L673" s="616" t="s">
        <v>572</v>
      </c>
      <c r="M673" s="621"/>
      <c r="N673" s="621"/>
      <c r="O673" s="621"/>
      <c r="P673" s="602"/>
      <c r="Q673" s="622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</row>
    <row r="674" ht="22.5" customHeight="1">
      <c r="A674" s="614">
        <v>45684.0</v>
      </c>
      <c r="B674" s="626" t="s">
        <v>2218</v>
      </c>
      <c r="C674" s="609"/>
      <c r="D674" s="610">
        <v>95000.0</v>
      </c>
      <c r="E674" s="606"/>
      <c r="F674" s="627" t="s">
        <v>594</v>
      </c>
      <c r="G674" s="597">
        <v>0.0</v>
      </c>
      <c r="H674" s="598">
        <f t="shared" si="50"/>
        <v>0</v>
      </c>
      <c r="I674" s="599"/>
      <c r="J674" s="599"/>
      <c r="K674" s="615" t="s">
        <v>616</v>
      </c>
      <c r="L674" s="616" t="s">
        <v>371</v>
      </c>
      <c r="M674" s="621"/>
      <c r="N674" s="621"/>
      <c r="O674" s="621"/>
      <c r="P674" s="602"/>
      <c r="Q674" s="622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</row>
    <row r="675" ht="22.5" customHeight="1">
      <c r="A675" s="614">
        <v>45684.0</v>
      </c>
      <c r="B675" s="626" t="s">
        <v>2218</v>
      </c>
      <c r="C675" s="610">
        <v>425711.7</v>
      </c>
      <c r="D675" s="610"/>
      <c r="E675" s="606"/>
      <c r="F675" s="627" t="s">
        <v>119</v>
      </c>
      <c r="G675" s="597">
        <v>20.0</v>
      </c>
      <c r="H675" s="598">
        <f t="shared" si="50"/>
        <v>70951.95</v>
      </c>
      <c r="I675" s="599"/>
      <c r="J675" s="599"/>
      <c r="K675" s="615" t="s">
        <v>51</v>
      </c>
      <c r="L675" s="616" t="s">
        <v>122</v>
      </c>
      <c r="M675" s="621"/>
      <c r="N675" s="612">
        <v>8.0</v>
      </c>
      <c r="O675" s="662">
        <v>45667.0</v>
      </c>
      <c r="P675" s="602">
        <f t="shared" ref="P675:P676" si="57">A675-IF(O675&gt;0,O675,A675)</f>
        <v>17</v>
      </c>
      <c r="Q675" s="622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</row>
    <row r="676" ht="22.5" customHeight="1">
      <c r="A676" s="614">
        <v>45684.0</v>
      </c>
      <c r="B676" s="626" t="s">
        <v>2218</v>
      </c>
      <c r="C676" s="610">
        <v>432000.0</v>
      </c>
      <c r="D676" s="610"/>
      <c r="E676" s="606"/>
      <c r="F676" s="627" t="s">
        <v>119</v>
      </c>
      <c r="G676" s="597">
        <v>20.0</v>
      </c>
      <c r="H676" s="598">
        <f t="shared" si="50"/>
        <v>72000</v>
      </c>
      <c r="I676" s="599"/>
      <c r="J676" s="599"/>
      <c r="K676" s="615" t="s">
        <v>51</v>
      </c>
      <c r="L676" s="616" t="s">
        <v>122</v>
      </c>
      <c r="M676" s="621"/>
      <c r="N676" s="612">
        <v>9.0</v>
      </c>
      <c r="O676" s="662">
        <v>45667.0</v>
      </c>
      <c r="P676" s="602">
        <f t="shared" si="57"/>
        <v>17</v>
      </c>
      <c r="Q676" s="622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</row>
    <row r="677" ht="22.5" customHeight="1">
      <c r="A677" s="614">
        <v>45684.0</v>
      </c>
      <c r="B677" s="626" t="s">
        <v>2218</v>
      </c>
      <c r="C677" s="609"/>
      <c r="D677" s="610">
        <v>7647058.824</v>
      </c>
      <c r="E677" s="604" t="s">
        <v>28</v>
      </c>
      <c r="F677" s="627" t="s">
        <v>594</v>
      </c>
      <c r="G677" s="597">
        <v>20.0</v>
      </c>
      <c r="H677" s="598">
        <f t="shared" si="50"/>
        <v>1274509.804</v>
      </c>
      <c r="I677" s="605"/>
      <c r="J677" s="599"/>
      <c r="K677" s="615" t="s">
        <v>48</v>
      </c>
      <c r="L677" s="611"/>
      <c r="M677" s="621"/>
      <c r="N677" s="621"/>
      <c r="O677" s="621"/>
      <c r="P677" s="602"/>
      <c r="Q677" s="622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</row>
    <row r="678" ht="22.5" customHeight="1">
      <c r="A678" s="614">
        <v>45684.0</v>
      </c>
      <c r="B678" s="626" t="s">
        <v>2218</v>
      </c>
      <c r="C678" s="609"/>
      <c r="D678" s="609"/>
      <c r="E678" s="604" t="s">
        <v>33</v>
      </c>
      <c r="F678" s="627" t="s">
        <v>594</v>
      </c>
      <c r="G678" s="597">
        <v>0.0</v>
      </c>
      <c r="H678" s="598">
        <f t="shared" si="50"/>
        <v>0</v>
      </c>
      <c r="I678" s="605">
        <v>5850000.0</v>
      </c>
      <c r="J678" s="605"/>
      <c r="K678" s="615" t="s">
        <v>48</v>
      </c>
      <c r="L678" s="615"/>
      <c r="M678" s="621"/>
      <c r="N678" s="621"/>
      <c r="O678" s="621"/>
      <c r="P678" s="602"/>
      <c r="Q678" s="622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</row>
    <row r="679" ht="22.5" customHeight="1">
      <c r="A679" s="614">
        <v>45684.0</v>
      </c>
      <c r="B679" s="626" t="s">
        <v>2218</v>
      </c>
      <c r="C679" s="609"/>
      <c r="D679" s="609"/>
      <c r="E679" s="604" t="s">
        <v>33</v>
      </c>
      <c r="F679" s="627" t="s">
        <v>594</v>
      </c>
      <c r="G679" s="597">
        <v>0.0</v>
      </c>
      <c r="H679" s="598">
        <f t="shared" si="50"/>
        <v>0</v>
      </c>
      <c r="I679" s="599"/>
      <c r="J679" s="605">
        <v>50000.0</v>
      </c>
      <c r="K679" s="615" t="s">
        <v>591</v>
      </c>
      <c r="L679" s="616" t="s">
        <v>618</v>
      </c>
      <c r="M679" s="621"/>
      <c r="N679" s="621"/>
      <c r="O679" s="621"/>
      <c r="P679" s="602"/>
      <c r="Q679" s="622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</row>
    <row r="680" ht="22.5" customHeight="1">
      <c r="A680" s="614">
        <v>45684.0</v>
      </c>
      <c r="B680" s="626" t="s">
        <v>2218</v>
      </c>
      <c r="C680" s="610">
        <v>2111550.0</v>
      </c>
      <c r="D680" s="610"/>
      <c r="E680" s="606"/>
      <c r="F680" s="627" t="s">
        <v>619</v>
      </c>
      <c r="G680" s="597">
        <v>20.0</v>
      </c>
      <c r="H680" s="598">
        <f t="shared" si="50"/>
        <v>351925</v>
      </c>
      <c r="I680" s="599"/>
      <c r="J680" s="599"/>
      <c r="K680" s="615" t="s">
        <v>51</v>
      </c>
      <c r="L680" s="616" t="s">
        <v>317</v>
      </c>
      <c r="M680" s="621"/>
      <c r="N680" s="612">
        <v>3.0</v>
      </c>
      <c r="O680" s="662">
        <v>45666.0</v>
      </c>
      <c r="P680" s="602">
        <f>A680-IF(O680&gt;0,O680,A680)</f>
        <v>18</v>
      </c>
      <c r="Q680" s="622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</row>
    <row r="681" ht="22.5" customHeight="1">
      <c r="A681" s="614">
        <v>45684.0</v>
      </c>
      <c r="B681" s="626" t="s">
        <v>2218</v>
      </c>
      <c r="C681" s="609"/>
      <c r="D681" s="609"/>
      <c r="E681" s="604" t="s">
        <v>33</v>
      </c>
      <c r="F681" s="627" t="s">
        <v>594</v>
      </c>
      <c r="G681" s="597">
        <v>0.0</v>
      </c>
      <c r="H681" s="598">
        <f t="shared" si="50"/>
        <v>0</v>
      </c>
      <c r="I681" s="605"/>
      <c r="J681" s="605">
        <v>200000.0</v>
      </c>
      <c r="K681" s="615" t="s">
        <v>93</v>
      </c>
      <c r="L681" s="616" t="s">
        <v>620</v>
      </c>
      <c r="M681" s="621"/>
      <c r="N681" s="621"/>
      <c r="O681" s="621"/>
      <c r="P681" s="602"/>
      <c r="Q681" s="622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</row>
    <row r="682" ht="22.5" customHeight="1">
      <c r="A682" s="614">
        <v>45684.0</v>
      </c>
      <c r="B682" s="626" t="s">
        <v>2218</v>
      </c>
      <c r="C682" s="609"/>
      <c r="D682" s="609"/>
      <c r="E682" s="604" t="s">
        <v>33</v>
      </c>
      <c r="F682" s="627" t="s">
        <v>594</v>
      </c>
      <c r="G682" s="597">
        <v>0.0</v>
      </c>
      <c r="H682" s="598">
        <f t="shared" si="50"/>
        <v>0</v>
      </c>
      <c r="I682" s="599"/>
      <c r="J682" s="605">
        <v>40000.0</v>
      </c>
      <c r="K682" s="615" t="s">
        <v>591</v>
      </c>
      <c r="L682" s="616" t="s">
        <v>621</v>
      </c>
      <c r="M682" s="621"/>
      <c r="N682" s="621"/>
      <c r="O682" s="621"/>
      <c r="P682" s="602"/>
      <c r="Q682" s="622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</row>
    <row r="683" ht="22.5" customHeight="1">
      <c r="A683" s="614">
        <v>45684.0</v>
      </c>
      <c r="B683" s="626" t="s">
        <v>2218</v>
      </c>
      <c r="C683" s="609"/>
      <c r="D683" s="610">
        <v>158017.9</v>
      </c>
      <c r="E683" s="606"/>
      <c r="F683" s="627" t="s">
        <v>594</v>
      </c>
      <c r="G683" s="597">
        <v>0.0</v>
      </c>
      <c r="H683" s="598">
        <f t="shared" si="50"/>
        <v>0</v>
      </c>
      <c r="I683" s="599"/>
      <c r="J683" s="599"/>
      <c r="K683" s="615" t="s">
        <v>236</v>
      </c>
      <c r="L683" s="616" t="s">
        <v>72</v>
      </c>
      <c r="M683" s="621"/>
      <c r="N683" s="621"/>
      <c r="O683" s="621"/>
      <c r="P683" s="602"/>
      <c r="Q683" s="622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</row>
    <row r="684" ht="22.5" customHeight="1">
      <c r="A684" s="614">
        <v>45684.0</v>
      </c>
      <c r="B684" s="626" t="s">
        <v>2218</v>
      </c>
      <c r="C684" s="609"/>
      <c r="D684" s="610">
        <v>348681.0</v>
      </c>
      <c r="E684" s="606"/>
      <c r="F684" s="627" t="s">
        <v>594</v>
      </c>
      <c r="G684" s="597">
        <v>0.0</v>
      </c>
      <c r="H684" s="598">
        <f t="shared" si="50"/>
        <v>0</v>
      </c>
      <c r="I684" s="599"/>
      <c r="J684" s="599"/>
      <c r="K684" s="615" t="s">
        <v>236</v>
      </c>
      <c r="L684" s="616" t="s">
        <v>72</v>
      </c>
      <c r="M684" s="621"/>
      <c r="N684" s="621"/>
      <c r="O684" s="621"/>
      <c r="P684" s="602"/>
      <c r="Q684" s="622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</row>
    <row r="685" ht="22.5" customHeight="1">
      <c r="A685" s="614">
        <v>45684.0</v>
      </c>
      <c r="B685" s="626" t="s">
        <v>2218</v>
      </c>
      <c r="C685" s="609"/>
      <c r="D685" s="610">
        <v>1695166.0</v>
      </c>
      <c r="E685" s="606"/>
      <c r="F685" s="627" t="s">
        <v>594</v>
      </c>
      <c r="G685" s="597">
        <v>0.0</v>
      </c>
      <c r="H685" s="598">
        <f t="shared" si="50"/>
        <v>0</v>
      </c>
      <c r="I685" s="599"/>
      <c r="J685" s="599"/>
      <c r="K685" s="615" t="s">
        <v>236</v>
      </c>
      <c r="L685" s="616" t="s">
        <v>72</v>
      </c>
      <c r="M685" s="621"/>
      <c r="N685" s="621"/>
      <c r="O685" s="621"/>
      <c r="P685" s="602"/>
      <c r="Q685" s="622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</row>
    <row r="686" ht="22.5" customHeight="1">
      <c r="A686" s="614">
        <v>45685.0</v>
      </c>
      <c r="B686" s="626" t="s">
        <v>2218</v>
      </c>
      <c r="C686" s="610">
        <v>294666.5</v>
      </c>
      <c r="D686" s="609"/>
      <c r="E686" s="606"/>
      <c r="F686" s="627" t="s">
        <v>528</v>
      </c>
      <c r="G686" s="597">
        <v>20.0</v>
      </c>
      <c r="H686" s="598">
        <f t="shared" si="50"/>
        <v>49111.08333</v>
      </c>
      <c r="I686" s="599"/>
      <c r="J686" s="599"/>
      <c r="K686" s="615" t="s">
        <v>51</v>
      </c>
      <c r="L686" s="616" t="s">
        <v>549</v>
      </c>
      <c r="M686" s="621"/>
      <c r="N686" s="612">
        <v>178.0</v>
      </c>
      <c r="O686" s="621"/>
      <c r="P686" s="602">
        <f t="shared" ref="P686:P687" si="58">A686-IF(O686&gt;0,O686,A686)</f>
        <v>0</v>
      </c>
      <c r="Q686" s="622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</row>
    <row r="687" ht="22.5" customHeight="1">
      <c r="A687" s="614">
        <v>45685.0</v>
      </c>
      <c r="B687" s="626" t="s">
        <v>2218</v>
      </c>
      <c r="C687" s="610">
        <v>513000.0</v>
      </c>
      <c r="D687" s="609"/>
      <c r="E687" s="606"/>
      <c r="F687" s="627" t="s">
        <v>528</v>
      </c>
      <c r="G687" s="597">
        <v>20.0</v>
      </c>
      <c r="H687" s="598">
        <f t="shared" si="50"/>
        <v>85500</v>
      </c>
      <c r="I687" s="599"/>
      <c r="J687" s="599"/>
      <c r="K687" s="672" t="s">
        <v>51</v>
      </c>
      <c r="L687" s="616" t="s">
        <v>2229</v>
      </c>
      <c r="M687" s="612">
        <v>4.0</v>
      </c>
      <c r="N687" s="612">
        <v>188.0</v>
      </c>
      <c r="O687" s="621"/>
      <c r="P687" s="602">
        <f t="shared" si="58"/>
        <v>0</v>
      </c>
      <c r="Q687" s="622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</row>
    <row r="688" ht="22.5" customHeight="1">
      <c r="A688" s="614">
        <v>45685.0</v>
      </c>
      <c r="B688" s="626" t="s">
        <v>2218</v>
      </c>
      <c r="C688" s="610"/>
      <c r="D688" s="610">
        <v>360000.0</v>
      </c>
      <c r="E688" s="606"/>
      <c r="F688" s="627" t="s">
        <v>570</v>
      </c>
      <c r="G688" s="597">
        <v>20.0</v>
      </c>
      <c r="H688" s="598">
        <f t="shared" si="50"/>
        <v>60000</v>
      </c>
      <c r="I688" s="599"/>
      <c r="J688" s="599"/>
      <c r="K688" s="615" t="s">
        <v>322</v>
      </c>
      <c r="L688" s="616" t="s">
        <v>624</v>
      </c>
      <c r="M688" s="621"/>
      <c r="N688" s="612"/>
      <c r="O688" s="621"/>
      <c r="P688" s="602"/>
      <c r="Q688" s="622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</row>
    <row r="689" ht="22.5" customHeight="1">
      <c r="A689" s="614">
        <v>45686.0</v>
      </c>
      <c r="B689" s="626" t="s">
        <v>2218</v>
      </c>
      <c r="C689" s="610">
        <v>360000.06</v>
      </c>
      <c r="D689" s="609"/>
      <c r="E689" s="606"/>
      <c r="F689" s="627" t="s">
        <v>570</v>
      </c>
      <c r="G689" s="597">
        <v>20.0</v>
      </c>
      <c r="H689" s="598">
        <f t="shared" si="50"/>
        <v>60000.01</v>
      </c>
      <c r="I689" s="599"/>
      <c r="J689" s="599"/>
      <c r="K689" s="673" t="s">
        <v>51</v>
      </c>
      <c r="L689" s="616" t="s">
        <v>110</v>
      </c>
      <c r="M689" s="621"/>
      <c r="N689" s="612">
        <v>194.0</v>
      </c>
      <c r="O689" s="662">
        <v>45635.0</v>
      </c>
      <c r="P689" s="602">
        <f t="shared" ref="P689:P696" si="59">A689-IF(O689&gt;0,O689,A689)</f>
        <v>51</v>
      </c>
      <c r="Q689" s="622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</row>
    <row r="690" ht="22.5" customHeight="1">
      <c r="A690" s="614">
        <v>45686.0</v>
      </c>
      <c r="B690" s="626" t="s">
        <v>2218</v>
      </c>
      <c r="C690" s="610">
        <v>720000.12</v>
      </c>
      <c r="D690" s="609"/>
      <c r="E690" s="606"/>
      <c r="F690" s="627" t="s">
        <v>570</v>
      </c>
      <c r="G690" s="597">
        <v>20.0</v>
      </c>
      <c r="H690" s="598">
        <f t="shared" si="50"/>
        <v>120000.02</v>
      </c>
      <c r="I690" s="599"/>
      <c r="J690" s="599"/>
      <c r="K690" s="674" t="s">
        <v>51</v>
      </c>
      <c r="L690" s="616" t="s">
        <v>110</v>
      </c>
      <c r="M690" s="621"/>
      <c r="N690" s="612">
        <v>203.0</v>
      </c>
      <c r="O690" s="668">
        <v>45636.0</v>
      </c>
      <c r="P690" s="602">
        <f t="shared" si="59"/>
        <v>50</v>
      </c>
      <c r="Q690" s="622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</row>
    <row r="691" ht="22.5" customHeight="1">
      <c r="A691" s="614">
        <v>45686.0</v>
      </c>
      <c r="B691" s="626" t="s">
        <v>2218</v>
      </c>
      <c r="C691" s="610">
        <v>720000.12</v>
      </c>
      <c r="D691" s="609"/>
      <c r="E691" s="606"/>
      <c r="F691" s="627" t="s">
        <v>570</v>
      </c>
      <c r="G691" s="597">
        <v>20.0</v>
      </c>
      <c r="H691" s="598">
        <f t="shared" si="50"/>
        <v>120000.02</v>
      </c>
      <c r="I691" s="599"/>
      <c r="J691" s="599"/>
      <c r="K691" s="615" t="s">
        <v>51</v>
      </c>
      <c r="L691" s="616" t="s">
        <v>110</v>
      </c>
      <c r="M691" s="621"/>
      <c r="N691" s="612">
        <v>204.0</v>
      </c>
      <c r="O691" s="668">
        <v>45636.0</v>
      </c>
      <c r="P691" s="602">
        <f t="shared" si="59"/>
        <v>50</v>
      </c>
      <c r="Q691" s="622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</row>
    <row r="692" ht="22.5" customHeight="1">
      <c r="A692" s="614">
        <v>45686.0</v>
      </c>
      <c r="B692" s="626" t="s">
        <v>2218</v>
      </c>
      <c r="C692" s="610">
        <v>1752000.18</v>
      </c>
      <c r="D692" s="609"/>
      <c r="E692" s="606"/>
      <c r="F692" s="627" t="s">
        <v>570</v>
      </c>
      <c r="G692" s="597">
        <v>20.0</v>
      </c>
      <c r="H692" s="598">
        <f t="shared" si="50"/>
        <v>292000.03</v>
      </c>
      <c r="I692" s="599"/>
      <c r="J692" s="599"/>
      <c r="K692" s="615" t="s">
        <v>51</v>
      </c>
      <c r="L692" s="616" t="s">
        <v>110</v>
      </c>
      <c r="M692" s="621"/>
      <c r="N692" s="612">
        <v>205.0</v>
      </c>
      <c r="O692" s="668">
        <v>45636.0</v>
      </c>
      <c r="P692" s="602">
        <f t="shared" si="59"/>
        <v>50</v>
      </c>
      <c r="Q692" s="622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</row>
    <row r="693" ht="22.5" customHeight="1">
      <c r="A693" s="614">
        <v>45686.0</v>
      </c>
      <c r="B693" s="626" t="s">
        <v>2218</v>
      </c>
      <c r="C693" s="610">
        <v>1082958.3</v>
      </c>
      <c r="D693" s="609"/>
      <c r="E693" s="606"/>
      <c r="F693" s="627" t="s">
        <v>570</v>
      </c>
      <c r="G693" s="597">
        <v>20.0</v>
      </c>
      <c r="H693" s="598">
        <f t="shared" si="50"/>
        <v>180493.05</v>
      </c>
      <c r="I693" s="599"/>
      <c r="J693" s="599"/>
      <c r="K693" s="615" t="s">
        <v>51</v>
      </c>
      <c r="L693" s="616" t="s">
        <v>110</v>
      </c>
      <c r="M693" s="621"/>
      <c r="N693" s="612">
        <v>216.0</v>
      </c>
      <c r="O693" s="668">
        <v>45637.0</v>
      </c>
      <c r="P693" s="602">
        <f t="shared" si="59"/>
        <v>49</v>
      </c>
      <c r="Q693" s="622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</row>
    <row r="694" ht="22.5" customHeight="1">
      <c r="A694" s="614">
        <v>45687.0</v>
      </c>
      <c r="B694" s="626" t="s">
        <v>2218</v>
      </c>
      <c r="C694" s="610">
        <v>600000.24</v>
      </c>
      <c r="D694" s="610"/>
      <c r="E694" s="606"/>
      <c r="F694" s="627" t="s">
        <v>619</v>
      </c>
      <c r="G694" s="597">
        <v>20.0</v>
      </c>
      <c r="H694" s="598">
        <f t="shared" si="50"/>
        <v>100000.04</v>
      </c>
      <c r="I694" s="599"/>
      <c r="J694" s="599"/>
      <c r="K694" s="615" t="s">
        <v>51</v>
      </c>
      <c r="L694" s="616" t="s">
        <v>625</v>
      </c>
      <c r="M694" s="621"/>
      <c r="N694" s="612">
        <v>30.0</v>
      </c>
      <c r="O694" s="662">
        <v>45672.0</v>
      </c>
      <c r="P694" s="602">
        <f t="shared" si="59"/>
        <v>15</v>
      </c>
      <c r="Q694" s="622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</row>
    <row r="695" ht="22.5" customHeight="1">
      <c r="A695" s="614">
        <v>45687.0</v>
      </c>
      <c r="B695" s="626" t="s">
        <v>2218</v>
      </c>
      <c r="C695" s="610">
        <v>510491.52</v>
      </c>
      <c r="D695" s="610"/>
      <c r="E695" s="606"/>
      <c r="F695" s="627" t="s">
        <v>619</v>
      </c>
      <c r="G695" s="597">
        <v>20.0</v>
      </c>
      <c r="H695" s="598">
        <f t="shared" si="50"/>
        <v>85081.92</v>
      </c>
      <c r="I695" s="599"/>
      <c r="J695" s="599"/>
      <c r="K695" s="615" t="s">
        <v>51</v>
      </c>
      <c r="L695" s="616" t="s">
        <v>122</v>
      </c>
      <c r="M695" s="621"/>
      <c r="N695" s="612">
        <v>10.0</v>
      </c>
      <c r="O695" s="662">
        <v>45667.0</v>
      </c>
      <c r="P695" s="602">
        <f t="shared" si="59"/>
        <v>20</v>
      </c>
      <c r="Q695" s="622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</row>
    <row r="696" ht="22.5" customHeight="1">
      <c r="A696" s="614">
        <v>45688.0</v>
      </c>
      <c r="B696" s="626" t="s">
        <v>2218</v>
      </c>
      <c r="C696" s="610">
        <v>300000.0</v>
      </c>
      <c r="D696" s="609"/>
      <c r="E696" s="606"/>
      <c r="F696" s="627" t="s">
        <v>528</v>
      </c>
      <c r="G696" s="597">
        <v>20.0</v>
      </c>
      <c r="H696" s="598">
        <f t="shared" si="50"/>
        <v>50000</v>
      </c>
      <c r="I696" s="599"/>
      <c r="J696" s="599"/>
      <c r="K696" s="615" t="s">
        <v>51</v>
      </c>
      <c r="L696" s="616" t="s">
        <v>2228</v>
      </c>
      <c r="M696" s="612">
        <v>4.0</v>
      </c>
      <c r="N696" s="612">
        <v>189.0</v>
      </c>
      <c r="O696" s="621"/>
      <c r="P696" s="602">
        <f t="shared" si="59"/>
        <v>0</v>
      </c>
      <c r="Q696" s="622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</row>
    <row r="697" ht="22.5" customHeight="1">
      <c r="A697" s="614">
        <v>45691.0</v>
      </c>
      <c r="B697" s="626" t="s">
        <v>2218</v>
      </c>
      <c r="C697" s="609"/>
      <c r="D697" s="610">
        <v>13990.0</v>
      </c>
      <c r="E697" s="606"/>
      <c r="F697" s="627" t="s">
        <v>626</v>
      </c>
      <c r="G697" s="664"/>
      <c r="H697" s="665"/>
      <c r="I697" s="599"/>
      <c r="J697" s="599"/>
      <c r="K697" s="600" t="s">
        <v>30</v>
      </c>
      <c r="L697" s="601" t="s">
        <v>31</v>
      </c>
      <c r="M697" s="621"/>
      <c r="N697" s="621"/>
      <c r="O697" s="621"/>
      <c r="P697" s="602"/>
      <c r="Q697" s="622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</row>
    <row r="698" ht="22.5" customHeight="1">
      <c r="A698" s="614">
        <v>45693.0</v>
      </c>
      <c r="B698" s="626" t="s">
        <v>2218</v>
      </c>
      <c r="C698" s="610">
        <v>462000.0</v>
      </c>
      <c r="D698" s="609"/>
      <c r="E698" s="606"/>
      <c r="F698" s="627" t="s">
        <v>570</v>
      </c>
      <c r="G698" s="597">
        <v>20.0</v>
      </c>
      <c r="H698" s="598">
        <f t="shared" ref="H698:H700" si="60">SUM(C698:D698)*G698/(G698+100)</f>
        <v>77000</v>
      </c>
      <c r="I698" s="599"/>
      <c r="J698" s="599"/>
      <c r="K698" s="615" t="s">
        <v>51</v>
      </c>
      <c r="L698" s="616" t="s">
        <v>532</v>
      </c>
      <c r="M698" s="621"/>
      <c r="N698" s="612">
        <v>226.0</v>
      </c>
      <c r="O698" s="668">
        <v>45639.0</v>
      </c>
      <c r="P698" s="602">
        <f t="shared" ref="P698:P699" si="61">A698-IF(O698&gt;0,O698,A698)</f>
        <v>54</v>
      </c>
      <c r="Q698" s="622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</row>
    <row r="699" ht="22.5" customHeight="1">
      <c r="A699" s="614">
        <v>45693.0</v>
      </c>
      <c r="B699" s="626" t="s">
        <v>2218</v>
      </c>
      <c r="C699" s="610">
        <v>378000.0</v>
      </c>
      <c r="D699" s="609"/>
      <c r="E699" s="606"/>
      <c r="F699" s="627" t="s">
        <v>619</v>
      </c>
      <c r="G699" s="597">
        <v>20.0</v>
      </c>
      <c r="H699" s="598">
        <f t="shared" si="60"/>
        <v>63000</v>
      </c>
      <c r="I699" s="599"/>
      <c r="J699" s="599"/>
      <c r="K699" s="615" t="s">
        <v>51</v>
      </c>
      <c r="L699" s="616" t="s">
        <v>532</v>
      </c>
      <c r="M699" s="621"/>
      <c r="N699" s="612">
        <v>227.0</v>
      </c>
      <c r="O699" s="668">
        <v>45639.0</v>
      </c>
      <c r="P699" s="602">
        <f t="shared" si="61"/>
        <v>54</v>
      </c>
      <c r="Q699" s="622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</row>
    <row r="700" ht="22.5" customHeight="1">
      <c r="A700" s="614">
        <v>45693.0</v>
      </c>
      <c r="B700" s="626" t="s">
        <v>2218</v>
      </c>
      <c r="C700" s="609"/>
      <c r="D700" s="610">
        <v>1847765.51</v>
      </c>
      <c r="E700" s="606"/>
      <c r="F700" s="627" t="s">
        <v>619</v>
      </c>
      <c r="G700" s="597">
        <v>20.0</v>
      </c>
      <c r="H700" s="598">
        <f t="shared" si="60"/>
        <v>307960.9183</v>
      </c>
      <c r="I700" s="599"/>
      <c r="J700" s="599"/>
      <c r="K700" s="615" t="s">
        <v>2237</v>
      </c>
      <c r="L700" s="671" t="s">
        <v>228</v>
      </c>
      <c r="M700" s="621"/>
      <c r="N700" s="621"/>
      <c r="O700" s="621"/>
      <c r="P700" s="602"/>
      <c r="Q700" s="622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</row>
    <row r="701" ht="22.5" customHeight="1">
      <c r="A701" s="614">
        <v>45693.0</v>
      </c>
      <c r="B701" s="626" t="s">
        <v>2218</v>
      </c>
      <c r="C701" s="609"/>
      <c r="D701" s="610">
        <v>59226.0</v>
      </c>
      <c r="E701" s="606"/>
      <c r="F701" s="627" t="s">
        <v>236</v>
      </c>
      <c r="G701" s="664"/>
      <c r="H701" s="665"/>
      <c r="I701" s="599"/>
      <c r="J701" s="599"/>
      <c r="K701" s="615" t="s">
        <v>236</v>
      </c>
      <c r="L701" s="616" t="s">
        <v>72</v>
      </c>
      <c r="M701" s="621"/>
      <c r="N701" s="621"/>
      <c r="O701" s="621"/>
      <c r="P701" s="602"/>
      <c r="Q701" s="676" t="s">
        <v>209</v>
      </c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</row>
    <row r="702" ht="22.5" customHeight="1">
      <c r="A702" s="614">
        <v>45693.0</v>
      </c>
      <c r="B702" s="626" t="s">
        <v>2218</v>
      </c>
      <c r="C702" s="609"/>
      <c r="D702" s="609"/>
      <c r="E702" s="604" t="s">
        <v>33</v>
      </c>
      <c r="F702" s="627" t="s">
        <v>594</v>
      </c>
      <c r="G702" s="597">
        <v>0.0</v>
      </c>
      <c r="H702" s="598">
        <f t="shared" ref="H702:H919" si="62">SUM(C702:D702)*G702/(G702+100)</f>
        <v>0</v>
      </c>
      <c r="I702" s="599"/>
      <c r="J702" s="605">
        <v>815000.0</v>
      </c>
      <c r="K702" s="615" t="s">
        <v>591</v>
      </c>
      <c r="L702" s="616" t="s">
        <v>628</v>
      </c>
      <c r="M702" s="621"/>
      <c r="N702" s="621"/>
      <c r="O702" s="621"/>
      <c r="P702" s="602"/>
      <c r="Q702" s="622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</row>
    <row r="703" ht="22.5" customHeight="1">
      <c r="A703" s="614">
        <v>45693.0</v>
      </c>
      <c r="B703" s="626" t="s">
        <v>2218</v>
      </c>
      <c r="C703" s="609"/>
      <c r="D703" s="609"/>
      <c r="E703" s="604" t="s">
        <v>33</v>
      </c>
      <c r="F703" s="627" t="s">
        <v>626</v>
      </c>
      <c r="G703" s="597">
        <v>0.0</v>
      </c>
      <c r="H703" s="598">
        <f t="shared" si="62"/>
        <v>0</v>
      </c>
      <c r="I703" s="599"/>
      <c r="J703" s="605">
        <v>7510.0</v>
      </c>
      <c r="K703" s="615" t="s">
        <v>1181</v>
      </c>
      <c r="L703" s="616" t="s">
        <v>489</v>
      </c>
      <c r="M703" s="621"/>
      <c r="N703" s="621"/>
      <c r="O703" s="621"/>
      <c r="P703" s="602"/>
      <c r="Q703" s="622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</row>
    <row r="704" ht="22.5" customHeight="1">
      <c r="A704" s="614">
        <v>45694.0</v>
      </c>
      <c r="B704" s="626" t="s">
        <v>2218</v>
      </c>
      <c r="C704" s="610">
        <v>568799.7</v>
      </c>
      <c r="D704" s="609"/>
      <c r="E704" s="606"/>
      <c r="F704" s="627" t="s">
        <v>528</v>
      </c>
      <c r="G704" s="597">
        <v>20.0</v>
      </c>
      <c r="H704" s="598">
        <f t="shared" si="62"/>
        <v>94799.95</v>
      </c>
      <c r="I704" s="599"/>
      <c r="J704" s="599"/>
      <c r="K704" s="672" t="s">
        <v>51</v>
      </c>
      <c r="L704" s="616" t="s">
        <v>629</v>
      </c>
      <c r="M704" s="612">
        <v>1.0</v>
      </c>
      <c r="N704" s="612">
        <v>162.0</v>
      </c>
      <c r="O704" s="662">
        <v>45604.0</v>
      </c>
      <c r="P704" s="602">
        <f>A704-IF(O704&gt;0,O704,A704)</f>
        <v>90</v>
      </c>
      <c r="Q704" s="622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</row>
    <row r="705" ht="22.5" customHeight="1">
      <c r="A705" s="614">
        <v>45694.0</v>
      </c>
      <c r="B705" s="626" t="s">
        <v>2218</v>
      </c>
      <c r="C705" s="609"/>
      <c r="D705" s="610">
        <v>18158.59</v>
      </c>
      <c r="E705" s="606"/>
      <c r="F705" s="627" t="s">
        <v>570</v>
      </c>
      <c r="G705" s="597">
        <v>0.0</v>
      </c>
      <c r="H705" s="598">
        <f t="shared" si="62"/>
        <v>0</v>
      </c>
      <c r="I705" s="599"/>
      <c r="J705" s="599"/>
      <c r="K705" s="615" t="s">
        <v>2237</v>
      </c>
      <c r="L705" s="616" t="s">
        <v>630</v>
      </c>
      <c r="M705" s="621"/>
      <c r="N705" s="621"/>
      <c r="O705" s="621"/>
      <c r="P705" s="602"/>
      <c r="Q705" s="622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</row>
    <row r="706" ht="22.5" customHeight="1">
      <c r="A706" s="614">
        <v>45694.0</v>
      </c>
      <c r="B706" s="626" t="s">
        <v>2218</v>
      </c>
      <c r="C706" s="609"/>
      <c r="D706" s="610">
        <v>88521.8</v>
      </c>
      <c r="E706" s="606"/>
      <c r="F706" s="627" t="s">
        <v>570</v>
      </c>
      <c r="G706" s="597">
        <v>20.0</v>
      </c>
      <c r="H706" s="598">
        <f t="shared" si="62"/>
        <v>14753.63333</v>
      </c>
      <c r="I706" s="599"/>
      <c r="J706" s="599"/>
      <c r="K706" s="615" t="s">
        <v>101</v>
      </c>
      <c r="L706" s="670" t="s">
        <v>631</v>
      </c>
      <c r="M706" s="621"/>
      <c r="N706" s="621"/>
      <c r="O706" s="621"/>
      <c r="P706" s="602"/>
      <c r="Q706" s="622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</row>
    <row r="707" ht="22.5" customHeight="1">
      <c r="A707" s="614">
        <v>45694.0</v>
      </c>
      <c r="B707" s="626" t="s">
        <v>2218</v>
      </c>
      <c r="C707" s="609"/>
      <c r="D707" s="610">
        <v>127528.36</v>
      </c>
      <c r="E707" s="606"/>
      <c r="F707" s="627" t="s">
        <v>570</v>
      </c>
      <c r="G707" s="597">
        <v>20.0</v>
      </c>
      <c r="H707" s="598">
        <f t="shared" si="62"/>
        <v>21254.72667</v>
      </c>
      <c r="I707" s="599"/>
      <c r="J707" s="599"/>
      <c r="K707" s="615" t="s">
        <v>101</v>
      </c>
      <c r="L707" s="670" t="s">
        <v>632</v>
      </c>
      <c r="M707" s="621"/>
      <c r="N707" s="621"/>
      <c r="O707" s="621"/>
      <c r="P707" s="602"/>
      <c r="Q707" s="622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</row>
    <row r="708" ht="22.5" customHeight="1">
      <c r="A708" s="614">
        <v>45694.0</v>
      </c>
      <c r="B708" s="626" t="s">
        <v>2218</v>
      </c>
      <c r="C708" s="609"/>
      <c r="D708" s="610">
        <v>155790.34</v>
      </c>
      <c r="E708" s="606"/>
      <c r="F708" s="627" t="s">
        <v>619</v>
      </c>
      <c r="G708" s="597">
        <v>20.0</v>
      </c>
      <c r="H708" s="598">
        <f t="shared" si="62"/>
        <v>25965.05667</v>
      </c>
      <c r="I708" s="599"/>
      <c r="J708" s="599"/>
      <c r="K708" s="615" t="s">
        <v>2237</v>
      </c>
      <c r="L708" s="615" t="s">
        <v>509</v>
      </c>
      <c r="M708" s="621"/>
      <c r="N708" s="621"/>
      <c r="O708" s="621"/>
      <c r="P708" s="602"/>
      <c r="Q708" s="622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</row>
    <row r="709" ht="22.5" customHeight="1">
      <c r="A709" s="614">
        <v>45694.0</v>
      </c>
      <c r="B709" s="626" t="s">
        <v>2218</v>
      </c>
      <c r="C709" s="609"/>
      <c r="D709" s="610">
        <v>90000.0</v>
      </c>
      <c r="E709" s="606"/>
      <c r="F709" s="627" t="s">
        <v>570</v>
      </c>
      <c r="G709" s="597">
        <v>0.0</v>
      </c>
      <c r="H709" s="598">
        <f t="shared" si="62"/>
        <v>0</v>
      </c>
      <c r="I709" s="599"/>
      <c r="J709" s="599"/>
      <c r="K709" s="615" t="s">
        <v>286</v>
      </c>
      <c r="L709" s="616" t="s">
        <v>454</v>
      </c>
      <c r="M709" s="621"/>
      <c r="N709" s="621"/>
      <c r="O709" s="621"/>
      <c r="P709" s="602"/>
      <c r="Q709" s="622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</row>
    <row r="710" ht="22.5" customHeight="1">
      <c r="A710" s="614">
        <v>45695.0</v>
      </c>
      <c r="B710" s="626" t="s">
        <v>2218</v>
      </c>
      <c r="C710" s="609"/>
      <c r="D710" s="610">
        <v>5000.0</v>
      </c>
      <c r="E710" s="606"/>
      <c r="F710" s="627" t="s">
        <v>626</v>
      </c>
      <c r="G710" s="597">
        <v>20.0</v>
      </c>
      <c r="H710" s="598">
        <f t="shared" si="62"/>
        <v>833.3333333</v>
      </c>
      <c r="I710" s="599"/>
      <c r="J710" s="605"/>
      <c r="K710" s="615" t="s">
        <v>108</v>
      </c>
      <c r="L710" s="615" t="s">
        <v>633</v>
      </c>
      <c r="M710" s="621"/>
      <c r="N710" s="621"/>
      <c r="O710" s="621"/>
      <c r="P710" s="602"/>
      <c r="Q710" s="613" t="s">
        <v>634</v>
      </c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</row>
    <row r="711" ht="22.5" customHeight="1">
      <c r="A711" s="614">
        <v>45698.0</v>
      </c>
      <c r="B711" s="626" t="s">
        <v>2218</v>
      </c>
      <c r="C711" s="609"/>
      <c r="D711" s="609">
        <f>629838.47+40063+760.07</f>
        <v>670661.54</v>
      </c>
      <c r="E711" s="606"/>
      <c r="F711" s="627" t="s">
        <v>594</v>
      </c>
      <c r="G711" s="597">
        <v>0.0</v>
      </c>
      <c r="H711" s="598">
        <f t="shared" si="62"/>
        <v>0</v>
      </c>
      <c r="I711" s="599"/>
      <c r="J711" s="599"/>
      <c r="K711" s="615" t="s">
        <v>203</v>
      </c>
      <c r="L711" s="616" t="s">
        <v>635</v>
      </c>
      <c r="M711" s="621"/>
      <c r="N711" s="621"/>
      <c r="O711" s="621"/>
      <c r="P711" s="602"/>
      <c r="Q711" s="622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</row>
    <row r="712" ht="22.5" customHeight="1">
      <c r="A712" s="614">
        <v>45698.0</v>
      </c>
      <c r="B712" s="626" t="s">
        <v>2218</v>
      </c>
      <c r="C712" s="609"/>
      <c r="D712" s="677">
        <v>5200000.0</v>
      </c>
      <c r="E712" s="678"/>
      <c r="F712" s="627" t="s">
        <v>626</v>
      </c>
      <c r="G712" s="597">
        <v>0.0</v>
      </c>
      <c r="H712" s="598">
        <f t="shared" si="62"/>
        <v>0</v>
      </c>
      <c r="I712" s="599"/>
      <c r="J712" s="599"/>
      <c r="K712" s="615" t="s">
        <v>2239</v>
      </c>
      <c r="L712" s="611"/>
      <c r="M712" s="621"/>
      <c r="N712" s="621"/>
      <c r="O712" s="621"/>
      <c r="P712" s="602"/>
      <c r="Q712" s="622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</row>
    <row r="713" ht="22.5" customHeight="1">
      <c r="A713" s="614">
        <v>45698.0</v>
      </c>
      <c r="B713" s="626" t="s">
        <v>2218</v>
      </c>
      <c r="C713" s="609"/>
      <c r="D713" s="609"/>
      <c r="E713" s="604" t="s">
        <v>33</v>
      </c>
      <c r="F713" s="627" t="s">
        <v>626</v>
      </c>
      <c r="G713" s="597">
        <v>0.0</v>
      </c>
      <c r="H713" s="598">
        <f t="shared" si="62"/>
        <v>0</v>
      </c>
      <c r="I713" s="599"/>
      <c r="J713" s="605">
        <v>934300.0</v>
      </c>
      <c r="K713" s="615" t="s">
        <v>93</v>
      </c>
      <c r="L713" s="616" t="s">
        <v>637</v>
      </c>
      <c r="M713" s="621"/>
      <c r="N713" s="621"/>
      <c r="O713" s="621"/>
      <c r="P713" s="602"/>
      <c r="Q713" s="622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</row>
    <row r="714" ht="22.5" customHeight="1">
      <c r="A714" s="614">
        <v>45698.0</v>
      </c>
      <c r="B714" s="626" t="s">
        <v>2218</v>
      </c>
      <c r="C714" s="609"/>
      <c r="D714" s="609"/>
      <c r="E714" s="604" t="s">
        <v>33</v>
      </c>
      <c r="F714" s="627" t="s">
        <v>626</v>
      </c>
      <c r="G714" s="597">
        <v>0.0</v>
      </c>
      <c r="H714" s="598">
        <f t="shared" si="62"/>
        <v>0</v>
      </c>
      <c r="I714" s="599"/>
      <c r="J714" s="605">
        <v>50000.0</v>
      </c>
      <c r="K714" s="615" t="s">
        <v>591</v>
      </c>
      <c r="L714" s="616" t="s">
        <v>638</v>
      </c>
      <c r="M714" s="621"/>
      <c r="N714" s="621"/>
      <c r="O714" s="621"/>
      <c r="P714" s="602"/>
      <c r="Q714" s="622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</row>
    <row r="715" ht="22.5" customHeight="1">
      <c r="A715" s="614">
        <v>45698.0</v>
      </c>
      <c r="B715" s="626" t="s">
        <v>2218</v>
      </c>
      <c r="C715" s="609"/>
      <c r="D715" s="609"/>
      <c r="E715" s="604" t="s">
        <v>33</v>
      </c>
      <c r="F715" s="627" t="s">
        <v>626</v>
      </c>
      <c r="G715" s="597">
        <v>0.0</v>
      </c>
      <c r="H715" s="598">
        <f t="shared" si="62"/>
        <v>0</v>
      </c>
      <c r="I715" s="599"/>
      <c r="J715" s="605">
        <v>15000.0</v>
      </c>
      <c r="K715" s="615" t="s">
        <v>591</v>
      </c>
      <c r="L715" s="616" t="s">
        <v>639</v>
      </c>
      <c r="M715" s="621"/>
      <c r="N715" s="621"/>
      <c r="O715" s="621"/>
      <c r="P715" s="602"/>
      <c r="Q715" s="622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</row>
    <row r="716" ht="22.5" customHeight="1">
      <c r="A716" s="614">
        <v>45699.0</v>
      </c>
      <c r="B716" s="626" t="s">
        <v>2218</v>
      </c>
      <c r="C716" s="610">
        <v>1050000.0</v>
      </c>
      <c r="D716" s="610"/>
      <c r="E716" s="606"/>
      <c r="F716" s="627" t="s">
        <v>619</v>
      </c>
      <c r="G716" s="597">
        <v>20.0</v>
      </c>
      <c r="H716" s="598">
        <f t="shared" si="62"/>
        <v>175000</v>
      </c>
      <c r="I716" s="599"/>
      <c r="J716" s="599"/>
      <c r="K716" s="673" t="s">
        <v>51</v>
      </c>
      <c r="L716" s="616" t="s">
        <v>586</v>
      </c>
      <c r="M716" s="621"/>
      <c r="N716" s="612">
        <v>11.0</v>
      </c>
      <c r="O716" s="662">
        <v>45671.0</v>
      </c>
      <c r="P716" s="602">
        <f t="shared" ref="P716:P718" si="63">A716-IF(O716&gt;0,O716,A716)</f>
        <v>28</v>
      </c>
      <c r="Q716" s="622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</row>
    <row r="717" ht="22.5" customHeight="1">
      <c r="A717" s="614">
        <v>45699.0</v>
      </c>
      <c r="B717" s="626" t="s">
        <v>2218</v>
      </c>
      <c r="C717" s="610">
        <v>630000.0</v>
      </c>
      <c r="D717" s="610"/>
      <c r="E717" s="606"/>
      <c r="F717" s="627" t="s">
        <v>619</v>
      </c>
      <c r="G717" s="597">
        <v>20.0</v>
      </c>
      <c r="H717" s="598">
        <f t="shared" si="62"/>
        <v>105000</v>
      </c>
      <c r="I717" s="599"/>
      <c r="J717" s="599"/>
      <c r="K717" s="674" t="s">
        <v>51</v>
      </c>
      <c r="L717" s="616" t="s">
        <v>482</v>
      </c>
      <c r="M717" s="621"/>
      <c r="N717" s="612">
        <v>12.0</v>
      </c>
      <c r="O717" s="662">
        <v>45671.0</v>
      </c>
      <c r="P717" s="602">
        <f t="shared" si="63"/>
        <v>28</v>
      </c>
      <c r="Q717" s="622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</row>
    <row r="718" ht="22.5" customHeight="1">
      <c r="A718" s="614">
        <v>45699.0</v>
      </c>
      <c r="B718" s="626" t="s">
        <v>2218</v>
      </c>
      <c r="C718" s="610">
        <v>630000.0</v>
      </c>
      <c r="D718" s="610"/>
      <c r="E718" s="606"/>
      <c r="F718" s="627" t="s">
        <v>619</v>
      </c>
      <c r="G718" s="597">
        <v>20.0</v>
      </c>
      <c r="H718" s="598">
        <f t="shared" si="62"/>
        <v>105000</v>
      </c>
      <c r="I718" s="599"/>
      <c r="J718" s="599"/>
      <c r="K718" s="615" t="s">
        <v>51</v>
      </c>
      <c r="L718" s="616" t="s">
        <v>482</v>
      </c>
      <c r="M718" s="621"/>
      <c r="N718" s="612">
        <v>19.0</v>
      </c>
      <c r="O718" s="662">
        <v>45672.0</v>
      </c>
      <c r="P718" s="602">
        <f t="shared" si="63"/>
        <v>27</v>
      </c>
      <c r="Q718" s="622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</row>
    <row r="719" ht="22.5" customHeight="1">
      <c r="A719" s="614">
        <v>45700.0</v>
      </c>
      <c r="B719" s="626" t="s">
        <v>2218</v>
      </c>
      <c r="C719" s="609"/>
      <c r="D719" s="610">
        <v>57500.0</v>
      </c>
      <c r="E719" s="606"/>
      <c r="F719" s="627" t="s">
        <v>626</v>
      </c>
      <c r="G719" s="597">
        <v>0.0</v>
      </c>
      <c r="H719" s="598">
        <f t="shared" si="62"/>
        <v>0</v>
      </c>
      <c r="I719" s="599"/>
      <c r="J719" s="599"/>
      <c r="K719" s="615" t="s">
        <v>2240</v>
      </c>
      <c r="L719" s="615" t="s">
        <v>640</v>
      </c>
      <c r="M719" s="621"/>
      <c r="N719" s="621"/>
      <c r="O719" s="621"/>
      <c r="P719" s="602"/>
      <c r="Q719" s="622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</row>
    <row r="720" ht="22.5" customHeight="1">
      <c r="A720" s="614">
        <v>45701.0</v>
      </c>
      <c r="B720" s="626" t="s">
        <v>2218</v>
      </c>
      <c r="C720" s="610">
        <v>277200.06</v>
      </c>
      <c r="D720" s="609"/>
      <c r="E720" s="606"/>
      <c r="F720" s="627" t="s">
        <v>570</v>
      </c>
      <c r="G720" s="597">
        <v>20.0</v>
      </c>
      <c r="H720" s="598">
        <f t="shared" si="62"/>
        <v>46200.01</v>
      </c>
      <c r="I720" s="599"/>
      <c r="J720" s="599"/>
      <c r="K720" s="615" t="s">
        <v>51</v>
      </c>
      <c r="L720" s="616" t="s">
        <v>2229</v>
      </c>
      <c r="M720" s="621"/>
      <c r="N720" s="612">
        <v>221.0</v>
      </c>
      <c r="O720" s="668">
        <v>45638.0</v>
      </c>
      <c r="P720" s="602">
        <f t="shared" ref="P720:P727" si="64">A720-IF(O720&gt;0,O720,A720)</f>
        <v>63</v>
      </c>
      <c r="Q720" s="622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</row>
    <row r="721" ht="22.5" customHeight="1">
      <c r="A721" s="614">
        <v>45701.0</v>
      </c>
      <c r="B721" s="626" t="s">
        <v>2218</v>
      </c>
      <c r="C721" s="610">
        <v>432507.5</v>
      </c>
      <c r="D721" s="610"/>
      <c r="E721" s="606"/>
      <c r="F721" s="627" t="s">
        <v>619</v>
      </c>
      <c r="G721" s="597">
        <v>20.0</v>
      </c>
      <c r="H721" s="598">
        <f t="shared" si="62"/>
        <v>72084.58333</v>
      </c>
      <c r="I721" s="599"/>
      <c r="J721" s="599"/>
      <c r="K721" s="615" t="s">
        <v>51</v>
      </c>
      <c r="L721" s="616" t="s">
        <v>2236</v>
      </c>
      <c r="M721" s="621"/>
      <c r="N721" s="612">
        <v>1.0</v>
      </c>
      <c r="O721" s="662">
        <v>45666.0</v>
      </c>
      <c r="P721" s="602">
        <f t="shared" si="64"/>
        <v>35</v>
      </c>
      <c r="Q721" s="622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</row>
    <row r="722" ht="22.5" customHeight="1">
      <c r="A722" s="614">
        <v>45701.0</v>
      </c>
      <c r="B722" s="626" t="s">
        <v>2218</v>
      </c>
      <c r="C722" s="610">
        <v>2400000.0</v>
      </c>
      <c r="D722" s="610"/>
      <c r="E722" s="606"/>
      <c r="F722" s="627" t="s">
        <v>619</v>
      </c>
      <c r="G722" s="597">
        <v>20.0</v>
      </c>
      <c r="H722" s="598">
        <f t="shared" si="62"/>
        <v>400000</v>
      </c>
      <c r="I722" s="599"/>
      <c r="J722" s="599"/>
      <c r="K722" s="615" t="s">
        <v>51</v>
      </c>
      <c r="L722" s="616" t="s">
        <v>2241</v>
      </c>
      <c r="M722" s="621"/>
      <c r="N722" s="612">
        <v>21.0</v>
      </c>
      <c r="O722" s="662">
        <v>45672.0</v>
      </c>
      <c r="P722" s="602">
        <f t="shared" si="64"/>
        <v>29</v>
      </c>
      <c r="Q722" s="622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</row>
    <row r="723" ht="22.5" customHeight="1">
      <c r="A723" s="614">
        <v>45701.0</v>
      </c>
      <c r="B723" s="626" t="s">
        <v>2218</v>
      </c>
      <c r="C723" s="610">
        <v>600180.0</v>
      </c>
      <c r="D723" s="610"/>
      <c r="E723" s="606"/>
      <c r="F723" s="627" t="s">
        <v>619</v>
      </c>
      <c r="G723" s="597">
        <v>20.0</v>
      </c>
      <c r="H723" s="598">
        <f t="shared" si="62"/>
        <v>100030</v>
      </c>
      <c r="I723" s="599"/>
      <c r="J723" s="599"/>
      <c r="K723" s="615" t="s">
        <v>51</v>
      </c>
      <c r="L723" s="616" t="s">
        <v>2241</v>
      </c>
      <c r="M723" s="621"/>
      <c r="N723" s="612">
        <v>22.0</v>
      </c>
      <c r="O723" s="662">
        <v>45672.0</v>
      </c>
      <c r="P723" s="602">
        <f t="shared" si="64"/>
        <v>29</v>
      </c>
      <c r="Q723" s="622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</row>
    <row r="724" ht="22.5" customHeight="1">
      <c r="A724" s="614">
        <v>45701.0</v>
      </c>
      <c r="B724" s="626" t="s">
        <v>2218</v>
      </c>
      <c r="C724" s="610">
        <v>600180.0</v>
      </c>
      <c r="D724" s="610"/>
      <c r="E724" s="606"/>
      <c r="F724" s="627" t="s">
        <v>619</v>
      </c>
      <c r="G724" s="597">
        <v>20.0</v>
      </c>
      <c r="H724" s="598">
        <f t="shared" si="62"/>
        <v>100030</v>
      </c>
      <c r="I724" s="599"/>
      <c r="J724" s="599"/>
      <c r="K724" s="615" t="s">
        <v>51</v>
      </c>
      <c r="L724" s="616" t="s">
        <v>2241</v>
      </c>
      <c r="M724" s="621"/>
      <c r="N724" s="612">
        <v>23.0</v>
      </c>
      <c r="O724" s="662">
        <v>45672.0</v>
      </c>
      <c r="P724" s="602">
        <f t="shared" si="64"/>
        <v>29</v>
      </c>
      <c r="Q724" s="622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</row>
    <row r="725" ht="22.5" customHeight="1">
      <c r="A725" s="614">
        <v>45701.0</v>
      </c>
      <c r="B725" s="626" t="s">
        <v>2218</v>
      </c>
      <c r="C725" s="610">
        <v>600000.24</v>
      </c>
      <c r="D725" s="610"/>
      <c r="E725" s="606"/>
      <c r="F725" s="627" t="s">
        <v>619</v>
      </c>
      <c r="G725" s="597">
        <v>20.0</v>
      </c>
      <c r="H725" s="598">
        <f t="shared" si="62"/>
        <v>100000.04</v>
      </c>
      <c r="I725" s="599"/>
      <c r="J725" s="599"/>
      <c r="K725" s="615" t="s">
        <v>51</v>
      </c>
      <c r="L725" s="616" t="s">
        <v>2241</v>
      </c>
      <c r="M725" s="621"/>
      <c r="N725" s="612">
        <v>24.0</v>
      </c>
      <c r="O725" s="662">
        <v>45672.0</v>
      </c>
      <c r="P725" s="602">
        <f t="shared" si="64"/>
        <v>29</v>
      </c>
      <c r="Q725" s="622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</row>
    <row r="726" ht="22.5" customHeight="1">
      <c r="A726" s="614">
        <v>45701.0</v>
      </c>
      <c r="B726" s="626" t="s">
        <v>2218</v>
      </c>
      <c r="C726" s="610">
        <v>257280.24</v>
      </c>
      <c r="D726" s="610"/>
      <c r="E726" s="606"/>
      <c r="F726" s="627" t="s">
        <v>619</v>
      </c>
      <c r="G726" s="597">
        <v>20.0</v>
      </c>
      <c r="H726" s="598">
        <f t="shared" si="62"/>
        <v>42880.04</v>
      </c>
      <c r="I726" s="599"/>
      <c r="J726" s="599"/>
      <c r="K726" s="615" t="s">
        <v>51</v>
      </c>
      <c r="L726" s="616" t="s">
        <v>2241</v>
      </c>
      <c r="M726" s="621"/>
      <c r="N726" s="612">
        <v>25.0</v>
      </c>
      <c r="O726" s="662">
        <v>45672.0</v>
      </c>
      <c r="P726" s="602">
        <f t="shared" si="64"/>
        <v>29</v>
      </c>
      <c r="Q726" s="622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</row>
    <row r="727" ht="22.5" customHeight="1">
      <c r="A727" s="614">
        <v>45701.0</v>
      </c>
      <c r="B727" s="626" t="s">
        <v>2218</v>
      </c>
      <c r="C727" s="610">
        <v>36000.0</v>
      </c>
      <c r="D727" s="610"/>
      <c r="E727" s="606"/>
      <c r="F727" s="627" t="s">
        <v>619</v>
      </c>
      <c r="G727" s="597">
        <v>20.0</v>
      </c>
      <c r="H727" s="598">
        <f t="shared" si="62"/>
        <v>6000</v>
      </c>
      <c r="I727" s="599"/>
      <c r="J727" s="599"/>
      <c r="K727" s="672" t="s">
        <v>51</v>
      </c>
      <c r="L727" s="616" t="s">
        <v>2241</v>
      </c>
      <c r="M727" s="621"/>
      <c r="N727" s="612">
        <v>27.0</v>
      </c>
      <c r="O727" s="662">
        <v>45672.0</v>
      </c>
      <c r="P727" s="602">
        <f t="shared" si="64"/>
        <v>29</v>
      </c>
      <c r="Q727" s="622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</row>
    <row r="728" ht="22.5" customHeight="1">
      <c r="A728" s="614">
        <v>45703.0</v>
      </c>
      <c r="B728" s="626" t="s">
        <v>2218</v>
      </c>
      <c r="C728" s="609"/>
      <c r="D728" s="609"/>
      <c r="E728" s="604" t="s">
        <v>33</v>
      </c>
      <c r="F728" s="627" t="s">
        <v>626</v>
      </c>
      <c r="G728" s="597">
        <v>0.0</v>
      </c>
      <c r="H728" s="598">
        <f t="shared" si="62"/>
        <v>0</v>
      </c>
      <c r="I728" s="599"/>
      <c r="J728" s="605">
        <v>642500.0</v>
      </c>
      <c r="K728" s="615" t="s">
        <v>494</v>
      </c>
      <c r="L728" s="615" t="s">
        <v>642</v>
      </c>
      <c r="M728" s="621"/>
      <c r="N728" s="621"/>
      <c r="O728" s="621"/>
      <c r="P728" s="602"/>
      <c r="Q728" s="622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</row>
    <row r="729" ht="22.5" customHeight="1">
      <c r="A729" s="614">
        <v>45705.0</v>
      </c>
      <c r="B729" s="626" t="s">
        <v>2218</v>
      </c>
      <c r="C729" s="609"/>
      <c r="D729" s="610">
        <v>1104389.59</v>
      </c>
      <c r="E729" s="606"/>
      <c r="F729" s="627" t="s">
        <v>570</v>
      </c>
      <c r="G729" s="597">
        <v>20.0</v>
      </c>
      <c r="H729" s="598">
        <f t="shared" si="62"/>
        <v>184064.9317</v>
      </c>
      <c r="I729" s="599"/>
      <c r="J729" s="599"/>
      <c r="K729" s="615" t="s">
        <v>101</v>
      </c>
      <c r="L729" s="670" t="s">
        <v>597</v>
      </c>
      <c r="M729" s="621"/>
      <c r="N729" s="621"/>
      <c r="O729" s="621"/>
      <c r="P729" s="602"/>
      <c r="Q729" s="622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</row>
    <row r="730" ht="22.5" customHeight="1">
      <c r="A730" s="614">
        <v>45705.0</v>
      </c>
      <c r="B730" s="626" t="s">
        <v>2218</v>
      </c>
      <c r="C730" s="609"/>
      <c r="D730" s="610">
        <v>126570.9</v>
      </c>
      <c r="E730" s="606"/>
      <c r="F730" s="627" t="s">
        <v>570</v>
      </c>
      <c r="G730" s="597">
        <v>20.0</v>
      </c>
      <c r="H730" s="598">
        <f t="shared" si="62"/>
        <v>21095.15</v>
      </c>
      <c r="I730" s="599"/>
      <c r="J730" s="599"/>
      <c r="K730" s="615" t="s">
        <v>101</v>
      </c>
      <c r="L730" s="670" t="s">
        <v>643</v>
      </c>
      <c r="M730" s="621"/>
      <c r="N730" s="621"/>
      <c r="O730" s="621"/>
      <c r="P730" s="602"/>
      <c r="Q730" s="622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</row>
    <row r="731" ht="22.5" customHeight="1">
      <c r="A731" s="614">
        <v>45706.0</v>
      </c>
      <c r="B731" s="626" t="s">
        <v>2218</v>
      </c>
      <c r="C731" s="609"/>
      <c r="D731" s="609"/>
      <c r="E731" s="604" t="s">
        <v>33</v>
      </c>
      <c r="F731" s="627" t="s">
        <v>626</v>
      </c>
      <c r="G731" s="597">
        <v>0.0</v>
      </c>
      <c r="H731" s="598">
        <f t="shared" si="62"/>
        <v>0</v>
      </c>
      <c r="I731" s="599"/>
      <c r="J731" s="605">
        <v>50000.0</v>
      </c>
      <c r="K731" s="615" t="s">
        <v>591</v>
      </c>
      <c r="L731" s="616" t="s">
        <v>639</v>
      </c>
      <c r="M731" s="621"/>
      <c r="N731" s="621"/>
      <c r="O731" s="621"/>
      <c r="P731" s="602"/>
      <c r="Q731" s="622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</row>
    <row r="732" ht="22.5" customHeight="1">
      <c r="A732" s="614">
        <v>45706.0</v>
      </c>
      <c r="B732" s="626" t="s">
        <v>2218</v>
      </c>
      <c r="C732" s="609"/>
      <c r="D732" s="609"/>
      <c r="E732" s="604" t="s">
        <v>33</v>
      </c>
      <c r="F732" s="627" t="s">
        <v>626</v>
      </c>
      <c r="G732" s="597">
        <v>0.0</v>
      </c>
      <c r="H732" s="598">
        <f t="shared" si="62"/>
        <v>0</v>
      </c>
      <c r="I732" s="599"/>
      <c r="J732" s="605">
        <v>16700.0</v>
      </c>
      <c r="K732" s="615" t="s">
        <v>494</v>
      </c>
      <c r="L732" s="616" t="s">
        <v>644</v>
      </c>
      <c r="M732" s="621"/>
      <c r="N732" s="621"/>
      <c r="O732" s="621"/>
      <c r="P732" s="602"/>
      <c r="Q732" s="622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</row>
    <row r="733" ht="22.5" customHeight="1">
      <c r="A733" s="614">
        <v>45708.0</v>
      </c>
      <c r="B733" s="626" t="s">
        <v>2218</v>
      </c>
      <c r="C733" s="609"/>
      <c r="D733" s="610">
        <v>18254.92</v>
      </c>
      <c r="E733" s="606"/>
      <c r="F733" s="627" t="s">
        <v>619</v>
      </c>
      <c r="G733" s="597">
        <v>20.0</v>
      </c>
      <c r="H733" s="598">
        <f t="shared" si="62"/>
        <v>3042.486667</v>
      </c>
      <c r="I733" s="599"/>
      <c r="J733" s="599"/>
      <c r="K733" s="615" t="s">
        <v>44</v>
      </c>
      <c r="L733" s="616" t="s">
        <v>2226</v>
      </c>
      <c r="M733" s="621"/>
      <c r="N733" s="621"/>
      <c r="O733" s="621"/>
      <c r="P733" s="602"/>
      <c r="Q733" s="622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</row>
    <row r="734" ht="22.5" customHeight="1">
      <c r="A734" s="614">
        <v>45708.0</v>
      </c>
      <c r="B734" s="626" t="s">
        <v>2218</v>
      </c>
      <c r="C734" s="610">
        <v>1799999.98</v>
      </c>
      <c r="D734" s="610"/>
      <c r="E734" s="606"/>
      <c r="F734" s="627" t="s">
        <v>619</v>
      </c>
      <c r="G734" s="597">
        <v>20.0</v>
      </c>
      <c r="H734" s="598">
        <f t="shared" si="62"/>
        <v>299999.9967</v>
      </c>
      <c r="I734" s="599"/>
      <c r="J734" s="599"/>
      <c r="K734" s="673" t="s">
        <v>51</v>
      </c>
      <c r="L734" s="616" t="s">
        <v>645</v>
      </c>
      <c r="M734" s="621"/>
      <c r="N734" s="612">
        <v>31.0</v>
      </c>
      <c r="O734" s="662">
        <v>45672.0</v>
      </c>
      <c r="P734" s="602">
        <f>A734-IF(O734&gt;0,O734,A734)</f>
        <v>36</v>
      </c>
      <c r="Q734" s="622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</row>
    <row r="735" ht="22.5" customHeight="1">
      <c r="A735" s="614">
        <v>45708.0</v>
      </c>
      <c r="B735" s="626" t="s">
        <v>2218</v>
      </c>
      <c r="C735" s="609"/>
      <c r="D735" s="610">
        <v>528780.0</v>
      </c>
      <c r="E735" s="606"/>
      <c r="F735" s="627" t="s">
        <v>619</v>
      </c>
      <c r="G735" s="597">
        <v>0.0</v>
      </c>
      <c r="H735" s="598">
        <f t="shared" si="62"/>
        <v>0</v>
      </c>
      <c r="I735" s="599"/>
      <c r="J735" s="599"/>
      <c r="K735" s="615" t="s">
        <v>93</v>
      </c>
      <c r="L735" s="679" t="s">
        <v>516</v>
      </c>
      <c r="M735" s="621"/>
      <c r="N735" s="621"/>
      <c r="O735" s="621"/>
      <c r="P735" s="602"/>
      <c r="Q735" s="622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</row>
    <row r="736" ht="22.5" customHeight="1">
      <c r="A736" s="614">
        <v>45708.0</v>
      </c>
      <c r="B736" s="626" t="s">
        <v>2218</v>
      </c>
      <c r="C736" s="609"/>
      <c r="D736" s="610">
        <v>2100.0</v>
      </c>
      <c r="E736" s="606"/>
      <c r="F736" s="627" t="s">
        <v>626</v>
      </c>
      <c r="G736" s="597">
        <v>20.0</v>
      </c>
      <c r="H736" s="598">
        <f t="shared" si="62"/>
        <v>350</v>
      </c>
      <c r="I736" s="599"/>
      <c r="J736" s="599"/>
      <c r="K736" s="615" t="s">
        <v>2240</v>
      </c>
      <c r="L736" s="616" t="s">
        <v>646</v>
      </c>
      <c r="M736" s="621"/>
      <c r="N736" s="621"/>
      <c r="O736" s="621"/>
      <c r="P736" s="602"/>
      <c r="Q736" s="613" t="s">
        <v>647</v>
      </c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</row>
    <row r="737" ht="22.5" customHeight="1">
      <c r="A737" s="614">
        <v>45708.0</v>
      </c>
      <c r="B737" s="626" t="s">
        <v>2218</v>
      </c>
      <c r="C737" s="609"/>
      <c r="D737" s="610">
        <v>83185.2</v>
      </c>
      <c r="E737" s="606"/>
      <c r="F737" s="627" t="s">
        <v>626</v>
      </c>
      <c r="G737" s="597">
        <v>20.0</v>
      </c>
      <c r="H737" s="598">
        <f t="shared" si="62"/>
        <v>13864.2</v>
      </c>
      <c r="I737" s="599"/>
      <c r="J737" s="599"/>
      <c r="K737" s="615" t="s">
        <v>108</v>
      </c>
      <c r="L737" s="616" t="s">
        <v>648</v>
      </c>
      <c r="M737" s="621"/>
      <c r="N737" s="621"/>
      <c r="O737" s="621"/>
      <c r="P737" s="602"/>
      <c r="Q737" s="613" t="s">
        <v>649</v>
      </c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</row>
    <row r="738" ht="22.5" customHeight="1">
      <c r="A738" s="614">
        <v>45709.0</v>
      </c>
      <c r="B738" s="626" t="s">
        <v>2218</v>
      </c>
      <c r="C738" s="609"/>
      <c r="D738" s="610">
        <v>400043.0</v>
      </c>
      <c r="E738" s="606"/>
      <c r="F738" s="627" t="s">
        <v>626</v>
      </c>
      <c r="G738" s="597">
        <v>5.0</v>
      </c>
      <c r="H738" s="598">
        <f t="shared" si="62"/>
        <v>19049.66667</v>
      </c>
      <c r="I738" s="599"/>
      <c r="J738" s="599"/>
      <c r="K738" s="615" t="s">
        <v>2240</v>
      </c>
      <c r="L738" s="616" t="s">
        <v>650</v>
      </c>
      <c r="M738" s="621"/>
      <c r="N738" s="621"/>
      <c r="O738" s="621"/>
      <c r="P738" s="602"/>
      <c r="Q738" s="622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</row>
    <row r="739" ht="22.5" customHeight="1">
      <c r="A739" s="614">
        <v>45709.0</v>
      </c>
      <c r="B739" s="626" t="s">
        <v>2218</v>
      </c>
      <c r="C739" s="609"/>
      <c r="D739" s="610">
        <v>61040.0</v>
      </c>
      <c r="E739" s="606"/>
      <c r="F739" s="627" t="s">
        <v>626</v>
      </c>
      <c r="G739" s="597">
        <v>20.0</v>
      </c>
      <c r="H739" s="598">
        <f t="shared" si="62"/>
        <v>10173.33333</v>
      </c>
      <c r="I739" s="599"/>
      <c r="J739" s="599"/>
      <c r="K739" s="615" t="s">
        <v>2240</v>
      </c>
      <c r="L739" s="616" t="s">
        <v>651</v>
      </c>
      <c r="M739" s="621"/>
      <c r="N739" s="621"/>
      <c r="O739" s="621"/>
      <c r="P739" s="602"/>
      <c r="Q739" s="622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</row>
    <row r="740" ht="22.5" customHeight="1">
      <c r="A740" s="614">
        <v>45709.0</v>
      </c>
      <c r="B740" s="626" t="s">
        <v>2218</v>
      </c>
      <c r="C740" s="609"/>
      <c r="D740" s="609"/>
      <c r="E740" s="604" t="s">
        <v>33</v>
      </c>
      <c r="F740" s="627" t="s">
        <v>626</v>
      </c>
      <c r="G740" s="597">
        <v>0.0</v>
      </c>
      <c r="H740" s="598">
        <f t="shared" si="62"/>
        <v>0</v>
      </c>
      <c r="I740" s="599"/>
      <c r="J740" s="605">
        <v>495000.0</v>
      </c>
      <c r="K740" s="615" t="s">
        <v>108</v>
      </c>
      <c r="L740" s="616" t="s">
        <v>652</v>
      </c>
      <c r="M740" s="621"/>
      <c r="N740" s="621"/>
      <c r="O740" s="621"/>
      <c r="P740" s="602"/>
      <c r="Q740" s="622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</row>
    <row r="741" ht="22.5" customHeight="1">
      <c r="A741" s="614">
        <v>45711.0</v>
      </c>
      <c r="B741" s="675" t="s">
        <v>2218</v>
      </c>
      <c r="C741" s="609"/>
      <c r="D741" s="610">
        <v>2400.0</v>
      </c>
      <c r="E741" s="606"/>
      <c r="F741" s="627" t="s">
        <v>626</v>
      </c>
      <c r="G741" s="597">
        <v>0.0</v>
      </c>
      <c r="H741" s="598">
        <f t="shared" si="62"/>
        <v>0</v>
      </c>
      <c r="I741" s="599"/>
      <c r="J741" s="599"/>
      <c r="K741" s="615" t="s">
        <v>294</v>
      </c>
      <c r="L741" s="616" t="s">
        <v>377</v>
      </c>
      <c r="M741" s="621"/>
      <c r="N741" s="621"/>
      <c r="O741" s="621"/>
      <c r="P741" s="602"/>
      <c r="Q741" s="622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</row>
    <row r="742" ht="22.5" customHeight="1">
      <c r="A742" s="614">
        <v>45712.0</v>
      </c>
      <c r="B742" s="626" t="s">
        <v>2218</v>
      </c>
      <c r="C742" s="610">
        <v>5421000.06</v>
      </c>
      <c r="D742" s="609"/>
      <c r="E742" s="606"/>
      <c r="F742" s="627" t="s">
        <v>570</v>
      </c>
      <c r="G742" s="597">
        <v>20.0</v>
      </c>
      <c r="H742" s="598">
        <f t="shared" si="62"/>
        <v>903500.01</v>
      </c>
      <c r="I742" s="599"/>
      <c r="J742" s="599"/>
      <c r="K742" s="674" t="s">
        <v>51</v>
      </c>
      <c r="L742" s="616" t="s">
        <v>110</v>
      </c>
      <c r="M742" s="621"/>
      <c r="N742" s="612">
        <v>195.0</v>
      </c>
      <c r="O742" s="662">
        <v>45635.0</v>
      </c>
      <c r="P742" s="602">
        <f t="shared" ref="P742:P747" si="65">A742-IF(O742&gt;0,O742,A742)</f>
        <v>77</v>
      </c>
      <c r="Q742" s="622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</row>
    <row r="743" ht="22.5" customHeight="1">
      <c r="A743" s="614">
        <v>45712.0</v>
      </c>
      <c r="B743" s="626" t="s">
        <v>2218</v>
      </c>
      <c r="C743" s="610">
        <v>4523077.02</v>
      </c>
      <c r="D743" s="609"/>
      <c r="E743" s="606"/>
      <c r="F743" s="627" t="s">
        <v>570</v>
      </c>
      <c r="G743" s="597">
        <v>20.0</v>
      </c>
      <c r="H743" s="598">
        <f t="shared" si="62"/>
        <v>753846.17</v>
      </c>
      <c r="I743" s="599"/>
      <c r="J743" s="599"/>
      <c r="K743" s="615" t="s">
        <v>51</v>
      </c>
      <c r="L743" s="616" t="s">
        <v>110</v>
      </c>
      <c r="M743" s="621"/>
      <c r="N743" s="612">
        <v>211.0</v>
      </c>
      <c r="O743" s="668">
        <v>45636.0</v>
      </c>
      <c r="P743" s="602">
        <f t="shared" si="65"/>
        <v>76</v>
      </c>
      <c r="Q743" s="622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</row>
    <row r="744" ht="22.5" customHeight="1">
      <c r="A744" s="614">
        <v>45712.0</v>
      </c>
      <c r="B744" s="626" t="s">
        <v>2218</v>
      </c>
      <c r="C744" s="610">
        <v>945000.0</v>
      </c>
      <c r="D744" s="609"/>
      <c r="E744" s="606"/>
      <c r="F744" s="627" t="s">
        <v>570</v>
      </c>
      <c r="G744" s="597">
        <v>20.0</v>
      </c>
      <c r="H744" s="598">
        <f t="shared" si="62"/>
        <v>157500</v>
      </c>
      <c r="I744" s="599"/>
      <c r="J744" s="599"/>
      <c r="K744" s="615" t="s">
        <v>51</v>
      </c>
      <c r="L744" s="616" t="s">
        <v>110</v>
      </c>
      <c r="M744" s="621"/>
      <c r="N744" s="612">
        <v>223.0</v>
      </c>
      <c r="O744" s="668">
        <v>45639.0</v>
      </c>
      <c r="P744" s="602">
        <f t="shared" si="65"/>
        <v>73</v>
      </c>
      <c r="Q744" s="622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</row>
    <row r="745" ht="22.5" customHeight="1">
      <c r="A745" s="614">
        <v>45712.0</v>
      </c>
      <c r="B745" s="626" t="s">
        <v>2218</v>
      </c>
      <c r="C745" s="610">
        <v>1134000.0</v>
      </c>
      <c r="D745" s="609"/>
      <c r="E745" s="606"/>
      <c r="F745" s="627" t="s">
        <v>570</v>
      </c>
      <c r="G745" s="597">
        <v>20.0</v>
      </c>
      <c r="H745" s="598">
        <f t="shared" si="62"/>
        <v>189000</v>
      </c>
      <c r="I745" s="599"/>
      <c r="J745" s="599"/>
      <c r="K745" s="615" t="s">
        <v>51</v>
      </c>
      <c r="L745" s="616" t="s">
        <v>110</v>
      </c>
      <c r="M745" s="621"/>
      <c r="N745" s="612">
        <v>224.0</v>
      </c>
      <c r="O745" s="668">
        <v>45639.0</v>
      </c>
      <c r="P745" s="602">
        <f t="shared" si="65"/>
        <v>73</v>
      </c>
      <c r="Q745" s="622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</row>
    <row r="746" ht="22.5" customHeight="1">
      <c r="A746" s="614">
        <v>45712.0</v>
      </c>
      <c r="B746" s="626" t="s">
        <v>2218</v>
      </c>
      <c r="C746" s="610">
        <v>1134000.0</v>
      </c>
      <c r="D746" s="609"/>
      <c r="E746" s="606"/>
      <c r="F746" s="627" t="s">
        <v>570</v>
      </c>
      <c r="G746" s="597">
        <v>20.0</v>
      </c>
      <c r="H746" s="598">
        <f t="shared" si="62"/>
        <v>189000</v>
      </c>
      <c r="I746" s="599"/>
      <c r="J746" s="599"/>
      <c r="K746" s="615" t="s">
        <v>51</v>
      </c>
      <c r="L746" s="616" t="s">
        <v>110</v>
      </c>
      <c r="M746" s="621"/>
      <c r="N746" s="612">
        <v>225.0</v>
      </c>
      <c r="O746" s="668">
        <v>45639.0</v>
      </c>
      <c r="P746" s="602">
        <f t="shared" si="65"/>
        <v>73</v>
      </c>
      <c r="Q746" s="622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</row>
    <row r="747" ht="22.5" customHeight="1">
      <c r="A747" s="614">
        <v>45712.0</v>
      </c>
      <c r="B747" s="626" t="s">
        <v>2218</v>
      </c>
      <c r="C747" s="610">
        <v>315000.0</v>
      </c>
      <c r="D747" s="609"/>
      <c r="E747" s="606"/>
      <c r="F747" s="627" t="s">
        <v>570</v>
      </c>
      <c r="G747" s="597">
        <v>20.0</v>
      </c>
      <c r="H747" s="598">
        <f t="shared" si="62"/>
        <v>52500</v>
      </c>
      <c r="I747" s="599"/>
      <c r="J747" s="599"/>
      <c r="K747" s="615" t="s">
        <v>51</v>
      </c>
      <c r="L747" s="616" t="s">
        <v>110</v>
      </c>
      <c r="M747" s="621"/>
      <c r="N747" s="612">
        <v>228.0</v>
      </c>
      <c r="O747" s="668">
        <v>45639.0</v>
      </c>
      <c r="P747" s="602">
        <f t="shared" si="65"/>
        <v>73</v>
      </c>
      <c r="Q747" s="622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</row>
    <row r="748" ht="22.5" customHeight="1">
      <c r="A748" s="614">
        <v>45712.0</v>
      </c>
      <c r="B748" s="626" t="s">
        <v>2218</v>
      </c>
      <c r="C748" s="609"/>
      <c r="D748" s="610">
        <v>1.138632982E7</v>
      </c>
      <c r="E748" s="606"/>
      <c r="F748" s="627" t="s">
        <v>570</v>
      </c>
      <c r="G748" s="597">
        <v>20.0</v>
      </c>
      <c r="H748" s="598">
        <f t="shared" si="62"/>
        <v>1897721.637</v>
      </c>
      <c r="I748" s="599"/>
      <c r="J748" s="599"/>
      <c r="K748" s="615" t="s">
        <v>101</v>
      </c>
      <c r="L748" s="616" t="s">
        <v>654</v>
      </c>
      <c r="M748" s="621"/>
      <c r="N748" s="621"/>
      <c r="O748" s="621"/>
      <c r="P748" s="602"/>
      <c r="Q748" s="622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</row>
    <row r="749" ht="22.5" customHeight="1">
      <c r="A749" s="614">
        <v>45712.0</v>
      </c>
      <c r="B749" s="626" t="s">
        <v>2218</v>
      </c>
      <c r="C749" s="609"/>
      <c r="D749" s="609"/>
      <c r="E749" s="604" t="s">
        <v>33</v>
      </c>
      <c r="F749" s="627" t="s">
        <v>626</v>
      </c>
      <c r="G749" s="597">
        <v>0.0</v>
      </c>
      <c r="H749" s="598">
        <f t="shared" si="62"/>
        <v>0</v>
      </c>
      <c r="I749" s="599"/>
      <c r="J749" s="605">
        <v>13330.0</v>
      </c>
      <c r="K749" s="615" t="s">
        <v>93</v>
      </c>
      <c r="L749" s="616" t="s">
        <v>653</v>
      </c>
      <c r="M749" s="621"/>
      <c r="N749" s="621"/>
      <c r="O749" s="621"/>
      <c r="P749" s="602"/>
      <c r="Q749" s="622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</row>
    <row r="750" ht="22.5" customHeight="1">
      <c r="A750" s="614">
        <v>45712.0</v>
      </c>
      <c r="B750" s="626" t="s">
        <v>2218</v>
      </c>
      <c r="C750" s="610">
        <v>252000.0</v>
      </c>
      <c r="D750" s="609"/>
      <c r="E750" s="606"/>
      <c r="F750" s="627" t="s">
        <v>570</v>
      </c>
      <c r="G750" s="597">
        <v>20.0</v>
      </c>
      <c r="H750" s="598">
        <f t="shared" si="62"/>
        <v>42000</v>
      </c>
      <c r="I750" s="599"/>
      <c r="J750" s="599"/>
      <c r="K750" s="615" t="s">
        <v>51</v>
      </c>
      <c r="L750" s="616" t="s">
        <v>654</v>
      </c>
      <c r="M750" s="621"/>
      <c r="N750" s="612">
        <v>196.0</v>
      </c>
      <c r="O750" s="662">
        <v>45635.0</v>
      </c>
      <c r="P750" s="602">
        <f t="shared" ref="P750:P751" si="66">A750-IF(O750&gt;0,O750,A750)</f>
        <v>77</v>
      </c>
      <c r="Q750" s="622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</row>
    <row r="751" ht="22.5" customHeight="1">
      <c r="A751" s="614">
        <v>45712.0</v>
      </c>
      <c r="B751" s="626" t="s">
        <v>2218</v>
      </c>
      <c r="C751" s="610">
        <v>1680000.0</v>
      </c>
      <c r="D751" s="609"/>
      <c r="E751" s="606"/>
      <c r="F751" s="627" t="s">
        <v>570</v>
      </c>
      <c r="G751" s="597">
        <v>20.0</v>
      </c>
      <c r="H751" s="598">
        <f t="shared" si="62"/>
        <v>280000</v>
      </c>
      <c r="I751" s="599"/>
      <c r="J751" s="599"/>
      <c r="K751" s="615" t="s">
        <v>51</v>
      </c>
      <c r="L751" s="616" t="s">
        <v>317</v>
      </c>
      <c r="M751" s="621"/>
      <c r="N751" s="612">
        <v>62.0</v>
      </c>
      <c r="O751" s="662">
        <v>45700.0</v>
      </c>
      <c r="P751" s="602">
        <f t="shared" si="66"/>
        <v>12</v>
      </c>
      <c r="Q751" s="622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</row>
    <row r="752" ht="22.5" customHeight="1">
      <c r="A752" s="614">
        <v>45712.0</v>
      </c>
      <c r="B752" s="626" t="s">
        <v>2218</v>
      </c>
      <c r="C752" s="609"/>
      <c r="D752" s="609"/>
      <c r="E752" s="604" t="s">
        <v>33</v>
      </c>
      <c r="F752" s="627" t="s">
        <v>626</v>
      </c>
      <c r="G752" s="597">
        <v>0.0</v>
      </c>
      <c r="H752" s="598">
        <f t="shared" si="62"/>
        <v>0</v>
      </c>
      <c r="I752" s="599"/>
      <c r="J752" s="605">
        <v>10000.0</v>
      </c>
      <c r="K752" s="615" t="s">
        <v>1181</v>
      </c>
      <c r="L752" s="616" t="s">
        <v>655</v>
      </c>
      <c r="M752" s="621"/>
      <c r="N752" s="621"/>
      <c r="O752" s="621"/>
      <c r="P752" s="602"/>
      <c r="Q752" s="622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</row>
    <row r="753" ht="22.5" customHeight="1">
      <c r="A753" s="614">
        <v>45713.0</v>
      </c>
      <c r="B753" s="626" t="s">
        <v>2218</v>
      </c>
      <c r="C753" s="609"/>
      <c r="D753" s="610">
        <f>527318+16026</f>
        <v>543344</v>
      </c>
      <c r="E753" s="606"/>
      <c r="F753" s="627" t="s">
        <v>626</v>
      </c>
      <c r="G753" s="597">
        <v>0.0</v>
      </c>
      <c r="H753" s="598">
        <f t="shared" si="62"/>
        <v>0</v>
      </c>
      <c r="I753" s="599"/>
      <c r="J753" s="599"/>
      <c r="K753" s="615" t="s">
        <v>280</v>
      </c>
      <c r="L753" s="616" t="s">
        <v>656</v>
      </c>
      <c r="M753" s="621"/>
      <c r="N753" s="621"/>
      <c r="O753" s="621"/>
      <c r="P753" s="602"/>
      <c r="Q753" s="622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</row>
    <row r="754" ht="22.5" customHeight="1">
      <c r="A754" s="614">
        <v>45714.0</v>
      </c>
      <c r="B754" s="626" t="s">
        <v>2218</v>
      </c>
      <c r="C754" s="610">
        <v>515999.94</v>
      </c>
      <c r="D754" s="609"/>
      <c r="E754" s="606"/>
      <c r="F754" s="627" t="s">
        <v>570</v>
      </c>
      <c r="G754" s="597">
        <v>20.0</v>
      </c>
      <c r="H754" s="598">
        <f t="shared" si="62"/>
        <v>85999.99</v>
      </c>
      <c r="I754" s="599"/>
      <c r="J754" s="599"/>
      <c r="K754" s="615" t="s">
        <v>51</v>
      </c>
      <c r="L754" s="616" t="s">
        <v>2242</v>
      </c>
      <c r="M754" s="621"/>
      <c r="N754" s="612">
        <v>212.0</v>
      </c>
      <c r="O754" s="668">
        <v>45636.0</v>
      </c>
      <c r="P754" s="602">
        <f t="shared" ref="P754:P762" si="67">A754-IF(O754&gt;0,O754,A754)</f>
        <v>78</v>
      </c>
      <c r="Q754" s="622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</row>
    <row r="755" ht="22.5" customHeight="1">
      <c r="A755" s="614">
        <v>45714.0</v>
      </c>
      <c r="B755" s="626" t="s">
        <v>2218</v>
      </c>
      <c r="C755" s="610">
        <v>960000.3</v>
      </c>
      <c r="D755" s="610"/>
      <c r="E755" s="606"/>
      <c r="F755" s="627" t="s">
        <v>619</v>
      </c>
      <c r="G755" s="597">
        <v>20.0</v>
      </c>
      <c r="H755" s="598">
        <f t="shared" si="62"/>
        <v>160000.05</v>
      </c>
      <c r="I755" s="599"/>
      <c r="J755" s="599"/>
      <c r="K755" s="672" t="s">
        <v>51</v>
      </c>
      <c r="L755" s="616" t="s">
        <v>110</v>
      </c>
      <c r="M755" s="621"/>
      <c r="N755" s="612">
        <v>16.0</v>
      </c>
      <c r="O755" s="662">
        <v>45671.0</v>
      </c>
      <c r="P755" s="602">
        <f t="shared" si="67"/>
        <v>43</v>
      </c>
      <c r="Q755" s="622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</row>
    <row r="756" ht="22.5" customHeight="1">
      <c r="A756" s="614">
        <v>45714.0</v>
      </c>
      <c r="B756" s="626" t="s">
        <v>2218</v>
      </c>
      <c r="C756" s="610">
        <v>720000.12</v>
      </c>
      <c r="D756" s="610"/>
      <c r="E756" s="606"/>
      <c r="F756" s="627" t="s">
        <v>619</v>
      </c>
      <c r="G756" s="597">
        <v>20.0</v>
      </c>
      <c r="H756" s="598">
        <f t="shared" si="62"/>
        <v>120000.02</v>
      </c>
      <c r="I756" s="599"/>
      <c r="J756" s="599"/>
      <c r="K756" s="673" t="s">
        <v>51</v>
      </c>
      <c r="L756" s="616" t="s">
        <v>110</v>
      </c>
      <c r="M756" s="621"/>
      <c r="N756" s="612">
        <v>15.0</v>
      </c>
      <c r="O756" s="662">
        <v>45671.0</v>
      </c>
      <c r="P756" s="602">
        <f t="shared" si="67"/>
        <v>43</v>
      </c>
      <c r="Q756" s="622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</row>
    <row r="757" ht="22.5" customHeight="1">
      <c r="A757" s="614">
        <v>45714.0</v>
      </c>
      <c r="B757" s="626" t="s">
        <v>2218</v>
      </c>
      <c r="C757" s="610">
        <v>720000.12</v>
      </c>
      <c r="D757" s="610"/>
      <c r="E757" s="606"/>
      <c r="F757" s="627" t="s">
        <v>619</v>
      </c>
      <c r="G757" s="597">
        <v>20.0</v>
      </c>
      <c r="H757" s="598">
        <f t="shared" si="62"/>
        <v>120000.02</v>
      </c>
      <c r="I757" s="599"/>
      <c r="J757" s="599"/>
      <c r="K757" s="674" t="s">
        <v>51</v>
      </c>
      <c r="L757" s="616" t="s">
        <v>110</v>
      </c>
      <c r="M757" s="621"/>
      <c r="N757" s="612">
        <v>14.0</v>
      </c>
      <c r="O757" s="662">
        <v>45671.0</v>
      </c>
      <c r="P757" s="602">
        <f t="shared" si="67"/>
        <v>43</v>
      </c>
      <c r="Q757" s="622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</row>
    <row r="758" ht="22.5" customHeight="1">
      <c r="A758" s="614">
        <v>45714.0</v>
      </c>
      <c r="B758" s="626" t="s">
        <v>2218</v>
      </c>
      <c r="C758" s="610">
        <v>276000.0</v>
      </c>
      <c r="D758" s="610"/>
      <c r="E758" s="606"/>
      <c r="F758" s="627" t="s">
        <v>619</v>
      </c>
      <c r="G758" s="597">
        <v>20.0</v>
      </c>
      <c r="H758" s="598">
        <f t="shared" si="62"/>
        <v>46000</v>
      </c>
      <c r="I758" s="599"/>
      <c r="J758" s="599"/>
      <c r="K758" s="615" t="s">
        <v>51</v>
      </c>
      <c r="L758" s="616" t="s">
        <v>110</v>
      </c>
      <c r="M758" s="621"/>
      <c r="N758" s="612">
        <v>34.0</v>
      </c>
      <c r="O758" s="662">
        <v>45674.0</v>
      </c>
      <c r="P758" s="602">
        <f t="shared" si="67"/>
        <v>40</v>
      </c>
      <c r="Q758" s="622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</row>
    <row r="759" ht="22.5" customHeight="1">
      <c r="A759" s="614">
        <v>45714.0</v>
      </c>
      <c r="B759" s="626" t="s">
        <v>2218</v>
      </c>
      <c r="C759" s="610">
        <v>276000.0</v>
      </c>
      <c r="D759" s="610"/>
      <c r="E759" s="606"/>
      <c r="F759" s="627" t="s">
        <v>619</v>
      </c>
      <c r="G759" s="597">
        <v>20.0</v>
      </c>
      <c r="H759" s="598">
        <f t="shared" si="62"/>
        <v>46000</v>
      </c>
      <c r="I759" s="599"/>
      <c r="J759" s="599"/>
      <c r="K759" s="615" t="s">
        <v>51</v>
      </c>
      <c r="L759" s="616" t="s">
        <v>110</v>
      </c>
      <c r="M759" s="621"/>
      <c r="N759" s="612">
        <v>35.0</v>
      </c>
      <c r="O759" s="662">
        <v>45674.0</v>
      </c>
      <c r="P759" s="602">
        <f t="shared" si="67"/>
        <v>40</v>
      </c>
      <c r="Q759" s="622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</row>
    <row r="760" ht="22.5" customHeight="1">
      <c r="A760" s="614">
        <v>45716.0</v>
      </c>
      <c r="B760" s="626" t="s">
        <v>2218</v>
      </c>
      <c r="C760" s="610">
        <v>1315200.18</v>
      </c>
      <c r="D760" s="609"/>
      <c r="E760" s="606"/>
      <c r="F760" s="627" t="s">
        <v>570</v>
      </c>
      <c r="G760" s="597">
        <v>20.0</v>
      </c>
      <c r="H760" s="598">
        <f t="shared" si="62"/>
        <v>219200.03</v>
      </c>
      <c r="I760" s="599"/>
      <c r="J760" s="599"/>
      <c r="K760" s="615" t="s">
        <v>51</v>
      </c>
      <c r="L760" s="616" t="s">
        <v>2228</v>
      </c>
      <c r="M760" s="621"/>
      <c r="N760" s="612">
        <v>191.0</v>
      </c>
      <c r="O760" s="662">
        <v>45635.0</v>
      </c>
      <c r="P760" s="602">
        <f t="shared" si="67"/>
        <v>81</v>
      </c>
      <c r="Q760" s="622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</row>
    <row r="761" ht="22.5" customHeight="1">
      <c r="A761" s="614">
        <v>45716.0</v>
      </c>
      <c r="B761" s="626" t="s">
        <v>2218</v>
      </c>
      <c r="C761" s="610">
        <v>600000.0</v>
      </c>
      <c r="D761" s="609"/>
      <c r="E761" s="606"/>
      <c r="F761" s="627" t="s">
        <v>570</v>
      </c>
      <c r="G761" s="597">
        <v>20.0</v>
      </c>
      <c r="H761" s="598">
        <f t="shared" si="62"/>
        <v>100000</v>
      </c>
      <c r="I761" s="599"/>
      <c r="J761" s="599"/>
      <c r="K761" s="615" t="s">
        <v>51</v>
      </c>
      <c r="L761" s="616" t="s">
        <v>2228</v>
      </c>
      <c r="M761" s="621"/>
      <c r="N761" s="612">
        <v>219.0</v>
      </c>
      <c r="O761" s="668">
        <v>45637.0</v>
      </c>
      <c r="P761" s="602">
        <f t="shared" si="67"/>
        <v>79</v>
      </c>
      <c r="Q761" s="622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</row>
    <row r="762" ht="22.5" customHeight="1">
      <c r="A762" s="614">
        <v>45716.0</v>
      </c>
      <c r="B762" s="626" t="s">
        <v>2218</v>
      </c>
      <c r="C762" s="610">
        <v>706800.0</v>
      </c>
      <c r="D762" s="609"/>
      <c r="E762" s="606"/>
      <c r="F762" s="627" t="s">
        <v>570</v>
      </c>
      <c r="G762" s="597">
        <v>20.0</v>
      </c>
      <c r="H762" s="598">
        <f t="shared" si="62"/>
        <v>117800</v>
      </c>
      <c r="I762" s="599"/>
      <c r="J762" s="599"/>
      <c r="K762" s="615" t="s">
        <v>51</v>
      </c>
      <c r="L762" s="616" t="s">
        <v>2228</v>
      </c>
      <c r="M762" s="621"/>
      <c r="N762" s="612">
        <v>220.0</v>
      </c>
      <c r="O762" s="668">
        <v>45637.0</v>
      </c>
      <c r="P762" s="602">
        <f t="shared" si="67"/>
        <v>79</v>
      </c>
      <c r="Q762" s="622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</row>
    <row r="763" ht="22.5" customHeight="1">
      <c r="A763" s="614">
        <v>45716.0</v>
      </c>
      <c r="B763" s="626" t="s">
        <v>2218</v>
      </c>
      <c r="C763" s="609"/>
      <c r="D763" s="610">
        <v>3780.0</v>
      </c>
      <c r="E763" s="606"/>
      <c r="F763" s="627" t="s">
        <v>626</v>
      </c>
      <c r="G763" s="597">
        <v>5.0</v>
      </c>
      <c r="H763" s="598">
        <f t="shared" si="62"/>
        <v>180</v>
      </c>
      <c r="I763" s="599"/>
      <c r="J763" s="599"/>
      <c r="K763" s="615" t="s">
        <v>2240</v>
      </c>
      <c r="L763" s="616" t="s">
        <v>650</v>
      </c>
      <c r="M763" s="621"/>
      <c r="N763" s="621"/>
      <c r="O763" s="621"/>
      <c r="P763" s="602"/>
      <c r="Q763" s="622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</row>
    <row r="764" ht="22.5" customHeight="1">
      <c r="A764" s="614">
        <v>45716.0</v>
      </c>
      <c r="B764" s="626" t="s">
        <v>2218</v>
      </c>
      <c r="C764" s="609"/>
      <c r="D764" s="609"/>
      <c r="E764" s="604" t="s">
        <v>33</v>
      </c>
      <c r="F764" s="627" t="s">
        <v>619</v>
      </c>
      <c r="G764" s="597">
        <v>0.0</v>
      </c>
      <c r="H764" s="598">
        <f t="shared" si="62"/>
        <v>0</v>
      </c>
      <c r="I764" s="599"/>
      <c r="J764" s="605">
        <v>835125.0</v>
      </c>
      <c r="K764" s="615" t="s">
        <v>93</v>
      </c>
      <c r="L764" s="616" t="s">
        <v>658</v>
      </c>
      <c r="M764" s="621"/>
      <c r="N764" s="621"/>
      <c r="O764" s="621"/>
      <c r="P764" s="602"/>
      <c r="Q764" s="622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</row>
    <row r="765" ht="22.5" customHeight="1">
      <c r="A765" s="614">
        <v>45716.0</v>
      </c>
      <c r="B765" s="626" t="s">
        <v>2218</v>
      </c>
      <c r="C765" s="610">
        <v>362653.2</v>
      </c>
      <c r="D765" s="610"/>
      <c r="E765" s="606"/>
      <c r="F765" s="627" t="s">
        <v>619</v>
      </c>
      <c r="G765" s="597">
        <v>20.0</v>
      </c>
      <c r="H765" s="598">
        <f t="shared" si="62"/>
        <v>60442.2</v>
      </c>
      <c r="I765" s="599"/>
      <c r="J765" s="599"/>
      <c r="K765" s="615" t="s">
        <v>51</v>
      </c>
      <c r="L765" s="616" t="s">
        <v>624</v>
      </c>
      <c r="M765" s="621"/>
      <c r="N765" s="612">
        <v>32.0</v>
      </c>
      <c r="O765" s="662">
        <v>45673.0</v>
      </c>
      <c r="P765" s="602">
        <f t="shared" ref="P765:P766" si="68">A765-IF(O765&gt;0,O765,A765)</f>
        <v>43</v>
      </c>
      <c r="Q765" s="622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</row>
    <row r="766" ht="22.5" customHeight="1">
      <c r="A766" s="614">
        <v>45716.0</v>
      </c>
      <c r="B766" s="626" t="s">
        <v>2218</v>
      </c>
      <c r="C766" s="610">
        <v>1080000.0</v>
      </c>
      <c r="D766" s="610"/>
      <c r="E766" s="606"/>
      <c r="F766" s="627" t="s">
        <v>619</v>
      </c>
      <c r="G766" s="597">
        <v>20.0</v>
      </c>
      <c r="H766" s="598">
        <f t="shared" si="62"/>
        <v>180000</v>
      </c>
      <c r="I766" s="599"/>
      <c r="J766" s="599"/>
      <c r="K766" s="615" t="s">
        <v>51</v>
      </c>
      <c r="L766" s="616" t="s">
        <v>624</v>
      </c>
      <c r="M766" s="621"/>
      <c r="N766" s="612">
        <v>33.0</v>
      </c>
      <c r="O766" s="662">
        <v>45673.0</v>
      </c>
      <c r="P766" s="602">
        <f t="shared" si="68"/>
        <v>43</v>
      </c>
      <c r="Q766" s="622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</row>
    <row r="767" ht="22.5" customHeight="1">
      <c r="A767" s="614">
        <v>45716.0</v>
      </c>
      <c r="B767" s="626" t="s">
        <v>2218</v>
      </c>
      <c r="C767" s="609"/>
      <c r="D767" s="610">
        <v>100100.0</v>
      </c>
      <c r="E767" s="606"/>
      <c r="F767" s="627" t="s">
        <v>626</v>
      </c>
      <c r="G767" s="597">
        <v>0.0</v>
      </c>
      <c r="H767" s="598">
        <f t="shared" si="62"/>
        <v>0</v>
      </c>
      <c r="I767" s="599"/>
      <c r="J767" s="599"/>
      <c r="K767" s="680" t="s">
        <v>236</v>
      </c>
      <c r="L767" s="616" t="s">
        <v>72</v>
      </c>
      <c r="M767" s="621"/>
      <c r="N767" s="621"/>
      <c r="O767" s="621"/>
      <c r="P767" s="602"/>
      <c r="Q767" s="613" t="s">
        <v>209</v>
      </c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</row>
    <row r="768" ht="22.5" customHeight="1">
      <c r="A768" s="614">
        <v>45716.0</v>
      </c>
      <c r="B768" s="626" t="s">
        <v>2218</v>
      </c>
      <c r="C768" s="609"/>
      <c r="D768" s="610">
        <v>3172.0</v>
      </c>
      <c r="E768" s="606"/>
      <c r="F768" s="627" t="s">
        <v>626</v>
      </c>
      <c r="G768" s="597">
        <v>0.0</v>
      </c>
      <c r="H768" s="598">
        <f t="shared" si="62"/>
        <v>0</v>
      </c>
      <c r="I768" s="599"/>
      <c r="J768" s="599"/>
      <c r="K768" s="680" t="s">
        <v>236</v>
      </c>
      <c r="L768" s="616" t="s">
        <v>72</v>
      </c>
      <c r="M768" s="621"/>
      <c r="N768" s="621"/>
      <c r="O768" s="621"/>
      <c r="P768" s="602"/>
      <c r="Q768" s="613" t="s">
        <v>660</v>
      </c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</row>
    <row r="769" ht="22.5" customHeight="1">
      <c r="A769" s="614">
        <v>45716.0</v>
      </c>
      <c r="B769" s="626" t="s">
        <v>2218</v>
      </c>
      <c r="C769" s="609"/>
      <c r="D769" s="610">
        <v>239375.47</v>
      </c>
      <c r="E769" s="606"/>
      <c r="F769" s="627" t="s">
        <v>626</v>
      </c>
      <c r="G769" s="597">
        <v>0.0</v>
      </c>
      <c r="H769" s="598">
        <f t="shared" si="62"/>
        <v>0</v>
      </c>
      <c r="I769" s="599"/>
      <c r="J769" s="599"/>
      <c r="K769" s="680" t="s">
        <v>236</v>
      </c>
      <c r="L769" s="616" t="s">
        <v>72</v>
      </c>
      <c r="M769" s="621"/>
      <c r="N769" s="621"/>
      <c r="O769" s="621"/>
      <c r="P769" s="602"/>
      <c r="Q769" s="613" t="s">
        <v>209</v>
      </c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</row>
    <row r="770" ht="22.5" customHeight="1">
      <c r="A770" s="614">
        <v>45716.0</v>
      </c>
      <c r="B770" s="626" t="s">
        <v>2218</v>
      </c>
      <c r="C770" s="609"/>
      <c r="D770" s="610">
        <v>348682.0</v>
      </c>
      <c r="E770" s="606"/>
      <c r="F770" s="627" t="s">
        <v>626</v>
      </c>
      <c r="G770" s="597">
        <v>0.0</v>
      </c>
      <c r="H770" s="598">
        <f t="shared" si="62"/>
        <v>0</v>
      </c>
      <c r="I770" s="599"/>
      <c r="J770" s="599"/>
      <c r="K770" s="680" t="s">
        <v>236</v>
      </c>
      <c r="L770" s="616" t="s">
        <v>72</v>
      </c>
      <c r="M770" s="621"/>
      <c r="N770" s="621"/>
      <c r="O770" s="621"/>
      <c r="P770" s="602"/>
      <c r="Q770" s="613" t="s">
        <v>661</v>
      </c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</row>
    <row r="771" ht="22.5" customHeight="1">
      <c r="A771" s="614">
        <v>45716.0</v>
      </c>
      <c r="B771" s="626" t="s">
        <v>2218</v>
      </c>
      <c r="C771" s="609"/>
      <c r="D771" s="610">
        <v>1695166.0</v>
      </c>
      <c r="E771" s="606"/>
      <c r="F771" s="627" t="s">
        <v>626</v>
      </c>
      <c r="G771" s="597">
        <v>0.0</v>
      </c>
      <c r="H771" s="598">
        <f t="shared" si="62"/>
        <v>0</v>
      </c>
      <c r="I771" s="599"/>
      <c r="J771" s="599"/>
      <c r="K771" s="680" t="s">
        <v>236</v>
      </c>
      <c r="L771" s="616" t="s">
        <v>72</v>
      </c>
      <c r="M771" s="621"/>
      <c r="N771" s="621"/>
      <c r="O771" s="621"/>
      <c r="P771" s="602"/>
      <c r="Q771" s="613" t="s">
        <v>662</v>
      </c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</row>
    <row r="772" ht="22.5" customHeight="1">
      <c r="A772" s="614">
        <v>45716.0</v>
      </c>
      <c r="B772" s="626" t="s">
        <v>2218</v>
      </c>
      <c r="C772" s="609"/>
      <c r="D772" s="610">
        <v>800000.0</v>
      </c>
      <c r="E772" s="606"/>
      <c r="F772" s="627" t="s">
        <v>626</v>
      </c>
      <c r="G772" s="597">
        <v>0.0</v>
      </c>
      <c r="H772" s="598">
        <f t="shared" si="62"/>
        <v>0</v>
      </c>
      <c r="I772" s="599"/>
      <c r="J772" s="599"/>
      <c r="K772" s="680" t="s">
        <v>236</v>
      </c>
      <c r="L772" s="616" t="s">
        <v>72</v>
      </c>
      <c r="M772" s="621"/>
      <c r="N772" s="621"/>
      <c r="O772" s="621"/>
      <c r="P772" s="602"/>
      <c r="Q772" s="613" t="s">
        <v>663</v>
      </c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</row>
    <row r="773" ht="22.5" customHeight="1">
      <c r="A773" s="614">
        <v>45716.0</v>
      </c>
      <c r="B773" s="626" t="s">
        <v>2218</v>
      </c>
      <c r="C773" s="609"/>
      <c r="D773" s="610">
        <v>4600000.0</v>
      </c>
      <c r="E773" s="604" t="s">
        <v>28</v>
      </c>
      <c r="F773" s="627" t="s">
        <v>626</v>
      </c>
      <c r="G773" s="597">
        <v>0.0</v>
      </c>
      <c r="H773" s="598">
        <f t="shared" si="62"/>
        <v>0</v>
      </c>
      <c r="I773" s="605"/>
      <c r="J773" s="599"/>
      <c r="K773" s="615" t="s">
        <v>48</v>
      </c>
      <c r="L773" s="611"/>
      <c r="M773" s="621"/>
      <c r="N773" s="621"/>
      <c r="O773" s="621"/>
      <c r="P773" s="602"/>
      <c r="Q773" s="622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</row>
    <row r="774" ht="22.5" customHeight="1">
      <c r="A774" s="614">
        <v>45716.0</v>
      </c>
      <c r="B774" s="681" t="s">
        <v>2218</v>
      </c>
      <c r="C774" s="609"/>
      <c r="D774" s="609"/>
      <c r="E774" s="604" t="s">
        <v>33</v>
      </c>
      <c r="F774" s="627" t="s">
        <v>626</v>
      </c>
      <c r="G774" s="597">
        <v>0.0</v>
      </c>
      <c r="H774" s="598">
        <f t="shared" si="62"/>
        <v>0</v>
      </c>
      <c r="I774" s="605">
        <v>3400000.0</v>
      </c>
      <c r="J774" s="605"/>
      <c r="K774" s="615" t="s">
        <v>48</v>
      </c>
      <c r="L774" s="615"/>
      <c r="M774" s="621"/>
      <c r="N774" s="621"/>
      <c r="O774" s="621"/>
      <c r="P774" s="602"/>
      <c r="Q774" s="622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</row>
    <row r="775" ht="22.5" customHeight="1">
      <c r="A775" s="614">
        <v>45716.0</v>
      </c>
      <c r="B775" s="626" t="s">
        <v>2218</v>
      </c>
      <c r="C775" s="609"/>
      <c r="D775" s="609"/>
      <c r="E775" s="604" t="s">
        <v>33</v>
      </c>
      <c r="F775" s="627" t="s">
        <v>664</v>
      </c>
      <c r="G775" s="597">
        <v>0.0</v>
      </c>
      <c r="H775" s="598">
        <f t="shared" si="62"/>
        <v>0</v>
      </c>
      <c r="I775" s="599"/>
      <c r="J775" s="605">
        <v>275000.0</v>
      </c>
      <c r="K775" s="615" t="s">
        <v>65</v>
      </c>
      <c r="L775" s="616" t="s">
        <v>665</v>
      </c>
      <c r="M775" s="621"/>
      <c r="N775" s="621"/>
      <c r="O775" s="621"/>
      <c r="P775" s="602"/>
      <c r="Q775" s="622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</row>
    <row r="776" ht="22.5" customHeight="1">
      <c r="A776" s="614">
        <v>45716.0</v>
      </c>
      <c r="B776" s="626" t="s">
        <v>2218</v>
      </c>
      <c r="C776" s="609"/>
      <c r="D776" s="609"/>
      <c r="E776" s="604" t="s">
        <v>33</v>
      </c>
      <c r="F776" s="627" t="s">
        <v>664</v>
      </c>
      <c r="G776" s="597">
        <v>0.0</v>
      </c>
      <c r="H776" s="598">
        <f t="shared" si="62"/>
        <v>0</v>
      </c>
      <c r="I776" s="599"/>
      <c r="J776" s="605">
        <v>105000.0</v>
      </c>
      <c r="K776" s="615" t="s">
        <v>65</v>
      </c>
      <c r="L776" s="616" t="s">
        <v>666</v>
      </c>
      <c r="M776" s="621"/>
      <c r="N776" s="621"/>
      <c r="O776" s="621"/>
      <c r="P776" s="602"/>
      <c r="Q776" s="622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</row>
    <row r="777" ht="22.5" customHeight="1">
      <c r="A777" s="614">
        <v>45716.0</v>
      </c>
      <c r="B777" s="626" t="s">
        <v>2218</v>
      </c>
      <c r="C777" s="609"/>
      <c r="D777" s="609"/>
      <c r="E777" s="604" t="s">
        <v>33</v>
      </c>
      <c r="F777" s="627" t="s">
        <v>664</v>
      </c>
      <c r="G777" s="597">
        <v>0.0</v>
      </c>
      <c r="H777" s="598">
        <f t="shared" si="62"/>
        <v>0</v>
      </c>
      <c r="I777" s="599"/>
      <c r="J777" s="605">
        <v>200000.0</v>
      </c>
      <c r="K777" s="615" t="s">
        <v>65</v>
      </c>
      <c r="L777" s="616" t="s">
        <v>667</v>
      </c>
      <c r="M777" s="621"/>
      <c r="N777" s="621"/>
      <c r="O777" s="621"/>
      <c r="P777" s="602"/>
      <c r="Q777" s="622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</row>
    <row r="778" ht="22.5" customHeight="1">
      <c r="A778" s="614">
        <v>45716.0</v>
      </c>
      <c r="B778" s="626" t="s">
        <v>2218</v>
      </c>
      <c r="C778" s="609"/>
      <c r="D778" s="609"/>
      <c r="E778" s="604" t="s">
        <v>33</v>
      </c>
      <c r="F778" s="627" t="s">
        <v>626</v>
      </c>
      <c r="G778" s="597">
        <v>0.0</v>
      </c>
      <c r="H778" s="598">
        <f t="shared" si="62"/>
        <v>0</v>
      </c>
      <c r="I778" s="599"/>
      <c r="J778" s="605">
        <v>32000.0</v>
      </c>
      <c r="K778" s="615" t="s">
        <v>2240</v>
      </c>
      <c r="L778" s="616" t="s">
        <v>264</v>
      </c>
      <c r="M778" s="621"/>
      <c r="N778" s="621"/>
      <c r="O778" s="621"/>
      <c r="P778" s="602"/>
      <c r="Q778" s="622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</row>
    <row r="779" ht="22.5" customHeight="1">
      <c r="A779" s="614">
        <v>45716.0</v>
      </c>
      <c r="B779" s="626" t="s">
        <v>2218</v>
      </c>
      <c r="C779" s="609"/>
      <c r="D779" s="609"/>
      <c r="E779" s="604" t="s">
        <v>33</v>
      </c>
      <c r="F779" s="627" t="s">
        <v>626</v>
      </c>
      <c r="G779" s="597">
        <v>0.0</v>
      </c>
      <c r="H779" s="598">
        <f t="shared" si="62"/>
        <v>0</v>
      </c>
      <c r="I779" s="599"/>
      <c r="J779" s="605">
        <f>16500+7250</f>
        <v>23750</v>
      </c>
      <c r="K779" s="615" t="s">
        <v>494</v>
      </c>
      <c r="L779" s="616" t="s">
        <v>668</v>
      </c>
      <c r="M779" s="621"/>
      <c r="N779" s="621"/>
      <c r="O779" s="621"/>
      <c r="P779" s="602"/>
      <c r="Q779" s="622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</row>
    <row r="780" ht="22.5" customHeight="1">
      <c r="A780" s="614">
        <v>45719.0</v>
      </c>
      <c r="B780" s="626" t="s">
        <v>2218</v>
      </c>
      <c r="C780" s="609"/>
      <c r="D780" s="610">
        <v>119916.75</v>
      </c>
      <c r="E780" s="606"/>
      <c r="F780" s="627" t="s">
        <v>619</v>
      </c>
      <c r="G780" s="597">
        <v>20.0</v>
      </c>
      <c r="H780" s="598">
        <f t="shared" si="62"/>
        <v>19986.125</v>
      </c>
      <c r="I780" s="599"/>
      <c r="J780" s="599"/>
      <c r="K780" s="615" t="s">
        <v>101</v>
      </c>
      <c r="L780" s="670" t="s">
        <v>632</v>
      </c>
      <c r="M780" s="621"/>
      <c r="N780" s="612">
        <v>44.0</v>
      </c>
      <c r="O780" s="668">
        <v>45657.0</v>
      </c>
      <c r="P780" s="602"/>
      <c r="Q780" s="622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</row>
    <row r="781" ht="22.5" customHeight="1">
      <c r="A781" s="614">
        <v>45719.0</v>
      </c>
      <c r="B781" s="626" t="s">
        <v>2218</v>
      </c>
      <c r="C781" s="609"/>
      <c r="D781" s="610">
        <v>188000.0</v>
      </c>
      <c r="E781" s="606"/>
      <c r="F781" s="627" t="s">
        <v>619</v>
      </c>
      <c r="G781" s="597">
        <v>0.0</v>
      </c>
      <c r="H781" s="598">
        <f t="shared" si="62"/>
        <v>0</v>
      </c>
      <c r="I781" s="599"/>
      <c r="J781" s="599"/>
      <c r="K781" s="615" t="s">
        <v>286</v>
      </c>
      <c r="L781" s="616" t="s">
        <v>454</v>
      </c>
      <c r="M781" s="621"/>
      <c r="N781" s="621"/>
      <c r="O781" s="621"/>
      <c r="P781" s="602"/>
      <c r="Q781" s="622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</row>
    <row r="782" ht="22.5" customHeight="1">
      <c r="A782" s="614">
        <v>45719.0</v>
      </c>
      <c r="B782" s="626" t="s">
        <v>2218</v>
      </c>
      <c r="C782" s="609"/>
      <c r="D782" s="610">
        <v>616440.83</v>
      </c>
      <c r="E782" s="606"/>
      <c r="F782" s="627" t="s">
        <v>619</v>
      </c>
      <c r="G782" s="597">
        <v>20.0</v>
      </c>
      <c r="H782" s="598">
        <f t="shared" si="62"/>
        <v>102740.1383</v>
      </c>
      <c r="I782" s="599"/>
      <c r="J782" s="599"/>
      <c r="K782" s="615" t="s">
        <v>101</v>
      </c>
      <c r="L782" s="616" t="s">
        <v>654</v>
      </c>
      <c r="M782" s="621"/>
      <c r="N782" s="621"/>
      <c r="O782" s="621"/>
      <c r="P782" s="602"/>
      <c r="Q782" s="613" t="s">
        <v>669</v>
      </c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</row>
    <row r="783" ht="22.5" customHeight="1">
      <c r="A783" s="614">
        <v>45719.0</v>
      </c>
      <c r="B783" s="626" t="s">
        <v>2218</v>
      </c>
      <c r="C783" s="609"/>
      <c r="D783" s="610">
        <v>331346.65</v>
      </c>
      <c r="E783" s="606"/>
      <c r="F783" s="627" t="s">
        <v>619</v>
      </c>
      <c r="G783" s="597">
        <v>20.0</v>
      </c>
      <c r="H783" s="598">
        <f t="shared" si="62"/>
        <v>55224.44167</v>
      </c>
      <c r="I783" s="599"/>
      <c r="J783" s="599"/>
      <c r="K783" s="615" t="s">
        <v>101</v>
      </c>
      <c r="L783" s="670" t="s">
        <v>670</v>
      </c>
      <c r="M783" s="621"/>
      <c r="N783" s="621"/>
      <c r="O783" s="621"/>
      <c r="P783" s="602"/>
      <c r="Q783" s="622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</row>
    <row r="784" ht="22.5" customHeight="1">
      <c r="A784" s="614">
        <v>45719.0</v>
      </c>
      <c r="B784" s="626" t="s">
        <v>2218</v>
      </c>
      <c r="C784" s="609"/>
      <c r="D784" s="610">
        <v>8203.0</v>
      </c>
      <c r="E784" s="606"/>
      <c r="F784" s="627" t="s">
        <v>619</v>
      </c>
      <c r="G784" s="597">
        <v>0.0</v>
      </c>
      <c r="H784" s="598">
        <f t="shared" si="62"/>
        <v>0</v>
      </c>
      <c r="I784" s="599"/>
      <c r="J784" s="599"/>
      <c r="K784" s="615" t="s">
        <v>101</v>
      </c>
      <c r="L784" s="670" t="s">
        <v>671</v>
      </c>
      <c r="M784" s="621"/>
      <c r="N784" s="621"/>
      <c r="O784" s="621"/>
      <c r="P784" s="602"/>
      <c r="Q784" s="622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</row>
    <row r="785" ht="22.5" customHeight="1">
      <c r="A785" s="614">
        <v>45719.0</v>
      </c>
      <c r="B785" s="626" t="s">
        <v>2218</v>
      </c>
      <c r="C785" s="609"/>
      <c r="D785" s="610">
        <v>702073.06</v>
      </c>
      <c r="E785" s="606"/>
      <c r="F785" s="627" t="s">
        <v>619</v>
      </c>
      <c r="G785" s="597">
        <v>20.0</v>
      </c>
      <c r="H785" s="598">
        <f t="shared" si="62"/>
        <v>117012.1767</v>
      </c>
      <c r="I785" s="599"/>
      <c r="J785" s="599"/>
      <c r="K785" s="615" t="s">
        <v>101</v>
      </c>
      <c r="L785" s="670" t="s">
        <v>597</v>
      </c>
      <c r="M785" s="621"/>
      <c r="N785" s="621"/>
      <c r="O785" s="621"/>
      <c r="P785" s="602"/>
      <c r="Q785" s="622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</row>
    <row r="786" ht="22.5" customHeight="1">
      <c r="A786" s="614">
        <v>45719.0</v>
      </c>
      <c r="B786" s="626" t="s">
        <v>2218</v>
      </c>
      <c r="C786" s="609"/>
      <c r="D786" s="610">
        <v>95899.8</v>
      </c>
      <c r="E786" s="606"/>
      <c r="F786" s="627" t="s">
        <v>619</v>
      </c>
      <c r="G786" s="597">
        <v>20.0</v>
      </c>
      <c r="H786" s="598">
        <f t="shared" si="62"/>
        <v>15983.3</v>
      </c>
      <c r="I786" s="599"/>
      <c r="J786" s="599"/>
      <c r="K786" s="615" t="s">
        <v>101</v>
      </c>
      <c r="L786" s="670" t="s">
        <v>643</v>
      </c>
      <c r="M786" s="621"/>
      <c r="N786" s="621"/>
      <c r="O786" s="621"/>
      <c r="P786" s="602"/>
      <c r="Q786" s="622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</row>
    <row r="787" ht="22.5" customHeight="1">
      <c r="A787" s="614">
        <v>45719.0</v>
      </c>
      <c r="B787" s="626" t="s">
        <v>2218</v>
      </c>
      <c r="C787" s="609"/>
      <c r="D787" s="610">
        <v>37767.46</v>
      </c>
      <c r="E787" s="606"/>
      <c r="F787" s="627" t="s">
        <v>619</v>
      </c>
      <c r="G787" s="597">
        <v>20.0</v>
      </c>
      <c r="H787" s="598">
        <f t="shared" si="62"/>
        <v>6294.576667</v>
      </c>
      <c r="I787" s="599"/>
      <c r="J787" s="599"/>
      <c r="K787" s="615" t="s">
        <v>101</v>
      </c>
      <c r="L787" s="670" t="s">
        <v>672</v>
      </c>
      <c r="M787" s="621"/>
      <c r="N787" s="621"/>
      <c r="O787" s="621"/>
      <c r="P787" s="602"/>
      <c r="Q787" s="622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</row>
    <row r="788" ht="22.5" customHeight="1">
      <c r="A788" s="614">
        <v>45719.0</v>
      </c>
      <c r="B788" s="626" t="s">
        <v>2218</v>
      </c>
      <c r="C788" s="609"/>
      <c r="D788" s="610">
        <v>47630.8</v>
      </c>
      <c r="E788" s="606"/>
      <c r="F788" s="627" t="s">
        <v>619</v>
      </c>
      <c r="G788" s="597">
        <v>20.0</v>
      </c>
      <c r="H788" s="598">
        <f t="shared" si="62"/>
        <v>7938.466667</v>
      </c>
      <c r="I788" s="599"/>
      <c r="J788" s="599"/>
      <c r="K788" s="615" t="s">
        <v>101</v>
      </c>
      <c r="L788" s="670" t="s">
        <v>631</v>
      </c>
      <c r="M788" s="621"/>
      <c r="N788" s="621"/>
      <c r="O788" s="621"/>
      <c r="P788" s="602"/>
      <c r="Q788" s="622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</row>
    <row r="789" ht="22.5" customHeight="1">
      <c r="A789" s="614">
        <v>45719.0</v>
      </c>
      <c r="B789" s="626" t="s">
        <v>2218</v>
      </c>
      <c r="C789" s="609"/>
      <c r="D789" s="610">
        <v>4585.21</v>
      </c>
      <c r="E789" s="606"/>
      <c r="F789" s="627" t="s">
        <v>619</v>
      </c>
      <c r="G789" s="597">
        <v>20.0</v>
      </c>
      <c r="H789" s="598">
        <f t="shared" si="62"/>
        <v>764.2016667</v>
      </c>
      <c r="I789" s="599"/>
      <c r="J789" s="599"/>
      <c r="K789" s="615" t="s">
        <v>101</v>
      </c>
      <c r="L789" s="670" t="s">
        <v>632</v>
      </c>
      <c r="M789" s="621"/>
      <c r="N789" s="621"/>
      <c r="O789" s="621"/>
      <c r="P789" s="602"/>
      <c r="Q789" s="682" t="s">
        <v>673</v>
      </c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</row>
    <row r="790" ht="22.5" customHeight="1">
      <c r="A790" s="614">
        <v>45719.0</v>
      </c>
      <c r="B790" s="626" t="s">
        <v>2218</v>
      </c>
      <c r="C790" s="609"/>
      <c r="D790" s="610">
        <v>13990.0</v>
      </c>
      <c r="E790" s="606"/>
      <c r="F790" s="627" t="s">
        <v>674</v>
      </c>
      <c r="G790" s="597">
        <v>0.0</v>
      </c>
      <c r="H790" s="598">
        <f t="shared" si="62"/>
        <v>0</v>
      </c>
      <c r="I790" s="599"/>
      <c r="J790" s="599"/>
      <c r="K790" s="600" t="s">
        <v>30</v>
      </c>
      <c r="L790" s="601" t="s">
        <v>31</v>
      </c>
      <c r="M790" s="621"/>
      <c r="N790" s="621"/>
      <c r="O790" s="621"/>
      <c r="P790" s="602"/>
      <c r="Q790" s="622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</row>
    <row r="791" ht="22.5" customHeight="1">
      <c r="A791" s="614">
        <v>45719.0</v>
      </c>
      <c r="B791" s="626" t="s">
        <v>2218</v>
      </c>
      <c r="C791" s="610">
        <v>79500.12</v>
      </c>
      <c r="D791" s="610"/>
      <c r="E791" s="606"/>
      <c r="F791" s="627" t="s">
        <v>619</v>
      </c>
      <c r="G791" s="597">
        <v>20.0</v>
      </c>
      <c r="H791" s="598">
        <f t="shared" si="62"/>
        <v>13250.02</v>
      </c>
      <c r="I791" s="599"/>
      <c r="J791" s="599"/>
      <c r="K791" s="615" t="s">
        <v>51</v>
      </c>
      <c r="L791" s="616" t="s">
        <v>305</v>
      </c>
      <c r="M791" s="621"/>
      <c r="N791" s="612">
        <v>17.0</v>
      </c>
      <c r="O791" s="662">
        <v>45671.0</v>
      </c>
      <c r="P791" s="602">
        <f>A791-IF(O791&gt;0,O791,A791)</f>
        <v>48</v>
      </c>
      <c r="Q791" s="622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</row>
    <row r="792" ht="22.5" customHeight="1">
      <c r="A792" s="614">
        <v>45719.0</v>
      </c>
      <c r="B792" s="626" t="s">
        <v>2218</v>
      </c>
      <c r="C792" s="609"/>
      <c r="D792" s="609"/>
      <c r="E792" s="604" t="s">
        <v>33</v>
      </c>
      <c r="F792" s="627" t="s">
        <v>626</v>
      </c>
      <c r="G792" s="597">
        <v>0.0</v>
      </c>
      <c r="H792" s="598">
        <f t="shared" si="62"/>
        <v>0</v>
      </c>
      <c r="I792" s="605"/>
      <c r="J792" s="605">
        <v>135000.0</v>
      </c>
      <c r="K792" s="615" t="s">
        <v>108</v>
      </c>
      <c r="L792" s="616" t="s">
        <v>676</v>
      </c>
      <c r="M792" s="621"/>
      <c r="N792" s="621"/>
      <c r="O792" s="621"/>
      <c r="P792" s="602"/>
      <c r="Q792" s="651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</row>
    <row r="793" ht="22.5" customHeight="1">
      <c r="A793" s="614">
        <v>45721.0</v>
      </c>
      <c r="B793" s="626" t="s">
        <v>2218</v>
      </c>
      <c r="C793" s="610">
        <v>252000.04</v>
      </c>
      <c r="D793" s="609"/>
      <c r="E793" s="606"/>
      <c r="F793" s="627" t="s">
        <v>570</v>
      </c>
      <c r="G793" s="597">
        <v>20.0</v>
      </c>
      <c r="H793" s="598">
        <f t="shared" si="62"/>
        <v>42000.00667</v>
      </c>
      <c r="I793" s="599"/>
      <c r="J793" s="599"/>
      <c r="K793" s="672" t="s">
        <v>51</v>
      </c>
      <c r="L793" s="616" t="s">
        <v>2243</v>
      </c>
      <c r="M793" s="621"/>
      <c r="N793" s="612">
        <v>197.0</v>
      </c>
      <c r="O793" s="668">
        <v>45636.0</v>
      </c>
      <c r="P793" s="602">
        <f>A793-IF(O793&gt;0,O793,A793)</f>
        <v>85</v>
      </c>
      <c r="Q793" s="622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</row>
    <row r="794" ht="22.5" customHeight="1">
      <c r="A794" s="614">
        <v>45721.0</v>
      </c>
      <c r="B794" s="626" t="s">
        <v>2218</v>
      </c>
      <c r="C794" s="609"/>
      <c r="D794" s="610">
        <v>542284.47</v>
      </c>
      <c r="E794" s="606"/>
      <c r="F794" s="627" t="s">
        <v>664</v>
      </c>
      <c r="G794" s="597">
        <v>0.0</v>
      </c>
      <c r="H794" s="598">
        <f t="shared" si="62"/>
        <v>0</v>
      </c>
      <c r="I794" s="599"/>
      <c r="J794" s="599"/>
      <c r="K794" s="615" t="s">
        <v>322</v>
      </c>
      <c r="L794" s="616" t="s">
        <v>482</v>
      </c>
      <c r="M794" s="621"/>
      <c r="N794" s="621"/>
      <c r="O794" s="621"/>
      <c r="P794" s="602"/>
      <c r="Q794" s="622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</row>
    <row r="795" ht="22.5" customHeight="1">
      <c r="A795" s="614">
        <v>45721.0</v>
      </c>
      <c r="B795" s="626" t="s">
        <v>2218</v>
      </c>
      <c r="C795" s="609"/>
      <c r="D795" s="610">
        <v>81189.0</v>
      </c>
      <c r="E795" s="606"/>
      <c r="F795" s="627" t="s">
        <v>674</v>
      </c>
      <c r="G795" s="597">
        <v>0.0</v>
      </c>
      <c r="H795" s="598">
        <f t="shared" si="62"/>
        <v>0</v>
      </c>
      <c r="I795" s="599"/>
      <c r="J795" s="599"/>
      <c r="K795" s="615" t="s">
        <v>236</v>
      </c>
      <c r="L795" s="616" t="s">
        <v>72</v>
      </c>
      <c r="M795" s="621"/>
      <c r="N795" s="621"/>
      <c r="O795" s="621"/>
      <c r="P795" s="602"/>
      <c r="Q795" s="613" t="s">
        <v>209</v>
      </c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</row>
    <row r="796" ht="22.5" customHeight="1">
      <c r="A796" s="614">
        <v>45721.0</v>
      </c>
      <c r="B796" s="626" t="s">
        <v>2218</v>
      </c>
      <c r="C796" s="609"/>
      <c r="D796" s="610">
        <v>61177.0</v>
      </c>
      <c r="E796" s="606"/>
      <c r="F796" s="627" t="s">
        <v>674</v>
      </c>
      <c r="G796" s="597">
        <v>0.0</v>
      </c>
      <c r="H796" s="598">
        <f t="shared" si="62"/>
        <v>0</v>
      </c>
      <c r="I796" s="599"/>
      <c r="J796" s="599"/>
      <c r="K796" s="615" t="s">
        <v>236</v>
      </c>
      <c r="L796" s="616" t="s">
        <v>72</v>
      </c>
      <c r="M796" s="621"/>
      <c r="N796" s="621"/>
      <c r="O796" s="621"/>
      <c r="P796" s="602"/>
      <c r="Q796" s="613" t="s">
        <v>663</v>
      </c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</row>
    <row r="797" ht="22.5" customHeight="1">
      <c r="A797" s="614">
        <v>45721.0</v>
      </c>
      <c r="B797" s="626" t="s">
        <v>2218</v>
      </c>
      <c r="C797" s="609"/>
      <c r="D797" s="609"/>
      <c r="E797" s="604" t="s">
        <v>33</v>
      </c>
      <c r="F797" s="627" t="s">
        <v>626</v>
      </c>
      <c r="G797" s="597">
        <v>0.0</v>
      </c>
      <c r="H797" s="598">
        <f t="shared" si="62"/>
        <v>0</v>
      </c>
      <c r="I797" s="599"/>
      <c r="J797" s="605">
        <v>540000.0</v>
      </c>
      <c r="K797" s="615" t="s">
        <v>591</v>
      </c>
      <c r="L797" s="616" t="s">
        <v>678</v>
      </c>
      <c r="M797" s="621"/>
      <c r="N797" s="621"/>
      <c r="O797" s="621"/>
      <c r="P797" s="602"/>
      <c r="Q797" s="622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</row>
    <row r="798" ht="22.5" customHeight="1">
      <c r="A798" s="614">
        <v>45721.0</v>
      </c>
      <c r="B798" s="626" t="s">
        <v>2218</v>
      </c>
      <c r="C798" s="609"/>
      <c r="D798" s="609"/>
      <c r="E798" s="604" t="s">
        <v>33</v>
      </c>
      <c r="F798" s="627" t="s">
        <v>626</v>
      </c>
      <c r="G798" s="597">
        <v>0.0</v>
      </c>
      <c r="H798" s="598">
        <f t="shared" si="62"/>
        <v>0</v>
      </c>
      <c r="I798" s="599"/>
      <c r="J798" s="605">
        <v>60040.0</v>
      </c>
      <c r="K798" s="615" t="s">
        <v>1181</v>
      </c>
      <c r="L798" s="616" t="s">
        <v>489</v>
      </c>
      <c r="M798" s="621"/>
      <c r="N798" s="621"/>
      <c r="O798" s="621"/>
      <c r="P798" s="602"/>
      <c r="Q798" s="622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</row>
    <row r="799" ht="22.5" customHeight="1">
      <c r="A799" s="614">
        <v>45721.0</v>
      </c>
      <c r="B799" s="626" t="s">
        <v>2218</v>
      </c>
      <c r="C799" s="609"/>
      <c r="D799" s="609"/>
      <c r="E799" s="604" t="s">
        <v>33</v>
      </c>
      <c r="F799" s="627" t="s">
        <v>626</v>
      </c>
      <c r="G799" s="597">
        <v>0.0</v>
      </c>
      <c r="H799" s="598">
        <f t="shared" si="62"/>
        <v>0</v>
      </c>
      <c r="I799" s="599"/>
      <c r="J799" s="605">
        <v>7000.0</v>
      </c>
      <c r="K799" s="615" t="s">
        <v>494</v>
      </c>
      <c r="L799" s="616" t="s">
        <v>679</v>
      </c>
      <c r="M799" s="621"/>
      <c r="N799" s="621"/>
      <c r="O799" s="621"/>
      <c r="P799" s="602"/>
      <c r="Q799" s="622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</row>
    <row r="800" ht="22.5" customHeight="1">
      <c r="A800" s="614">
        <v>45723.0</v>
      </c>
      <c r="B800" s="626" t="s">
        <v>2218</v>
      </c>
      <c r="C800" s="610">
        <v>600000.24</v>
      </c>
      <c r="D800" s="609"/>
      <c r="E800" s="606"/>
      <c r="F800" s="627" t="s">
        <v>570</v>
      </c>
      <c r="G800" s="597">
        <v>20.0</v>
      </c>
      <c r="H800" s="598">
        <f t="shared" si="62"/>
        <v>100000.04</v>
      </c>
      <c r="I800" s="599"/>
      <c r="J800" s="599"/>
      <c r="K800" s="673" t="s">
        <v>51</v>
      </c>
      <c r="L800" s="616" t="s">
        <v>2229</v>
      </c>
      <c r="M800" s="621"/>
      <c r="N800" s="612">
        <v>213.0</v>
      </c>
      <c r="O800" s="668">
        <v>45636.0</v>
      </c>
      <c r="P800" s="602">
        <f>A800-IF(O800&gt;0,O800,A800)</f>
        <v>87</v>
      </c>
      <c r="Q800" s="622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</row>
    <row r="801" ht="22.5" customHeight="1">
      <c r="A801" s="614">
        <v>45726.0</v>
      </c>
      <c r="B801" s="626" t="s">
        <v>2218</v>
      </c>
      <c r="C801" s="609"/>
      <c r="D801" s="609"/>
      <c r="E801" s="604" t="s">
        <v>33</v>
      </c>
      <c r="F801" s="627" t="s">
        <v>674</v>
      </c>
      <c r="G801" s="597">
        <v>0.0</v>
      </c>
      <c r="H801" s="598">
        <f t="shared" si="62"/>
        <v>0</v>
      </c>
      <c r="I801" s="599"/>
      <c r="J801" s="605">
        <v>3000.0</v>
      </c>
      <c r="K801" s="615" t="s">
        <v>494</v>
      </c>
      <c r="L801" s="616" t="s">
        <v>680</v>
      </c>
      <c r="M801" s="621"/>
      <c r="N801" s="621"/>
      <c r="O801" s="621"/>
      <c r="P801" s="602"/>
      <c r="Q801" s="622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</row>
    <row r="802" ht="22.5" customHeight="1">
      <c r="A802" s="683">
        <v>45726.0</v>
      </c>
      <c r="B802" s="675" t="s">
        <v>2218</v>
      </c>
      <c r="C802" s="609"/>
      <c r="D802" s="609"/>
      <c r="E802" s="604" t="s">
        <v>33</v>
      </c>
      <c r="F802" s="627" t="s">
        <v>674</v>
      </c>
      <c r="G802" s="597">
        <v>0.0</v>
      </c>
      <c r="H802" s="598">
        <f t="shared" si="62"/>
        <v>0</v>
      </c>
      <c r="I802" s="599"/>
      <c r="J802" s="605">
        <v>25000.0</v>
      </c>
      <c r="K802" s="615" t="s">
        <v>108</v>
      </c>
      <c r="L802" s="616" t="s">
        <v>681</v>
      </c>
      <c r="M802" s="621"/>
      <c r="N802" s="621"/>
      <c r="O802" s="621"/>
      <c r="P802" s="602"/>
      <c r="Q802" s="622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</row>
    <row r="803" ht="22.5" customHeight="1">
      <c r="A803" s="683">
        <v>45726.0</v>
      </c>
      <c r="B803" s="675" t="s">
        <v>2218</v>
      </c>
      <c r="C803" s="609"/>
      <c r="D803" s="609">
        <f>519312+487.65+24038</f>
        <v>543837.65</v>
      </c>
      <c r="E803" s="606"/>
      <c r="F803" s="627" t="s">
        <v>626</v>
      </c>
      <c r="G803" s="597">
        <v>0.0</v>
      </c>
      <c r="H803" s="598">
        <f t="shared" si="62"/>
        <v>0</v>
      </c>
      <c r="I803" s="599"/>
      <c r="J803" s="599"/>
      <c r="K803" s="615" t="s">
        <v>203</v>
      </c>
      <c r="L803" s="616" t="s">
        <v>682</v>
      </c>
      <c r="M803" s="621"/>
      <c r="N803" s="621"/>
      <c r="O803" s="621"/>
      <c r="P803" s="602"/>
      <c r="Q803" s="622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</row>
    <row r="804" ht="22.5" customHeight="1">
      <c r="A804" s="683">
        <v>45726.0</v>
      </c>
      <c r="B804" s="675" t="s">
        <v>2218</v>
      </c>
      <c r="C804" s="609"/>
      <c r="D804" s="610">
        <v>106000.0</v>
      </c>
      <c r="E804" s="606"/>
      <c r="F804" s="627" t="s">
        <v>674</v>
      </c>
      <c r="G804" s="597">
        <v>0.0</v>
      </c>
      <c r="H804" s="598">
        <f t="shared" si="62"/>
        <v>0</v>
      </c>
      <c r="I804" s="599"/>
      <c r="J804" s="599"/>
      <c r="K804" s="615" t="s">
        <v>322</v>
      </c>
      <c r="L804" s="616" t="s">
        <v>683</v>
      </c>
      <c r="M804" s="621"/>
      <c r="N804" s="621"/>
      <c r="O804" s="621"/>
      <c r="P804" s="602"/>
      <c r="Q804" s="613" t="s">
        <v>684</v>
      </c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</row>
    <row r="805" ht="22.5" customHeight="1">
      <c r="A805" s="683">
        <v>45726.0</v>
      </c>
      <c r="B805" s="675" t="s">
        <v>2218</v>
      </c>
      <c r="C805" s="609"/>
      <c r="D805" s="609"/>
      <c r="E805" s="604" t="s">
        <v>33</v>
      </c>
      <c r="F805" s="627" t="s">
        <v>626</v>
      </c>
      <c r="G805" s="597">
        <v>0.0</v>
      </c>
      <c r="H805" s="598">
        <f t="shared" si="62"/>
        <v>0</v>
      </c>
      <c r="I805" s="599"/>
      <c r="J805" s="605">
        <v>50000.0</v>
      </c>
      <c r="K805" s="615" t="s">
        <v>591</v>
      </c>
      <c r="L805" s="616" t="s">
        <v>685</v>
      </c>
      <c r="M805" s="621"/>
      <c r="N805" s="621"/>
      <c r="O805" s="621"/>
      <c r="P805" s="602"/>
      <c r="Q805" s="622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</row>
    <row r="806" ht="22.5" customHeight="1">
      <c r="A806" s="683">
        <v>45726.0</v>
      </c>
      <c r="B806" s="675" t="s">
        <v>2218</v>
      </c>
      <c r="C806" s="609"/>
      <c r="D806" s="609"/>
      <c r="E806" s="604" t="s">
        <v>33</v>
      </c>
      <c r="F806" s="627" t="s">
        <v>674</v>
      </c>
      <c r="G806" s="597">
        <v>0.0</v>
      </c>
      <c r="H806" s="598">
        <f t="shared" si="62"/>
        <v>0</v>
      </c>
      <c r="I806" s="599"/>
      <c r="J806" s="605">
        <v>35000.0</v>
      </c>
      <c r="K806" s="615" t="s">
        <v>1181</v>
      </c>
      <c r="L806" s="616" t="s">
        <v>686</v>
      </c>
      <c r="M806" s="621"/>
      <c r="N806" s="621"/>
      <c r="O806" s="621"/>
      <c r="P806" s="602"/>
      <c r="Q806" s="622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</row>
    <row r="807" ht="22.5" customHeight="1">
      <c r="A807" s="683">
        <v>45726.0</v>
      </c>
      <c r="B807" s="675" t="s">
        <v>2218</v>
      </c>
      <c r="C807" s="609"/>
      <c r="D807" s="610">
        <v>5000.0</v>
      </c>
      <c r="E807" s="595"/>
      <c r="F807" s="627" t="s">
        <v>674</v>
      </c>
      <c r="G807" s="597">
        <v>20.0</v>
      </c>
      <c r="H807" s="598">
        <f t="shared" si="62"/>
        <v>833.3333333</v>
      </c>
      <c r="I807" s="599"/>
      <c r="J807" s="599"/>
      <c r="K807" s="615" t="s">
        <v>108</v>
      </c>
      <c r="L807" s="616" t="s">
        <v>687</v>
      </c>
      <c r="M807" s="621"/>
      <c r="N807" s="621"/>
      <c r="O807" s="621"/>
      <c r="P807" s="602"/>
      <c r="Q807" s="622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</row>
    <row r="808" ht="22.5" customHeight="1">
      <c r="A808" s="683">
        <v>45726.0</v>
      </c>
      <c r="B808" s="675" t="s">
        <v>2218</v>
      </c>
      <c r="C808" s="609"/>
      <c r="D808" s="609"/>
      <c r="E808" s="604" t="s">
        <v>33</v>
      </c>
      <c r="F808" s="627" t="s">
        <v>594</v>
      </c>
      <c r="G808" s="597">
        <v>0.0</v>
      </c>
      <c r="H808" s="598">
        <f t="shared" si="62"/>
        <v>0</v>
      </c>
      <c r="I808" s="599"/>
      <c r="J808" s="605">
        <v>88000.0</v>
      </c>
      <c r="K808" s="615" t="s">
        <v>93</v>
      </c>
      <c r="L808" s="616" t="s">
        <v>688</v>
      </c>
      <c r="M808" s="621"/>
      <c r="N808" s="621"/>
      <c r="O808" s="621"/>
      <c r="P808" s="602"/>
      <c r="Q808" s="622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</row>
    <row r="809" ht="22.5" customHeight="1">
      <c r="A809" s="614">
        <v>45729.0</v>
      </c>
      <c r="B809" s="675" t="s">
        <v>2218</v>
      </c>
      <c r="C809" s="610">
        <v>599970.0</v>
      </c>
      <c r="D809" s="609"/>
      <c r="E809" s="606"/>
      <c r="F809" s="627" t="s">
        <v>594</v>
      </c>
      <c r="G809" s="597">
        <v>20.0</v>
      </c>
      <c r="H809" s="598">
        <f t="shared" si="62"/>
        <v>99995</v>
      </c>
      <c r="I809" s="599"/>
      <c r="J809" s="599"/>
      <c r="K809" s="674" t="s">
        <v>51</v>
      </c>
      <c r="L809" s="616" t="s">
        <v>689</v>
      </c>
      <c r="M809" s="621"/>
      <c r="N809" s="612">
        <v>52.0</v>
      </c>
      <c r="O809" s="662">
        <v>45697.0</v>
      </c>
      <c r="P809" s="602">
        <f t="shared" ref="P809:P811" si="69">A809-IF(O809&gt;0,O809,A809)</f>
        <v>32</v>
      </c>
      <c r="Q809" s="622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</row>
    <row r="810" ht="22.5" customHeight="1">
      <c r="A810" s="614">
        <v>45729.0</v>
      </c>
      <c r="B810" s="675" t="s">
        <v>2218</v>
      </c>
      <c r="C810" s="610">
        <v>661500.0</v>
      </c>
      <c r="D810" s="609"/>
      <c r="E810" s="606"/>
      <c r="F810" s="627" t="s">
        <v>594</v>
      </c>
      <c r="G810" s="597">
        <v>20.0</v>
      </c>
      <c r="H810" s="598">
        <f t="shared" si="62"/>
        <v>110250</v>
      </c>
      <c r="I810" s="599"/>
      <c r="J810" s="599"/>
      <c r="K810" s="615" t="s">
        <v>51</v>
      </c>
      <c r="L810" s="616" t="s">
        <v>689</v>
      </c>
      <c r="M810" s="621"/>
      <c r="N810" s="612">
        <v>53.0</v>
      </c>
      <c r="O810" s="662">
        <v>45697.0</v>
      </c>
      <c r="P810" s="602">
        <f t="shared" si="69"/>
        <v>32</v>
      </c>
      <c r="Q810" s="622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</row>
    <row r="811" ht="22.5" customHeight="1">
      <c r="A811" s="614">
        <v>45729.0</v>
      </c>
      <c r="B811" s="675" t="s">
        <v>2218</v>
      </c>
      <c r="C811" s="610">
        <v>600600.0</v>
      </c>
      <c r="D811" s="609"/>
      <c r="E811" s="606"/>
      <c r="F811" s="627" t="s">
        <v>594</v>
      </c>
      <c r="G811" s="597">
        <v>20.0</v>
      </c>
      <c r="H811" s="598">
        <f t="shared" si="62"/>
        <v>100100</v>
      </c>
      <c r="I811" s="599"/>
      <c r="J811" s="599"/>
      <c r="K811" s="615" t="s">
        <v>51</v>
      </c>
      <c r="L811" s="616" t="s">
        <v>689</v>
      </c>
      <c r="M811" s="621"/>
      <c r="N811" s="612">
        <v>54.0</v>
      </c>
      <c r="O811" s="662">
        <v>45697.0</v>
      </c>
      <c r="P811" s="602">
        <f t="shared" si="69"/>
        <v>32</v>
      </c>
      <c r="Q811" s="622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</row>
    <row r="812" ht="22.5" customHeight="1">
      <c r="A812" s="614">
        <v>45729.0</v>
      </c>
      <c r="B812" s="675" t="s">
        <v>2218</v>
      </c>
      <c r="C812" s="609"/>
      <c r="D812" s="610">
        <v>16800.0</v>
      </c>
      <c r="E812" s="606"/>
      <c r="F812" s="627" t="s">
        <v>674</v>
      </c>
      <c r="G812" s="597">
        <v>0.0</v>
      </c>
      <c r="H812" s="598">
        <f t="shared" si="62"/>
        <v>0</v>
      </c>
      <c r="I812" s="599"/>
      <c r="J812" s="599"/>
      <c r="K812" s="615" t="s">
        <v>30</v>
      </c>
      <c r="L812" s="616" t="s">
        <v>690</v>
      </c>
      <c r="M812" s="621"/>
      <c r="N812" s="621"/>
      <c r="O812" s="621"/>
      <c r="P812" s="602"/>
      <c r="Q812" s="622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</row>
    <row r="813" ht="22.5" customHeight="1">
      <c r="A813" s="614">
        <v>45729.0</v>
      </c>
      <c r="B813" s="675" t="s">
        <v>2218</v>
      </c>
      <c r="C813" s="609"/>
      <c r="D813" s="610">
        <v>217000.0</v>
      </c>
      <c r="E813" s="606"/>
      <c r="F813" s="627" t="s">
        <v>674</v>
      </c>
      <c r="G813" s="597">
        <v>0.0</v>
      </c>
      <c r="H813" s="598">
        <f t="shared" si="62"/>
        <v>0</v>
      </c>
      <c r="I813" s="599"/>
      <c r="J813" s="599"/>
      <c r="K813" s="615" t="s">
        <v>494</v>
      </c>
      <c r="L813" s="616" t="s">
        <v>691</v>
      </c>
      <c r="M813" s="621"/>
      <c r="N813" s="621"/>
      <c r="O813" s="621"/>
      <c r="P813" s="602"/>
      <c r="Q813" s="622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</row>
    <row r="814" ht="22.5" customHeight="1">
      <c r="A814" s="614">
        <v>45729.0</v>
      </c>
      <c r="B814" s="675" t="s">
        <v>2218</v>
      </c>
      <c r="C814" s="609"/>
      <c r="D814" s="609"/>
      <c r="E814" s="604" t="s">
        <v>33</v>
      </c>
      <c r="F814" s="627" t="s">
        <v>674</v>
      </c>
      <c r="G814" s="597">
        <v>0.0</v>
      </c>
      <c r="H814" s="598">
        <f t="shared" si="62"/>
        <v>0</v>
      </c>
      <c r="I814" s="599"/>
      <c r="J814" s="599">
        <f>15400+890+650</f>
        <v>16940</v>
      </c>
      <c r="K814" s="615" t="s">
        <v>494</v>
      </c>
      <c r="L814" s="616" t="s">
        <v>692</v>
      </c>
      <c r="M814" s="621"/>
      <c r="N814" s="621"/>
      <c r="O814" s="621"/>
      <c r="P814" s="602"/>
      <c r="Q814" s="622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</row>
    <row r="815" ht="22.5" customHeight="1">
      <c r="A815" s="614">
        <v>45729.0</v>
      </c>
      <c r="B815" s="675" t="s">
        <v>2218</v>
      </c>
      <c r="C815" s="609"/>
      <c r="D815" s="609"/>
      <c r="E815" s="604" t="s">
        <v>33</v>
      </c>
      <c r="F815" s="627" t="s">
        <v>674</v>
      </c>
      <c r="G815" s="597">
        <v>0.0</v>
      </c>
      <c r="H815" s="598">
        <f t="shared" si="62"/>
        <v>0</v>
      </c>
      <c r="I815" s="599"/>
      <c r="J815" s="605">
        <v>10000.0</v>
      </c>
      <c r="K815" s="615" t="s">
        <v>1181</v>
      </c>
      <c r="L815" s="616" t="s">
        <v>693</v>
      </c>
      <c r="M815" s="621"/>
      <c r="N815" s="621"/>
      <c r="O815" s="621"/>
      <c r="P815" s="602"/>
      <c r="Q815" s="622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</row>
    <row r="816" ht="22.5" customHeight="1">
      <c r="A816" s="614">
        <v>45729.0</v>
      </c>
      <c r="B816" s="675" t="s">
        <v>2218</v>
      </c>
      <c r="C816" s="609"/>
      <c r="D816" s="609"/>
      <c r="E816" s="604" t="s">
        <v>33</v>
      </c>
      <c r="F816" s="627" t="s">
        <v>674</v>
      </c>
      <c r="G816" s="597">
        <v>0.0</v>
      </c>
      <c r="H816" s="598">
        <f t="shared" si="62"/>
        <v>0</v>
      </c>
      <c r="I816" s="599"/>
      <c r="J816" s="605">
        <v>100000.0</v>
      </c>
      <c r="K816" s="615" t="s">
        <v>1181</v>
      </c>
      <c r="L816" s="616" t="s">
        <v>694</v>
      </c>
      <c r="M816" s="621"/>
      <c r="N816" s="621"/>
      <c r="O816" s="621"/>
      <c r="P816" s="602"/>
      <c r="Q816" s="622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</row>
    <row r="817" ht="22.5" customHeight="1">
      <c r="A817" s="614">
        <v>45729.0</v>
      </c>
      <c r="B817" s="675" t="s">
        <v>2218</v>
      </c>
      <c r="C817" s="609"/>
      <c r="D817" s="609"/>
      <c r="E817" s="604" t="s">
        <v>33</v>
      </c>
      <c r="F817" s="627" t="s">
        <v>674</v>
      </c>
      <c r="G817" s="597">
        <v>0.0</v>
      </c>
      <c r="H817" s="598">
        <f t="shared" si="62"/>
        <v>0</v>
      </c>
      <c r="I817" s="599"/>
      <c r="J817" s="605">
        <v>135000.0</v>
      </c>
      <c r="K817" s="615" t="s">
        <v>108</v>
      </c>
      <c r="L817" s="616" t="s">
        <v>676</v>
      </c>
      <c r="M817" s="621"/>
      <c r="N817" s="621"/>
      <c r="O817" s="621"/>
      <c r="P817" s="602"/>
      <c r="Q817" s="622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</row>
    <row r="818" ht="22.5" customHeight="1">
      <c r="A818" s="614">
        <v>45730.0</v>
      </c>
      <c r="B818" s="675" t="s">
        <v>2218</v>
      </c>
      <c r="C818" s="609"/>
      <c r="D818" s="609"/>
      <c r="E818" s="604" t="s">
        <v>33</v>
      </c>
      <c r="F818" s="627" t="s">
        <v>674</v>
      </c>
      <c r="G818" s="597">
        <v>0.0</v>
      </c>
      <c r="H818" s="598">
        <f t="shared" si="62"/>
        <v>0</v>
      </c>
      <c r="I818" s="599"/>
      <c r="J818" s="605">
        <v>50000.0</v>
      </c>
      <c r="K818" s="615" t="s">
        <v>591</v>
      </c>
      <c r="L818" s="616" t="s">
        <v>695</v>
      </c>
      <c r="M818" s="621"/>
      <c r="N818" s="621"/>
      <c r="O818" s="621"/>
      <c r="P818" s="602"/>
      <c r="Q818" s="622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</row>
    <row r="819" ht="22.5" customHeight="1">
      <c r="A819" s="614">
        <v>45730.0</v>
      </c>
      <c r="B819" s="675" t="s">
        <v>2218</v>
      </c>
      <c r="C819" s="609"/>
      <c r="D819" s="609"/>
      <c r="E819" s="604" t="s">
        <v>33</v>
      </c>
      <c r="F819" s="627" t="s">
        <v>674</v>
      </c>
      <c r="G819" s="597">
        <v>0.0</v>
      </c>
      <c r="H819" s="598">
        <f t="shared" si="62"/>
        <v>0</v>
      </c>
      <c r="I819" s="599"/>
      <c r="J819" s="605">
        <v>3700.0</v>
      </c>
      <c r="K819" s="615" t="s">
        <v>494</v>
      </c>
      <c r="L819" s="616" t="s">
        <v>696</v>
      </c>
      <c r="M819" s="621"/>
      <c r="N819" s="621"/>
      <c r="O819" s="621"/>
      <c r="P819" s="602"/>
      <c r="Q819" s="622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</row>
    <row r="820" ht="22.5" customHeight="1">
      <c r="A820" s="614">
        <v>45734.0</v>
      </c>
      <c r="B820" s="675" t="s">
        <v>2218</v>
      </c>
      <c r="C820" s="609"/>
      <c r="D820" s="609"/>
      <c r="E820" s="604" t="s">
        <v>33</v>
      </c>
      <c r="F820" s="627" t="s">
        <v>674</v>
      </c>
      <c r="G820" s="597">
        <v>0.0</v>
      </c>
      <c r="H820" s="598">
        <f t="shared" si="62"/>
        <v>0</v>
      </c>
      <c r="I820" s="599"/>
      <c r="J820" s="605">
        <v>20000.0</v>
      </c>
      <c r="K820" s="615" t="s">
        <v>1181</v>
      </c>
      <c r="L820" s="616" t="s">
        <v>697</v>
      </c>
      <c r="M820" s="621"/>
      <c r="N820" s="621"/>
      <c r="O820" s="621"/>
      <c r="P820" s="602"/>
      <c r="Q820" s="622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</row>
    <row r="821" ht="22.5" customHeight="1">
      <c r="A821" s="614">
        <v>45735.0</v>
      </c>
      <c r="B821" s="675" t="s">
        <v>2218</v>
      </c>
      <c r="C821" s="609"/>
      <c r="D821" s="610">
        <v>7267277.67</v>
      </c>
      <c r="E821" s="606"/>
      <c r="F821" s="627" t="s">
        <v>619</v>
      </c>
      <c r="G821" s="597">
        <v>20.0</v>
      </c>
      <c r="H821" s="598">
        <f t="shared" si="62"/>
        <v>1211212.945</v>
      </c>
      <c r="I821" s="599"/>
      <c r="J821" s="599"/>
      <c r="K821" s="615" t="s">
        <v>101</v>
      </c>
      <c r="L821" s="616" t="s">
        <v>654</v>
      </c>
      <c r="M821" s="621"/>
      <c r="N821" s="621"/>
      <c r="O821" s="621"/>
      <c r="P821" s="602"/>
      <c r="Q821" s="622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</row>
    <row r="822" ht="22.5" customHeight="1">
      <c r="A822" s="614">
        <v>45735.0</v>
      </c>
      <c r="B822" s="626" t="s">
        <v>2218</v>
      </c>
      <c r="C822" s="610">
        <v>126000.0</v>
      </c>
      <c r="D822" s="610"/>
      <c r="E822" s="606"/>
      <c r="F822" s="627" t="s">
        <v>619</v>
      </c>
      <c r="G822" s="597">
        <v>20.0</v>
      </c>
      <c r="H822" s="598">
        <f t="shared" si="62"/>
        <v>21000</v>
      </c>
      <c r="I822" s="599"/>
      <c r="J822" s="599"/>
      <c r="K822" s="615" t="s">
        <v>51</v>
      </c>
      <c r="L822" s="616" t="s">
        <v>654</v>
      </c>
      <c r="M822" s="621"/>
      <c r="N822" s="612">
        <v>2.0</v>
      </c>
      <c r="O822" s="662">
        <v>45666.0</v>
      </c>
      <c r="P822" s="602">
        <f>A822-IF(O822&gt;0,O822,A822)</f>
        <v>69</v>
      </c>
      <c r="Q822" s="622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</row>
    <row r="823" ht="22.5" customHeight="1">
      <c r="A823" s="614">
        <v>45735.0</v>
      </c>
      <c r="B823" s="675" t="s">
        <v>2218</v>
      </c>
      <c r="C823" s="609"/>
      <c r="D823" s="610">
        <v>25560.0</v>
      </c>
      <c r="E823" s="606"/>
      <c r="F823" s="627" t="s">
        <v>674</v>
      </c>
      <c r="G823" s="597">
        <v>0.0</v>
      </c>
      <c r="H823" s="598">
        <f t="shared" si="62"/>
        <v>0</v>
      </c>
      <c r="I823" s="599"/>
      <c r="J823" s="599"/>
      <c r="K823" s="615" t="s">
        <v>494</v>
      </c>
      <c r="L823" s="616" t="s">
        <v>698</v>
      </c>
      <c r="M823" s="621"/>
      <c r="N823" s="621"/>
      <c r="O823" s="621"/>
      <c r="P823" s="602"/>
      <c r="Q823" s="613" t="s">
        <v>642</v>
      </c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</row>
    <row r="824" ht="22.5" customHeight="1">
      <c r="A824" s="614">
        <v>45736.0</v>
      </c>
      <c r="B824" s="675" t="s">
        <v>2218</v>
      </c>
      <c r="C824" s="609"/>
      <c r="D824" s="609"/>
      <c r="E824" s="604" t="s">
        <v>33</v>
      </c>
      <c r="F824" s="627" t="s">
        <v>674</v>
      </c>
      <c r="G824" s="597">
        <v>0.0</v>
      </c>
      <c r="H824" s="598">
        <f t="shared" si="62"/>
        <v>0</v>
      </c>
      <c r="I824" s="599"/>
      <c r="J824" s="605">
        <v>18000.0</v>
      </c>
      <c r="K824" s="615" t="s">
        <v>1181</v>
      </c>
      <c r="L824" s="616" t="s">
        <v>699</v>
      </c>
      <c r="M824" s="621"/>
      <c r="N824" s="621"/>
      <c r="O824" s="621"/>
      <c r="P824" s="602"/>
      <c r="Q824" s="622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</row>
    <row r="825" ht="22.5" customHeight="1">
      <c r="A825" s="614">
        <v>45736.0</v>
      </c>
      <c r="B825" s="675" t="s">
        <v>2218</v>
      </c>
      <c r="C825" s="609"/>
      <c r="D825" s="609"/>
      <c r="E825" s="604" t="s">
        <v>33</v>
      </c>
      <c r="F825" s="627" t="s">
        <v>674</v>
      </c>
      <c r="G825" s="597">
        <v>0.0</v>
      </c>
      <c r="H825" s="598">
        <f t="shared" si="62"/>
        <v>0</v>
      </c>
      <c r="I825" s="599"/>
      <c r="J825" s="605">
        <v>8500.0</v>
      </c>
      <c r="K825" s="615" t="s">
        <v>494</v>
      </c>
      <c r="L825" s="616" t="s">
        <v>700</v>
      </c>
      <c r="M825" s="621"/>
      <c r="N825" s="621"/>
      <c r="O825" s="621"/>
      <c r="P825" s="602"/>
      <c r="Q825" s="622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</row>
    <row r="826" ht="22.5" customHeight="1">
      <c r="A826" s="614">
        <v>45736.0</v>
      </c>
      <c r="B826" s="675" t="s">
        <v>2218</v>
      </c>
      <c r="C826" s="609"/>
      <c r="D826" s="610">
        <v>250.0</v>
      </c>
      <c r="E826" s="606"/>
      <c r="F826" s="627" t="s">
        <v>674</v>
      </c>
      <c r="G826" s="597">
        <v>0.0</v>
      </c>
      <c r="H826" s="598">
        <f t="shared" si="62"/>
        <v>0</v>
      </c>
      <c r="I826" s="599"/>
      <c r="J826" s="599"/>
      <c r="K826" s="615" t="s">
        <v>108</v>
      </c>
      <c r="L826" s="616" t="s">
        <v>701</v>
      </c>
      <c r="M826" s="621"/>
      <c r="N826" s="621"/>
      <c r="O826" s="621"/>
      <c r="P826" s="602"/>
      <c r="Q826" s="622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</row>
    <row r="827" ht="22.5" customHeight="1">
      <c r="A827" s="614">
        <v>45736.0</v>
      </c>
      <c r="B827" s="675" t="s">
        <v>2218</v>
      </c>
      <c r="C827" s="609"/>
      <c r="D827" s="609"/>
      <c r="E827" s="604" t="s">
        <v>33</v>
      </c>
      <c r="F827" s="627" t="s">
        <v>674</v>
      </c>
      <c r="G827" s="597">
        <v>0.0</v>
      </c>
      <c r="H827" s="598">
        <f t="shared" si="62"/>
        <v>0</v>
      </c>
      <c r="I827" s="599"/>
      <c r="J827" s="605">
        <v>8600.0</v>
      </c>
      <c r="K827" s="615" t="s">
        <v>1181</v>
      </c>
      <c r="L827" s="616" t="s">
        <v>702</v>
      </c>
      <c r="M827" s="621"/>
      <c r="N827" s="621"/>
      <c r="O827" s="621"/>
      <c r="P827" s="602"/>
      <c r="Q827" s="622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</row>
    <row r="828" ht="22.5" customHeight="1">
      <c r="A828" s="614">
        <v>45736.0</v>
      </c>
      <c r="B828" s="675" t="s">
        <v>2218</v>
      </c>
      <c r="C828" s="610">
        <v>1050000.0</v>
      </c>
      <c r="D828" s="610"/>
      <c r="E828" s="652"/>
      <c r="F828" s="627" t="s">
        <v>626</v>
      </c>
      <c r="G828" s="597">
        <v>20.0</v>
      </c>
      <c r="H828" s="598">
        <f t="shared" si="62"/>
        <v>175000</v>
      </c>
      <c r="I828" s="599"/>
      <c r="J828" s="599"/>
      <c r="K828" s="615" t="s">
        <v>51</v>
      </c>
      <c r="L828" s="616" t="s">
        <v>605</v>
      </c>
      <c r="M828" s="612" t="s">
        <v>703</v>
      </c>
      <c r="N828" s="612">
        <v>87.0</v>
      </c>
      <c r="O828" s="662">
        <v>45727.0</v>
      </c>
      <c r="P828" s="602">
        <f>A828-IF(O828&gt;0,O828,A828)</f>
        <v>9</v>
      </c>
      <c r="Q828" s="622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</row>
    <row r="829" ht="22.5" customHeight="1">
      <c r="A829" s="614">
        <v>45736.0</v>
      </c>
      <c r="B829" s="675" t="s">
        <v>2218</v>
      </c>
      <c r="C829" s="609"/>
      <c r="D829" s="610">
        <v>20410.29</v>
      </c>
      <c r="E829" s="606"/>
      <c r="F829" s="627" t="s">
        <v>674</v>
      </c>
      <c r="G829" s="597">
        <v>0.0</v>
      </c>
      <c r="H829" s="598">
        <f t="shared" si="62"/>
        <v>0</v>
      </c>
      <c r="I829" s="599"/>
      <c r="J829" s="599"/>
      <c r="K829" s="615" t="s">
        <v>203</v>
      </c>
      <c r="L829" s="616" t="s">
        <v>704</v>
      </c>
      <c r="M829" s="621"/>
      <c r="N829" s="621"/>
      <c r="O829" s="621"/>
      <c r="P829" s="602"/>
      <c r="Q829" s="622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</row>
    <row r="830" ht="22.5" customHeight="1">
      <c r="A830" s="614">
        <v>45739.0</v>
      </c>
      <c r="B830" s="675" t="s">
        <v>2218</v>
      </c>
      <c r="C830" s="609"/>
      <c r="D830" s="610">
        <v>2400.0</v>
      </c>
      <c r="E830" s="606"/>
      <c r="F830" s="627" t="s">
        <v>674</v>
      </c>
      <c r="G830" s="597">
        <v>0.0</v>
      </c>
      <c r="H830" s="598">
        <f t="shared" si="62"/>
        <v>0</v>
      </c>
      <c r="I830" s="599"/>
      <c r="J830" s="599"/>
      <c r="K830" s="615" t="s">
        <v>294</v>
      </c>
      <c r="L830" s="616" t="s">
        <v>377</v>
      </c>
      <c r="M830" s="621"/>
      <c r="N830" s="621"/>
      <c r="O830" s="621"/>
      <c r="P830" s="602"/>
      <c r="Q830" s="622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</row>
    <row r="831" ht="22.5" customHeight="1">
      <c r="A831" s="614">
        <v>45741.0</v>
      </c>
      <c r="B831" s="675" t="s">
        <v>2218</v>
      </c>
      <c r="C831" s="609"/>
      <c r="D831" s="609">
        <f>354211+351.43+16025</f>
        <v>370587.43</v>
      </c>
      <c r="E831" s="606"/>
      <c r="F831" s="627" t="s">
        <v>674</v>
      </c>
      <c r="G831" s="597">
        <v>0.0</v>
      </c>
      <c r="H831" s="598">
        <f t="shared" si="62"/>
        <v>0</v>
      </c>
      <c r="I831" s="599"/>
      <c r="J831" s="599"/>
      <c r="K831" s="615" t="s">
        <v>280</v>
      </c>
      <c r="L831" s="616" t="s">
        <v>705</v>
      </c>
      <c r="M831" s="621"/>
      <c r="N831" s="621"/>
      <c r="O831" s="621"/>
      <c r="P831" s="602"/>
      <c r="Q831" s="622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</row>
    <row r="832" ht="22.5" customHeight="1">
      <c r="A832" s="614">
        <v>45742.0</v>
      </c>
      <c r="B832" s="626" t="s">
        <v>2218</v>
      </c>
      <c r="C832" s="610">
        <v>1134000.0</v>
      </c>
      <c r="D832" s="610"/>
      <c r="E832" s="606"/>
      <c r="F832" s="627" t="s">
        <v>619</v>
      </c>
      <c r="G832" s="597">
        <v>20.0</v>
      </c>
      <c r="H832" s="598">
        <f t="shared" si="62"/>
        <v>189000</v>
      </c>
      <c r="I832" s="599"/>
      <c r="J832" s="599"/>
      <c r="K832" s="615" t="s">
        <v>51</v>
      </c>
      <c r="L832" s="616" t="s">
        <v>110</v>
      </c>
      <c r="M832" s="621"/>
      <c r="N832" s="612">
        <v>4.0</v>
      </c>
      <c r="O832" s="662">
        <v>45667.0</v>
      </c>
      <c r="P832" s="602">
        <f t="shared" ref="P832:P836" si="70">A832-IF(O832&gt;0,O832,A832)</f>
        <v>75</v>
      </c>
      <c r="Q832" s="622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</row>
    <row r="833" ht="22.5" customHeight="1">
      <c r="A833" s="614">
        <v>45742.0</v>
      </c>
      <c r="B833" s="626" t="s">
        <v>2218</v>
      </c>
      <c r="C833" s="610">
        <v>945000.0</v>
      </c>
      <c r="D833" s="610"/>
      <c r="E833" s="606"/>
      <c r="F833" s="627" t="s">
        <v>619</v>
      </c>
      <c r="G833" s="597">
        <v>20.0</v>
      </c>
      <c r="H833" s="598">
        <f t="shared" si="62"/>
        <v>157500</v>
      </c>
      <c r="I833" s="599"/>
      <c r="J833" s="599"/>
      <c r="K833" s="615" t="s">
        <v>51</v>
      </c>
      <c r="L833" s="616" t="s">
        <v>110</v>
      </c>
      <c r="M833" s="621"/>
      <c r="N833" s="612">
        <v>5.0</v>
      </c>
      <c r="O833" s="662">
        <v>45667.0</v>
      </c>
      <c r="P833" s="602">
        <f t="shared" si="70"/>
        <v>75</v>
      </c>
      <c r="Q833" s="622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</row>
    <row r="834" ht="22.5" customHeight="1">
      <c r="A834" s="614">
        <v>45742.0</v>
      </c>
      <c r="B834" s="626" t="s">
        <v>2218</v>
      </c>
      <c r="C834" s="610">
        <v>315000.0</v>
      </c>
      <c r="D834" s="610"/>
      <c r="E834" s="606"/>
      <c r="F834" s="627" t="s">
        <v>619</v>
      </c>
      <c r="G834" s="597">
        <v>20.0</v>
      </c>
      <c r="H834" s="598">
        <f t="shared" si="62"/>
        <v>52500</v>
      </c>
      <c r="I834" s="599"/>
      <c r="J834" s="599"/>
      <c r="K834" s="615" t="s">
        <v>51</v>
      </c>
      <c r="L834" s="616" t="s">
        <v>110</v>
      </c>
      <c r="M834" s="621"/>
      <c r="N834" s="612">
        <v>6.0</v>
      </c>
      <c r="O834" s="662">
        <v>45667.0</v>
      </c>
      <c r="P834" s="602">
        <f t="shared" si="70"/>
        <v>75</v>
      </c>
      <c r="Q834" s="622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</row>
    <row r="835" ht="22.5" customHeight="1">
      <c r="A835" s="614">
        <v>45742.0</v>
      </c>
      <c r="B835" s="626" t="s">
        <v>2218</v>
      </c>
      <c r="C835" s="610">
        <v>1134000.0</v>
      </c>
      <c r="D835" s="610"/>
      <c r="E835" s="606"/>
      <c r="F835" s="627" t="s">
        <v>619</v>
      </c>
      <c r="G835" s="597">
        <v>20.0</v>
      </c>
      <c r="H835" s="598">
        <f t="shared" si="62"/>
        <v>189000</v>
      </c>
      <c r="I835" s="599"/>
      <c r="J835" s="599"/>
      <c r="K835" s="615" t="s">
        <v>51</v>
      </c>
      <c r="L835" s="616" t="s">
        <v>110</v>
      </c>
      <c r="M835" s="621"/>
      <c r="N835" s="612">
        <v>7.0</v>
      </c>
      <c r="O835" s="662">
        <v>45667.0</v>
      </c>
      <c r="P835" s="602">
        <f t="shared" si="70"/>
        <v>75</v>
      </c>
      <c r="Q835" s="622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</row>
    <row r="836" ht="22.5" customHeight="1">
      <c r="A836" s="614">
        <v>45742.0</v>
      </c>
      <c r="B836" s="626" t="s">
        <v>2218</v>
      </c>
      <c r="C836" s="610">
        <v>5421000.06</v>
      </c>
      <c r="D836" s="610"/>
      <c r="E836" s="606"/>
      <c r="F836" s="627" t="s">
        <v>619</v>
      </c>
      <c r="G836" s="597">
        <v>20.0</v>
      </c>
      <c r="H836" s="598">
        <f t="shared" si="62"/>
        <v>903500.01</v>
      </c>
      <c r="I836" s="599"/>
      <c r="J836" s="599"/>
      <c r="K836" s="672" t="s">
        <v>51</v>
      </c>
      <c r="L836" s="616" t="s">
        <v>110</v>
      </c>
      <c r="M836" s="621"/>
      <c r="N836" s="612">
        <v>18.0</v>
      </c>
      <c r="O836" s="662">
        <v>45671.0</v>
      </c>
      <c r="P836" s="602">
        <f t="shared" si="70"/>
        <v>71</v>
      </c>
      <c r="Q836" s="622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</row>
    <row r="837" ht="22.5" customHeight="1">
      <c r="A837" s="614">
        <v>45742.0</v>
      </c>
      <c r="B837" s="675" t="s">
        <v>2218</v>
      </c>
      <c r="C837" s="609"/>
      <c r="D837" s="609">
        <v>6274509.803921568</v>
      </c>
      <c r="E837" s="604" t="s">
        <v>33</v>
      </c>
      <c r="F837" s="627" t="s">
        <v>674</v>
      </c>
      <c r="G837" s="597">
        <v>20.0</v>
      </c>
      <c r="H837" s="598">
        <f t="shared" si="62"/>
        <v>1045751.634</v>
      </c>
      <c r="I837" s="605"/>
      <c r="J837" s="599"/>
      <c r="K837" s="615" t="s">
        <v>48</v>
      </c>
      <c r="L837" s="611"/>
      <c r="M837" s="621"/>
      <c r="N837" s="621"/>
      <c r="O837" s="621"/>
      <c r="P837" s="602"/>
      <c r="Q837" s="622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</row>
    <row r="838" ht="22.5" customHeight="1">
      <c r="A838" s="614">
        <v>45742.0</v>
      </c>
      <c r="B838" s="684" t="s">
        <v>2218</v>
      </c>
      <c r="C838" s="609"/>
      <c r="D838" s="609"/>
      <c r="E838" s="604" t="s">
        <v>33</v>
      </c>
      <c r="F838" s="627" t="s">
        <v>674</v>
      </c>
      <c r="G838" s="597">
        <v>0.0</v>
      </c>
      <c r="H838" s="598">
        <f t="shared" si="62"/>
        <v>0</v>
      </c>
      <c r="I838" s="605">
        <v>4800000.0</v>
      </c>
      <c r="J838" s="605"/>
      <c r="K838" s="615" t="s">
        <v>48</v>
      </c>
      <c r="L838" s="615"/>
      <c r="M838" s="621"/>
      <c r="N838" s="621"/>
      <c r="O838" s="621"/>
      <c r="P838" s="602"/>
      <c r="Q838" s="622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</row>
    <row r="839" ht="22.5" customHeight="1">
      <c r="A839" s="614">
        <v>45742.0</v>
      </c>
      <c r="B839" s="675" t="s">
        <v>2218</v>
      </c>
      <c r="C839" s="609"/>
      <c r="D839" s="609"/>
      <c r="E839" s="604" t="s">
        <v>33</v>
      </c>
      <c r="F839" s="627" t="s">
        <v>674</v>
      </c>
      <c r="G839" s="597">
        <v>0.0</v>
      </c>
      <c r="H839" s="598">
        <f t="shared" si="62"/>
        <v>0</v>
      </c>
      <c r="I839" s="599"/>
      <c r="J839" s="605">
        <v>1500.0</v>
      </c>
      <c r="K839" s="615" t="s">
        <v>494</v>
      </c>
      <c r="L839" s="616" t="s">
        <v>706</v>
      </c>
      <c r="M839" s="621"/>
      <c r="N839" s="621"/>
      <c r="O839" s="621"/>
      <c r="P839" s="602"/>
      <c r="Q839" s="622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</row>
    <row r="840" ht="22.5" customHeight="1">
      <c r="A840" s="614">
        <v>45742.0</v>
      </c>
      <c r="B840" s="675" t="s">
        <v>2218</v>
      </c>
      <c r="C840" s="609"/>
      <c r="D840" s="609"/>
      <c r="E840" s="604" t="s">
        <v>33</v>
      </c>
      <c r="F840" s="627" t="s">
        <v>674</v>
      </c>
      <c r="G840" s="597">
        <v>0.0</v>
      </c>
      <c r="H840" s="598">
        <f t="shared" si="62"/>
        <v>0</v>
      </c>
      <c r="I840" s="605"/>
      <c r="J840" s="605">
        <v>3000.0</v>
      </c>
      <c r="K840" s="615" t="s">
        <v>494</v>
      </c>
      <c r="L840" s="616" t="s">
        <v>707</v>
      </c>
      <c r="M840" s="621"/>
      <c r="N840" s="621"/>
      <c r="O840" s="621"/>
      <c r="P840" s="602"/>
      <c r="Q840" s="622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</row>
    <row r="841" ht="22.5" customHeight="1">
      <c r="A841" s="614">
        <v>45742.0</v>
      </c>
      <c r="B841" s="675" t="s">
        <v>2218</v>
      </c>
      <c r="C841" s="609"/>
      <c r="D841" s="609"/>
      <c r="E841" s="604" t="s">
        <v>33</v>
      </c>
      <c r="F841" s="627" t="s">
        <v>674</v>
      </c>
      <c r="G841" s="597">
        <v>0.0</v>
      </c>
      <c r="H841" s="598">
        <f t="shared" si="62"/>
        <v>0</v>
      </c>
      <c r="I841" s="599"/>
      <c r="J841" s="605">
        <v>628114.0</v>
      </c>
      <c r="K841" s="615" t="s">
        <v>93</v>
      </c>
      <c r="L841" s="616" t="s">
        <v>708</v>
      </c>
      <c r="M841" s="621"/>
      <c r="N841" s="621"/>
      <c r="O841" s="621"/>
      <c r="P841" s="602"/>
      <c r="Q841" s="622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</row>
    <row r="842" ht="22.5" customHeight="1">
      <c r="A842" s="614">
        <v>45742.0</v>
      </c>
      <c r="B842" s="675" t="s">
        <v>2218</v>
      </c>
      <c r="C842" s="609"/>
      <c r="D842" s="609"/>
      <c r="E842" s="604" t="s">
        <v>33</v>
      </c>
      <c r="F842" s="627" t="s">
        <v>674</v>
      </c>
      <c r="G842" s="597">
        <v>0.0</v>
      </c>
      <c r="H842" s="598">
        <f t="shared" si="62"/>
        <v>0</v>
      </c>
      <c r="I842" s="599"/>
      <c r="J842" s="605">
        <v>800.0</v>
      </c>
      <c r="K842" s="615" t="s">
        <v>494</v>
      </c>
      <c r="L842" s="616" t="s">
        <v>709</v>
      </c>
      <c r="M842" s="621"/>
      <c r="N842" s="621"/>
      <c r="O842" s="621"/>
      <c r="P842" s="602"/>
      <c r="Q842" s="622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</row>
    <row r="843" ht="22.5" customHeight="1">
      <c r="A843" s="614">
        <v>45743.0</v>
      </c>
      <c r="B843" s="675" t="s">
        <v>2218</v>
      </c>
      <c r="C843" s="609"/>
      <c r="D843" s="610">
        <v>59730.0</v>
      </c>
      <c r="E843" s="606"/>
      <c r="F843" s="627" t="s">
        <v>664</v>
      </c>
      <c r="G843" s="597">
        <v>0.0</v>
      </c>
      <c r="H843" s="598">
        <f t="shared" si="62"/>
        <v>0</v>
      </c>
      <c r="I843" s="599"/>
      <c r="J843" s="599"/>
      <c r="K843" s="615" t="s">
        <v>322</v>
      </c>
      <c r="L843" s="616" t="s">
        <v>2244</v>
      </c>
      <c r="M843" s="621"/>
      <c r="N843" s="621"/>
      <c r="O843" s="621"/>
      <c r="P843" s="602"/>
      <c r="Q843" s="622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</row>
    <row r="844" ht="22.5" customHeight="1">
      <c r="A844" s="614">
        <v>45743.0</v>
      </c>
      <c r="B844" s="675" t="s">
        <v>2218</v>
      </c>
      <c r="C844" s="609"/>
      <c r="D844" s="610">
        <v>119999.99</v>
      </c>
      <c r="E844" s="606"/>
      <c r="F844" s="627" t="s">
        <v>664</v>
      </c>
      <c r="G844" s="597">
        <v>0.0</v>
      </c>
      <c r="H844" s="598">
        <f t="shared" si="62"/>
        <v>0</v>
      </c>
      <c r="I844" s="599"/>
      <c r="J844" s="599"/>
      <c r="K844" s="615" t="s">
        <v>322</v>
      </c>
      <c r="L844" s="616" t="s">
        <v>2242</v>
      </c>
      <c r="M844" s="621"/>
      <c r="N844" s="621"/>
      <c r="O844" s="621"/>
      <c r="P844" s="602"/>
      <c r="Q844" s="622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</row>
    <row r="845" ht="22.5" customHeight="1">
      <c r="A845" s="614">
        <v>45743.0</v>
      </c>
      <c r="B845" s="675" t="s">
        <v>2218</v>
      </c>
      <c r="C845" s="609"/>
      <c r="D845" s="610">
        <v>600884.4</v>
      </c>
      <c r="E845" s="606"/>
      <c r="F845" s="627" t="s">
        <v>664</v>
      </c>
      <c r="G845" s="597">
        <v>0.0</v>
      </c>
      <c r="H845" s="598">
        <f t="shared" si="62"/>
        <v>0</v>
      </c>
      <c r="I845" s="599"/>
      <c r="J845" s="599"/>
      <c r="K845" s="615" t="s">
        <v>322</v>
      </c>
      <c r="L845" s="616" t="s">
        <v>624</v>
      </c>
      <c r="M845" s="621"/>
      <c r="N845" s="621"/>
      <c r="O845" s="621"/>
      <c r="P845" s="602"/>
      <c r="Q845" s="622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</row>
    <row r="846" ht="22.5" customHeight="1">
      <c r="A846" s="614">
        <v>45743.0</v>
      </c>
      <c r="B846" s="675" t="s">
        <v>2218</v>
      </c>
      <c r="C846" s="609"/>
      <c r="D846" s="610">
        <v>2936927.95</v>
      </c>
      <c r="E846" s="606"/>
      <c r="F846" s="627" t="s">
        <v>664</v>
      </c>
      <c r="G846" s="597">
        <v>0.0</v>
      </c>
      <c r="H846" s="598">
        <f t="shared" si="62"/>
        <v>0</v>
      </c>
      <c r="I846" s="599"/>
      <c r="J846" s="599"/>
      <c r="K846" s="615" t="s">
        <v>322</v>
      </c>
      <c r="L846" s="616" t="s">
        <v>317</v>
      </c>
      <c r="M846" s="621"/>
      <c r="N846" s="621"/>
      <c r="O846" s="621"/>
      <c r="P846" s="602"/>
      <c r="Q846" s="622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</row>
    <row r="847" ht="22.5" customHeight="1">
      <c r="A847" s="614">
        <v>45743.0</v>
      </c>
      <c r="B847" s="675" t="s">
        <v>2218</v>
      </c>
      <c r="C847" s="609"/>
      <c r="D847" s="610">
        <v>317571.19</v>
      </c>
      <c r="E847" s="606"/>
      <c r="F847" s="627" t="s">
        <v>664</v>
      </c>
      <c r="G847" s="597">
        <v>0.0</v>
      </c>
      <c r="H847" s="598">
        <f t="shared" si="62"/>
        <v>0</v>
      </c>
      <c r="I847" s="599"/>
      <c r="J847" s="599"/>
      <c r="K847" s="615" t="s">
        <v>322</v>
      </c>
      <c r="L847" s="616" t="s">
        <v>122</v>
      </c>
      <c r="M847" s="621"/>
      <c r="N847" s="621"/>
      <c r="O847" s="621"/>
      <c r="P847" s="602"/>
      <c r="Q847" s="682" t="s">
        <v>710</v>
      </c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</row>
    <row r="848" ht="22.5" customHeight="1">
      <c r="A848" s="614">
        <v>45743.0</v>
      </c>
      <c r="B848" s="675" t="s">
        <v>2218</v>
      </c>
      <c r="C848" s="609"/>
      <c r="D848" s="610">
        <v>500000.0</v>
      </c>
      <c r="E848" s="606"/>
      <c r="F848" s="627" t="s">
        <v>594</v>
      </c>
      <c r="G848" s="597">
        <v>20.0</v>
      </c>
      <c r="H848" s="598">
        <f t="shared" si="62"/>
        <v>83333.33333</v>
      </c>
      <c r="I848" s="599"/>
      <c r="J848" s="599"/>
      <c r="K848" s="615" t="s">
        <v>101</v>
      </c>
      <c r="L848" s="670" t="s">
        <v>597</v>
      </c>
      <c r="M848" s="621"/>
      <c r="N848" s="621"/>
      <c r="O848" s="621"/>
      <c r="P848" s="602"/>
      <c r="Q848" s="682" t="s">
        <v>711</v>
      </c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</row>
    <row r="849" ht="22.5" customHeight="1">
      <c r="A849" s="614">
        <v>45743.0</v>
      </c>
      <c r="B849" s="675" t="s">
        <v>2218</v>
      </c>
      <c r="C849" s="609"/>
      <c r="D849" s="610">
        <v>168685.36</v>
      </c>
      <c r="E849" s="606"/>
      <c r="F849" s="627" t="s">
        <v>594</v>
      </c>
      <c r="G849" s="597">
        <v>20.0</v>
      </c>
      <c r="H849" s="598">
        <f t="shared" si="62"/>
        <v>28114.22667</v>
      </c>
      <c r="I849" s="599"/>
      <c r="J849" s="599"/>
      <c r="K849" s="615" t="s">
        <v>101</v>
      </c>
      <c r="L849" s="670" t="s">
        <v>643</v>
      </c>
      <c r="M849" s="621"/>
      <c r="N849" s="621"/>
      <c r="O849" s="621"/>
      <c r="P849" s="602"/>
      <c r="Q849" s="682" t="s">
        <v>712</v>
      </c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</row>
    <row r="850" ht="22.5" customHeight="1">
      <c r="A850" s="614">
        <v>45743.0</v>
      </c>
      <c r="B850" s="675" t="s">
        <v>2218</v>
      </c>
      <c r="C850" s="609"/>
      <c r="D850" s="610">
        <v>161710.5</v>
      </c>
      <c r="E850" s="606"/>
      <c r="F850" s="627" t="s">
        <v>594</v>
      </c>
      <c r="G850" s="597">
        <v>20.0</v>
      </c>
      <c r="H850" s="598">
        <f t="shared" si="62"/>
        <v>26951.75</v>
      </c>
      <c r="I850" s="599"/>
      <c r="J850" s="599"/>
      <c r="K850" s="615" t="s">
        <v>101</v>
      </c>
      <c r="L850" s="670" t="s">
        <v>672</v>
      </c>
      <c r="M850" s="621"/>
      <c r="N850" s="621"/>
      <c r="O850" s="621"/>
      <c r="P850" s="602"/>
      <c r="Q850" s="682" t="s">
        <v>713</v>
      </c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</row>
    <row r="851" ht="22.5" customHeight="1">
      <c r="A851" s="614">
        <v>45743.0</v>
      </c>
      <c r="B851" s="675" t="s">
        <v>2218</v>
      </c>
      <c r="C851" s="609"/>
      <c r="D851" s="610">
        <v>130465.1</v>
      </c>
      <c r="E851" s="606"/>
      <c r="F851" s="627" t="s">
        <v>594</v>
      </c>
      <c r="G851" s="597">
        <v>20.0</v>
      </c>
      <c r="H851" s="598">
        <f t="shared" si="62"/>
        <v>21744.18333</v>
      </c>
      <c r="I851" s="599"/>
      <c r="J851" s="599"/>
      <c r="K851" s="615" t="s">
        <v>101</v>
      </c>
      <c r="L851" s="670" t="s">
        <v>631</v>
      </c>
      <c r="M851" s="621"/>
      <c r="N851" s="621"/>
      <c r="O851" s="621"/>
      <c r="P851" s="602"/>
      <c r="Q851" s="682" t="s">
        <v>714</v>
      </c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</row>
    <row r="852" ht="22.5" customHeight="1">
      <c r="A852" s="614">
        <v>45743.0</v>
      </c>
      <c r="B852" s="675" t="s">
        <v>2218</v>
      </c>
      <c r="C852" s="609"/>
      <c r="D852" s="610">
        <v>31916.0</v>
      </c>
      <c r="E852" s="606"/>
      <c r="F852" s="627" t="s">
        <v>594</v>
      </c>
      <c r="G852" s="597">
        <v>5.0</v>
      </c>
      <c r="H852" s="598">
        <f t="shared" si="62"/>
        <v>1519.809524</v>
      </c>
      <c r="I852" s="599"/>
      <c r="J852" s="599"/>
      <c r="K852" s="615" t="s">
        <v>101</v>
      </c>
      <c r="L852" s="670" t="s">
        <v>671</v>
      </c>
      <c r="M852" s="621"/>
      <c r="N852" s="621"/>
      <c r="O852" s="621"/>
      <c r="P852" s="602"/>
      <c r="Q852" s="682" t="s">
        <v>715</v>
      </c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</row>
    <row r="853" ht="22.5" customHeight="1">
      <c r="A853" s="614">
        <v>45743.0</v>
      </c>
      <c r="B853" s="675" t="s">
        <v>2218</v>
      </c>
      <c r="C853" s="609"/>
      <c r="D853" s="610">
        <v>171591.6</v>
      </c>
      <c r="E853" s="606"/>
      <c r="F853" s="627" t="s">
        <v>594</v>
      </c>
      <c r="G853" s="597">
        <v>20.0</v>
      </c>
      <c r="H853" s="598">
        <f t="shared" si="62"/>
        <v>28598.6</v>
      </c>
      <c r="I853" s="599"/>
      <c r="J853" s="599"/>
      <c r="K853" s="615" t="s">
        <v>101</v>
      </c>
      <c r="L853" s="670" t="s">
        <v>632</v>
      </c>
      <c r="M853" s="621"/>
      <c r="N853" s="621"/>
      <c r="O853" s="621"/>
      <c r="P853" s="602"/>
      <c r="Q853" s="682" t="s">
        <v>716</v>
      </c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</row>
    <row r="854" ht="22.5" customHeight="1">
      <c r="A854" s="614">
        <v>45743.0</v>
      </c>
      <c r="B854" s="675" t="s">
        <v>2218</v>
      </c>
      <c r="C854" s="609"/>
      <c r="D854" s="610">
        <v>15000.0</v>
      </c>
      <c r="E854" s="606"/>
      <c r="F854" s="627" t="s">
        <v>674</v>
      </c>
      <c r="G854" s="597">
        <v>20.0</v>
      </c>
      <c r="H854" s="598">
        <f t="shared" si="62"/>
        <v>2500</v>
      </c>
      <c r="I854" s="599"/>
      <c r="J854" s="599"/>
      <c r="K854" s="615" t="s">
        <v>494</v>
      </c>
      <c r="L854" s="616" t="s">
        <v>717</v>
      </c>
      <c r="M854" s="621"/>
      <c r="N854" s="621"/>
      <c r="O854" s="621"/>
      <c r="P854" s="602"/>
      <c r="Q854" s="622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</row>
    <row r="855" ht="22.5" customHeight="1">
      <c r="A855" s="614">
        <v>45743.0</v>
      </c>
      <c r="B855" s="675" t="s">
        <v>2218</v>
      </c>
      <c r="C855" s="609"/>
      <c r="D855" s="609"/>
      <c r="E855" s="604" t="s">
        <v>33</v>
      </c>
      <c r="F855" s="627" t="s">
        <v>674</v>
      </c>
      <c r="G855" s="597">
        <v>0.0</v>
      </c>
      <c r="H855" s="598">
        <f t="shared" si="62"/>
        <v>0</v>
      </c>
      <c r="I855" s="599"/>
      <c r="J855" s="605">
        <v>50000.0</v>
      </c>
      <c r="K855" s="615" t="s">
        <v>591</v>
      </c>
      <c r="L855" s="616" t="s">
        <v>718</v>
      </c>
      <c r="M855" s="621"/>
      <c r="N855" s="621"/>
      <c r="O855" s="621"/>
      <c r="P855" s="602"/>
      <c r="Q855" s="622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</row>
    <row r="856" ht="22.5" customHeight="1">
      <c r="A856" s="614">
        <v>45743.0</v>
      </c>
      <c r="B856" s="675" t="s">
        <v>2218</v>
      </c>
      <c r="C856" s="609"/>
      <c r="D856" s="610">
        <f>79*5</f>
        <v>395</v>
      </c>
      <c r="E856" s="606"/>
      <c r="F856" s="627" t="s">
        <v>674</v>
      </c>
      <c r="G856" s="597">
        <v>0.0</v>
      </c>
      <c r="H856" s="598">
        <f t="shared" si="62"/>
        <v>0</v>
      </c>
      <c r="I856" s="599"/>
      <c r="J856" s="599"/>
      <c r="K856" s="615" t="s">
        <v>294</v>
      </c>
      <c r="L856" s="616" t="s">
        <v>719</v>
      </c>
      <c r="M856" s="621"/>
      <c r="N856" s="621"/>
      <c r="O856" s="621"/>
      <c r="P856" s="602"/>
      <c r="Q856" s="622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</row>
    <row r="857" ht="22.5" customHeight="1">
      <c r="A857" s="614">
        <v>45744.0</v>
      </c>
      <c r="B857" s="626" t="s">
        <v>2218</v>
      </c>
      <c r="C857" s="610">
        <f>165000.07</f>
        <v>165000.07</v>
      </c>
      <c r="D857" s="609"/>
      <c r="E857" s="606"/>
      <c r="F857" s="627" t="s">
        <v>565</v>
      </c>
      <c r="G857" s="597">
        <v>20.0</v>
      </c>
      <c r="H857" s="598">
        <f t="shared" si="62"/>
        <v>27500.01167</v>
      </c>
      <c r="I857" s="599"/>
      <c r="J857" s="599"/>
      <c r="K857" s="673" t="s">
        <v>51</v>
      </c>
      <c r="L857" s="616" t="s">
        <v>532</v>
      </c>
      <c r="M857" s="621"/>
      <c r="N857" s="612">
        <v>229.0</v>
      </c>
      <c r="O857" s="668">
        <v>45639.0</v>
      </c>
      <c r="P857" s="602">
        <f t="shared" ref="P857:P858" si="71">A857-IF(O857&gt;0,O857,A857)</f>
        <v>105</v>
      </c>
      <c r="Q857" s="622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</row>
    <row r="858" ht="22.5" customHeight="1">
      <c r="A858" s="614">
        <v>45744.0</v>
      </c>
      <c r="B858" s="626" t="s">
        <v>2218</v>
      </c>
      <c r="C858" s="610">
        <v>330099.0</v>
      </c>
      <c r="D858" s="609"/>
      <c r="E858" s="606"/>
      <c r="F858" s="627" t="s">
        <v>565</v>
      </c>
      <c r="G858" s="597">
        <v>20.0</v>
      </c>
      <c r="H858" s="598">
        <f t="shared" si="62"/>
        <v>55016.5</v>
      </c>
      <c r="I858" s="599"/>
      <c r="J858" s="599"/>
      <c r="K858" s="674" t="s">
        <v>51</v>
      </c>
      <c r="L858" s="616" t="s">
        <v>532</v>
      </c>
      <c r="M858" s="621"/>
      <c r="N858" s="612">
        <v>230.0</v>
      </c>
      <c r="O858" s="668">
        <v>45639.0</v>
      </c>
      <c r="P858" s="602">
        <f t="shared" si="71"/>
        <v>105</v>
      </c>
      <c r="Q858" s="622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</row>
    <row r="859" ht="22.5" customHeight="1">
      <c r="A859" s="614">
        <v>45744.0</v>
      </c>
      <c r="B859" s="675" t="s">
        <v>2218</v>
      </c>
      <c r="C859" s="609"/>
      <c r="D859" s="610">
        <v>84240.0</v>
      </c>
      <c r="E859" s="606"/>
      <c r="F859" s="627" t="s">
        <v>674</v>
      </c>
      <c r="G859" s="597">
        <v>0.0</v>
      </c>
      <c r="H859" s="598">
        <f t="shared" si="62"/>
        <v>0</v>
      </c>
      <c r="I859" s="599"/>
      <c r="J859" s="599"/>
      <c r="K859" s="615" t="s">
        <v>236</v>
      </c>
      <c r="L859" s="616" t="s">
        <v>72</v>
      </c>
      <c r="M859" s="621"/>
      <c r="N859" s="621"/>
      <c r="O859" s="621"/>
      <c r="P859" s="602"/>
      <c r="Q859" s="622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</row>
    <row r="860" ht="22.5" customHeight="1">
      <c r="A860" s="614">
        <v>45744.0</v>
      </c>
      <c r="B860" s="675" t="s">
        <v>2218</v>
      </c>
      <c r="C860" s="609"/>
      <c r="D860" s="610">
        <v>1039323.0</v>
      </c>
      <c r="E860" s="606"/>
      <c r="F860" s="627" t="s">
        <v>674</v>
      </c>
      <c r="G860" s="597">
        <v>0.0</v>
      </c>
      <c r="H860" s="598">
        <f t="shared" si="62"/>
        <v>0</v>
      </c>
      <c r="I860" s="599"/>
      <c r="J860" s="599"/>
      <c r="K860" s="615" t="s">
        <v>236</v>
      </c>
      <c r="L860" s="616" t="s">
        <v>72</v>
      </c>
      <c r="M860" s="621"/>
      <c r="N860" s="621"/>
      <c r="O860" s="621"/>
      <c r="P860" s="602"/>
      <c r="Q860" s="622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</row>
    <row r="861" ht="22.5" customHeight="1">
      <c r="A861" s="614">
        <v>45744.0</v>
      </c>
      <c r="B861" s="675" t="s">
        <v>2218</v>
      </c>
      <c r="C861" s="609"/>
      <c r="D861" s="610">
        <v>1695167.0</v>
      </c>
      <c r="E861" s="606"/>
      <c r="F861" s="627" t="s">
        <v>674</v>
      </c>
      <c r="G861" s="597">
        <v>0.0</v>
      </c>
      <c r="H861" s="598">
        <f t="shared" si="62"/>
        <v>0</v>
      </c>
      <c r="I861" s="599"/>
      <c r="J861" s="599"/>
      <c r="K861" s="615" t="s">
        <v>236</v>
      </c>
      <c r="L861" s="616" t="s">
        <v>72</v>
      </c>
      <c r="M861" s="621"/>
      <c r="N861" s="621"/>
      <c r="O861" s="621"/>
      <c r="P861" s="602"/>
      <c r="Q861" s="622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</row>
    <row r="862" ht="22.5" customHeight="1">
      <c r="A862" s="614">
        <v>45744.0</v>
      </c>
      <c r="B862" s="675" t="s">
        <v>2218</v>
      </c>
      <c r="C862" s="609"/>
      <c r="D862" s="610">
        <v>242899.97</v>
      </c>
      <c r="E862" s="606"/>
      <c r="F862" s="627" t="s">
        <v>674</v>
      </c>
      <c r="G862" s="597">
        <v>0.0</v>
      </c>
      <c r="H862" s="598">
        <f t="shared" si="62"/>
        <v>0</v>
      </c>
      <c r="I862" s="599"/>
      <c r="J862" s="599"/>
      <c r="K862" s="615" t="s">
        <v>236</v>
      </c>
      <c r="L862" s="616" t="s">
        <v>72</v>
      </c>
      <c r="M862" s="621"/>
      <c r="N862" s="621"/>
      <c r="O862" s="621"/>
      <c r="P862" s="602"/>
      <c r="Q862" s="622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</row>
    <row r="863" ht="22.5" customHeight="1">
      <c r="A863" s="614">
        <v>45746.0</v>
      </c>
      <c r="B863" s="675" t="s">
        <v>2218</v>
      </c>
      <c r="C863" s="609"/>
      <c r="D863" s="609"/>
      <c r="E863" s="604" t="s">
        <v>33</v>
      </c>
      <c r="F863" s="627" t="s">
        <v>674</v>
      </c>
      <c r="G863" s="597">
        <v>0.0</v>
      </c>
      <c r="H863" s="598">
        <f t="shared" si="62"/>
        <v>0</v>
      </c>
      <c r="I863" s="599"/>
      <c r="J863" s="605">
        <v>8500.0</v>
      </c>
      <c r="K863" s="615" t="s">
        <v>494</v>
      </c>
      <c r="L863" s="616" t="s">
        <v>720</v>
      </c>
      <c r="M863" s="621"/>
      <c r="N863" s="621"/>
      <c r="O863" s="621"/>
      <c r="P863" s="602"/>
      <c r="Q863" s="622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</row>
    <row r="864" ht="22.5" customHeight="1">
      <c r="A864" s="614">
        <v>45747.0</v>
      </c>
      <c r="B864" s="626" t="s">
        <v>2218</v>
      </c>
      <c r="C864" s="610">
        <v>900000.36</v>
      </c>
      <c r="D864" s="609"/>
      <c r="E864" s="606"/>
      <c r="F864" s="627" t="s">
        <v>594</v>
      </c>
      <c r="G864" s="597">
        <v>20.0</v>
      </c>
      <c r="H864" s="598">
        <f t="shared" si="62"/>
        <v>150000.06</v>
      </c>
      <c r="I864" s="599"/>
      <c r="J864" s="599"/>
      <c r="K864" s="615" t="s">
        <v>51</v>
      </c>
      <c r="L864" s="616" t="s">
        <v>110</v>
      </c>
      <c r="M864" s="621"/>
      <c r="N864" s="612">
        <v>56.0</v>
      </c>
      <c r="O864" s="662">
        <v>45699.0</v>
      </c>
      <c r="P864" s="602">
        <f t="shared" ref="P864:P866" si="72">A864-IF(O864&gt;0,O864,A864)</f>
        <v>48</v>
      </c>
      <c r="Q864" s="622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</row>
    <row r="865" ht="22.5" customHeight="1">
      <c r="A865" s="614">
        <v>45747.0</v>
      </c>
      <c r="B865" s="626" t="s">
        <v>2218</v>
      </c>
      <c r="C865" s="610">
        <v>600000.24</v>
      </c>
      <c r="D865" s="609"/>
      <c r="E865" s="606"/>
      <c r="F865" s="627" t="s">
        <v>594</v>
      </c>
      <c r="G865" s="597">
        <v>20.0</v>
      </c>
      <c r="H865" s="598">
        <f t="shared" si="62"/>
        <v>100000.04</v>
      </c>
      <c r="I865" s="599"/>
      <c r="J865" s="599"/>
      <c r="K865" s="615" t="s">
        <v>51</v>
      </c>
      <c r="L865" s="616" t="s">
        <v>110</v>
      </c>
      <c r="M865" s="621"/>
      <c r="N865" s="612">
        <v>57.0</v>
      </c>
      <c r="O865" s="662">
        <v>45699.0</v>
      </c>
      <c r="P865" s="602">
        <f t="shared" si="72"/>
        <v>48</v>
      </c>
      <c r="Q865" s="622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</row>
    <row r="866" ht="22.5" customHeight="1">
      <c r="A866" s="614">
        <v>45747.0</v>
      </c>
      <c r="B866" s="626" t="s">
        <v>2218</v>
      </c>
      <c r="C866" s="610">
        <v>720000.12</v>
      </c>
      <c r="D866" s="609"/>
      <c r="E866" s="606"/>
      <c r="F866" s="627" t="s">
        <v>594</v>
      </c>
      <c r="G866" s="597">
        <v>20.0</v>
      </c>
      <c r="H866" s="598">
        <f t="shared" si="62"/>
        <v>120000.02</v>
      </c>
      <c r="I866" s="599"/>
      <c r="J866" s="599"/>
      <c r="K866" s="615" t="s">
        <v>51</v>
      </c>
      <c r="L866" s="616" t="s">
        <v>110</v>
      </c>
      <c r="M866" s="621"/>
      <c r="N866" s="612">
        <v>58.0</v>
      </c>
      <c r="O866" s="662">
        <v>45699.0</v>
      </c>
      <c r="P866" s="602">
        <f t="shared" si="72"/>
        <v>48</v>
      </c>
      <c r="Q866" s="622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</row>
    <row r="867" ht="22.5" customHeight="1">
      <c r="A867" s="614">
        <v>45748.0</v>
      </c>
      <c r="B867" s="675" t="s">
        <v>2218</v>
      </c>
      <c r="C867" s="609"/>
      <c r="D867" s="609"/>
      <c r="E867" s="604" t="s">
        <v>33</v>
      </c>
      <c r="F867" s="627" t="s">
        <v>674</v>
      </c>
      <c r="G867" s="597">
        <v>0.0</v>
      </c>
      <c r="H867" s="598">
        <f t="shared" si="62"/>
        <v>0</v>
      </c>
      <c r="I867" s="599"/>
      <c r="J867" s="605">
        <v>20000.0</v>
      </c>
      <c r="K867" s="615" t="s">
        <v>591</v>
      </c>
      <c r="L867" s="616" t="s">
        <v>721</v>
      </c>
      <c r="M867" s="621"/>
      <c r="N867" s="621"/>
      <c r="O867" s="621"/>
      <c r="P867" s="602"/>
      <c r="Q867" s="622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</row>
    <row r="868" ht="22.5" customHeight="1">
      <c r="A868" s="614">
        <v>45748.0</v>
      </c>
      <c r="B868" s="675" t="s">
        <v>2218</v>
      </c>
      <c r="C868" s="609"/>
      <c r="D868" s="609"/>
      <c r="E868" s="604" t="s">
        <v>33</v>
      </c>
      <c r="F868" s="627" t="s">
        <v>722</v>
      </c>
      <c r="G868" s="597">
        <v>0.0</v>
      </c>
      <c r="H868" s="598">
        <f t="shared" si="62"/>
        <v>0</v>
      </c>
      <c r="I868" s="599"/>
      <c r="J868" s="605">
        <v>20000.0</v>
      </c>
      <c r="K868" s="615" t="s">
        <v>1181</v>
      </c>
      <c r="L868" s="616" t="s">
        <v>723</v>
      </c>
      <c r="M868" s="621"/>
      <c r="N868" s="621"/>
      <c r="O868" s="621"/>
      <c r="P868" s="602"/>
      <c r="Q868" s="622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</row>
    <row r="869" ht="22.5" customHeight="1">
      <c r="A869" s="614">
        <v>45748.0</v>
      </c>
      <c r="B869" s="675" t="s">
        <v>2218</v>
      </c>
      <c r="C869" s="609"/>
      <c r="D869" s="610">
        <v>6900.0</v>
      </c>
      <c r="E869" s="606"/>
      <c r="F869" s="627" t="s">
        <v>722</v>
      </c>
      <c r="G869" s="597">
        <v>0.0</v>
      </c>
      <c r="H869" s="598">
        <f t="shared" si="62"/>
        <v>0</v>
      </c>
      <c r="I869" s="599"/>
      <c r="J869" s="599"/>
      <c r="K869" s="615" t="s">
        <v>294</v>
      </c>
      <c r="L869" s="616" t="s">
        <v>719</v>
      </c>
      <c r="M869" s="621"/>
      <c r="N869" s="621"/>
      <c r="O869" s="621"/>
      <c r="P869" s="602"/>
      <c r="Q869" s="613" t="s">
        <v>724</v>
      </c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</row>
    <row r="870" ht="22.5" customHeight="1">
      <c r="A870" s="614">
        <v>45748.0</v>
      </c>
      <c r="B870" s="675" t="s">
        <v>2218</v>
      </c>
      <c r="C870" s="609"/>
      <c r="D870" s="610">
        <v>6200000.0</v>
      </c>
      <c r="E870" s="606"/>
      <c r="F870" s="627" t="s">
        <v>619</v>
      </c>
      <c r="G870" s="597">
        <v>20.0</v>
      </c>
      <c r="H870" s="598">
        <f t="shared" si="62"/>
        <v>1033333.333</v>
      </c>
      <c r="I870" s="599"/>
      <c r="J870" s="599"/>
      <c r="K870" s="615" t="s">
        <v>101</v>
      </c>
      <c r="L870" s="616" t="s">
        <v>725</v>
      </c>
      <c r="M870" s="621"/>
      <c r="N870" s="621"/>
      <c r="O870" s="621"/>
      <c r="P870" s="602"/>
      <c r="Q870" s="622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</row>
    <row r="871" ht="22.5" customHeight="1">
      <c r="A871" s="614">
        <v>45748.0</v>
      </c>
      <c r="B871" s="675" t="s">
        <v>2218</v>
      </c>
      <c r="C871" s="609"/>
      <c r="D871" s="609"/>
      <c r="E871" s="604" t="s">
        <v>33</v>
      </c>
      <c r="F871" s="627" t="s">
        <v>722</v>
      </c>
      <c r="G871" s="597">
        <v>0.0</v>
      </c>
      <c r="H871" s="598">
        <f t="shared" si="62"/>
        <v>0</v>
      </c>
      <c r="I871" s="599"/>
      <c r="J871" s="605">
        <v>19200.0</v>
      </c>
      <c r="K871" s="615" t="s">
        <v>1181</v>
      </c>
      <c r="L871" s="616" t="s">
        <v>726</v>
      </c>
      <c r="M871" s="621"/>
      <c r="N871" s="621"/>
      <c r="O871" s="621"/>
      <c r="P871" s="602"/>
      <c r="Q871" s="622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</row>
    <row r="872" ht="22.5" customHeight="1">
      <c r="A872" s="614">
        <v>45748.0</v>
      </c>
      <c r="B872" s="675" t="s">
        <v>2218</v>
      </c>
      <c r="C872" s="609"/>
      <c r="D872" s="609"/>
      <c r="E872" s="604" t="s">
        <v>33</v>
      </c>
      <c r="F872" s="627" t="s">
        <v>722</v>
      </c>
      <c r="G872" s="597">
        <v>0.0</v>
      </c>
      <c r="H872" s="598">
        <f t="shared" si="62"/>
        <v>0</v>
      </c>
      <c r="I872" s="599"/>
      <c r="J872" s="605">
        <v>5000.0</v>
      </c>
      <c r="K872" s="658" t="s">
        <v>30</v>
      </c>
      <c r="L872" s="659" t="s">
        <v>393</v>
      </c>
      <c r="M872" s="621"/>
      <c r="N872" s="621"/>
      <c r="O872" s="621"/>
      <c r="P872" s="602"/>
      <c r="Q872" s="622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</row>
    <row r="873" ht="22.5" customHeight="1">
      <c r="A873" s="614">
        <v>45749.0</v>
      </c>
      <c r="B873" s="675" t="s">
        <v>2218</v>
      </c>
      <c r="C873" s="610">
        <v>600000.0</v>
      </c>
      <c r="D873" s="610"/>
      <c r="E873" s="606"/>
      <c r="F873" s="627" t="s">
        <v>2034</v>
      </c>
      <c r="G873" s="597">
        <v>20.0</v>
      </c>
      <c r="H873" s="598">
        <f t="shared" si="62"/>
        <v>100000</v>
      </c>
      <c r="I873" s="599"/>
      <c r="J873" s="599"/>
      <c r="K873" s="615" t="s">
        <v>51</v>
      </c>
      <c r="L873" s="616" t="s">
        <v>2228</v>
      </c>
      <c r="M873" s="621"/>
      <c r="N873" s="612">
        <v>36.0</v>
      </c>
      <c r="O873" s="662">
        <v>45674.0</v>
      </c>
      <c r="P873" s="602">
        <f t="shared" ref="P873:P875" si="73">A873-IF(O873&gt;0,O873,A873)</f>
        <v>75</v>
      </c>
      <c r="Q873" s="622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</row>
    <row r="874" ht="22.5" customHeight="1">
      <c r="A874" s="614">
        <v>45749.0</v>
      </c>
      <c r="B874" s="675" t="s">
        <v>2218</v>
      </c>
      <c r="C874" s="610">
        <v>1272899.88</v>
      </c>
      <c r="D874" s="610"/>
      <c r="E874" s="606"/>
      <c r="F874" s="627" t="s">
        <v>2034</v>
      </c>
      <c r="G874" s="597">
        <v>20.0</v>
      </c>
      <c r="H874" s="598">
        <f t="shared" si="62"/>
        <v>212149.98</v>
      </c>
      <c r="I874" s="599"/>
      <c r="J874" s="599"/>
      <c r="K874" s="615" t="s">
        <v>51</v>
      </c>
      <c r="L874" s="616" t="s">
        <v>2228</v>
      </c>
      <c r="M874" s="621"/>
      <c r="N874" s="612">
        <v>37.0</v>
      </c>
      <c r="O874" s="662">
        <v>45674.0</v>
      </c>
      <c r="P874" s="602">
        <f t="shared" si="73"/>
        <v>75</v>
      </c>
      <c r="Q874" s="622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</row>
    <row r="875" ht="22.5" customHeight="1">
      <c r="A875" s="614">
        <v>45749.0</v>
      </c>
      <c r="B875" s="675" t="s">
        <v>2218</v>
      </c>
      <c r="C875" s="610">
        <v>1881299.7</v>
      </c>
      <c r="D875" s="610"/>
      <c r="E875" s="606"/>
      <c r="F875" s="627" t="s">
        <v>2034</v>
      </c>
      <c r="G875" s="597">
        <v>20.0</v>
      </c>
      <c r="H875" s="598">
        <f t="shared" si="62"/>
        <v>313549.95</v>
      </c>
      <c r="I875" s="599"/>
      <c r="J875" s="599"/>
      <c r="K875" s="615" t="s">
        <v>51</v>
      </c>
      <c r="L875" s="616" t="s">
        <v>2228</v>
      </c>
      <c r="M875" s="621"/>
      <c r="N875" s="612">
        <v>38.0</v>
      </c>
      <c r="O875" s="662">
        <v>45674.0</v>
      </c>
      <c r="P875" s="602">
        <f t="shared" si="73"/>
        <v>75</v>
      </c>
      <c r="Q875" s="622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</row>
    <row r="876" ht="22.5" customHeight="1">
      <c r="A876" s="614">
        <v>45749.0</v>
      </c>
      <c r="B876" s="675" t="s">
        <v>2218</v>
      </c>
      <c r="C876" s="609"/>
      <c r="D876" s="610">
        <v>837689.27</v>
      </c>
      <c r="E876" s="606"/>
      <c r="F876" s="627" t="s">
        <v>594</v>
      </c>
      <c r="G876" s="597">
        <v>20.0</v>
      </c>
      <c r="H876" s="598">
        <f t="shared" si="62"/>
        <v>139614.8783</v>
      </c>
      <c r="I876" s="599"/>
      <c r="J876" s="599"/>
      <c r="K876" s="615" t="s">
        <v>2237</v>
      </c>
      <c r="L876" s="615" t="s">
        <v>509</v>
      </c>
      <c r="M876" s="621"/>
      <c r="N876" s="621"/>
      <c r="O876" s="621"/>
      <c r="P876" s="602"/>
      <c r="Q876" s="622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</row>
    <row r="877" ht="22.5" customHeight="1">
      <c r="A877" s="614">
        <v>45750.0</v>
      </c>
      <c r="B877" s="675" t="s">
        <v>2218</v>
      </c>
      <c r="C877" s="610">
        <v>360000.29</v>
      </c>
      <c r="D877" s="610"/>
      <c r="E877" s="606"/>
      <c r="F877" s="627" t="s">
        <v>2034</v>
      </c>
      <c r="G877" s="597">
        <v>20.0</v>
      </c>
      <c r="H877" s="598">
        <f t="shared" si="62"/>
        <v>60000.04833</v>
      </c>
      <c r="I877" s="599"/>
      <c r="J877" s="599"/>
      <c r="K877" s="615" t="s">
        <v>51</v>
      </c>
      <c r="L877" s="616" t="s">
        <v>727</v>
      </c>
      <c r="M877" s="621"/>
      <c r="N877" s="612">
        <v>28.0</v>
      </c>
      <c r="O877" s="662">
        <v>45672.0</v>
      </c>
      <c r="P877" s="602">
        <f t="shared" ref="P877:P879" si="74">A877-IF(O877&gt;0,O877,A877)</f>
        <v>78</v>
      </c>
      <c r="Q877" s="622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</row>
    <row r="878" ht="22.5" customHeight="1">
      <c r="A878" s="614">
        <v>45750.0</v>
      </c>
      <c r="B878" s="675" t="s">
        <v>2218</v>
      </c>
      <c r="C878" s="610">
        <v>350000.4</v>
      </c>
      <c r="D878" s="610"/>
      <c r="E878" s="606"/>
      <c r="F878" s="627" t="s">
        <v>2034</v>
      </c>
      <c r="G878" s="597">
        <v>20.0</v>
      </c>
      <c r="H878" s="598">
        <f t="shared" si="62"/>
        <v>58333.4</v>
      </c>
      <c r="I878" s="599"/>
      <c r="J878" s="599"/>
      <c r="K878" s="615" t="s">
        <v>51</v>
      </c>
      <c r="L878" s="616" t="s">
        <v>727</v>
      </c>
      <c r="M878" s="621"/>
      <c r="N878" s="612">
        <v>29.0</v>
      </c>
      <c r="O878" s="662">
        <v>45672.0</v>
      </c>
      <c r="P878" s="602">
        <f t="shared" si="74"/>
        <v>78</v>
      </c>
      <c r="Q878" s="622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</row>
    <row r="879" ht="22.5" customHeight="1">
      <c r="A879" s="614">
        <v>45750.0</v>
      </c>
      <c r="B879" s="675" t="s">
        <v>2218</v>
      </c>
      <c r="C879" s="610">
        <v>79500.12</v>
      </c>
      <c r="D879" s="609"/>
      <c r="E879" s="606"/>
      <c r="F879" s="627" t="s">
        <v>594</v>
      </c>
      <c r="G879" s="597">
        <v>20.0</v>
      </c>
      <c r="H879" s="598">
        <f t="shared" si="62"/>
        <v>13250.02</v>
      </c>
      <c r="I879" s="599"/>
      <c r="J879" s="599"/>
      <c r="K879" s="672" t="s">
        <v>51</v>
      </c>
      <c r="L879" s="616" t="s">
        <v>305</v>
      </c>
      <c r="M879" s="621"/>
      <c r="N879" s="612">
        <v>42.0</v>
      </c>
      <c r="O879" s="662">
        <v>45696.0</v>
      </c>
      <c r="P879" s="602">
        <f t="shared" si="74"/>
        <v>54</v>
      </c>
      <c r="Q879" s="622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</row>
    <row r="880" ht="22.5" customHeight="1">
      <c r="A880" s="614">
        <v>45750.0</v>
      </c>
      <c r="B880" s="675" t="s">
        <v>2218</v>
      </c>
      <c r="C880" s="609"/>
      <c r="D880" s="609"/>
      <c r="E880" s="604" t="s">
        <v>33</v>
      </c>
      <c r="F880" s="627" t="s">
        <v>674</v>
      </c>
      <c r="G880" s="597">
        <v>0.0</v>
      </c>
      <c r="H880" s="598">
        <f t="shared" si="62"/>
        <v>0</v>
      </c>
      <c r="I880" s="599"/>
      <c r="J880" s="605">
        <v>100000.0</v>
      </c>
      <c r="K880" s="615" t="s">
        <v>591</v>
      </c>
      <c r="L880" s="616" t="s">
        <v>728</v>
      </c>
      <c r="M880" s="621"/>
      <c r="N880" s="621"/>
      <c r="O880" s="621"/>
      <c r="P880" s="602"/>
      <c r="Q880" s="622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</row>
    <row r="881" ht="22.5" customHeight="1">
      <c r="A881" s="614">
        <v>45751.0</v>
      </c>
      <c r="B881" s="675" t="s">
        <v>2218</v>
      </c>
      <c r="C881" s="609"/>
      <c r="D881" s="610">
        <v>51050.0</v>
      </c>
      <c r="E881" s="606"/>
      <c r="F881" s="627" t="s">
        <v>674</v>
      </c>
      <c r="G881" s="597">
        <v>0.0</v>
      </c>
      <c r="H881" s="598">
        <f t="shared" si="62"/>
        <v>0</v>
      </c>
      <c r="I881" s="599"/>
      <c r="J881" s="605"/>
      <c r="K881" s="615" t="s">
        <v>203</v>
      </c>
      <c r="L881" s="616" t="s">
        <v>729</v>
      </c>
      <c r="M881" s="621"/>
      <c r="N881" s="621"/>
      <c r="O881" s="621"/>
      <c r="P881" s="602"/>
      <c r="Q881" s="622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</row>
    <row r="882" ht="22.5" customHeight="1">
      <c r="A882" s="614">
        <v>45751.0</v>
      </c>
      <c r="B882" s="675" t="s">
        <v>2218</v>
      </c>
      <c r="C882" s="609"/>
      <c r="D882" s="610">
        <v>214000.0</v>
      </c>
      <c r="E882" s="606"/>
      <c r="F882" s="627" t="s">
        <v>674</v>
      </c>
      <c r="G882" s="597">
        <v>0.0</v>
      </c>
      <c r="H882" s="598">
        <f t="shared" si="62"/>
        <v>0</v>
      </c>
      <c r="I882" s="599"/>
      <c r="J882" s="605"/>
      <c r="K882" s="615" t="s">
        <v>203</v>
      </c>
      <c r="L882" s="616" t="s">
        <v>730</v>
      </c>
      <c r="M882" s="621"/>
      <c r="N882" s="621"/>
      <c r="O882" s="621"/>
      <c r="P882" s="602"/>
      <c r="Q882" s="622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</row>
    <row r="883" ht="22.5" customHeight="1">
      <c r="A883" s="614">
        <v>45751.0</v>
      </c>
      <c r="B883" s="675" t="s">
        <v>2218</v>
      </c>
      <c r="C883" s="610">
        <v>138599.94</v>
      </c>
      <c r="D883" s="610"/>
      <c r="E883" s="606"/>
      <c r="F883" s="627" t="s">
        <v>2034</v>
      </c>
      <c r="G883" s="597">
        <v>20.0</v>
      </c>
      <c r="H883" s="598">
        <f t="shared" si="62"/>
        <v>23099.99</v>
      </c>
      <c r="I883" s="599"/>
      <c r="J883" s="599"/>
      <c r="K883" s="673" t="s">
        <v>51</v>
      </c>
      <c r="L883" s="616" t="s">
        <v>2229</v>
      </c>
      <c r="M883" s="621"/>
      <c r="N883" s="612">
        <v>26.0</v>
      </c>
      <c r="O883" s="662">
        <v>45672.0</v>
      </c>
      <c r="P883" s="602">
        <f t="shared" ref="P883:P884" si="75">A883-IF(O883&gt;0,O883,A883)</f>
        <v>79</v>
      </c>
      <c r="Q883" s="622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</row>
    <row r="884" ht="22.5" customHeight="1">
      <c r="A884" s="614">
        <v>45751.0</v>
      </c>
      <c r="B884" s="675" t="s">
        <v>2218</v>
      </c>
      <c r="C884" s="610">
        <v>300000.0</v>
      </c>
      <c r="D884" s="609"/>
      <c r="E884" s="606"/>
      <c r="F884" s="627" t="s">
        <v>594</v>
      </c>
      <c r="G884" s="597">
        <v>20.0</v>
      </c>
      <c r="H884" s="598">
        <f t="shared" si="62"/>
        <v>50000</v>
      </c>
      <c r="I884" s="599"/>
      <c r="J884" s="599"/>
      <c r="K884" s="674" t="s">
        <v>51</v>
      </c>
      <c r="L884" s="616" t="s">
        <v>305</v>
      </c>
      <c r="M884" s="621"/>
      <c r="N884" s="612">
        <v>43.0</v>
      </c>
      <c r="O884" s="662">
        <v>45696.0</v>
      </c>
      <c r="P884" s="602">
        <f t="shared" si="75"/>
        <v>55</v>
      </c>
      <c r="Q884" s="622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</row>
    <row r="885" ht="22.5" customHeight="1">
      <c r="A885" s="614">
        <v>45751.0</v>
      </c>
      <c r="B885" s="675" t="s">
        <v>2218</v>
      </c>
      <c r="C885" s="609"/>
      <c r="D885" s="610">
        <v>150000.0</v>
      </c>
      <c r="E885" s="606"/>
      <c r="F885" s="627" t="s">
        <v>664</v>
      </c>
      <c r="G885" s="597">
        <v>0.0</v>
      </c>
      <c r="H885" s="598">
        <f t="shared" si="62"/>
        <v>0</v>
      </c>
      <c r="I885" s="599"/>
      <c r="J885" s="599"/>
      <c r="K885" s="615" t="s">
        <v>322</v>
      </c>
      <c r="L885" s="616" t="s">
        <v>731</v>
      </c>
      <c r="M885" s="621"/>
      <c r="N885" s="621"/>
      <c r="O885" s="621"/>
      <c r="P885" s="602"/>
      <c r="Q885" s="622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</row>
    <row r="886" ht="22.5" customHeight="1">
      <c r="A886" s="614">
        <v>45752.0</v>
      </c>
      <c r="B886" s="675" t="s">
        <v>2218</v>
      </c>
      <c r="C886" s="609"/>
      <c r="D886" s="609"/>
      <c r="E886" s="604" t="s">
        <v>33</v>
      </c>
      <c r="F886" s="627" t="s">
        <v>674</v>
      </c>
      <c r="G886" s="597">
        <v>0.0</v>
      </c>
      <c r="H886" s="598">
        <f t="shared" si="62"/>
        <v>0</v>
      </c>
      <c r="I886" s="599"/>
      <c r="J886" s="605">
        <v>10000.0</v>
      </c>
      <c r="K886" s="658" t="s">
        <v>30</v>
      </c>
      <c r="L886" s="616" t="s">
        <v>732</v>
      </c>
      <c r="M886" s="621"/>
      <c r="N886" s="621"/>
      <c r="O886" s="621"/>
      <c r="P886" s="602"/>
      <c r="Q886" s="622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</row>
    <row r="887" ht="22.5" customHeight="1">
      <c r="A887" s="614">
        <v>45752.0</v>
      </c>
      <c r="B887" s="675" t="s">
        <v>2218</v>
      </c>
      <c r="C887" s="609"/>
      <c r="D887" s="609"/>
      <c r="E887" s="604" t="s">
        <v>33</v>
      </c>
      <c r="F887" s="627" t="s">
        <v>674</v>
      </c>
      <c r="G887" s="597">
        <v>0.0</v>
      </c>
      <c r="H887" s="598">
        <f t="shared" si="62"/>
        <v>0</v>
      </c>
      <c r="I887" s="599"/>
      <c r="J887" s="599">
        <f>11500+9600+3300+6500+1700+1000+8500+17900</f>
        <v>60000</v>
      </c>
      <c r="K887" s="615" t="s">
        <v>1181</v>
      </c>
      <c r="L887" s="616" t="s">
        <v>733</v>
      </c>
      <c r="M887" s="621"/>
      <c r="N887" s="621"/>
      <c r="O887" s="621"/>
      <c r="P887" s="602"/>
      <c r="Q887" s="622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</row>
    <row r="888" ht="22.5" customHeight="1">
      <c r="A888" s="614">
        <v>45752.0</v>
      </c>
      <c r="B888" s="675" t="s">
        <v>2218</v>
      </c>
      <c r="C888" s="609"/>
      <c r="D888" s="609"/>
      <c r="E888" s="604" t="s">
        <v>33</v>
      </c>
      <c r="F888" s="627" t="s">
        <v>674</v>
      </c>
      <c r="G888" s="597">
        <v>0.0</v>
      </c>
      <c r="H888" s="598">
        <f t="shared" si="62"/>
        <v>0</v>
      </c>
      <c r="I888" s="599"/>
      <c r="J888" s="605">
        <v>70000.0</v>
      </c>
      <c r="K888" s="615" t="s">
        <v>591</v>
      </c>
      <c r="L888" s="616" t="s">
        <v>734</v>
      </c>
      <c r="M888" s="621"/>
      <c r="N888" s="621"/>
      <c r="O888" s="621"/>
      <c r="P888" s="602"/>
      <c r="Q888" s="622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</row>
    <row r="889" ht="22.5" customHeight="1">
      <c r="A889" s="614">
        <v>45752.0</v>
      </c>
      <c r="B889" s="675" t="s">
        <v>2218</v>
      </c>
      <c r="C889" s="609"/>
      <c r="D889" s="609"/>
      <c r="E889" s="604" t="s">
        <v>33</v>
      </c>
      <c r="F889" s="627" t="s">
        <v>674</v>
      </c>
      <c r="G889" s="597">
        <v>0.0</v>
      </c>
      <c r="H889" s="598">
        <f t="shared" si="62"/>
        <v>0</v>
      </c>
      <c r="I889" s="599"/>
      <c r="J889" s="605">
        <v>100000.0</v>
      </c>
      <c r="K889" s="615" t="s">
        <v>591</v>
      </c>
      <c r="L889" s="616" t="s">
        <v>735</v>
      </c>
      <c r="M889" s="621"/>
      <c r="N889" s="621"/>
      <c r="O889" s="621"/>
      <c r="P889" s="602"/>
      <c r="Q889" s="622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</row>
    <row r="890" ht="22.5" customHeight="1">
      <c r="A890" s="614">
        <v>45752.0</v>
      </c>
      <c r="B890" s="675" t="s">
        <v>2218</v>
      </c>
      <c r="C890" s="609"/>
      <c r="D890" s="610">
        <v>49992.0</v>
      </c>
      <c r="E890" s="606"/>
      <c r="F890" s="627" t="s">
        <v>674</v>
      </c>
      <c r="G890" s="597">
        <v>0.0</v>
      </c>
      <c r="H890" s="598">
        <f t="shared" si="62"/>
        <v>0</v>
      </c>
      <c r="I890" s="599"/>
      <c r="J890" s="599"/>
      <c r="K890" s="615" t="s">
        <v>30</v>
      </c>
      <c r="L890" s="616" t="s">
        <v>736</v>
      </c>
      <c r="M890" s="621"/>
      <c r="N890" s="621"/>
      <c r="O890" s="621"/>
      <c r="P890" s="602"/>
      <c r="Q890" s="613" t="s">
        <v>737</v>
      </c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</row>
    <row r="891" ht="22.5" customHeight="1">
      <c r="A891" s="614">
        <v>45753.0</v>
      </c>
      <c r="B891" s="675" t="s">
        <v>2218</v>
      </c>
      <c r="C891" s="609"/>
      <c r="D891" s="610">
        <v>297280.0</v>
      </c>
      <c r="E891" s="606"/>
      <c r="F891" s="627" t="s">
        <v>594</v>
      </c>
      <c r="G891" s="597">
        <v>0.0</v>
      </c>
      <c r="H891" s="598">
        <f t="shared" si="62"/>
        <v>0</v>
      </c>
      <c r="I891" s="599"/>
      <c r="J891" s="599"/>
      <c r="K891" s="615" t="s">
        <v>93</v>
      </c>
      <c r="L891" s="679" t="s">
        <v>516</v>
      </c>
      <c r="M891" s="621"/>
      <c r="N891" s="621"/>
      <c r="O891" s="621"/>
      <c r="P891" s="602"/>
      <c r="Q891" s="685" t="s">
        <v>738</v>
      </c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</row>
    <row r="892" ht="22.5" customHeight="1">
      <c r="A892" s="614">
        <v>45753.0</v>
      </c>
      <c r="B892" s="675" t="s">
        <v>2218</v>
      </c>
      <c r="C892" s="609"/>
      <c r="D892" s="609"/>
      <c r="E892" s="604" t="s">
        <v>33</v>
      </c>
      <c r="F892" s="627" t="s">
        <v>722</v>
      </c>
      <c r="G892" s="597">
        <v>0.0</v>
      </c>
      <c r="H892" s="598">
        <f t="shared" si="62"/>
        <v>0</v>
      </c>
      <c r="I892" s="599"/>
      <c r="J892" s="605">
        <v>18000.0</v>
      </c>
      <c r="K892" s="615" t="s">
        <v>2240</v>
      </c>
      <c r="L892" s="616" t="s">
        <v>739</v>
      </c>
      <c r="M892" s="621"/>
      <c r="N892" s="621"/>
      <c r="O892" s="621"/>
      <c r="P892" s="602"/>
      <c r="Q892" s="622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</row>
    <row r="893" ht="22.5" customHeight="1">
      <c r="A893" s="614">
        <v>45753.0</v>
      </c>
      <c r="B893" s="675" t="s">
        <v>2218</v>
      </c>
      <c r="C893" s="609"/>
      <c r="D893" s="609"/>
      <c r="E893" s="604" t="s">
        <v>33</v>
      </c>
      <c r="F893" s="627" t="s">
        <v>722</v>
      </c>
      <c r="G893" s="597">
        <v>0.0</v>
      </c>
      <c r="H893" s="598">
        <f t="shared" si="62"/>
        <v>0</v>
      </c>
      <c r="I893" s="599"/>
      <c r="J893" s="605">
        <v>50000.0</v>
      </c>
      <c r="K893" s="615" t="s">
        <v>2240</v>
      </c>
      <c r="L893" s="616" t="s">
        <v>740</v>
      </c>
      <c r="M893" s="621"/>
      <c r="N893" s="621"/>
      <c r="O893" s="621"/>
      <c r="P893" s="602"/>
      <c r="Q893" s="622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</row>
    <row r="894" ht="22.5" customHeight="1">
      <c r="A894" s="614">
        <v>45754.0</v>
      </c>
      <c r="B894" s="675" t="s">
        <v>2218</v>
      </c>
      <c r="C894" s="610">
        <v>960000.3</v>
      </c>
      <c r="D894" s="609"/>
      <c r="E894" s="606"/>
      <c r="F894" s="627" t="s">
        <v>594</v>
      </c>
      <c r="G894" s="597">
        <v>20.0</v>
      </c>
      <c r="H894" s="598">
        <f t="shared" si="62"/>
        <v>160000.05</v>
      </c>
      <c r="I894" s="599"/>
      <c r="J894" s="599"/>
      <c r="K894" s="615" t="s">
        <v>51</v>
      </c>
      <c r="L894" s="616" t="s">
        <v>110</v>
      </c>
      <c r="M894" s="621"/>
      <c r="N894" s="612">
        <v>55.0</v>
      </c>
      <c r="O894" s="662">
        <v>45698.0</v>
      </c>
      <c r="P894" s="602">
        <f>A894-IF(O894&gt;0,O894,A894)</f>
        <v>56</v>
      </c>
      <c r="Q894" s="622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</row>
    <row r="895" ht="22.5" customHeight="1">
      <c r="A895" s="614">
        <v>45754.0</v>
      </c>
      <c r="B895" s="675" t="s">
        <v>2218</v>
      </c>
      <c r="C895" s="609"/>
      <c r="D895" s="610">
        <v>782150.0</v>
      </c>
      <c r="E895" s="606"/>
      <c r="F895" s="627" t="s">
        <v>722</v>
      </c>
      <c r="G895" s="597">
        <v>5.0</v>
      </c>
      <c r="H895" s="598">
        <f t="shared" si="62"/>
        <v>37245.2381</v>
      </c>
      <c r="I895" s="599"/>
      <c r="J895" s="599"/>
      <c r="K895" s="615" t="s">
        <v>2240</v>
      </c>
      <c r="L895" s="616" t="s">
        <v>741</v>
      </c>
      <c r="M895" s="621"/>
      <c r="N895" s="621"/>
      <c r="O895" s="621"/>
      <c r="P895" s="602"/>
      <c r="Q895" s="613" t="s">
        <v>742</v>
      </c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</row>
    <row r="896" ht="22.5" customHeight="1">
      <c r="A896" s="614">
        <v>45754.0</v>
      </c>
      <c r="B896" s="675" t="s">
        <v>2218</v>
      </c>
      <c r="C896" s="610"/>
      <c r="D896" s="609"/>
      <c r="E896" s="604" t="s">
        <v>33</v>
      </c>
      <c r="F896" s="627" t="s">
        <v>674</v>
      </c>
      <c r="G896" s="597">
        <v>0.0</v>
      </c>
      <c r="H896" s="598">
        <f t="shared" si="62"/>
        <v>0</v>
      </c>
      <c r="I896" s="599"/>
      <c r="J896" s="605">
        <v>68783.0</v>
      </c>
      <c r="K896" s="615" t="s">
        <v>65</v>
      </c>
      <c r="L896" s="616" t="s">
        <v>743</v>
      </c>
      <c r="M896" s="621"/>
      <c r="N896" s="621"/>
      <c r="O896" s="621"/>
      <c r="P896" s="602"/>
      <c r="Q896" s="622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</row>
    <row r="897" ht="22.5" customHeight="1">
      <c r="A897" s="614">
        <v>45754.0</v>
      </c>
      <c r="B897" s="675" t="s">
        <v>2218</v>
      </c>
      <c r="C897" s="609"/>
      <c r="D897" s="609"/>
      <c r="E897" s="604" t="s">
        <v>33</v>
      </c>
      <c r="F897" s="627" t="s">
        <v>674</v>
      </c>
      <c r="G897" s="597">
        <v>0.0</v>
      </c>
      <c r="H897" s="598">
        <f t="shared" si="62"/>
        <v>0</v>
      </c>
      <c r="I897" s="599"/>
      <c r="J897" s="605">
        <v>415640.0</v>
      </c>
      <c r="K897" s="615" t="s">
        <v>591</v>
      </c>
      <c r="L897" s="616" t="s">
        <v>744</v>
      </c>
      <c r="M897" s="621"/>
      <c r="N897" s="621"/>
      <c r="O897" s="621"/>
      <c r="P897" s="602"/>
      <c r="Q897" s="622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</row>
    <row r="898" ht="22.5" customHeight="1">
      <c r="A898" s="614">
        <v>45754.0</v>
      </c>
      <c r="B898" s="675" t="s">
        <v>2218</v>
      </c>
      <c r="C898" s="609"/>
      <c r="D898" s="610">
        <v>23788.57</v>
      </c>
      <c r="E898" s="606"/>
      <c r="F898" s="627" t="s">
        <v>674</v>
      </c>
      <c r="G898" s="597">
        <v>0.0</v>
      </c>
      <c r="H898" s="598">
        <f t="shared" si="62"/>
        <v>0</v>
      </c>
      <c r="I898" s="599"/>
      <c r="J898" s="599"/>
      <c r="K898" s="615" t="s">
        <v>494</v>
      </c>
      <c r="L898" s="616" t="s">
        <v>745</v>
      </c>
      <c r="M898" s="621"/>
      <c r="N898" s="621"/>
      <c r="O898" s="621"/>
      <c r="P898" s="602"/>
      <c r="Q898" s="622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</row>
    <row r="899" ht="22.5" customHeight="1">
      <c r="A899" s="614">
        <v>45754.0</v>
      </c>
      <c r="B899" s="675" t="s">
        <v>2218</v>
      </c>
      <c r="C899" s="609"/>
      <c r="D899" s="610">
        <v>5594.34</v>
      </c>
      <c r="E899" s="606"/>
      <c r="F899" s="627" t="s">
        <v>674</v>
      </c>
      <c r="G899" s="597">
        <v>0.0</v>
      </c>
      <c r="H899" s="598">
        <f t="shared" si="62"/>
        <v>0</v>
      </c>
      <c r="I899" s="599"/>
      <c r="J899" s="599"/>
      <c r="K899" s="615" t="s">
        <v>494</v>
      </c>
      <c r="L899" s="616" t="s">
        <v>745</v>
      </c>
      <c r="M899" s="621"/>
      <c r="N899" s="621"/>
      <c r="O899" s="621"/>
      <c r="P899" s="602"/>
      <c r="Q899" s="622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</row>
    <row r="900" ht="22.5" customHeight="1">
      <c r="A900" s="614">
        <v>45754.0</v>
      </c>
      <c r="B900" s="675" t="s">
        <v>2218</v>
      </c>
      <c r="C900" s="609"/>
      <c r="D900" s="609"/>
      <c r="E900" s="604" t="s">
        <v>33</v>
      </c>
      <c r="F900" s="627" t="s">
        <v>674</v>
      </c>
      <c r="G900" s="597">
        <v>0.0</v>
      </c>
      <c r="H900" s="598">
        <f t="shared" si="62"/>
        <v>0</v>
      </c>
      <c r="I900" s="599"/>
      <c r="J900" s="605">
        <v>10640.0</v>
      </c>
      <c r="K900" s="615" t="s">
        <v>1181</v>
      </c>
      <c r="L900" s="616" t="s">
        <v>746</v>
      </c>
      <c r="M900" s="621"/>
      <c r="N900" s="621"/>
      <c r="O900" s="621"/>
      <c r="P900" s="602"/>
      <c r="Q900" s="622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</row>
    <row r="901" ht="22.5" customHeight="1">
      <c r="A901" s="614">
        <v>45754.0</v>
      </c>
      <c r="B901" s="675" t="s">
        <v>2218</v>
      </c>
      <c r="C901" s="609"/>
      <c r="D901" s="609"/>
      <c r="E901" s="604" t="s">
        <v>33</v>
      </c>
      <c r="F901" s="627" t="s">
        <v>674</v>
      </c>
      <c r="G901" s="597">
        <v>0.0</v>
      </c>
      <c r="H901" s="598">
        <f t="shared" si="62"/>
        <v>0</v>
      </c>
      <c r="I901" s="599"/>
      <c r="J901" s="605">
        <v>14700.0</v>
      </c>
      <c r="K901" s="615" t="s">
        <v>494</v>
      </c>
      <c r="L901" s="616" t="s">
        <v>747</v>
      </c>
      <c r="M901" s="621"/>
      <c r="N901" s="621"/>
      <c r="O901" s="621"/>
      <c r="P901" s="602"/>
      <c r="Q901" s="622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</row>
    <row r="902" ht="22.5" customHeight="1">
      <c r="A902" s="614">
        <v>45754.0</v>
      </c>
      <c r="B902" s="675" t="s">
        <v>2218</v>
      </c>
      <c r="C902" s="609"/>
      <c r="D902" s="609"/>
      <c r="E902" s="604" t="s">
        <v>33</v>
      </c>
      <c r="F902" s="627" t="s">
        <v>722</v>
      </c>
      <c r="G902" s="597">
        <v>0.0</v>
      </c>
      <c r="H902" s="598">
        <f t="shared" si="62"/>
        <v>0</v>
      </c>
      <c r="I902" s="599"/>
      <c r="J902" s="605">
        <v>8950.0</v>
      </c>
      <c r="K902" s="615" t="s">
        <v>494</v>
      </c>
      <c r="L902" s="616" t="s">
        <v>668</v>
      </c>
      <c r="M902" s="621"/>
      <c r="N902" s="621"/>
      <c r="O902" s="621"/>
      <c r="P902" s="602"/>
      <c r="Q902" s="622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</row>
    <row r="903" ht="22.5" customHeight="1">
      <c r="A903" s="614">
        <v>45754.0</v>
      </c>
      <c r="B903" s="675" t="s">
        <v>2218</v>
      </c>
      <c r="C903" s="609"/>
      <c r="D903" s="610">
        <v>55324.0</v>
      </c>
      <c r="E903" s="606"/>
      <c r="F903" s="627" t="s">
        <v>674</v>
      </c>
      <c r="G903" s="597">
        <v>0.0</v>
      </c>
      <c r="H903" s="598">
        <f t="shared" si="62"/>
        <v>0</v>
      </c>
      <c r="I903" s="599"/>
      <c r="J903" s="599"/>
      <c r="K903" s="615" t="s">
        <v>236</v>
      </c>
      <c r="L903" s="616" t="s">
        <v>72</v>
      </c>
      <c r="M903" s="621"/>
      <c r="N903" s="621"/>
      <c r="O903" s="621"/>
      <c r="P903" s="602"/>
      <c r="Q903" s="613" t="s">
        <v>748</v>
      </c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</row>
    <row r="904" ht="22.5" customHeight="1">
      <c r="A904" s="614">
        <v>45754.0</v>
      </c>
      <c r="B904" s="675" t="s">
        <v>2218</v>
      </c>
      <c r="C904" s="609"/>
      <c r="D904" s="609"/>
      <c r="E904" s="604" t="s">
        <v>33</v>
      </c>
      <c r="F904" s="627" t="s">
        <v>722</v>
      </c>
      <c r="G904" s="597">
        <v>0.0</v>
      </c>
      <c r="H904" s="598">
        <f t="shared" si="62"/>
        <v>0</v>
      </c>
      <c r="I904" s="599"/>
      <c r="J904" s="605">
        <v>15500.0</v>
      </c>
      <c r="K904" s="615" t="s">
        <v>591</v>
      </c>
      <c r="L904" s="616" t="s">
        <v>749</v>
      </c>
      <c r="M904" s="621"/>
      <c r="N904" s="621"/>
      <c r="O904" s="621"/>
      <c r="P904" s="602"/>
      <c r="Q904" s="622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</row>
    <row r="905" ht="22.5" customHeight="1">
      <c r="A905" s="614">
        <v>45755.0</v>
      </c>
      <c r="B905" s="626" t="s">
        <v>2218</v>
      </c>
      <c r="C905" s="610">
        <v>469800.0</v>
      </c>
      <c r="D905" s="609"/>
      <c r="E905" s="606"/>
      <c r="F905" s="627" t="s">
        <v>594</v>
      </c>
      <c r="G905" s="597">
        <v>20.0</v>
      </c>
      <c r="H905" s="598">
        <f t="shared" si="62"/>
        <v>78300</v>
      </c>
      <c r="I905" s="599"/>
      <c r="J905" s="599"/>
      <c r="K905" s="615" t="s">
        <v>51</v>
      </c>
      <c r="L905" s="616" t="s">
        <v>2245</v>
      </c>
      <c r="M905" s="621"/>
      <c r="N905" s="612">
        <v>44.0</v>
      </c>
      <c r="O905" s="662">
        <v>45696.0</v>
      </c>
      <c r="P905" s="602">
        <f t="shared" ref="P905:P906" si="76">A905-IF(O905&gt;0,O905,A905)</f>
        <v>59</v>
      </c>
      <c r="Q905" s="622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</row>
    <row r="906" ht="22.5" customHeight="1">
      <c r="A906" s="614">
        <v>45755.0</v>
      </c>
      <c r="B906" s="626" t="s">
        <v>2218</v>
      </c>
      <c r="C906" s="610">
        <v>638400.0</v>
      </c>
      <c r="D906" s="609"/>
      <c r="E906" s="606"/>
      <c r="F906" s="627" t="s">
        <v>594</v>
      </c>
      <c r="G906" s="597">
        <v>20.0</v>
      </c>
      <c r="H906" s="598">
        <f t="shared" si="62"/>
        <v>106400</v>
      </c>
      <c r="I906" s="599"/>
      <c r="J906" s="599"/>
      <c r="K906" s="615" t="s">
        <v>51</v>
      </c>
      <c r="L906" s="616" t="s">
        <v>2245</v>
      </c>
      <c r="M906" s="621"/>
      <c r="N906" s="612">
        <v>51.0</v>
      </c>
      <c r="O906" s="662">
        <v>45697.0</v>
      </c>
      <c r="P906" s="602">
        <f t="shared" si="76"/>
        <v>58</v>
      </c>
      <c r="Q906" s="622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</row>
    <row r="907" ht="22.5" customHeight="1">
      <c r="A907" s="614">
        <v>45755.0</v>
      </c>
      <c r="B907" s="626" t="s">
        <v>2218</v>
      </c>
      <c r="C907" s="609"/>
      <c r="D907" s="610">
        <v>94000.0</v>
      </c>
      <c r="E907" s="606"/>
      <c r="F907" s="627" t="s">
        <v>594</v>
      </c>
      <c r="G907" s="597">
        <v>0.0</v>
      </c>
      <c r="H907" s="598">
        <f t="shared" si="62"/>
        <v>0</v>
      </c>
      <c r="I907" s="599"/>
      <c r="J907" s="599"/>
      <c r="K907" s="615" t="s">
        <v>286</v>
      </c>
      <c r="L907" s="616" t="s">
        <v>454</v>
      </c>
      <c r="M907" s="621"/>
      <c r="N907" s="621"/>
      <c r="O907" s="621"/>
      <c r="P907" s="602"/>
      <c r="Q907" s="685" t="s">
        <v>751</v>
      </c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</row>
    <row r="908" ht="22.5" customHeight="1">
      <c r="A908" s="614">
        <v>45755.0</v>
      </c>
      <c r="B908" s="626" t="s">
        <v>2218</v>
      </c>
      <c r="C908" s="610">
        <v>808500.0</v>
      </c>
      <c r="D908" s="610"/>
      <c r="E908" s="606"/>
      <c r="F908" s="627" t="s">
        <v>626</v>
      </c>
      <c r="G908" s="597">
        <v>20.0</v>
      </c>
      <c r="H908" s="598">
        <f t="shared" si="62"/>
        <v>134750</v>
      </c>
      <c r="I908" s="599"/>
      <c r="J908" s="599"/>
      <c r="K908" s="615" t="s">
        <v>51</v>
      </c>
      <c r="L908" s="616" t="s">
        <v>752</v>
      </c>
      <c r="M908" s="612" t="s">
        <v>753</v>
      </c>
      <c r="N908" s="612">
        <v>79.0</v>
      </c>
      <c r="O908" s="662">
        <v>45727.0</v>
      </c>
      <c r="P908" s="602">
        <f t="shared" ref="P908:P913" si="77">A908-IF(O908&gt;0,O908,A908)</f>
        <v>28</v>
      </c>
      <c r="Q908" s="622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</row>
    <row r="909" ht="22.5" customHeight="1">
      <c r="A909" s="614">
        <v>45755.0</v>
      </c>
      <c r="B909" s="626" t="s">
        <v>2218</v>
      </c>
      <c r="C909" s="610">
        <v>600600.0</v>
      </c>
      <c r="D909" s="610"/>
      <c r="E909" s="652"/>
      <c r="F909" s="627" t="s">
        <v>626</v>
      </c>
      <c r="G909" s="597">
        <v>20.0</v>
      </c>
      <c r="H909" s="598">
        <f t="shared" si="62"/>
        <v>100100</v>
      </c>
      <c r="I909" s="599"/>
      <c r="J909" s="599"/>
      <c r="K909" s="615" t="s">
        <v>51</v>
      </c>
      <c r="L909" s="616" t="s">
        <v>752</v>
      </c>
      <c r="M909" s="612" t="s">
        <v>754</v>
      </c>
      <c r="N909" s="612">
        <v>88.0</v>
      </c>
      <c r="O909" s="662">
        <v>45727.0</v>
      </c>
      <c r="P909" s="602">
        <f t="shared" si="77"/>
        <v>28</v>
      </c>
      <c r="Q909" s="622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</row>
    <row r="910" ht="22.5" customHeight="1">
      <c r="A910" s="614">
        <v>45755.0</v>
      </c>
      <c r="B910" s="626" t="s">
        <v>2218</v>
      </c>
      <c r="C910" s="610">
        <v>50486.1</v>
      </c>
      <c r="D910" s="610"/>
      <c r="E910" s="606"/>
      <c r="F910" s="627" t="s">
        <v>626</v>
      </c>
      <c r="G910" s="597">
        <v>20.0</v>
      </c>
      <c r="H910" s="598">
        <f t="shared" si="62"/>
        <v>8414.35</v>
      </c>
      <c r="I910" s="599"/>
      <c r="J910" s="599"/>
      <c r="K910" s="615" t="s">
        <v>51</v>
      </c>
      <c r="L910" s="616" t="s">
        <v>641</v>
      </c>
      <c r="M910" s="612" t="s">
        <v>755</v>
      </c>
      <c r="N910" s="612">
        <v>68.0</v>
      </c>
      <c r="O910" s="662">
        <v>45726.0</v>
      </c>
      <c r="P910" s="602">
        <f t="shared" si="77"/>
        <v>29</v>
      </c>
      <c r="Q910" s="622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</row>
    <row r="911" ht="22.5" customHeight="1">
      <c r="A911" s="614">
        <v>45755.0</v>
      </c>
      <c r="B911" s="626" t="s">
        <v>2218</v>
      </c>
      <c r="C911" s="610">
        <v>48284.04</v>
      </c>
      <c r="D911" s="610"/>
      <c r="E911" s="606"/>
      <c r="F911" s="627" t="s">
        <v>626</v>
      </c>
      <c r="G911" s="597">
        <v>20.0</v>
      </c>
      <c r="H911" s="598">
        <f t="shared" si="62"/>
        <v>8047.34</v>
      </c>
      <c r="I911" s="599"/>
      <c r="J911" s="599"/>
      <c r="K911" s="615" t="s">
        <v>51</v>
      </c>
      <c r="L911" s="616" t="s">
        <v>641</v>
      </c>
      <c r="M911" s="612" t="s">
        <v>756</v>
      </c>
      <c r="N911" s="612">
        <v>69.0</v>
      </c>
      <c r="O911" s="662">
        <v>45726.0</v>
      </c>
      <c r="P911" s="602">
        <f t="shared" si="77"/>
        <v>29</v>
      </c>
      <c r="Q911" s="622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</row>
    <row r="912" ht="22.5" customHeight="1">
      <c r="A912" s="614">
        <v>45755.0</v>
      </c>
      <c r="B912" s="626" t="s">
        <v>2218</v>
      </c>
      <c r="C912" s="610">
        <v>1559059.2</v>
      </c>
      <c r="D912" s="610"/>
      <c r="E912" s="652"/>
      <c r="F912" s="627" t="s">
        <v>626</v>
      </c>
      <c r="G912" s="597">
        <v>20.0</v>
      </c>
      <c r="H912" s="598">
        <f t="shared" si="62"/>
        <v>259843.2</v>
      </c>
      <c r="I912" s="599"/>
      <c r="J912" s="599"/>
      <c r="K912" s="615" t="s">
        <v>51</v>
      </c>
      <c r="L912" s="616" t="s">
        <v>641</v>
      </c>
      <c r="M912" s="612" t="s">
        <v>757</v>
      </c>
      <c r="N912" s="612">
        <v>94.0</v>
      </c>
      <c r="O912" s="662">
        <v>45729.0</v>
      </c>
      <c r="P912" s="602">
        <f t="shared" si="77"/>
        <v>26</v>
      </c>
      <c r="Q912" s="622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</row>
    <row r="913" ht="22.5" customHeight="1">
      <c r="A913" s="614">
        <v>45755.0</v>
      </c>
      <c r="B913" s="626" t="s">
        <v>2218</v>
      </c>
      <c r="C913" s="610">
        <v>1030260.0</v>
      </c>
      <c r="D913" s="610"/>
      <c r="E913" s="652"/>
      <c r="F913" s="627" t="s">
        <v>626</v>
      </c>
      <c r="G913" s="597">
        <v>20.0</v>
      </c>
      <c r="H913" s="598">
        <f t="shared" si="62"/>
        <v>171710</v>
      </c>
      <c r="I913" s="599"/>
      <c r="J913" s="599"/>
      <c r="K913" s="672" t="s">
        <v>51</v>
      </c>
      <c r="L913" s="616" t="s">
        <v>641</v>
      </c>
      <c r="M913" s="612" t="s">
        <v>758</v>
      </c>
      <c r="N913" s="612">
        <v>95.0</v>
      </c>
      <c r="O913" s="662">
        <v>45729.0</v>
      </c>
      <c r="P913" s="602">
        <f t="shared" si="77"/>
        <v>26</v>
      </c>
      <c r="Q913" s="622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</row>
    <row r="914" ht="22.5" customHeight="1">
      <c r="A914" s="614">
        <v>45756.0</v>
      </c>
      <c r="B914" s="626" t="s">
        <v>2218</v>
      </c>
      <c r="C914" s="609"/>
      <c r="D914" s="610">
        <v>2494066.21</v>
      </c>
      <c r="E914" s="606"/>
      <c r="F914" s="627" t="s">
        <v>664</v>
      </c>
      <c r="G914" s="597">
        <v>0.0</v>
      </c>
      <c r="H914" s="598">
        <f t="shared" si="62"/>
        <v>0</v>
      </c>
      <c r="I914" s="599"/>
      <c r="J914" s="599"/>
      <c r="K914" s="615" t="s">
        <v>93</v>
      </c>
      <c r="L914" s="616" t="s">
        <v>2228</v>
      </c>
      <c r="M914" s="621"/>
      <c r="N914" s="621"/>
      <c r="O914" s="621"/>
      <c r="P914" s="602"/>
      <c r="Q914" s="622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</row>
    <row r="915" ht="22.5" customHeight="1">
      <c r="A915" s="614">
        <v>45756.0</v>
      </c>
      <c r="B915" s="626" t="s">
        <v>2218</v>
      </c>
      <c r="C915" s="609"/>
      <c r="D915" s="610">
        <v>2717929.58</v>
      </c>
      <c r="E915" s="606"/>
      <c r="F915" s="627" t="s">
        <v>594</v>
      </c>
      <c r="G915" s="597">
        <v>20.0</v>
      </c>
      <c r="H915" s="598">
        <f t="shared" si="62"/>
        <v>452988.2633</v>
      </c>
      <c r="I915" s="599"/>
      <c r="J915" s="599"/>
      <c r="K915" s="615" t="s">
        <v>101</v>
      </c>
      <c r="L915" s="616" t="s">
        <v>654</v>
      </c>
      <c r="M915" s="621"/>
      <c r="N915" s="621"/>
      <c r="O915" s="621"/>
      <c r="P915" s="602"/>
      <c r="Q915" s="622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</row>
    <row r="916" ht="22.5" customHeight="1">
      <c r="A916" s="614">
        <v>45756.0</v>
      </c>
      <c r="B916" s="626" t="s">
        <v>2218</v>
      </c>
      <c r="C916" s="610">
        <v>240000.0</v>
      </c>
      <c r="D916" s="609"/>
      <c r="E916" s="606"/>
      <c r="F916" s="627" t="s">
        <v>594</v>
      </c>
      <c r="G916" s="597">
        <v>20.0</v>
      </c>
      <c r="H916" s="598">
        <f t="shared" si="62"/>
        <v>40000</v>
      </c>
      <c r="I916" s="599"/>
      <c r="J916" s="599"/>
      <c r="K916" s="673" t="s">
        <v>51</v>
      </c>
      <c r="L916" s="616" t="s">
        <v>654</v>
      </c>
      <c r="M916" s="621"/>
      <c r="N916" s="612">
        <v>48.0</v>
      </c>
      <c r="O916" s="662">
        <v>45696.0</v>
      </c>
      <c r="P916" s="602">
        <f>A916-IF(O916&gt;0,O916,A916)</f>
        <v>60</v>
      </c>
      <c r="Q916" s="622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</row>
    <row r="917" ht="22.5" customHeight="1">
      <c r="A917" s="614">
        <v>45756.0</v>
      </c>
      <c r="B917" s="626" t="s">
        <v>2218</v>
      </c>
      <c r="C917" s="609"/>
      <c r="D917" s="609"/>
      <c r="E917" s="604" t="s">
        <v>33</v>
      </c>
      <c r="F917" s="627" t="s">
        <v>722</v>
      </c>
      <c r="G917" s="686">
        <v>0.0</v>
      </c>
      <c r="H917" s="687">
        <f t="shared" si="62"/>
        <v>0</v>
      </c>
      <c r="I917" s="599"/>
      <c r="J917" s="605">
        <v>4000.0</v>
      </c>
      <c r="K917" s="615" t="s">
        <v>30</v>
      </c>
      <c r="L917" s="616" t="s">
        <v>759</v>
      </c>
      <c r="M917" s="621"/>
      <c r="N917" s="621"/>
      <c r="O917" s="621"/>
      <c r="P917" s="602"/>
      <c r="Q917" s="622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</row>
    <row r="918" ht="22.5" customHeight="1">
      <c r="A918" s="614">
        <v>45756.0</v>
      </c>
      <c r="B918" s="626" t="s">
        <v>2218</v>
      </c>
      <c r="C918" s="609"/>
      <c r="D918" s="609"/>
      <c r="E918" s="604" t="s">
        <v>33</v>
      </c>
      <c r="F918" s="627" t="s">
        <v>722</v>
      </c>
      <c r="G918" s="686">
        <v>0.0</v>
      </c>
      <c r="H918" s="687">
        <f t="shared" si="62"/>
        <v>0</v>
      </c>
      <c r="I918" s="599"/>
      <c r="J918" s="605">
        <v>50000.0</v>
      </c>
      <c r="K918" s="615" t="s">
        <v>591</v>
      </c>
      <c r="L918" s="616" t="s">
        <v>760</v>
      </c>
      <c r="M918" s="621"/>
      <c r="N918" s="621"/>
      <c r="O918" s="621"/>
      <c r="P918" s="602"/>
      <c r="Q918" s="622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</row>
    <row r="919" ht="22.5" customHeight="1">
      <c r="A919" s="614">
        <v>45756.0</v>
      </c>
      <c r="B919" s="626" t="s">
        <v>2218</v>
      </c>
      <c r="C919" s="609"/>
      <c r="D919" s="609"/>
      <c r="E919" s="604" t="s">
        <v>33</v>
      </c>
      <c r="F919" s="627" t="s">
        <v>722</v>
      </c>
      <c r="G919" s="686">
        <v>0.0</v>
      </c>
      <c r="H919" s="687">
        <f t="shared" si="62"/>
        <v>0</v>
      </c>
      <c r="I919" s="599"/>
      <c r="J919" s="605">
        <v>3000.0</v>
      </c>
      <c r="K919" s="615" t="s">
        <v>494</v>
      </c>
      <c r="L919" s="616" t="s">
        <v>761</v>
      </c>
      <c r="M919" s="621"/>
      <c r="N919" s="621"/>
      <c r="O919" s="621"/>
      <c r="P919" s="602"/>
      <c r="Q919" s="622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</row>
    <row r="920" ht="22.5" customHeight="1">
      <c r="A920" s="614">
        <v>45757.0</v>
      </c>
      <c r="B920" s="626" t="s">
        <v>2218</v>
      </c>
      <c r="C920" s="609"/>
      <c r="D920" s="609">
        <f>24038+502732.86+511.68</f>
        <v>527282.54</v>
      </c>
      <c r="E920" s="606"/>
      <c r="F920" s="627" t="s">
        <v>674</v>
      </c>
      <c r="G920" s="664"/>
      <c r="H920" s="665"/>
      <c r="I920" s="599"/>
      <c r="J920" s="599"/>
      <c r="K920" s="615" t="s">
        <v>203</v>
      </c>
      <c r="L920" s="616" t="s">
        <v>762</v>
      </c>
      <c r="M920" s="621"/>
      <c r="N920" s="621"/>
      <c r="O920" s="621"/>
      <c r="P920" s="602"/>
      <c r="Q920" s="622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</row>
    <row r="921" ht="22.5" customHeight="1">
      <c r="A921" s="614">
        <v>45758.0</v>
      </c>
      <c r="B921" s="626" t="s">
        <v>2218</v>
      </c>
      <c r="C921" s="610">
        <v>713940.0</v>
      </c>
      <c r="D921" s="610"/>
      <c r="E921" s="606"/>
      <c r="F921" s="627" t="s">
        <v>619</v>
      </c>
      <c r="G921" s="597">
        <v>20.0</v>
      </c>
      <c r="H921" s="598">
        <f t="shared" ref="H921:H932" si="78">SUM(C921:D921)*G921/(G921+100)</f>
        <v>118990</v>
      </c>
      <c r="I921" s="599"/>
      <c r="J921" s="599"/>
      <c r="K921" s="674" t="s">
        <v>51</v>
      </c>
      <c r="L921" s="616" t="s">
        <v>2229</v>
      </c>
      <c r="M921" s="621"/>
      <c r="N921" s="612">
        <v>13.0</v>
      </c>
      <c r="O921" s="662">
        <v>45671.0</v>
      </c>
      <c r="P921" s="602">
        <f t="shared" ref="P921:P922" si="79">A921-IF(O921&gt;0,O921,A921)</f>
        <v>87</v>
      </c>
      <c r="Q921" s="622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</row>
    <row r="922" ht="22.5" customHeight="1">
      <c r="A922" s="614">
        <v>45758.0</v>
      </c>
      <c r="B922" s="626" t="s">
        <v>2218</v>
      </c>
      <c r="C922" s="610">
        <v>1680000.0</v>
      </c>
      <c r="D922" s="609"/>
      <c r="E922" s="606"/>
      <c r="F922" s="627" t="s">
        <v>594</v>
      </c>
      <c r="G922" s="597">
        <v>20.0</v>
      </c>
      <c r="H922" s="598">
        <f t="shared" si="78"/>
        <v>280000</v>
      </c>
      <c r="I922" s="599"/>
      <c r="J922" s="599"/>
      <c r="K922" s="615" t="s">
        <v>51</v>
      </c>
      <c r="L922" s="616" t="s">
        <v>763</v>
      </c>
      <c r="M922" s="621"/>
      <c r="N922" s="612">
        <v>61.0</v>
      </c>
      <c r="O922" s="662">
        <v>45699.0</v>
      </c>
      <c r="P922" s="602">
        <f t="shared" si="79"/>
        <v>59</v>
      </c>
      <c r="Q922" s="622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</row>
    <row r="923" ht="22.5" customHeight="1">
      <c r="A923" s="614">
        <v>45760.0</v>
      </c>
      <c r="B923" s="626" t="s">
        <v>2218</v>
      </c>
      <c r="C923" s="609"/>
      <c r="D923" s="609"/>
      <c r="E923" s="604" t="s">
        <v>33</v>
      </c>
      <c r="F923" s="627" t="s">
        <v>722</v>
      </c>
      <c r="G923" s="686">
        <v>0.0</v>
      </c>
      <c r="H923" s="687">
        <f t="shared" si="78"/>
        <v>0</v>
      </c>
      <c r="I923" s="599"/>
      <c r="J923" s="605">
        <v>19500.0</v>
      </c>
      <c r="K923" s="615" t="s">
        <v>494</v>
      </c>
      <c r="L923" s="616" t="s">
        <v>764</v>
      </c>
      <c r="M923" s="621"/>
      <c r="N923" s="621"/>
      <c r="O923" s="621"/>
      <c r="P923" s="602"/>
      <c r="Q923" s="622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</row>
    <row r="924" ht="22.5" customHeight="1">
      <c r="A924" s="614">
        <v>45761.0</v>
      </c>
      <c r="B924" s="626" t="s">
        <v>2218</v>
      </c>
      <c r="C924" s="609"/>
      <c r="D924" s="610">
        <v>640500.07</v>
      </c>
      <c r="E924" s="606"/>
      <c r="F924" s="627" t="s">
        <v>664</v>
      </c>
      <c r="G924" s="597">
        <v>0.0</v>
      </c>
      <c r="H924" s="598">
        <f t="shared" si="78"/>
        <v>0</v>
      </c>
      <c r="I924" s="599"/>
      <c r="J924" s="599"/>
      <c r="K924" s="615" t="s">
        <v>93</v>
      </c>
      <c r="L924" s="616" t="s">
        <v>532</v>
      </c>
      <c r="M924" s="621"/>
      <c r="N924" s="621"/>
      <c r="O924" s="621"/>
      <c r="P924" s="602"/>
      <c r="Q924" s="622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</row>
    <row r="925" ht="22.5" customHeight="1">
      <c r="A925" s="614">
        <v>45761.0</v>
      </c>
      <c r="B925" s="626" t="s">
        <v>2218</v>
      </c>
      <c r="C925" s="609"/>
      <c r="D925" s="610">
        <v>1775344.77</v>
      </c>
      <c r="E925" s="606"/>
      <c r="F925" s="627" t="s">
        <v>664</v>
      </c>
      <c r="G925" s="597">
        <v>0.0</v>
      </c>
      <c r="H925" s="598">
        <f t="shared" si="78"/>
        <v>0</v>
      </c>
      <c r="I925" s="599"/>
      <c r="J925" s="599"/>
      <c r="K925" s="615" t="s">
        <v>93</v>
      </c>
      <c r="L925" s="616" t="s">
        <v>2241</v>
      </c>
      <c r="M925" s="621"/>
      <c r="N925" s="621"/>
      <c r="O925" s="621"/>
      <c r="P925" s="602"/>
      <c r="Q925" s="685" t="s">
        <v>765</v>
      </c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</row>
    <row r="926" ht="22.5" customHeight="1">
      <c r="A926" s="614">
        <v>45761.0</v>
      </c>
      <c r="B926" s="626" t="s">
        <v>2218</v>
      </c>
      <c r="C926" s="609"/>
      <c r="D926" s="610">
        <v>474060.06</v>
      </c>
      <c r="E926" s="606"/>
      <c r="F926" s="627" t="s">
        <v>664</v>
      </c>
      <c r="G926" s="597">
        <v>0.0</v>
      </c>
      <c r="H926" s="598">
        <f t="shared" si="78"/>
        <v>0</v>
      </c>
      <c r="I926" s="599"/>
      <c r="J926" s="599"/>
      <c r="K926" s="615" t="s">
        <v>93</v>
      </c>
      <c r="L926" s="616" t="s">
        <v>2229</v>
      </c>
      <c r="M926" s="621"/>
      <c r="N926" s="621"/>
      <c r="O926" s="621"/>
      <c r="P926" s="602"/>
      <c r="Q926" s="622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</row>
    <row r="927" ht="22.5" customHeight="1">
      <c r="A927" s="614">
        <v>45761.0</v>
      </c>
      <c r="B927" s="626" t="s">
        <v>2218</v>
      </c>
      <c r="C927" s="609"/>
      <c r="D927" s="610">
        <v>417354.0</v>
      </c>
      <c r="E927" s="606"/>
      <c r="F927" s="627" t="s">
        <v>594</v>
      </c>
      <c r="G927" s="597">
        <v>20.0</v>
      </c>
      <c r="H927" s="598">
        <f t="shared" si="78"/>
        <v>69559</v>
      </c>
      <c r="I927" s="599"/>
      <c r="J927" s="599"/>
      <c r="K927" s="615" t="s">
        <v>101</v>
      </c>
      <c r="L927" s="670" t="s">
        <v>670</v>
      </c>
      <c r="M927" s="621"/>
      <c r="N927" s="621"/>
      <c r="O927" s="621"/>
      <c r="P927" s="602"/>
      <c r="Q927" s="685" t="s">
        <v>766</v>
      </c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</row>
    <row r="928" ht="22.5" customHeight="1">
      <c r="A928" s="614">
        <v>45761.0</v>
      </c>
      <c r="B928" s="626" t="s">
        <v>2218</v>
      </c>
      <c r="C928" s="609"/>
      <c r="D928" s="610">
        <v>401690.86</v>
      </c>
      <c r="E928" s="606"/>
      <c r="F928" s="627" t="s">
        <v>594</v>
      </c>
      <c r="G928" s="597">
        <v>20.0</v>
      </c>
      <c r="H928" s="598">
        <f t="shared" si="78"/>
        <v>66948.47667</v>
      </c>
      <c r="I928" s="599"/>
      <c r="J928" s="599"/>
      <c r="K928" s="615" t="s">
        <v>101</v>
      </c>
      <c r="L928" s="670" t="s">
        <v>767</v>
      </c>
      <c r="M928" s="621"/>
      <c r="N928" s="621"/>
      <c r="O928" s="621"/>
      <c r="P928" s="602"/>
      <c r="Q928" s="685" t="s">
        <v>768</v>
      </c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</row>
    <row r="929" ht="22.5" customHeight="1">
      <c r="A929" s="614">
        <v>45761.0</v>
      </c>
      <c r="B929" s="675" t="s">
        <v>2218</v>
      </c>
      <c r="C929" s="609"/>
      <c r="D929" s="610">
        <v>217000.0</v>
      </c>
      <c r="E929" s="606"/>
      <c r="F929" s="627" t="s">
        <v>722</v>
      </c>
      <c r="G929" s="597">
        <v>0.0</v>
      </c>
      <c r="H929" s="598">
        <f t="shared" si="78"/>
        <v>0</v>
      </c>
      <c r="I929" s="599"/>
      <c r="J929" s="599"/>
      <c r="K929" s="615" t="s">
        <v>494</v>
      </c>
      <c r="L929" s="616" t="s">
        <v>691</v>
      </c>
      <c r="M929" s="621"/>
      <c r="N929" s="621"/>
      <c r="O929" s="621"/>
      <c r="P929" s="602"/>
      <c r="Q929" s="622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</row>
    <row r="930" ht="22.5" customHeight="1">
      <c r="A930" s="614">
        <v>45761.0</v>
      </c>
      <c r="B930" s="675" t="s">
        <v>2218</v>
      </c>
      <c r="C930" s="609"/>
      <c r="D930" s="609"/>
      <c r="E930" s="604" t="s">
        <v>33</v>
      </c>
      <c r="F930" s="627" t="s">
        <v>722</v>
      </c>
      <c r="G930" s="597">
        <v>0.0</v>
      </c>
      <c r="H930" s="598">
        <f t="shared" si="78"/>
        <v>0</v>
      </c>
      <c r="I930" s="599"/>
      <c r="J930" s="605">
        <v>15000.0</v>
      </c>
      <c r="K930" s="615" t="s">
        <v>2240</v>
      </c>
      <c r="L930" s="616" t="s">
        <v>769</v>
      </c>
      <c r="M930" s="621"/>
      <c r="N930" s="621"/>
      <c r="O930" s="621"/>
      <c r="P930" s="602"/>
      <c r="Q930" s="622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</row>
    <row r="931" ht="22.5" customHeight="1">
      <c r="A931" s="614">
        <v>45762.0</v>
      </c>
      <c r="B931" s="675" t="s">
        <v>2218</v>
      </c>
      <c r="C931" s="609"/>
      <c r="D931" s="609">
        <f>79*19</f>
        <v>1501</v>
      </c>
      <c r="E931" s="606"/>
      <c r="F931" s="627" t="s">
        <v>722</v>
      </c>
      <c r="G931" s="597">
        <v>0.0</v>
      </c>
      <c r="H931" s="598">
        <f t="shared" si="78"/>
        <v>0</v>
      </c>
      <c r="I931" s="599"/>
      <c r="J931" s="599"/>
      <c r="K931" s="615" t="s">
        <v>294</v>
      </c>
      <c r="L931" s="616" t="s">
        <v>719</v>
      </c>
      <c r="M931" s="621"/>
      <c r="N931" s="621"/>
      <c r="O931" s="621"/>
      <c r="P931" s="602"/>
      <c r="Q931" s="622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</row>
    <row r="932" ht="22.5" customHeight="1">
      <c r="A932" s="614">
        <v>45762.0</v>
      </c>
      <c r="B932" s="675" t="s">
        <v>2218</v>
      </c>
      <c r="C932" s="609"/>
      <c r="D932" s="609"/>
      <c r="E932" s="604" t="s">
        <v>33</v>
      </c>
      <c r="F932" s="627" t="s">
        <v>722</v>
      </c>
      <c r="G932" s="597">
        <v>0.0</v>
      </c>
      <c r="H932" s="598">
        <f t="shared" si="78"/>
        <v>0</v>
      </c>
      <c r="I932" s="599"/>
      <c r="J932" s="605">
        <v>2500.0</v>
      </c>
      <c r="K932" s="615" t="s">
        <v>494</v>
      </c>
      <c r="L932" s="616" t="s">
        <v>770</v>
      </c>
      <c r="M932" s="621"/>
      <c r="N932" s="621"/>
      <c r="O932" s="621"/>
      <c r="P932" s="602"/>
      <c r="Q932" s="622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</row>
    <row r="933" ht="22.5" customHeight="1">
      <c r="A933" s="614">
        <v>45762.0</v>
      </c>
      <c r="B933" s="675" t="s">
        <v>2218</v>
      </c>
      <c r="C933" s="609"/>
      <c r="D933" s="610">
        <v>4190.85</v>
      </c>
      <c r="E933" s="606"/>
      <c r="F933" s="627" t="s">
        <v>722</v>
      </c>
      <c r="G933" s="664"/>
      <c r="H933" s="665"/>
      <c r="I933" s="599"/>
      <c r="J933" s="599"/>
      <c r="K933" s="615" t="s">
        <v>236</v>
      </c>
      <c r="L933" s="616" t="s">
        <v>72</v>
      </c>
      <c r="M933" s="621"/>
      <c r="N933" s="621"/>
      <c r="O933" s="621"/>
      <c r="P933" s="602"/>
      <c r="Q933" s="622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</row>
    <row r="934" ht="22.5" customHeight="1">
      <c r="A934" s="614">
        <v>45763.0</v>
      </c>
      <c r="B934" s="675" t="s">
        <v>2218</v>
      </c>
      <c r="C934" s="609"/>
      <c r="D934" s="610">
        <v>600000.0</v>
      </c>
      <c r="E934" s="606"/>
      <c r="F934" s="627" t="s">
        <v>674</v>
      </c>
      <c r="G934" s="597">
        <v>20.0</v>
      </c>
      <c r="H934" s="598">
        <f t="shared" ref="H934:H1001" si="80">SUM(C934:D934)*G934/(G934+100)</f>
        <v>100000</v>
      </c>
      <c r="I934" s="599"/>
      <c r="J934" s="599"/>
      <c r="K934" s="615" t="s">
        <v>2237</v>
      </c>
      <c r="L934" s="671" t="s">
        <v>228</v>
      </c>
      <c r="M934" s="621"/>
      <c r="N934" s="621"/>
      <c r="O934" s="621"/>
      <c r="P934" s="602"/>
      <c r="Q934" s="613" t="s">
        <v>771</v>
      </c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</row>
    <row r="935" ht="22.5" customHeight="1">
      <c r="A935" s="614">
        <v>45763.0</v>
      </c>
      <c r="B935" s="675" t="s">
        <v>2218</v>
      </c>
      <c r="C935" s="609"/>
      <c r="D935" s="610">
        <v>1245647.52</v>
      </c>
      <c r="E935" s="606"/>
      <c r="F935" s="627" t="s">
        <v>626</v>
      </c>
      <c r="G935" s="597">
        <v>20.0</v>
      </c>
      <c r="H935" s="598">
        <f t="shared" si="80"/>
        <v>207607.92</v>
      </c>
      <c r="I935" s="599"/>
      <c r="J935" s="599"/>
      <c r="K935" s="615" t="s">
        <v>2237</v>
      </c>
      <c r="L935" s="671" t="s">
        <v>228</v>
      </c>
      <c r="M935" s="621"/>
      <c r="N935" s="621"/>
      <c r="O935" s="621"/>
      <c r="P935" s="602"/>
      <c r="Q935" s="622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</row>
    <row r="936" ht="22.5" customHeight="1">
      <c r="A936" s="614">
        <v>45763.0</v>
      </c>
      <c r="B936" s="626" t="s">
        <v>2218</v>
      </c>
      <c r="C936" s="609"/>
      <c r="D936" s="609"/>
      <c r="E936" s="604" t="s">
        <v>33</v>
      </c>
      <c r="F936" s="627" t="s">
        <v>722</v>
      </c>
      <c r="G936" s="597">
        <v>0.0</v>
      </c>
      <c r="H936" s="598">
        <f t="shared" si="80"/>
        <v>0</v>
      </c>
      <c r="I936" s="599"/>
      <c r="J936" s="605">
        <v>5000.0</v>
      </c>
      <c r="K936" s="615" t="s">
        <v>2240</v>
      </c>
      <c r="L936" s="616" t="s">
        <v>772</v>
      </c>
      <c r="M936" s="621"/>
      <c r="N936" s="621"/>
      <c r="O936" s="621"/>
      <c r="P936" s="602"/>
      <c r="Q936" s="622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</row>
    <row r="937" ht="22.5" customHeight="1">
      <c r="A937" s="614">
        <v>45763.0</v>
      </c>
      <c r="B937" s="626" t="s">
        <v>2218</v>
      </c>
      <c r="C937" s="609"/>
      <c r="D937" s="609"/>
      <c r="E937" s="604" t="s">
        <v>33</v>
      </c>
      <c r="F937" s="627" t="s">
        <v>722</v>
      </c>
      <c r="G937" s="688">
        <v>0.0</v>
      </c>
      <c r="H937" s="689">
        <f t="shared" si="80"/>
        <v>0</v>
      </c>
      <c r="I937" s="599"/>
      <c r="J937" s="605">
        <v>5000.0</v>
      </c>
      <c r="K937" s="615" t="s">
        <v>1181</v>
      </c>
      <c r="L937" s="616" t="s">
        <v>773</v>
      </c>
      <c r="M937" s="621"/>
      <c r="N937" s="621"/>
      <c r="O937" s="621"/>
      <c r="P937" s="602"/>
      <c r="Q937" s="622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</row>
    <row r="938" ht="22.5" customHeight="1">
      <c r="A938" s="614">
        <v>45764.0</v>
      </c>
      <c r="B938" s="626" t="s">
        <v>2218</v>
      </c>
      <c r="C938" s="609"/>
      <c r="D938" s="610">
        <v>349327.75</v>
      </c>
      <c r="E938" s="606"/>
      <c r="F938" s="627" t="s">
        <v>722</v>
      </c>
      <c r="G938" s="597">
        <v>0.0</v>
      </c>
      <c r="H938" s="598">
        <f t="shared" si="80"/>
        <v>0</v>
      </c>
      <c r="I938" s="599"/>
      <c r="J938" s="599"/>
      <c r="K938" s="615" t="s">
        <v>2240</v>
      </c>
      <c r="L938" s="616" t="s">
        <v>774</v>
      </c>
      <c r="M938" s="621"/>
      <c r="N938" s="621"/>
      <c r="O938" s="621"/>
      <c r="P938" s="602"/>
      <c r="Q938" s="613" t="s">
        <v>775</v>
      </c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</row>
    <row r="939" ht="22.5" customHeight="1">
      <c r="A939" s="614">
        <v>45765.0</v>
      </c>
      <c r="B939" s="626" t="s">
        <v>2218</v>
      </c>
      <c r="C939" s="609"/>
      <c r="D939" s="609">
        <f>240000+240000</f>
        <v>480000</v>
      </c>
      <c r="E939" s="606"/>
      <c r="F939" s="627" t="s">
        <v>619</v>
      </c>
      <c r="G939" s="597">
        <v>20.0</v>
      </c>
      <c r="H939" s="598">
        <f t="shared" si="80"/>
        <v>80000</v>
      </c>
      <c r="I939" s="599"/>
      <c r="J939" s="599"/>
      <c r="K939" s="615" t="s">
        <v>101</v>
      </c>
      <c r="L939" s="670" t="s">
        <v>776</v>
      </c>
      <c r="M939" s="621"/>
      <c r="N939" s="621"/>
      <c r="O939" s="621"/>
      <c r="P939" s="602"/>
      <c r="Q939" s="613" t="s">
        <v>669</v>
      </c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</row>
    <row r="940" ht="22.5" customHeight="1">
      <c r="A940" s="614">
        <v>45765.0</v>
      </c>
      <c r="B940" s="626" t="s">
        <v>2218</v>
      </c>
      <c r="C940" s="609"/>
      <c r="D940" s="610">
        <v>70000.0</v>
      </c>
      <c r="E940" s="606"/>
      <c r="F940" s="627" t="s">
        <v>722</v>
      </c>
      <c r="G940" s="690">
        <v>5.0</v>
      </c>
      <c r="H940" s="689">
        <f t="shared" si="80"/>
        <v>3333.333333</v>
      </c>
      <c r="I940" s="599"/>
      <c r="J940" s="599"/>
      <c r="K940" s="615" t="s">
        <v>2240</v>
      </c>
      <c r="L940" s="615" t="s">
        <v>777</v>
      </c>
      <c r="M940" s="621"/>
      <c r="N940" s="621"/>
      <c r="O940" s="621"/>
      <c r="P940" s="602"/>
      <c r="Q940" s="622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</row>
    <row r="941" ht="22.5" customHeight="1">
      <c r="A941" s="614">
        <v>45765.0</v>
      </c>
      <c r="B941" s="626" t="s">
        <v>2218</v>
      </c>
      <c r="C941" s="609"/>
      <c r="D941" s="609"/>
      <c r="E941" s="604" t="s">
        <v>33</v>
      </c>
      <c r="F941" s="627" t="s">
        <v>722</v>
      </c>
      <c r="G941" s="597">
        <v>0.0</v>
      </c>
      <c r="H941" s="598">
        <f t="shared" si="80"/>
        <v>0</v>
      </c>
      <c r="I941" s="599"/>
      <c r="J941" s="605">
        <v>15200.0</v>
      </c>
      <c r="K941" s="615" t="s">
        <v>1181</v>
      </c>
      <c r="L941" s="616" t="s">
        <v>778</v>
      </c>
      <c r="M941" s="621"/>
      <c r="N941" s="621"/>
      <c r="O941" s="621"/>
      <c r="P941" s="602"/>
      <c r="Q941" s="622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</row>
    <row r="942" ht="22.5" customHeight="1">
      <c r="A942" s="614">
        <v>45765.0</v>
      </c>
      <c r="B942" s="626" t="s">
        <v>2218</v>
      </c>
      <c r="C942" s="610">
        <v>441000.0</v>
      </c>
      <c r="D942" s="609"/>
      <c r="E942" s="606"/>
      <c r="F942" s="627" t="s">
        <v>594</v>
      </c>
      <c r="G942" s="597">
        <v>20.0</v>
      </c>
      <c r="H942" s="598">
        <f t="shared" si="80"/>
        <v>73500</v>
      </c>
      <c r="I942" s="599"/>
      <c r="J942" s="599"/>
      <c r="K942" s="615" t="s">
        <v>51</v>
      </c>
      <c r="L942" s="616" t="s">
        <v>482</v>
      </c>
      <c r="M942" s="621"/>
      <c r="N942" s="612">
        <v>49.0</v>
      </c>
      <c r="O942" s="662">
        <v>45697.0</v>
      </c>
      <c r="P942" s="602">
        <f t="shared" ref="P942:P945" si="81">A942-IF(O942&gt;0,O942,A942)</f>
        <v>68</v>
      </c>
      <c r="Q942" s="622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</row>
    <row r="943" ht="22.5" customHeight="1">
      <c r="A943" s="614">
        <v>45765.0</v>
      </c>
      <c r="B943" s="626" t="s">
        <v>2218</v>
      </c>
      <c r="C943" s="610">
        <v>600600.0</v>
      </c>
      <c r="D943" s="609"/>
      <c r="E943" s="606"/>
      <c r="F943" s="627" t="s">
        <v>594</v>
      </c>
      <c r="G943" s="597">
        <v>20.0</v>
      </c>
      <c r="H943" s="598">
        <f t="shared" si="80"/>
        <v>100100</v>
      </c>
      <c r="I943" s="599"/>
      <c r="J943" s="599"/>
      <c r="K943" s="615" t="s">
        <v>51</v>
      </c>
      <c r="L943" s="616" t="s">
        <v>482</v>
      </c>
      <c r="M943" s="621"/>
      <c r="N943" s="612">
        <v>50.0</v>
      </c>
      <c r="O943" s="662">
        <v>45697.0</v>
      </c>
      <c r="P943" s="602">
        <f t="shared" si="81"/>
        <v>68</v>
      </c>
      <c r="Q943" s="622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</row>
    <row r="944" ht="22.5" customHeight="1">
      <c r="A944" s="614">
        <v>45765.0</v>
      </c>
      <c r="B944" s="626" t="s">
        <v>2218</v>
      </c>
      <c r="C944" s="610">
        <v>807240.0</v>
      </c>
      <c r="D944" s="609"/>
      <c r="E944" s="606"/>
      <c r="F944" s="627" t="s">
        <v>594</v>
      </c>
      <c r="G944" s="597">
        <v>20.0</v>
      </c>
      <c r="H944" s="598">
        <f t="shared" si="80"/>
        <v>134540</v>
      </c>
      <c r="I944" s="599"/>
      <c r="J944" s="599"/>
      <c r="K944" s="615" t="s">
        <v>51</v>
      </c>
      <c r="L944" s="616" t="s">
        <v>482</v>
      </c>
      <c r="M944" s="621"/>
      <c r="N944" s="612">
        <v>63.0</v>
      </c>
      <c r="O944" s="662">
        <v>45701.0</v>
      </c>
      <c r="P944" s="602">
        <f t="shared" si="81"/>
        <v>64</v>
      </c>
      <c r="Q944" s="622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</row>
    <row r="945" ht="22.5" customHeight="1">
      <c r="A945" s="614">
        <v>45765.0</v>
      </c>
      <c r="B945" s="626" t="s">
        <v>2218</v>
      </c>
      <c r="C945" s="610">
        <v>630000.0</v>
      </c>
      <c r="D945" s="609"/>
      <c r="E945" s="606"/>
      <c r="F945" s="627" t="s">
        <v>594</v>
      </c>
      <c r="G945" s="597">
        <v>20.0</v>
      </c>
      <c r="H945" s="598">
        <f t="shared" si="80"/>
        <v>105000</v>
      </c>
      <c r="I945" s="599"/>
      <c r="J945" s="599"/>
      <c r="K945" s="615" t="s">
        <v>51</v>
      </c>
      <c r="L945" s="616" t="s">
        <v>482</v>
      </c>
      <c r="M945" s="621"/>
      <c r="N945" s="612">
        <v>64.0</v>
      </c>
      <c r="O945" s="662">
        <v>45702.0</v>
      </c>
      <c r="P945" s="602">
        <f t="shared" si="81"/>
        <v>63</v>
      </c>
      <c r="Q945" s="613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</row>
    <row r="946" ht="22.5" customHeight="1">
      <c r="A946" s="614">
        <v>45765.0</v>
      </c>
      <c r="B946" s="626" t="s">
        <v>2218</v>
      </c>
      <c r="C946" s="609"/>
      <c r="D946" s="610">
        <v>38105.84</v>
      </c>
      <c r="E946" s="606"/>
      <c r="F946" s="627" t="s">
        <v>722</v>
      </c>
      <c r="G946" s="597">
        <v>0.0</v>
      </c>
      <c r="H946" s="598">
        <f t="shared" si="80"/>
        <v>0</v>
      </c>
      <c r="I946" s="599"/>
      <c r="J946" s="599"/>
      <c r="K946" s="615" t="s">
        <v>203</v>
      </c>
      <c r="L946" s="616" t="s">
        <v>779</v>
      </c>
      <c r="M946" s="621"/>
      <c r="N946" s="621"/>
      <c r="O946" s="621"/>
      <c r="P946" s="602"/>
      <c r="Q946" s="622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</row>
    <row r="947" ht="22.5" customHeight="1">
      <c r="A947" s="614">
        <v>45768.0</v>
      </c>
      <c r="B947" s="626" t="s">
        <v>2218</v>
      </c>
      <c r="C947" s="609"/>
      <c r="D947" s="610">
        <v>53100.0</v>
      </c>
      <c r="E947" s="606"/>
      <c r="F947" s="627" t="s">
        <v>722</v>
      </c>
      <c r="G947" s="597">
        <v>0.0</v>
      </c>
      <c r="H947" s="598">
        <f t="shared" si="80"/>
        <v>0</v>
      </c>
      <c r="I947" s="599"/>
      <c r="J947" s="599"/>
      <c r="K947" s="615" t="s">
        <v>2240</v>
      </c>
      <c r="L947" s="616" t="s">
        <v>780</v>
      </c>
      <c r="M947" s="621"/>
      <c r="N947" s="621"/>
      <c r="O947" s="621"/>
      <c r="P947" s="602"/>
      <c r="Q947" s="622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</row>
    <row r="948" ht="22.5" customHeight="1">
      <c r="A948" s="614">
        <v>45768.0</v>
      </c>
      <c r="B948" s="626" t="s">
        <v>2218</v>
      </c>
      <c r="C948" s="609"/>
      <c r="D948" s="609"/>
      <c r="E948" s="604" t="s">
        <v>33</v>
      </c>
      <c r="F948" s="627" t="s">
        <v>722</v>
      </c>
      <c r="G948" s="597">
        <v>0.0</v>
      </c>
      <c r="H948" s="598">
        <f t="shared" si="80"/>
        <v>0</v>
      </c>
      <c r="I948" s="599"/>
      <c r="J948" s="605">
        <v>20000.0</v>
      </c>
      <c r="K948" s="615" t="s">
        <v>2240</v>
      </c>
      <c r="L948" s="616" t="s">
        <v>781</v>
      </c>
      <c r="M948" s="621"/>
      <c r="N948" s="621"/>
      <c r="O948" s="621"/>
      <c r="P948" s="602"/>
      <c r="Q948" s="622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</row>
    <row r="949" ht="22.5" customHeight="1">
      <c r="A949" s="614">
        <v>45768.0</v>
      </c>
      <c r="B949" s="626" t="s">
        <v>2218</v>
      </c>
      <c r="C949" s="609"/>
      <c r="D949" s="609"/>
      <c r="E949" s="604" t="s">
        <v>33</v>
      </c>
      <c r="F949" s="627" t="s">
        <v>722</v>
      </c>
      <c r="G949" s="597">
        <v>0.0</v>
      </c>
      <c r="H949" s="598">
        <f t="shared" si="80"/>
        <v>0</v>
      </c>
      <c r="I949" s="599"/>
      <c r="J949" s="605">
        <v>3000.0</v>
      </c>
      <c r="K949" s="615" t="s">
        <v>1181</v>
      </c>
      <c r="L949" s="616" t="s">
        <v>782</v>
      </c>
      <c r="M949" s="621"/>
      <c r="N949" s="621"/>
      <c r="O949" s="621"/>
      <c r="P949" s="602"/>
      <c r="Q949" s="622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</row>
    <row r="950" ht="22.5" customHeight="1">
      <c r="A950" s="614">
        <v>45768.0</v>
      </c>
      <c r="B950" s="626" t="s">
        <v>2218</v>
      </c>
      <c r="C950" s="610">
        <v>720000.12</v>
      </c>
      <c r="D950" s="610"/>
      <c r="E950" s="606"/>
      <c r="F950" s="627" t="s">
        <v>626</v>
      </c>
      <c r="G950" s="597">
        <v>20.0</v>
      </c>
      <c r="H950" s="598">
        <f t="shared" si="80"/>
        <v>120000.02</v>
      </c>
      <c r="I950" s="599"/>
      <c r="J950" s="599"/>
      <c r="K950" s="615" t="s">
        <v>51</v>
      </c>
      <c r="L950" s="616" t="s">
        <v>110</v>
      </c>
      <c r="M950" s="612" t="s">
        <v>783</v>
      </c>
      <c r="N950" s="612">
        <v>66.0</v>
      </c>
      <c r="O950" s="662">
        <v>45726.0</v>
      </c>
      <c r="P950" s="602">
        <f>A950-IF(O950&gt;0,O950,A950)</f>
        <v>42</v>
      </c>
      <c r="Q950" s="622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</row>
    <row r="951" ht="22.5" customHeight="1">
      <c r="A951" s="614">
        <v>45769.0</v>
      </c>
      <c r="B951" s="626" t="s">
        <v>2218</v>
      </c>
      <c r="C951" s="609"/>
      <c r="D951" s="609"/>
      <c r="E951" s="604" t="s">
        <v>33</v>
      </c>
      <c r="F951" s="627" t="s">
        <v>722</v>
      </c>
      <c r="G951" s="597">
        <v>0.0</v>
      </c>
      <c r="H951" s="598">
        <f t="shared" si="80"/>
        <v>0</v>
      </c>
      <c r="I951" s="599"/>
      <c r="J951" s="605">
        <v>5000.0</v>
      </c>
      <c r="K951" s="615" t="s">
        <v>2240</v>
      </c>
      <c r="L951" s="616" t="s">
        <v>772</v>
      </c>
      <c r="M951" s="621"/>
      <c r="N951" s="621"/>
      <c r="O951" s="621"/>
      <c r="P951" s="602"/>
      <c r="Q951" s="622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</row>
    <row r="952" ht="22.5" customHeight="1">
      <c r="A952" s="614">
        <v>45771.0</v>
      </c>
      <c r="B952" s="626" t="s">
        <v>2218</v>
      </c>
      <c r="C952" s="610">
        <v>600000.24</v>
      </c>
      <c r="D952" s="609"/>
      <c r="E952" s="606"/>
      <c r="F952" s="627" t="s">
        <v>594</v>
      </c>
      <c r="G952" s="597">
        <v>20.0</v>
      </c>
      <c r="H952" s="598">
        <f t="shared" si="80"/>
        <v>100000.04</v>
      </c>
      <c r="I952" s="599"/>
      <c r="J952" s="599"/>
      <c r="K952" s="615" t="s">
        <v>51</v>
      </c>
      <c r="L952" s="616" t="s">
        <v>2228</v>
      </c>
      <c r="M952" s="621"/>
      <c r="N952" s="612">
        <v>45.0</v>
      </c>
      <c r="O952" s="662">
        <v>45696.0</v>
      </c>
      <c r="P952" s="602">
        <f>A952-IF(O952&gt;0,O952,A952)</f>
        <v>75</v>
      </c>
      <c r="Q952" s="622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</row>
    <row r="953" ht="22.5" customHeight="1">
      <c r="A953" s="614">
        <v>45771.0</v>
      </c>
      <c r="B953" s="675" t="s">
        <v>2218</v>
      </c>
      <c r="C953" s="609"/>
      <c r="D953" s="609"/>
      <c r="E953" s="604" t="s">
        <v>33</v>
      </c>
      <c r="F953" s="627" t="s">
        <v>722</v>
      </c>
      <c r="G953" s="597">
        <v>0.0</v>
      </c>
      <c r="H953" s="598">
        <f t="shared" si="80"/>
        <v>0</v>
      </c>
      <c r="I953" s="599"/>
      <c r="J953" s="605">
        <v>3000.0</v>
      </c>
      <c r="K953" s="615" t="s">
        <v>494</v>
      </c>
      <c r="L953" s="616" t="s">
        <v>784</v>
      </c>
      <c r="M953" s="621"/>
      <c r="N953" s="621"/>
      <c r="O953" s="621"/>
      <c r="P953" s="602"/>
      <c r="Q953" s="622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</row>
    <row r="954" ht="22.5" customHeight="1">
      <c r="A954" s="614">
        <v>45771.0</v>
      </c>
      <c r="B954" s="675" t="s">
        <v>2218</v>
      </c>
      <c r="C954" s="609"/>
      <c r="D954" s="609"/>
      <c r="E954" s="604" t="s">
        <v>33</v>
      </c>
      <c r="F954" s="627" t="s">
        <v>722</v>
      </c>
      <c r="G954" s="597">
        <v>0.0</v>
      </c>
      <c r="H954" s="598">
        <f t="shared" si="80"/>
        <v>0</v>
      </c>
      <c r="I954" s="599"/>
      <c r="J954" s="605">
        <v>10000.0</v>
      </c>
      <c r="K954" s="615" t="s">
        <v>2240</v>
      </c>
      <c r="L954" s="616" t="s">
        <v>785</v>
      </c>
      <c r="M954" s="621"/>
      <c r="N954" s="621"/>
      <c r="O954" s="621"/>
      <c r="P954" s="602"/>
      <c r="Q954" s="622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</row>
    <row r="955" ht="22.5" customHeight="1">
      <c r="A955" s="614">
        <v>45771.0</v>
      </c>
      <c r="B955" s="675" t="s">
        <v>2218</v>
      </c>
      <c r="C955" s="609"/>
      <c r="D955" s="609"/>
      <c r="E955" s="604" t="s">
        <v>33</v>
      </c>
      <c r="F955" s="627" t="s">
        <v>722</v>
      </c>
      <c r="G955" s="597">
        <v>0.0</v>
      </c>
      <c r="H955" s="598">
        <f t="shared" si="80"/>
        <v>0</v>
      </c>
      <c r="I955" s="599"/>
      <c r="J955" s="605">
        <v>270000.0</v>
      </c>
      <c r="K955" s="615" t="s">
        <v>2240</v>
      </c>
      <c r="L955" s="616" t="s">
        <v>786</v>
      </c>
      <c r="M955" s="621"/>
      <c r="N955" s="621"/>
      <c r="O955" s="621"/>
      <c r="P955" s="602"/>
      <c r="Q955" s="622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</row>
    <row r="956" ht="22.5" customHeight="1">
      <c r="A956" s="614">
        <v>45771.0</v>
      </c>
      <c r="B956" s="675" t="s">
        <v>2218</v>
      </c>
      <c r="C956" s="609"/>
      <c r="D956" s="609"/>
      <c r="E956" s="604" t="s">
        <v>33</v>
      </c>
      <c r="F956" s="627" t="s">
        <v>722</v>
      </c>
      <c r="G956" s="597">
        <v>0.0</v>
      </c>
      <c r="H956" s="598">
        <f t="shared" si="80"/>
        <v>0</v>
      </c>
      <c r="I956" s="599"/>
      <c r="J956" s="605">
        <v>50000.0</v>
      </c>
      <c r="K956" s="615" t="s">
        <v>2240</v>
      </c>
      <c r="L956" s="616" t="s">
        <v>787</v>
      </c>
      <c r="M956" s="621"/>
      <c r="N956" s="621"/>
      <c r="O956" s="621"/>
      <c r="P956" s="602"/>
      <c r="Q956" s="622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</row>
    <row r="957" ht="22.5" customHeight="1">
      <c r="A957" s="614">
        <v>45771.0</v>
      </c>
      <c r="B957" s="675" t="s">
        <v>2218</v>
      </c>
      <c r="C957" s="609"/>
      <c r="D957" s="609"/>
      <c r="E957" s="604" t="s">
        <v>33</v>
      </c>
      <c r="F957" s="627" t="s">
        <v>722</v>
      </c>
      <c r="G957" s="597">
        <v>0.0</v>
      </c>
      <c r="H957" s="598">
        <f t="shared" si="80"/>
        <v>0</v>
      </c>
      <c r="I957" s="599"/>
      <c r="J957" s="605">
        <v>20000.0</v>
      </c>
      <c r="K957" s="615" t="s">
        <v>2240</v>
      </c>
      <c r="L957" s="616" t="s">
        <v>788</v>
      </c>
      <c r="M957" s="621"/>
      <c r="N957" s="621"/>
      <c r="O957" s="621"/>
      <c r="P957" s="602"/>
      <c r="Q957" s="622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</row>
    <row r="958" ht="22.5" customHeight="1">
      <c r="A958" s="614">
        <v>45771.0</v>
      </c>
      <c r="B958" s="675" t="s">
        <v>2218</v>
      </c>
      <c r="C958" s="609"/>
      <c r="D958" s="609"/>
      <c r="E958" s="604" t="s">
        <v>33</v>
      </c>
      <c r="F958" s="627" t="s">
        <v>722</v>
      </c>
      <c r="G958" s="597">
        <v>0.0</v>
      </c>
      <c r="H958" s="598">
        <f t="shared" si="80"/>
        <v>0</v>
      </c>
      <c r="I958" s="599"/>
      <c r="J958" s="605">
        <v>60000.0</v>
      </c>
      <c r="K958" s="615" t="s">
        <v>2240</v>
      </c>
      <c r="L958" s="616" t="s">
        <v>789</v>
      </c>
      <c r="M958" s="621"/>
      <c r="N958" s="621"/>
      <c r="O958" s="621"/>
      <c r="P958" s="602"/>
      <c r="Q958" s="622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</row>
    <row r="959" ht="22.5" customHeight="1">
      <c r="A959" s="614">
        <v>45771.0</v>
      </c>
      <c r="B959" s="675" t="s">
        <v>2218</v>
      </c>
      <c r="C959" s="609"/>
      <c r="D959" s="609"/>
      <c r="E959" s="604" t="s">
        <v>33</v>
      </c>
      <c r="F959" s="627" t="s">
        <v>722</v>
      </c>
      <c r="G959" s="597">
        <v>0.0</v>
      </c>
      <c r="H959" s="598">
        <f t="shared" si="80"/>
        <v>0</v>
      </c>
      <c r="I959" s="599"/>
      <c r="J959" s="605">
        <v>34000.0</v>
      </c>
      <c r="K959" s="615" t="s">
        <v>2240</v>
      </c>
      <c r="L959" s="616" t="s">
        <v>264</v>
      </c>
      <c r="M959" s="621"/>
      <c r="N959" s="621"/>
      <c r="O959" s="621"/>
      <c r="P959" s="602"/>
      <c r="Q959" s="622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</row>
    <row r="960" ht="22.5" customHeight="1">
      <c r="A960" s="614">
        <v>45772.0</v>
      </c>
      <c r="B960" s="675" t="s">
        <v>2218</v>
      </c>
      <c r="C960" s="609"/>
      <c r="D960" s="610">
        <v>29068.4</v>
      </c>
      <c r="E960" s="606"/>
      <c r="F960" s="627" t="s">
        <v>722</v>
      </c>
      <c r="G960" s="597">
        <v>0.0</v>
      </c>
      <c r="H960" s="598">
        <f t="shared" si="80"/>
        <v>0</v>
      </c>
      <c r="I960" s="599"/>
      <c r="J960" s="599"/>
      <c r="K960" s="615" t="s">
        <v>203</v>
      </c>
      <c r="L960" s="616" t="s">
        <v>790</v>
      </c>
      <c r="M960" s="621"/>
      <c r="N960" s="621"/>
      <c r="O960" s="621"/>
      <c r="P960" s="602"/>
      <c r="Q960" s="622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</row>
    <row r="961" ht="22.5" customHeight="1">
      <c r="A961" s="614">
        <v>45772.0</v>
      </c>
      <c r="B961" s="675" t="s">
        <v>2218</v>
      </c>
      <c r="C961" s="609"/>
      <c r="D961" s="609">
        <f>406204+367.47+16026</f>
        <v>422597.47</v>
      </c>
      <c r="E961" s="606"/>
      <c r="F961" s="627" t="s">
        <v>722</v>
      </c>
      <c r="G961" s="597">
        <v>0.0</v>
      </c>
      <c r="H961" s="598">
        <f t="shared" si="80"/>
        <v>0</v>
      </c>
      <c r="I961" s="599"/>
      <c r="J961" s="599"/>
      <c r="K961" s="615" t="s">
        <v>280</v>
      </c>
      <c r="L961" s="616" t="s">
        <v>791</v>
      </c>
      <c r="M961" s="621"/>
      <c r="N961" s="621"/>
      <c r="O961" s="621"/>
      <c r="P961" s="602"/>
      <c r="Q961" s="622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</row>
    <row r="962" ht="22.5" customHeight="1">
      <c r="A962" s="683">
        <v>45772.0</v>
      </c>
      <c r="B962" s="675" t="s">
        <v>2218</v>
      </c>
      <c r="C962" s="610">
        <v>1003320.0</v>
      </c>
      <c r="D962" s="610"/>
      <c r="E962" s="652"/>
      <c r="F962" s="627" t="s">
        <v>626</v>
      </c>
      <c r="G962" s="597">
        <v>20.0</v>
      </c>
      <c r="H962" s="598">
        <f t="shared" si="80"/>
        <v>167220</v>
      </c>
      <c r="I962" s="599"/>
      <c r="J962" s="599"/>
      <c r="K962" s="615" t="s">
        <v>51</v>
      </c>
      <c r="L962" s="616" t="s">
        <v>624</v>
      </c>
      <c r="M962" s="612" t="s">
        <v>792</v>
      </c>
      <c r="N962" s="612">
        <v>89.0</v>
      </c>
      <c r="O962" s="662">
        <v>45728.0</v>
      </c>
      <c r="P962" s="602">
        <f>A962-IF(O962&gt;0,O962,A962)</f>
        <v>44</v>
      </c>
      <c r="Q962" s="622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</row>
    <row r="963" ht="22.5" customHeight="1">
      <c r="A963" s="683">
        <v>45772.0</v>
      </c>
      <c r="B963" s="675" t="s">
        <v>2218</v>
      </c>
      <c r="C963" s="609"/>
      <c r="D963" s="609"/>
      <c r="E963" s="604" t="s">
        <v>33</v>
      </c>
      <c r="F963" s="627" t="s">
        <v>674</v>
      </c>
      <c r="G963" s="597">
        <v>0.0</v>
      </c>
      <c r="H963" s="598">
        <f t="shared" si="80"/>
        <v>0</v>
      </c>
      <c r="I963" s="599"/>
      <c r="J963" s="605">
        <v>50000.0</v>
      </c>
      <c r="K963" s="615" t="s">
        <v>591</v>
      </c>
      <c r="L963" s="616" t="s">
        <v>793</v>
      </c>
      <c r="M963" s="621"/>
      <c r="N963" s="621"/>
      <c r="O963" s="621"/>
      <c r="P963" s="602"/>
      <c r="Q963" s="622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</row>
    <row r="964" ht="22.5" customHeight="1">
      <c r="A964" s="683">
        <v>45772.0</v>
      </c>
      <c r="B964" s="675" t="s">
        <v>2218</v>
      </c>
      <c r="C964" s="609"/>
      <c r="D964" s="609"/>
      <c r="E964" s="604" t="s">
        <v>33</v>
      </c>
      <c r="F964" s="627" t="s">
        <v>674</v>
      </c>
      <c r="G964" s="597">
        <v>0.0</v>
      </c>
      <c r="H964" s="598">
        <f t="shared" si="80"/>
        <v>0</v>
      </c>
      <c r="I964" s="599"/>
      <c r="J964" s="605">
        <v>5500.0</v>
      </c>
      <c r="K964" s="615" t="s">
        <v>494</v>
      </c>
      <c r="L964" s="616" t="s">
        <v>668</v>
      </c>
      <c r="M964" s="621"/>
      <c r="N964" s="621"/>
      <c r="O964" s="621"/>
      <c r="P964" s="602"/>
      <c r="Q964" s="622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</row>
    <row r="965" ht="22.5" customHeight="1">
      <c r="A965" s="683">
        <v>45772.0</v>
      </c>
      <c r="B965" s="675" t="s">
        <v>2218</v>
      </c>
      <c r="C965" s="609"/>
      <c r="D965" s="609"/>
      <c r="E965" s="604" t="s">
        <v>33</v>
      </c>
      <c r="F965" s="627" t="s">
        <v>722</v>
      </c>
      <c r="G965" s="597">
        <v>0.0</v>
      </c>
      <c r="H965" s="598">
        <f t="shared" si="80"/>
        <v>0</v>
      </c>
      <c r="I965" s="599"/>
      <c r="J965" s="605">
        <v>13000.0</v>
      </c>
      <c r="K965" s="615" t="s">
        <v>494</v>
      </c>
      <c r="L965" s="616" t="s">
        <v>794</v>
      </c>
      <c r="M965" s="621"/>
      <c r="N965" s="621"/>
      <c r="O965" s="621"/>
      <c r="P965" s="602"/>
      <c r="Q965" s="622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</row>
    <row r="966" ht="22.5" customHeight="1">
      <c r="A966" s="691">
        <v>45775.0</v>
      </c>
      <c r="B966" s="675" t="s">
        <v>2218</v>
      </c>
      <c r="C966" s="609"/>
      <c r="D966" s="609"/>
      <c r="E966" s="604" t="s">
        <v>33</v>
      </c>
      <c r="F966" s="627" t="s">
        <v>722</v>
      </c>
      <c r="G966" s="597">
        <v>0.0</v>
      </c>
      <c r="H966" s="598">
        <f t="shared" si="80"/>
        <v>0</v>
      </c>
      <c r="I966" s="599"/>
      <c r="J966" s="605">
        <v>595900.0</v>
      </c>
      <c r="K966" s="615" t="s">
        <v>93</v>
      </c>
      <c r="L966" s="616" t="s">
        <v>795</v>
      </c>
      <c r="M966" s="621"/>
      <c r="N966" s="621"/>
      <c r="O966" s="621"/>
      <c r="P966" s="602"/>
      <c r="Q966" s="622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</row>
    <row r="967" ht="22.5" customHeight="1">
      <c r="A967" s="691">
        <v>45775.0</v>
      </c>
      <c r="B967" s="675" t="s">
        <v>2218</v>
      </c>
      <c r="C967" s="609"/>
      <c r="D967" s="609"/>
      <c r="E967" s="604" t="s">
        <v>33</v>
      </c>
      <c r="F967" s="627" t="s">
        <v>722</v>
      </c>
      <c r="G967" s="597">
        <v>0.0</v>
      </c>
      <c r="H967" s="598">
        <f t="shared" si="80"/>
        <v>0</v>
      </c>
      <c r="I967" s="599"/>
      <c r="J967" s="605">
        <v>50000.0</v>
      </c>
      <c r="K967" s="615" t="s">
        <v>591</v>
      </c>
      <c r="L967" s="616" t="s">
        <v>796</v>
      </c>
      <c r="M967" s="621"/>
      <c r="N967" s="621"/>
      <c r="O967" s="621"/>
      <c r="P967" s="602"/>
      <c r="Q967" s="622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</row>
    <row r="968" ht="22.5" customHeight="1">
      <c r="A968" s="691">
        <v>45775.0</v>
      </c>
      <c r="B968" s="675" t="s">
        <v>2218</v>
      </c>
      <c r="C968" s="609"/>
      <c r="D968" s="610">
        <v>2200000.0</v>
      </c>
      <c r="E968" s="604" t="s">
        <v>28</v>
      </c>
      <c r="F968" s="627" t="s">
        <v>722</v>
      </c>
      <c r="G968" s="597">
        <v>20.0</v>
      </c>
      <c r="H968" s="598">
        <f t="shared" si="80"/>
        <v>366666.6667</v>
      </c>
      <c r="I968" s="605"/>
      <c r="J968" s="599"/>
      <c r="K968" s="615" t="s">
        <v>48</v>
      </c>
      <c r="L968" s="611"/>
      <c r="M968" s="621"/>
      <c r="N968" s="621"/>
      <c r="O968" s="621"/>
      <c r="P968" s="602"/>
      <c r="Q968" s="622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</row>
    <row r="969" ht="22.5" customHeight="1">
      <c r="A969" s="691">
        <v>45775.0</v>
      </c>
      <c r="B969" s="675" t="s">
        <v>2218</v>
      </c>
      <c r="C969" s="609"/>
      <c r="D969" s="610"/>
      <c r="E969" s="604" t="s">
        <v>33</v>
      </c>
      <c r="F969" s="627" t="s">
        <v>722</v>
      </c>
      <c r="G969" s="597">
        <v>0.0</v>
      </c>
      <c r="H969" s="598">
        <f t="shared" si="80"/>
        <v>0</v>
      </c>
      <c r="I969" s="605">
        <v>1683000.0</v>
      </c>
      <c r="J969" s="599"/>
      <c r="K969" s="615" t="s">
        <v>48</v>
      </c>
      <c r="L969" s="611"/>
      <c r="M969" s="621"/>
      <c r="N969" s="621"/>
      <c r="O969" s="621"/>
      <c r="P969" s="602"/>
      <c r="Q969" s="613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</row>
    <row r="970" ht="22.5" customHeight="1">
      <c r="A970" s="691">
        <v>45775.0</v>
      </c>
      <c r="B970" s="675" t="s">
        <v>2218</v>
      </c>
      <c r="C970" s="609"/>
      <c r="D970" s="610">
        <v>1824104.0</v>
      </c>
      <c r="E970" s="606"/>
      <c r="F970" s="627" t="s">
        <v>722</v>
      </c>
      <c r="G970" s="597">
        <v>0.0</v>
      </c>
      <c r="H970" s="598">
        <f t="shared" si="80"/>
        <v>0</v>
      </c>
      <c r="I970" s="599"/>
      <c r="J970" s="599"/>
      <c r="K970" s="680" t="s">
        <v>236</v>
      </c>
      <c r="L970" s="611"/>
      <c r="M970" s="621"/>
      <c r="N970" s="621"/>
      <c r="O970" s="621"/>
      <c r="P970" s="602"/>
      <c r="Q970" s="613" t="s">
        <v>221</v>
      </c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</row>
    <row r="971" ht="22.5" customHeight="1">
      <c r="A971" s="691">
        <v>45775.0</v>
      </c>
      <c r="B971" s="675" t="s">
        <v>2218</v>
      </c>
      <c r="C971" s="609"/>
      <c r="D971" s="610">
        <v>2472335.0</v>
      </c>
      <c r="E971" s="606"/>
      <c r="F971" s="627" t="s">
        <v>722</v>
      </c>
      <c r="G971" s="597">
        <v>0.0</v>
      </c>
      <c r="H971" s="598">
        <f t="shared" si="80"/>
        <v>0</v>
      </c>
      <c r="I971" s="599"/>
      <c r="J971" s="599"/>
      <c r="K971" s="680" t="s">
        <v>236</v>
      </c>
      <c r="L971" s="611"/>
      <c r="M971" s="621"/>
      <c r="N971" s="621"/>
      <c r="O971" s="621"/>
      <c r="P971" s="602"/>
      <c r="Q971" s="613" t="s">
        <v>222</v>
      </c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</row>
    <row r="972" ht="22.5" customHeight="1">
      <c r="A972" s="691">
        <v>45775.0</v>
      </c>
      <c r="B972" s="675" t="s">
        <v>2218</v>
      </c>
      <c r="C972" s="609"/>
      <c r="D972" s="610">
        <v>1172793.0</v>
      </c>
      <c r="E972" s="606"/>
      <c r="F972" s="627" t="s">
        <v>722</v>
      </c>
      <c r="G972" s="597">
        <v>0.0</v>
      </c>
      <c r="H972" s="598">
        <f t="shared" si="80"/>
        <v>0</v>
      </c>
      <c r="I972" s="599"/>
      <c r="J972" s="599"/>
      <c r="K972" s="680" t="s">
        <v>236</v>
      </c>
      <c r="L972" s="611"/>
      <c r="M972" s="621"/>
      <c r="N972" s="621"/>
      <c r="O972" s="621"/>
      <c r="P972" s="602"/>
      <c r="Q972" s="613" t="s">
        <v>797</v>
      </c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</row>
    <row r="973" ht="22.5" customHeight="1">
      <c r="A973" s="691">
        <v>45775.0</v>
      </c>
      <c r="B973" s="675" t="s">
        <v>2218</v>
      </c>
      <c r="C973" s="609"/>
      <c r="D973" s="610">
        <v>81356.0</v>
      </c>
      <c r="E973" s="606"/>
      <c r="F973" s="627" t="s">
        <v>722</v>
      </c>
      <c r="G973" s="597">
        <v>0.0</v>
      </c>
      <c r="H973" s="598">
        <f t="shared" si="80"/>
        <v>0</v>
      </c>
      <c r="I973" s="599"/>
      <c r="J973" s="599"/>
      <c r="K973" s="680" t="s">
        <v>236</v>
      </c>
      <c r="L973" s="611"/>
      <c r="M973" s="621"/>
      <c r="N973" s="621"/>
      <c r="O973" s="621"/>
      <c r="P973" s="602"/>
      <c r="Q973" s="613" t="s">
        <v>748</v>
      </c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</row>
    <row r="974" ht="22.5" customHeight="1">
      <c r="A974" s="691">
        <v>45775.0</v>
      </c>
      <c r="B974" s="675" t="s">
        <v>2218</v>
      </c>
      <c r="C974" s="609"/>
      <c r="D974" s="610">
        <v>208655.47</v>
      </c>
      <c r="E974" s="606"/>
      <c r="F974" s="627" t="s">
        <v>722</v>
      </c>
      <c r="G974" s="597">
        <v>0.0</v>
      </c>
      <c r="H974" s="598">
        <f t="shared" si="80"/>
        <v>0</v>
      </c>
      <c r="I974" s="599"/>
      <c r="J974" s="599"/>
      <c r="K974" s="680" t="s">
        <v>236</v>
      </c>
      <c r="L974" s="611"/>
      <c r="M974" s="621"/>
      <c r="N974" s="621"/>
      <c r="O974" s="621"/>
      <c r="P974" s="602"/>
      <c r="Q974" s="613" t="s">
        <v>798</v>
      </c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</row>
    <row r="975" ht="22.5" customHeight="1">
      <c r="A975" s="691">
        <v>45775.0</v>
      </c>
      <c r="B975" s="675" t="s">
        <v>2218</v>
      </c>
      <c r="C975" s="610">
        <v>200000.0</v>
      </c>
      <c r="D975" s="609"/>
      <c r="E975" s="606"/>
      <c r="F975" s="627" t="s">
        <v>722</v>
      </c>
      <c r="G975" s="597">
        <v>20.0</v>
      </c>
      <c r="H975" s="598">
        <f t="shared" si="80"/>
        <v>33333.33333</v>
      </c>
      <c r="I975" s="599"/>
      <c r="J975" s="599"/>
      <c r="K975" s="615" t="s">
        <v>2240</v>
      </c>
      <c r="L975" s="616" t="s">
        <v>799</v>
      </c>
      <c r="M975" s="621"/>
      <c r="N975" s="621"/>
      <c r="O975" s="621"/>
      <c r="P975" s="602">
        <f t="shared" ref="P975:P980" si="82">A975-IF(O975&gt;0,O975,A975)</f>
        <v>0</v>
      </c>
      <c r="Q975" s="622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</row>
    <row r="976" ht="22.5" customHeight="1">
      <c r="A976" s="614">
        <v>45776.0</v>
      </c>
      <c r="B976" s="626" t="s">
        <v>2218</v>
      </c>
      <c r="C976" s="610">
        <v>1200360.0</v>
      </c>
      <c r="D976" s="609"/>
      <c r="E976" s="606"/>
      <c r="F976" s="627" t="s">
        <v>674</v>
      </c>
      <c r="G976" s="597">
        <v>20.0</v>
      </c>
      <c r="H976" s="598">
        <f t="shared" si="80"/>
        <v>200060</v>
      </c>
      <c r="I976" s="599"/>
      <c r="J976" s="599"/>
      <c r="K976" s="673" t="s">
        <v>51</v>
      </c>
      <c r="L976" s="616" t="s">
        <v>641</v>
      </c>
      <c r="M976" s="612" t="s">
        <v>801</v>
      </c>
      <c r="N976" s="612">
        <v>146.0</v>
      </c>
      <c r="O976" s="662">
        <v>45761.0</v>
      </c>
      <c r="P976" s="602">
        <f t="shared" si="82"/>
        <v>15</v>
      </c>
      <c r="Q976" s="622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</row>
    <row r="977" ht="22.5" customHeight="1">
      <c r="A977" s="614">
        <v>45776.0</v>
      </c>
      <c r="B977" s="626" t="s">
        <v>2218</v>
      </c>
      <c r="C977" s="610">
        <v>543778.8</v>
      </c>
      <c r="D977" s="609"/>
      <c r="E977" s="606"/>
      <c r="F977" s="627" t="s">
        <v>674</v>
      </c>
      <c r="G977" s="597">
        <v>20.0</v>
      </c>
      <c r="H977" s="598">
        <f t="shared" si="80"/>
        <v>90629.8</v>
      </c>
      <c r="I977" s="599"/>
      <c r="J977" s="599"/>
      <c r="K977" s="674" t="s">
        <v>51</v>
      </c>
      <c r="L977" s="616" t="s">
        <v>641</v>
      </c>
      <c r="M977" s="612" t="s">
        <v>802</v>
      </c>
      <c r="N977" s="612">
        <v>147.0</v>
      </c>
      <c r="O977" s="662">
        <v>45761.0</v>
      </c>
      <c r="P977" s="602">
        <f t="shared" si="82"/>
        <v>15</v>
      </c>
      <c r="Q977" s="622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</row>
    <row r="978" ht="22.5" customHeight="1">
      <c r="A978" s="614">
        <v>45776.0</v>
      </c>
      <c r="B978" s="626" t="s">
        <v>2218</v>
      </c>
      <c r="C978" s="610">
        <v>72000.0</v>
      </c>
      <c r="D978" s="609"/>
      <c r="E978" s="606"/>
      <c r="F978" s="627" t="s">
        <v>674</v>
      </c>
      <c r="G978" s="597">
        <v>20.0</v>
      </c>
      <c r="H978" s="598">
        <f t="shared" si="80"/>
        <v>12000</v>
      </c>
      <c r="I978" s="599"/>
      <c r="J978" s="599"/>
      <c r="K978" s="615" t="s">
        <v>51</v>
      </c>
      <c r="L978" s="616" t="s">
        <v>641</v>
      </c>
      <c r="M978" s="612" t="s">
        <v>802</v>
      </c>
      <c r="N978" s="612">
        <v>148.0</v>
      </c>
      <c r="O978" s="662">
        <v>45761.0</v>
      </c>
      <c r="P978" s="602">
        <f t="shared" si="82"/>
        <v>15</v>
      </c>
      <c r="Q978" s="622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</row>
    <row r="979" ht="22.5" customHeight="1">
      <c r="A979" s="614">
        <v>45776.0</v>
      </c>
      <c r="B979" s="626" t="s">
        <v>2218</v>
      </c>
      <c r="C979" s="610">
        <v>1200150.0</v>
      </c>
      <c r="D979" s="609"/>
      <c r="E979" s="606"/>
      <c r="F979" s="627" t="s">
        <v>674</v>
      </c>
      <c r="G979" s="597">
        <v>20.0</v>
      </c>
      <c r="H979" s="598">
        <f t="shared" si="80"/>
        <v>200025</v>
      </c>
      <c r="I979" s="599"/>
      <c r="J979" s="599"/>
      <c r="K979" s="615" t="s">
        <v>51</v>
      </c>
      <c r="L979" s="616" t="s">
        <v>641</v>
      </c>
      <c r="M979" s="612" t="s">
        <v>803</v>
      </c>
      <c r="N979" s="612">
        <v>149.0</v>
      </c>
      <c r="O979" s="662">
        <v>45761.0</v>
      </c>
      <c r="P979" s="602">
        <f t="shared" si="82"/>
        <v>15</v>
      </c>
      <c r="Q979" s="622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</row>
    <row r="980" ht="22.5" customHeight="1">
      <c r="A980" s="614">
        <v>45776.0</v>
      </c>
      <c r="B980" s="626" t="s">
        <v>2218</v>
      </c>
      <c r="C980" s="610">
        <v>386190.0</v>
      </c>
      <c r="D980" s="609"/>
      <c r="E980" s="606"/>
      <c r="F980" s="627" t="s">
        <v>674</v>
      </c>
      <c r="G980" s="597">
        <v>20.0</v>
      </c>
      <c r="H980" s="598">
        <f t="shared" si="80"/>
        <v>64365</v>
      </c>
      <c r="I980" s="599"/>
      <c r="J980" s="599"/>
      <c r="K980" s="615" t="s">
        <v>51</v>
      </c>
      <c r="L980" s="616" t="s">
        <v>641</v>
      </c>
      <c r="M980" s="612" t="s">
        <v>804</v>
      </c>
      <c r="N980" s="612">
        <v>152.0</v>
      </c>
      <c r="O980" s="662">
        <v>45763.0</v>
      </c>
      <c r="P980" s="602">
        <f t="shared" si="82"/>
        <v>13</v>
      </c>
      <c r="Q980" s="622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</row>
    <row r="981" ht="22.5" customHeight="1">
      <c r="A981" s="614">
        <v>45776.0</v>
      </c>
      <c r="B981" s="675" t="s">
        <v>2218</v>
      </c>
      <c r="C981" s="609"/>
      <c r="D981" s="610">
        <v>7533.19</v>
      </c>
      <c r="E981" s="606"/>
      <c r="F981" s="627" t="s">
        <v>722</v>
      </c>
      <c r="G981" s="597">
        <v>0.0</v>
      </c>
      <c r="H981" s="598">
        <f t="shared" si="80"/>
        <v>0</v>
      </c>
      <c r="I981" s="599"/>
      <c r="J981" s="599"/>
      <c r="K981" s="615" t="s">
        <v>494</v>
      </c>
      <c r="L981" s="616" t="s">
        <v>745</v>
      </c>
      <c r="M981" s="621"/>
      <c r="N981" s="621"/>
      <c r="O981" s="621"/>
      <c r="P981" s="602"/>
      <c r="Q981" s="622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</row>
    <row r="982" ht="22.5" customHeight="1">
      <c r="A982" s="614">
        <v>45777.0</v>
      </c>
      <c r="B982" s="675" t="s">
        <v>2218</v>
      </c>
      <c r="C982" s="610">
        <v>300000.0</v>
      </c>
      <c r="D982" s="610"/>
      <c r="E982" s="606"/>
      <c r="F982" s="627" t="s">
        <v>626</v>
      </c>
      <c r="G982" s="597">
        <v>20.0</v>
      </c>
      <c r="H982" s="598">
        <f t="shared" si="80"/>
        <v>50000</v>
      </c>
      <c r="I982" s="599"/>
      <c r="J982" s="599"/>
      <c r="K982" s="615" t="s">
        <v>51</v>
      </c>
      <c r="L982" s="616" t="s">
        <v>675</v>
      </c>
      <c r="M982" s="612" t="s">
        <v>805</v>
      </c>
      <c r="N982" s="612">
        <v>65.0</v>
      </c>
      <c r="O982" s="662">
        <v>45723.0</v>
      </c>
      <c r="P982" s="602">
        <f>A982-IF(O982&gt;0,O982,A982)</f>
        <v>54</v>
      </c>
      <c r="Q982" s="622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</row>
    <row r="983" ht="22.5" customHeight="1">
      <c r="A983" s="614">
        <v>45777.0</v>
      </c>
      <c r="B983" s="675" t="s">
        <v>2218</v>
      </c>
      <c r="C983" s="609"/>
      <c r="D983" s="609"/>
      <c r="E983" s="604" t="s">
        <v>33</v>
      </c>
      <c r="F983" s="627" t="s">
        <v>722</v>
      </c>
      <c r="G983" s="597">
        <v>0.0</v>
      </c>
      <c r="H983" s="598">
        <f t="shared" si="80"/>
        <v>0</v>
      </c>
      <c r="I983" s="599"/>
      <c r="J983" s="605">
        <v>50000.0</v>
      </c>
      <c r="K983" s="615" t="s">
        <v>2240</v>
      </c>
      <c r="L983" s="616" t="s">
        <v>806</v>
      </c>
      <c r="M983" s="621"/>
      <c r="N983" s="621"/>
      <c r="O983" s="621"/>
      <c r="P983" s="602"/>
      <c r="Q983" s="622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</row>
    <row r="984" ht="22.5" customHeight="1">
      <c r="A984" s="614">
        <v>45777.0</v>
      </c>
      <c r="B984" s="675" t="s">
        <v>2218</v>
      </c>
      <c r="C984" s="610">
        <v>328571.52</v>
      </c>
      <c r="D984" s="610"/>
      <c r="E984" s="606"/>
      <c r="F984" s="627" t="s">
        <v>626</v>
      </c>
      <c r="G984" s="597">
        <v>20.0</v>
      </c>
      <c r="H984" s="598">
        <f t="shared" si="80"/>
        <v>54761.92</v>
      </c>
      <c r="I984" s="599"/>
      <c r="J984" s="599"/>
      <c r="K984" s="615" t="s">
        <v>51</v>
      </c>
      <c r="L984" s="616" t="s">
        <v>807</v>
      </c>
      <c r="M984" s="612" t="s">
        <v>808</v>
      </c>
      <c r="N984" s="612">
        <v>67.0</v>
      </c>
      <c r="O984" s="662">
        <v>45726.0</v>
      </c>
      <c r="P984" s="602">
        <f t="shared" ref="P984:P990" si="83">A984-IF(O984&gt;0,O984,A984)</f>
        <v>51</v>
      </c>
      <c r="Q984" s="622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</row>
    <row r="985" ht="22.5" customHeight="1">
      <c r="A985" s="614">
        <v>45777.0</v>
      </c>
      <c r="B985" s="675" t="s">
        <v>2218</v>
      </c>
      <c r="C985" s="610">
        <v>720000.12</v>
      </c>
      <c r="D985" s="610"/>
      <c r="E985" s="606"/>
      <c r="F985" s="627" t="s">
        <v>626</v>
      </c>
      <c r="G985" s="597">
        <v>20.0</v>
      </c>
      <c r="H985" s="598">
        <f t="shared" si="80"/>
        <v>120000.02</v>
      </c>
      <c r="I985" s="599"/>
      <c r="J985" s="599"/>
      <c r="K985" s="615" t="s">
        <v>51</v>
      </c>
      <c r="L985" s="616" t="s">
        <v>110</v>
      </c>
      <c r="M985" s="612" t="s">
        <v>809</v>
      </c>
      <c r="N985" s="612">
        <v>70.0</v>
      </c>
      <c r="O985" s="662">
        <v>45726.0</v>
      </c>
      <c r="P985" s="602">
        <f t="shared" si="83"/>
        <v>51</v>
      </c>
      <c r="Q985" s="622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</row>
    <row r="986" ht="22.5" customHeight="1">
      <c r="A986" s="614">
        <v>45777.0</v>
      </c>
      <c r="B986" s="675" t="s">
        <v>2218</v>
      </c>
      <c r="C986" s="610">
        <v>1200000.06</v>
      </c>
      <c r="D986" s="610"/>
      <c r="E986" s="606"/>
      <c r="F986" s="627" t="s">
        <v>626</v>
      </c>
      <c r="G986" s="597">
        <v>20.0</v>
      </c>
      <c r="H986" s="598">
        <f t="shared" si="80"/>
        <v>200000.01</v>
      </c>
      <c r="I986" s="599"/>
      <c r="J986" s="599"/>
      <c r="K986" s="615" t="s">
        <v>51</v>
      </c>
      <c r="L986" s="616" t="s">
        <v>110</v>
      </c>
      <c r="M986" s="612" t="s">
        <v>810</v>
      </c>
      <c r="N986" s="612">
        <v>71.0</v>
      </c>
      <c r="O986" s="662">
        <v>45726.0</v>
      </c>
      <c r="P986" s="602">
        <f t="shared" si="83"/>
        <v>51</v>
      </c>
      <c r="Q986" s="622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</row>
    <row r="987" ht="22.5" customHeight="1">
      <c r="A987" s="614">
        <v>45777.0</v>
      </c>
      <c r="B987" s="675" t="s">
        <v>2218</v>
      </c>
      <c r="C987" s="610">
        <v>720000.12</v>
      </c>
      <c r="D987" s="610"/>
      <c r="E987" s="606"/>
      <c r="F987" s="627" t="s">
        <v>626</v>
      </c>
      <c r="G987" s="597">
        <v>20.0</v>
      </c>
      <c r="H987" s="598">
        <f t="shared" si="80"/>
        <v>120000.02</v>
      </c>
      <c r="I987" s="599"/>
      <c r="J987" s="599"/>
      <c r="K987" s="615" t="s">
        <v>51</v>
      </c>
      <c r="L987" s="616" t="s">
        <v>110</v>
      </c>
      <c r="M987" s="612" t="s">
        <v>811</v>
      </c>
      <c r="N987" s="612">
        <v>72.0</v>
      </c>
      <c r="O987" s="662">
        <v>45726.0</v>
      </c>
      <c r="P987" s="602">
        <f t="shared" si="83"/>
        <v>51</v>
      </c>
      <c r="Q987" s="622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</row>
    <row r="988" ht="22.5" customHeight="1">
      <c r="A988" s="614">
        <v>45777.0</v>
      </c>
      <c r="B988" s="675" t="s">
        <v>2218</v>
      </c>
      <c r="C988" s="610">
        <v>720000.12</v>
      </c>
      <c r="D988" s="610"/>
      <c r="E988" s="606"/>
      <c r="F988" s="627" t="s">
        <v>626</v>
      </c>
      <c r="G988" s="597">
        <v>20.0</v>
      </c>
      <c r="H988" s="598">
        <f t="shared" si="80"/>
        <v>120000.02</v>
      </c>
      <c r="I988" s="599"/>
      <c r="J988" s="599"/>
      <c r="K988" s="672" t="s">
        <v>51</v>
      </c>
      <c r="L988" s="616" t="s">
        <v>110</v>
      </c>
      <c r="M988" s="612" t="s">
        <v>812</v>
      </c>
      <c r="N988" s="612">
        <v>73.0</v>
      </c>
      <c r="O988" s="662">
        <v>45726.0</v>
      </c>
      <c r="P988" s="602">
        <f t="shared" si="83"/>
        <v>51</v>
      </c>
      <c r="Q988" s="622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</row>
    <row r="989" ht="22.5" customHeight="1">
      <c r="A989" s="614">
        <v>45777.0</v>
      </c>
      <c r="B989" s="675" t="s">
        <v>2218</v>
      </c>
      <c r="C989" s="610">
        <v>1200000.06</v>
      </c>
      <c r="D989" s="610"/>
      <c r="E989" s="606"/>
      <c r="F989" s="627" t="s">
        <v>626</v>
      </c>
      <c r="G989" s="597">
        <v>20.0</v>
      </c>
      <c r="H989" s="598">
        <f t="shared" si="80"/>
        <v>200000.01</v>
      </c>
      <c r="I989" s="599"/>
      <c r="J989" s="599"/>
      <c r="K989" s="673" t="s">
        <v>51</v>
      </c>
      <c r="L989" s="616" t="s">
        <v>110</v>
      </c>
      <c r="M989" s="612" t="s">
        <v>813</v>
      </c>
      <c r="N989" s="612">
        <v>74.0</v>
      </c>
      <c r="O989" s="662">
        <v>45726.0</v>
      </c>
      <c r="P989" s="602">
        <f t="shared" si="83"/>
        <v>51</v>
      </c>
      <c r="Q989" s="622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</row>
    <row r="990" ht="22.5" customHeight="1">
      <c r="A990" s="614">
        <v>45777.0</v>
      </c>
      <c r="B990" s="675" t="s">
        <v>2218</v>
      </c>
      <c r="C990" s="610">
        <v>255555.72</v>
      </c>
      <c r="D990" s="609"/>
      <c r="E990" s="606"/>
      <c r="F990" s="627" t="s">
        <v>674</v>
      </c>
      <c r="G990" s="597">
        <v>20.0</v>
      </c>
      <c r="H990" s="598">
        <f t="shared" si="80"/>
        <v>42592.62</v>
      </c>
      <c r="I990" s="599"/>
      <c r="J990" s="599"/>
      <c r="K990" s="674" t="s">
        <v>51</v>
      </c>
      <c r="L990" s="616" t="s">
        <v>807</v>
      </c>
      <c r="M990" s="612" t="s">
        <v>808</v>
      </c>
      <c r="N990" s="612">
        <v>106.0</v>
      </c>
      <c r="O990" s="662">
        <v>45757.0</v>
      </c>
      <c r="P990" s="602">
        <f t="shared" si="83"/>
        <v>20</v>
      </c>
      <c r="Q990" s="622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</row>
    <row r="991" ht="22.5" customHeight="1">
      <c r="A991" s="614">
        <v>45782.0</v>
      </c>
      <c r="B991" s="675" t="s">
        <v>2218</v>
      </c>
      <c r="C991" s="609"/>
      <c r="D991" s="609"/>
      <c r="E991" s="604" t="s">
        <v>33</v>
      </c>
      <c r="F991" s="627" t="s">
        <v>800</v>
      </c>
      <c r="G991" s="597">
        <v>0.0</v>
      </c>
      <c r="H991" s="598">
        <f t="shared" si="80"/>
        <v>0</v>
      </c>
      <c r="I991" s="599"/>
      <c r="J991" s="605">
        <v>65000.0</v>
      </c>
      <c r="K991" s="615" t="s">
        <v>494</v>
      </c>
      <c r="L991" s="616" t="s">
        <v>814</v>
      </c>
      <c r="M991" s="621"/>
      <c r="N991" s="621"/>
      <c r="O991" s="621"/>
      <c r="P991" s="602"/>
      <c r="Q991" s="622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</row>
    <row r="992" ht="22.5" customHeight="1">
      <c r="A992" s="614">
        <v>45782.0</v>
      </c>
      <c r="B992" s="675" t="s">
        <v>2218</v>
      </c>
      <c r="C992" s="609"/>
      <c r="D992" s="610">
        <v>140036.57</v>
      </c>
      <c r="E992" s="606"/>
      <c r="F992" s="627" t="s">
        <v>626</v>
      </c>
      <c r="G992" s="597">
        <v>20.0</v>
      </c>
      <c r="H992" s="598">
        <f t="shared" si="80"/>
        <v>23339.42833</v>
      </c>
      <c r="I992" s="599"/>
      <c r="J992" s="599"/>
      <c r="K992" s="615" t="s">
        <v>2237</v>
      </c>
      <c r="L992" s="615" t="s">
        <v>509</v>
      </c>
      <c r="M992" s="621"/>
      <c r="N992" s="621"/>
      <c r="O992" s="621"/>
      <c r="P992" s="602"/>
      <c r="Q992" s="685" t="s">
        <v>815</v>
      </c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</row>
    <row r="993" ht="22.5" customHeight="1">
      <c r="A993" s="614">
        <v>45782.0</v>
      </c>
      <c r="B993" s="675" t="s">
        <v>2218</v>
      </c>
      <c r="C993" s="609"/>
      <c r="D993" s="610">
        <v>113549.0</v>
      </c>
      <c r="E993" s="606"/>
      <c r="F993" s="627" t="s">
        <v>626</v>
      </c>
      <c r="G993" s="597">
        <v>5.0</v>
      </c>
      <c r="H993" s="598">
        <f t="shared" si="80"/>
        <v>5407.095238</v>
      </c>
      <c r="I993" s="599"/>
      <c r="J993" s="599"/>
      <c r="K993" s="615" t="s">
        <v>2246</v>
      </c>
      <c r="L993" s="670" t="s">
        <v>671</v>
      </c>
      <c r="M993" s="621"/>
      <c r="N993" s="621"/>
      <c r="O993" s="621"/>
      <c r="P993" s="602"/>
      <c r="Q993" s="682" t="s">
        <v>816</v>
      </c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</row>
    <row r="994" ht="22.5" customHeight="1">
      <c r="A994" s="614">
        <v>45782.0</v>
      </c>
      <c r="B994" s="675" t="s">
        <v>2218</v>
      </c>
      <c r="C994" s="609"/>
      <c r="D994" s="610">
        <v>228006.46</v>
      </c>
      <c r="E994" s="606"/>
      <c r="F994" s="627" t="s">
        <v>626</v>
      </c>
      <c r="G994" s="597">
        <v>20.0</v>
      </c>
      <c r="H994" s="598">
        <f t="shared" si="80"/>
        <v>38001.07667</v>
      </c>
      <c r="I994" s="599"/>
      <c r="J994" s="599"/>
      <c r="K994" s="615" t="s">
        <v>2246</v>
      </c>
      <c r="L994" s="670" t="s">
        <v>632</v>
      </c>
      <c r="M994" s="621"/>
      <c r="N994" s="621"/>
      <c r="O994" s="621"/>
      <c r="P994" s="602"/>
      <c r="Q994" s="682" t="s">
        <v>817</v>
      </c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</row>
    <row r="995" ht="22.5" customHeight="1">
      <c r="A995" s="614">
        <v>45782.0</v>
      </c>
      <c r="B995" s="675" t="s">
        <v>2218</v>
      </c>
      <c r="C995" s="609"/>
      <c r="D995" s="610">
        <v>86623.1</v>
      </c>
      <c r="E995" s="606"/>
      <c r="F995" s="627" t="s">
        <v>626</v>
      </c>
      <c r="G995" s="597">
        <v>20.0</v>
      </c>
      <c r="H995" s="598">
        <f t="shared" si="80"/>
        <v>14437.18333</v>
      </c>
      <c r="I995" s="599"/>
      <c r="J995" s="599"/>
      <c r="K995" s="615" t="s">
        <v>2246</v>
      </c>
      <c r="L995" s="670" t="s">
        <v>818</v>
      </c>
      <c r="M995" s="621"/>
      <c r="N995" s="621"/>
      <c r="O995" s="621"/>
      <c r="P995" s="602"/>
      <c r="Q995" s="682" t="s">
        <v>819</v>
      </c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</row>
    <row r="996" ht="22.5" customHeight="1">
      <c r="A996" s="614">
        <v>45782.0</v>
      </c>
      <c r="B996" s="675" t="s">
        <v>2218</v>
      </c>
      <c r="C996" s="609"/>
      <c r="D996" s="610">
        <v>221974.06</v>
      </c>
      <c r="E996" s="606"/>
      <c r="F996" s="627" t="s">
        <v>626</v>
      </c>
      <c r="G996" s="597">
        <v>20.0</v>
      </c>
      <c r="H996" s="598">
        <f t="shared" si="80"/>
        <v>36995.67667</v>
      </c>
      <c r="I996" s="599"/>
      <c r="J996" s="599"/>
      <c r="K996" s="615" t="s">
        <v>2246</v>
      </c>
      <c r="L996" s="670" t="s">
        <v>820</v>
      </c>
      <c r="M996" s="621"/>
      <c r="N996" s="621"/>
      <c r="O996" s="621"/>
      <c r="P996" s="602"/>
      <c r="Q996" s="682" t="s">
        <v>821</v>
      </c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</row>
    <row r="997" ht="22.5" customHeight="1">
      <c r="A997" s="614">
        <v>45782.0</v>
      </c>
      <c r="B997" s="675" t="s">
        <v>2218</v>
      </c>
      <c r="C997" s="609"/>
      <c r="D997" s="610">
        <v>163169.5</v>
      </c>
      <c r="E997" s="606"/>
      <c r="F997" s="627" t="s">
        <v>626</v>
      </c>
      <c r="G997" s="597">
        <v>20.0</v>
      </c>
      <c r="H997" s="598">
        <f t="shared" si="80"/>
        <v>27194.91667</v>
      </c>
      <c r="I997" s="599"/>
      <c r="J997" s="599"/>
      <c r="K997" s="615" t="s">
        <v>2246</v>
      </c>
      <c r="L997" s="670" t="s">
        <v>631</v>
      </c>
      <c r="M997" s="621"/>
      <c r="N997" s="621"/>
      <c r="O997" s="621"/>
      <c r="P997" s="602"/>
      <c r="Q997" s="682" t="s">
        <v>822</v>
      </c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</row>
    <row r="998" ht="22.5" customHeight="1">
      <c r="A998" s="614">
        <v>45782.0</v>
      </c>
      <c r="B998" s="675" t="s">
        <v>2218</v>
      </c>
      <c r="C998" s="609"/>
      <c r="D998" s="610">
        <v>521679.54</v>
      </c>
      <c r="E998" s="606"/>
      <c r="F998" s="627" t="s">
        <v>626</v>
      </c>
      <c r="G998" s="597">
        <v>20.0</v>
      </c>
      <c r="H998" s="598">
        <f t="shared" si="80"/>
        <v>86946.59</v>
      </c>
      <c r="I998" s="599"/>
      <c r="J998" s="599"/>
      <c r="K998" s="615" t="s">
        <v>44</v>
      </c>
      <c r="L998" s="616" t="s">
        <v>2247</v>
      </c>
      <c r="M998" s="621"/>
      <c r="N998" s="621"/>
      <c r="O998" s="621"/>
      <c r="P998" s="602"/>
      <c r="Q998" s="682" t="s">
        <v>823</v>
      </c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</row>
    <row r="999" ht="22.5" customHeight="1">
      <c r="A999" s="614">
        <v>45782.0</v>
      </c>
      <c r="B999" s="675" t="s">
        <v>2218</v>
      </c>
      <c r="C999" s="609"/>
      <c r="D999" s="610">
        <v>558850.5</v>
      </c>
      <c r="E999" s="606"/>
      <c r="F999" s="627" t="s">
        <v>626</v>
      </c>
      <c r="G999" s="597">
        <v>20.0</v>
      </c>
      <c r="H999" s="598">
        <f t="shared" si="80"/>
        <v>93141.75</v>
      </c>
      <c r="I999" s="599"/>
      <c r="J999" s="599"/>
      <c r="K999" s="615" t="s">
        <v>2246</v>
      </c>
      <c r="L999" s="670" t="s">
        <v>670</v>
      </c>
      <c r="M999" s="621"/>
      <c r="N999" s="621"/>
      <c r="O999" s="621"/>
      <c r="P999" s="602"/>
      <c r="Q999" s="682" t="s">
        <v>824</v>
      </c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</row>
    <row r="1000" ht="22.5" customHeight="1">
      <c r="A1000" s="614">
        <v>45782.0</v>
      </c>
      <c r="B1000" s="675" t="s">
        <v>2218</v>
      </c>
      <c r="C1000" s="609"/>
      <c r="D1000" s="610">
        <v>430584.0</v>
      </c>
      <c r="E1000" s="606"/>
      <c r="F1000" s="627" t="s">
        <v>626</v>
      </c>
      <c r="G1000" s="597">
        <v>20.0</v>
      </c>
      <c r="H1000" s="598">
        <f t="shared" si="80"/>
        <v>71764</v>
      </c>
      <c r="I1000" s="599"/>
      <c r="J1000" s="599"/>
      <c r="K1000" s="615" t="s">
        <v>2246</v>
      </c>
      <c r="L1000" s="692" t="s">
        <v>767</v>
      </c>
      <c r="M1000" s="621"/>
      <c r="N1000" s="621"/>
      <c r="O1000" s="621"/>
      <c r="P1000" s="602"/>
      <c r="Q1000" s="622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</row>
    <row r="1001" ht="22.5" customHeight="1">
      <c r="A1001" s="614">
        <v>45782.0</v>
      </c>
      <c r="B1001" s="675" t="s">
        <v>2218</v>
      </c>
      <c r="C1001" s="609"/>
      <c r="D1001" s="609"/>
      <c r="E1001" s="604" t="s">
        <v>33</v>
      </c>
      <c r="F1001" s="627" t="s">
        <v>800</v>
      </c>
      <c r="G1001" s="597">
        <v>0.0</v>
      </c>
      <c r="H1001" s="598">
        <f t="shared" si="80"/>
        <v>0</v>
      </c>
      <c r="I1001" s="599"/>
      <c r="J1001" s="605">
        <v>33000.0</v>
      </c>
      <c r="K1001" s="615" t="s">
        <v>494</v>
      </c>
      <c r="L1001" s="616" t="s">
        <v>825</v>
      </c>
      <c r="M1001" s="621"/>
      <c r="N1001" s="621"/>
      <c r="O1001" s="621"/>
      <c r="P1001" s="602"/>
      <c r="Q1001" s="622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  <c r="AI1001" s="74"/>
    </row>
    <row r="1002" ht="22.5" customHeight="1">
      <c r="A1002" s="614">
        <v>45782.0</v>
      </c>
      <c r="B1002" s="675" t="s">
        <v>2218</v>
      </c>
      <c r="C1002" s="609"/>
      <c r="D1002" s="610">
        <f>50000+979</f>
        <v>50979</v>
      </c>
      <c r="E1002" s="606"/>
      <c r="F1002" s="627" t="s">
        <v>722</v>
      </c>
      <c r="G1002" s="664"/>
      <c r="H1002" s="665"/>
      <c r="I1002" s="599"/>
      <c r="J1002" s="599"/>
      <c r="K1002" s="615" t="s">
        <v>68</v>
      </c>
      <c r="L1002" s="616" t="s">
        <v>826</v>
      </c>
      <c r="M1002" s="621"/>
      <c r="N1002" s="621"/>
      <c r="O1002" s="621"/>
      <c r="P1002" s="602"/>
      <c r="Q1002" s="622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  <c r="AI1002" s="74"/>
    </row>
    <row r="1003" ht="22.5" customHeight="1">
      <c r="A1003" s="614">
        <v>45782.0</v>
      </c>
      <c r="B1003" s="675" t="s">
        <v>2218</v>
      </c>
      <c r="C1003" s="609"/>
      <c r="D1003" s="610">
        <v>214000.0</v>
      </c>
      <c r="E1003" s="606"/>
      <c r="F1003" s="627" t="s">
        <v>722</v>
      </c>
      <c r="G1003" s="664"/>
      <c r="H1003" s="665"/>
      <c r="I1003" s="599"/>
      <c r="J1003" s="599"/>
      <c r="K1003" s="615" t="s">
        <v>68</v>
      </c>
      <c r="L1003" s="616" t="s">
        <v>827</v>
      </c>
      <c r="M1003" s="621"/>
      <c r="N1003" s="621"/>
      <c r="O1003" s="621"/>
      <c r="P1003" s="602"/>
      <c r="Q1003" s="622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  <c r="AI1003" s="74"/>
    </row>
    <row r="1004" ht="22.5" customHeight="1">
      <c r="A1004" s="614">
        <v>45782.0</v>
      </c>
      <c r="B1004" s="675" t="s">
        <v>2218</v>
      </c>
      <c r="C1004" s="610">
        <v>165000.4</v>
      </c>
      <c r="D1004" s="609"/>
      <c r="E1004" s="606"/>
      <c r="F1004" s="627" t="s">
        <v>619</v>
      </c>
      <c r="G1004" s="597">
        <v>20.0</v>
      </c>
      <c r="H1004" s="598">
        <f t="shared" ref="H1004:H1725" si="84">SUM(C1004:D1004)*G1004/(G1004+100)</f>
        <v>27500.06667</v>
      </c>
      <c r="I1004" s="599"/>
      <c r="J1004" s="599"/>
      <c r="K1004" s="615" t="s">
        <v>51</v>
      </c>
      <c r="L1004" s="616" t="s">
        <v>532</v>
      </c>
      <c r="M1004" s="621"/>
      <c r="N1004" s="612">
        <v>39.0</v>
      </c>
      <c r="O1004" s="662">
        <v>45677.0</v>
      </c>
      <c r="P1004" s="602">
        <f t="shared" ref="P1004:P1271" si="85">A1004-IF(O1004&gt;0,O1004,A1004)</f>
        <v>105</v>
      </c>
      <c r="Q1004" s="622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  <c r="AI1004" s="74"/>
    </row>
    <row r="1005" ht="22.5" customHeight="1">
      <c r="A1005" s="614">
        <v>45782.0</v>
      </c>
      <c r="B1005" s="675" t="s">
        <v>2218</v>
      </c>
      <c r="C1005" s="610">
        <v>207900.0</v>
      </c>
      <c r="D1005" s="609"/>
      <c r="E1005" s="606"/>
      <c r="F1005" s="627" t="s">
        <v>619</v>
      </c>
      <c r="G1005" s="597">
        <v>20.0</v>
      </c>
      <c r="H1005" s="598">
        <f t="shared" si="84"/>
        <v>34650</v>
      </c>
      <c r="I1005" s="599"/>
      <c r="J1005" s="599"/>
      <c r="K1005" s="615" t="s">
        <v>51</v>
      </c>
      <c r="L1005" s="616" t="s">
        <v>532</v>
      </c>
      <c r="M1005" s="621"/>
      <c r="N1005" s="612">
        <v>40.0</v>
      </c>
      <c r="O1005" s="662">
        <v>45677.0</v>
      </c>
      <c r="P1005" s="602">
        <f t="shared" si="85"/>
        <v>105</v>
      </c>
      <c r="Q1005" s="622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  <c r="AI1005" s="74"/>
    </row>
    <row r="1006" ht="22.5" customHeight="1">
      <c r="A1006" s="614">
        <v>45782.0</v>
      </c>
      <c r="B1006" s="675" t="s">
        <v>2218</v>
      </c>
      <c r="C1006" s="610">
        <v>132891.94</v>
      </c>
      <c r="D1006" s="609"/>
      <c r="E1006" s="606"/>
      <c r="F1006" s="627" t="s">
        <v>619</v>
      </c>
      <c r="G1006" s="597">
        <v>20.0</v>
      </c>
      <c r="H1006" s="598">
        <f t="shared" si="84"/>
        <v>22148.65667</v>
      </c>
      <c r="I1006" s="599"/>
      <c r="J1006" s="599"/>
      <c r="K1006" s="615" t="s">
        <v>51</v>
      </c>
      <c r="L1006" s="616" t="s">
        <v>532</v>
      </c>
      <c r="M1006" s="621"/>
      <c r="N1006" s="612">
        <v>41.0</v>
      </c>
      <c r="O1006" s="662">
        <v>45677.0</v>
      </c>
      <c r="P1006" s="602">
        <f t="shared" si="85"/>
        <v>105</v>
      </c>
      <c r="Q1006" s="622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</row>
    <row r="1007" ht="22.5" customHeight="1">
      <c r="A1007" s="614">
        <v>45782.0</v>
      </c>
      <c r="B1007" s="675" t="s">
        <v>2218</v>
      </c>
      <c r="C1007" s="609"/>
      <c r="D1007" s="610">
        <v>13990.0</v>
      </c>
      <c r="E1007" s="606"/>
      <c r="F1007" s="627" t="s">
        <v>800</v>
      </c>
      <c r="G1007" s="597">
        <v>0.0</v>
      </c>
      <c r="H1007" s="598">
        <f t="shared" si="84"/>
        <v>0</v>
      </c>
      <c r="I1007" s="599"/>
      <c r="J1007" s="599"/>
      <c r="K1007" s="615" t="s">
        <v>30</v>
      </c>
      <c r="L1007" s="616" t="s">
        <v>828</v>
      </c>
      <c r="M1007" s="621"/>
      <c r="N1007" s="621"/>
      <c r="O1007" s="621"/>
      <c r="P1007" s="602">
        <f t="shared" si="85"/>
        <v>0</v>
      </c>
      <c r="Q1007" s="622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  <c r="AI1007" s="74"/>
    </row>
    <row r="1008" ht="22.5" customHeight="1">
      <c r="A1008" s="614">
        <v>45782.0</v>
      </c>
      <c r="B1008" s="675" t="s">
        <v>2218</v>
      </c>
      <c r="C1008" s="609"/>
      <c r="D1008" s="610">
        <v>16652.0</v>
      </c>
      <c r="E1008" s="606"/>
      <c r="F1008" s="627" t="s">
        <v>800</v>
      </c>
      <c r="G1008" s="597">
        <v>0.0</v>
      </c>
      <c r="H1008" s="598">
        <f t="shared" si="84"/>
        <v>0</v>
      </c>
      <c r="I1008" s="599"/>
      <c r="J1008" s="599"/>
      <c r="K1008" s="615" t="s">
        <v>494</v>
      </c>
      <c r="L1008" s="616" t="s">
        <v>745</v>
      </c>
      <c r="M1008" s="621"/>
      <c r="N1008" s="621"/>
      <c r="O1008" s="621"/>
      <c r="P1008" s="602">
        <f t="shared" si="85"/>
        <v>0</v>
      </c>
      <c r="Q1008" s="622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  <c r="AC1008" s="74"/>
      <c r="AD1008" s="74"/>
      <c r="AE1008" s="74"/>
      <c r="AF1008" s="74"/>
      <c r="AG1008" s="74"/>
      <c r="AH1008" s="74"/>
      <c r="AI1008" s="74"/>
    </row>
    <row r="1009" ht="22.5" customHeight="1">
      <c r="A1009" s="614">
        <v>45782.0</v>
      </c>
      <c r="B1009" s="675" t="s">
        <v>2218</v>
      </c>
      <c r="C1009" s="609"/>
      <c r="D1009" s="610">
        <v>67433.0</v>
      </c>
      <c r="E1009" s="606"/>
      <c r="F1009" s="627" t="s">
        <v>722</v>
      </c>
      <c r="G1009" s="597">
        <v>0.0</v>
      </c>
      <c r="H1009" s="598">
        <f t="shared" si="84"/>
        <v>0</v>
      </c>
      <c r="I1009" s="599"/>
      <c r="J1009" s="599"/>
      <c r="K1009" s="615" t="s">
        <v>236</v>
      </c>
      <c r="L1009" s="616" t="s">
        <v>72</v>
      </c>
      <c r="M1009" s="621"/>
      <c r="N1009" s="621"/>
      <c r="O1009" s="621"/>
      <c r="P1009" s="602">
        <f t="shared" si="85"/>
        <v>0</v>
      </c>
      <c r="Q1009" s="613" t="s">
        <v>748</v>
      </c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  <c r="AI1009" s="74"/>
    </row>
    <row r="1010" ht="22.5" customHeight="1">
      <c r="A1010" s="614">
        <v>45783.0</v>
      </c>
      <c r="B1010" s="675" t="s">
        <v>2218</v>
      </c>
      <c r="C1010" s="610">
        <v>600000.24</v>
      </c>
      <c r="D1010" s="609"/>
      <c r="E1010" s="606"/>
      <c r="F1010" s="627" t="s">
        <v>594</v>
      </c>
      <c r="G1010" s="597">
        <v>20.0</v>
      </c>
      <c r="H1010" s="598">
        <f t="shared" si="84"/>
        <v>100000.04</v>
      </c>
      <c r="I1010" s="599"/>
      <c r="J1010" s="599"/>
      <c r="K1010" s="615" t="s">
        <v>51</v>
      </c>
      <c r="L1010" s="616" t="s">
        <v>440</v>
      </c>
      <c r="M1010" s="621"/>
      <c r="N1010" s="612">
        <v>46.0</v>
      </c>
      <c r="O1010" s="662">
        <v>45696.0</v>
      </c>
      <c r="P1010" s="602">
        <f t="shared" si="85"/>
        <v>87</v>
      </c>
      <c r="Q1010" s="622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  <c r="AI1010" s="74"/>
    </row>
    <row r="1011" ht="22.5" customHeight="1">
      <c r="A1011" s="614">
        <v>45783.0</v>
      </c>
      <c r="B1011" s="675" t="s">
        <v>2218</v>
      </c>
      <c r="C1011" s="610">
        <v>600000.24</v>
      </c>
      <c r="D1011" s="609"/>
      <c r="E1011" s="606"/>
      <c r="F1011" s="627" t="s">
        <v>594</v>
      </c>
      <c r="G1011" s="597">
        <v>20.0</v>
      </c>
      <c r="H1011" s="598">
        <f t="shared" si="84"/>
        <v>100000.04</v>
      </c>
      <c r="I1011" s="599"/>
      <c r="J1011" s="599"/>
      <c r="K1011" s="615" t="s">
        <v>51</v>
      </c>
      <c r="L1011" s="616" t="s">
        <v>440</v>
      </c>
      <c r="M1011" s="621"/>
      <c r="N1011" s="612">
        <v>47.0</v>
      </c>
      <c r="O1011" s="662">
        <v>45696.0</v>
      </c>
      <c r="P1011" s="602">
        <f t="shared" si="85"/>
        <v>87</v>
      </c>
      <c r="Q1011" s="622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  <c r="AI1011" s="74"/>
    </row>
    <row r="1012" ht="22.5" customHeight="1">
      <c r="A1012" s="614">
        <v>45783.0</v>
      </c>
      <c r="B1012" s="675" t="s">
        <v>2218</v>
      </c>
      <c r="C1012" s="610">
        <v>636000.36</v>
      </c>
      <c r="D1012" s="610"/>
      <c r="E1012" s="652"/>
      <c r="F1012" s="627" t="s">
        <v>626</v>
      </c>
      <c r="G1012" s="597">
        <v>20.0</v>
      </c>
      <c r="H1012" s="598">
        <f t="shared" si="84"/>
        <v>106000.06</v>
      </c>
      <c r="I1012" s="599"/>
      <c r="J1012" s="599"/>
      <c r="K1012" s="615" t="s">
        <v>51</v>
      </c>
      <c r="L1012" s="616" t="s">
        <v>675</v>
      </c>
      <c r="M1012" s="612" t="s">
        <v>829</v>
      </c>
      <c r="N1012" s="612">
        <v>100.0</v>
      </c>
      <c r="O1012" s="662">
        <v>45736.0</v>
      </c>
      <c r="P1012" s="602">
        <f t="shared" si="85"/>
        <v>47</v>
      </c>
      <c r="Q1012" s="622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  <c r="AI1012" s="74"/>
    </row>
    <row r="1013" ht="22.5" customHeight="1">
      <c r="A1013" s="614">
        <v>45783.0</v>
      </c>
      <c r="B1013" s="675" t="s">
        <v>2218</v>
      </c>
      <c r="C1013" s="610">
        <v>636000.36</v>
      </c>
      <c r="D1013" s="610"/>
      <c r="E1013" s="652"/>
      <c r="F1013" s="627" t="s">
        <v>626</v>
      </c>
      <c r="G1013" s="597">
        <v>20.0</v>
      </c>
      <c r="H1013" s="598">
        <f t="shared" si="84"/>
        <v>106000.06</v>
      </c>
      <c r="I1013" s="599"/>
      <c r="J1013" s="599"/>
      <c r="K1013" s="615" t="s">
        <v>51</v>
      </c>
      <c r="L1013" s="616" t="s">
        <v>675</v>
      </c>
      <c r="M1013" s="612" t="s">
        <v>830</v>
      </c>
      <c r="N1013" s="612">
        <v>101.0</v>
      </c>
      <c r="O1013" s="662">
        <v>45736.0</v>
      </c>
      <c r="P1013" s="602">
        <f t="shared" si="85"/>
        <v>47</v>
      </c>
      <c r="Q1013" s="622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  <c r="AH1013" s="74"/>
      <c r="AI1013" s="74"/>
    </row>
    <row r="1014" ht="22.5" customHeight="1">
      <c r="A1014" s="614">
        <v>45783.0</v>
      </c>
      <c r="B1014" s="675" t="s">
        <v>2218</v>
      </c>
      <c r="C1014" s="610">
        <v>610196.7</v>
      </c>
      <c r="D1014" s="609"/>
      <c r="E1014" s="606"/>
      <c r="F1014" s="627" t="s">
        <v>800</v>
      </c>
      <c r="G1014" s="597">
        <v>20.0</v>
      </c>
      <c r="H1014" s="598">
        <f t="shared" si="84"/>
        <v>101699.45</v>
      </c>
      <c r="I1014" s="599"/>
      <c r="J1014" s="599"/>
      <c r="K1014" s="615" t="s">
        <v>51</v>
      </c>
      <c r="L1014" s="616" t="s">
        <v>440</v>
      </c>
      <c r="M1014" s="612" t="s">
        <v>758</v>
      </c>
      <c r="N1014" s="612">
        <v>228.0</v>
      </c>
      <c r="O1014" s="662">
        <v>45818.0</v>
      </c>
      <c r="P1014" s="602">
        <f t="shared" si="85"/>
        <v>-35</v>
      </c>
      <c r="Q1014" s="622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  <c r="AH1014" s="74"/>
      <c r="AI1014" s="74"/>
    </row>
    <row r="1015" ht="22.5" customHeight="1">
      <c r="A1015" s="614">
        <v>45784.0</v>
      </c>
      <c r="B1015" s="675" t="s">
        <v>2218</v>
      </c>
      <c r="C1015" s="609"/>
      <c r="D1015" s="610">
        <f>539504.73+511.68+24038</f>
        <v>564054.41</v>
      </c>
      <c r="E1015" s="606"/>
      <c r="F1015" s="627" t="s">
        <v>722</v>
      </c>
      <c r="G1015" s="597">
        <v>0.0</v>
      </c>
      <c r="H1015" s="598">
        <f t="shared" si="84"/>
        <v>0</v>
      </c>
      <c r="I1015" s="599"/>
      <c r="J1015" s="599"/>
      <c r="K1015" s="615" t="s">
        <v>68</v>
      </c>
      <c r="L1015" s="616" t="s">
        <v>831</v>
      </c>
      <c r="M1015" s="621"/>
      <c r="N1015" s="621"/>
      <c r="O1015" s="621"/>
      <c r="P1015" s="602">
        <f t="shared" si="85"/>
        <v>0</v>
      </c>
      <c r="Q1015" s="622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  <c r="AI1015" s="74"/>
    </row>
    <row r="1016" ht="22.5" customHeight="1">
      <c r="A1016" s="614">
        <v>45784.0</v>
      </c>
      <c r="B1016" s="675" t="s">
        <v>2218</v>
      </c>
      <c r="C1016" s="609"/>
      <c r="D1016" s="609"/>
      <c r="E1016" s="604" t="s">
        <v>33</v>
      </c>
      <c r="F1016" s="627" t="s">
        <v>722</v>
      </c>
      <c r="G1016" s="597">
        <v>0.0</v>
      </c>
      <c r="H1016" s="598">
        <f t="shared" si="84"/>
        <v>0</v>
      </c>
      <c r="I1016" s="599"/>
      <c r="J1016" s="605">
        <v>70000.0</v>
      </c>
      <c r="K1016" s="615" t="s">
        <v>68</v>
      </c>
      <c r="L1016" s="616" t="s">
        <v>832</v>
      </c>
      <c r="M1016" s="621"/>
      <c r="N1016" s="621"/>
      <c r="O1016" s="621"/>
      <c r="P1016" s="602">
        <f t="shared" si="85"/>
        <v>0</v>
      </c>
      <c r="Q1016" s="622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  <c r="AH1016" s="74"/>
      <c r="AI1016" s="74"/>
    </row>
    <row r="1017" ht="22.5" customHeight="1">
      <c r="A1017" s="614">
        <v>45784.0</v>
      </c>
      <c r="B1017" s="675" t="s">
        <v>2218</v>
      </c>
      <c r="C1017" s="609"/>
      <c r="D1017" s="609"/>
      <c r="E1017" s="604" t="s">
        <v>33</v>
      </c>
      <c r="F1017" s="627" t="s">
        <v>800</v>
      </c>
      <c r="G1017" s="597">
        <v>0.0</v>
      </c>
      <c r="H1017" s="598">
        <f t="shared" si="84"/>
        <v>0</v>
      </c>
      <c r="I1017" s="599"/>
      <c r="J1017" s="605">
        <v>10000.0</v>
      </c>
      <c r="K1017" s="615" t="s">
        <v>1181</v>
      </c>
      <c r="L1017" s="616" t="s">
        <v>833</v>
      </c>
      <c r="M1017" s="621"/>
      <c r="N1017" s="621"/>
      <c r="O1017" s="621"/>
      <c r="P1017" s="602">
        <f t="shared" si="85"/>
        <v>0</v>
      </c>
      <c r="Q1017" s="622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C1017" s="74"/>
      <c r="AD1017" s="74"/>
      <c r="AE1017" s="74"/>
      <c r="AF1017" s="74"/>
      <c r="AG1017" s="74"/>
      <c r="AH1017" s="74"/>
      <c r="AI1017" s="74"/>
    </row>
    <row r="1018" ht="22.5" customHeight="1">
      <c r="A1018" s="614">
        <v>45788.0</v>
      </c>
      <c r="B1018" s="675" t="s">
        <v>2218</v>
      </c>
      <c r="C1018" s="609"/>
      <c r="D1018" s="610">
        <v>8610.0</v>
      </c>
      <c r="E1018" s="606"/>
      <c r="F1018" s="627" t="s">
        <v>800</v>
      </c>
      <c r="G1018" s="597">
        <v>20.0</v>
      </c>
      <c r="H1018" s="598">
        <f t="shared" si="84"/>
        <v>1435</v>
      </c>
      <c r="I1018" s="599"/>
      <c r="J1018" s="599"/>
      <c r="K1018" s="615" t="s">
        <v>108</v>
      </c>
      <c r="L1018" s="616" t="s">
        <v>648</v>
      </c>
      <c r="M1018" s="621"/>
      <c r="N1018" s="621"/>
      <c r="O1018" s="621"/>
      <c r="P1018" s="602">
        <f t="shared" si="85"/>
        <v>0</v>
      </c>
      <c r="Q1018" s="622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  <c r="AC1018" s="74"/>
      <c r="AD1018" s="74"/>
      <c r="AE1018" s="74"/>
      <c r="AF1018" s="74"/>
      <c r="AG1018" s="74"/>
      <c r="AH1018" s="74"/>
      <c r="AI1018" s="74"/>
    </row>
    <row r="1019" ht="22.5" customHeight="1">
      <c r="A1019" s="614">
        <v>45788.0</v>
      </c>
      <c r="B1019" s="675" t="s">
        <v>2218</v>
      </c>
      <c r="C1019" s="609"/>
      <c r="D1019" s="610">
        <v>53000.0</v>
      </c>
      <c r="E1019" s="606"/>
      <c r="F1019" s="627" t="s">
        <v>722</v>
      </c>
      <c r="G1019" s="597">
        <v>0.0</v>
      </c>
      <c r="H1019" s="598">
        <f t="shared" si="84"/>
        <v>0</v>
      </c>
      <c r="I1019" s="599"/>
      <c r="J1019" s="599"/>
      <c r="K1019" s="615" t="s">
        <v>2240</v>
      </c>
      <c r="L1019" s="616" t="s">
        <v>834</v>
      </c>
      <c r="M1019" s="621"/>
      <c r="N1019" s="621"/>
      <c r="O1019" s="621"/>
      <c r="P1019" s="602">
        <f t="shared" si="85"/>
        <v>0</v>
      </c>
      <c r="Q1019" s="613" t="s">
        <v>835</v>
      </c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  <c r="AC1019" s="74"/>
      <c r="AD1019" s="74"/>
      <c r="AE1019" s="74"/>
      <c r="AF1019" s="74"/>
      <c r="AG1019" s="74"/>
      <c r="AH1019" s="74"/>
      <c r="AI1019" s="74"/>
    </row>
    <row r="1020" ht="22.5" customHeight="1">
      <c r="A1020" s="614">
        <v>45788.0</v>
      </c>
      <c r="B1020" s="675" t="s">
        <v>2218</v>
      </c>
      <c r="C1020" s="609"/>
      <c r="D1020" s="610">
        <v>136000.0</v>
      </c>
      <c r="E1020" s="606"/>
      <c r="F1020" s="627" t="s">
        <v>626</v>
      </c>
      <c r="G1020" s="597">
        <v>0.0</v>
      </c>
      <c r="H1020" s="598">
        <f t="shared" si="84"/>
        <v>0</v>
      </c>
      <c r="I1020" s="599"/>
      <c r="J1020" s="599"/>
      <c r="K1020" s="615" t="s">
        <v>286</v>
      </c>
      <c r="L1020" s="616" t="s">
        <v>454</v>
      </c>
      <c r="M1020" s="621"/>
      <c r="N1020" s="621"/>
      <c r="O1020" s="621"/>
      <c r="P1020" s="602">
        <f t="shared" si="85"/>
        <v>0</v>
      </c>
      <c r="Q1020" s="682" t="s">
        <v>836</v>
      </c>
      <c r="R1020" s="74"/>
      <c r="S1020" s="74"/>
      <c r="T1020" s="74"/>
      <c r="U1020" s="74"/>
      <c r="V1020" s="74"/>
      <c r="W1020" s="74"/>
      <c r="X1020" s="74"/>
      <c r="Y1020" s="74"/>
      <c r="Z1020" s="74"/>
      <c r="AA1020" s="74"/>
      <c r="AB1020" s="74"/>
      <c r="AC1020" s="74"/>
      <c r="AD1020" s="74"/>
      <c r="AE1020" s="74"/>
      <c r="AF1020" s="74"/>
      <c r="AG1020" s="74"/>
      <c r="AH1020" s="74"/>
      <c r="AI1020" s="74"/>
    </row>
    <row r="1021" ht="22.5" customHeight="1">
      <c r="A1021" s="614">
        <v>45788.0</v>
      </c>
      <c r="B1021" s="675" t="s">
        <v>2218</v>
      </c>
      <c r="C1021" s="609"/>
      <c r="D1021" s="609"/>
      <c r="E1021" s="604" t="s">
        <v>33</v>
      </c>
      <c r="F1021" s="627" t="s">
        <v>722</v>
      </c>
      <c r="G1021" s="597">
        <v>0.0</v>
      </c>
      <c r="H1021" s="598">
        <f t="shared" si="84"/>
        <v>0</v>
      </c>
      <c r="I1021" s="599"/>
      <c r="J1021" s="605">
        <v>140000.0</v>
      </c>
      <c r="K1021" s="615" t="s">
        <v>591</v>
      </c>
      <c r="L1021" s="616" t="s">
        <v>837</v>
      </c>
      <c r="M1021" s="621"/>
      <c r="N1021" s="621"/>
      <c r="O1021" s="621"/>
      <c r="P1021" s="602">
        <f t="shared" si="85"/>
        <v>0</v>
      </c>
      <c r="Q1021" s="622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  <c r="AH1021" s="74"/>
      <c r="AI1021" s="74"/>
    </row>
    <row r="1022" ht="22.5" customHeight="1">
      <c r="A1022" s="614">
        <v>45789.0</v>
      </c>
      <c r="B1022" s="675" t="s">
        <v>2218</v>
      </c>
      <c r="C1022" s="610">
        <v>578289.32</v>
      </c>
      <c r="D1022" s="609"/>
      <c r="E1022" s="606"/>
      <c r="F1022" s="627" t="s">
        <v>674</v>
      </c>
      <c r="G1022" s="597">
        <v>20.0</v>
      </c>
      <c r="H1022" s="598">
        <f t="shared" si="84"/>
        <v>96381.55333</v>
      </c>
      <c r="I1022" s="599"/>
      <c r="J1022" s="599"/>
      <c r="K1022" s="615" t="s">
        <v>51</v>
      </c>
      <c r="L1022" s="616" t="s">
        <v>557</v>
      </c>
      <c r="M1022" s="612" t="s">
        <v>754</v>
      </c>
      <c r="N1022" s="612">
        <v>141.0</v>
      </c>
      <c r="O1022" s="662">
        <v>45758.0</v>
      </c>
      <c r="P1022" s="602">
        <f t="shared" si="85"/>
        <v>31</v>
      </c>
      <c r="Q1022" s="622"/>
      <c r="R1022" s="74"/>
      <c r="S1022" s="74"/>
      <c r="T1022" s="74"/>
      <c r="U1022" s="74"/>
      <c r="V1022" s="74"/>
      <c r="W1022" s="74"/>
      <c r="X1022" s="74"/>
      <c r="Y1022" s="74"/>
      <c r="Z1022" s="74"/>
      <c r="AA1022" s="74"/>
      <c r="AB1022" s="74"/>
      <c r="AC1022" s="74"/>
      <c r="AD1022" s="74"/>
      <c r="AE1022" s="74"/>
      <c r="AF1022" s="74"/>
      <c r="AG1022" s="74"/>
      <c r="AH1022" s="74"/>
      <c r="AI1022" s="74"/>
    </row>
    <row r="1023" ht="22.5" customHeight="1">
      <c r="A1023" s="614">
        <v>45789.0</v>
      </c>
      <c r="B1023" s="675" t="s">
        <v>2218</v>
      </c>
      <c r="C1023" s="609"/>
      <c r="D1023" s="609"/>
      <c r="E1023" s="604" t="s">
        <v>33</v>
      </c>
      <c r="F1023" s="627" t="s">
        <v>722</v>
      </c>
      <c r="G1023" s="597">
        <v>0.0</v>
      </c>
      <c r="H1023" s="598">
        <f t="shared" si="84"/>
        <v>0</v>
      </c>
      <c r="I1023" s="599"/>
      <c r="J1023" s="605">
        <v>417900.0</v>
      </c>
      <c r="K1023" s="615" t="s">
        <v>68</v>
      </c>
      <c r="L1023" s="616" t="s">
        <v>838</v>
      </c>
      <c r="M1023" s="621"/>
      <c r="N1023" s="621"/>
      <c r="O1023" s="621"/>
      <c r="P1023" s="602">
        <f t="shared" si="85"/>
        <v>0</v>
      </c>
      <c r="Q1023" s="622"/>
      <c r="R1023" s="74"/>
      <c r="S1023" s="74"/>
      <c r="T1023" s="74"/>
      <c r="U1023" s="74"/>
      <c r="V1023" s="74"/>
      <c r="W1023" s="74"/>
      <c r="X1023" s="74"/>
      <c r="Y1023" s="74"/>
      <c r="Z1023" s="74"/>
      <c r="AA1023" s="74"/>
      <c r="AB1023" s="74"/>
      <c r="AC1023" s="74"/>
      <c r="AD1023" s="74"/>
      <c r="AE1023" s="74"/>
      <c r="AF1023" s="74"/>
      <c r="AG1023" s="74"/>
      <c r="AH1023" s="74"/>
      <c r="AI1023" s="74"/>
    </row>
    <row r="1024" ht="22.5" customHeight="1">
      <c r="A1024" s="614">
        <v>45790.0</v>
      </c>
      <c r="B1024" s="675" t="s">
        <v>2218</v>
      </c>
      <c r="C1024" s="610">
        <v>1424914.26</v>
      </c>
      <c r="D1024" s="609"/>
      <c r="E1024" s="606"/>
      <c r="F1024" s="627" t="s">
        <v>594</v>
      </c>
      <c r="G1024" s="597">
        <v>20.0</v>
      </c>
      <c r="H1024" s="598">
        <f t="shared" si="84"/>
        <v>237485.71</v>
      </c>
      <c r="I1024" s="599"/>
      <c r="J1024" s="599"/>
      <c r="K1024" s="615" t="s">
        <v>51</v>
      </c>
      <c r="L1024" s="616" t="s">
        <v>2229</v>
      </c>
      <c r="M1024" s="621"/>
      <c r="N1024" s="612">
        <v>59.0</v>
      </c>
      <c r="O1024" s="662">
        <v>45699.0</v>
      </c>
      <c r="P1024" s="602">
        <f t="shared" si="85"/>
        <v>91</v>
      </c>
      <c r="Q1024" s="622"/>
      <c r="R1024" s="74"/>
      <c r="S1024" s="74"/>
      <c r="T1024" s="74"/>
      <c r="U1024" s="74"/>
      <c r="V1024" s="74"/>
      <c r="W1024" s="74"/>
      <c r="X1024" s="74"/>
      <c r="Y1024" s="74"/>
      <c r="Z1024" s="74"/>
      <c r="AA1024" s="74"/>
      <c r="AB1024" s="74"/>
      <c r="AC1024" s="74"/>
      <c r="AD1024" s="74"/>
      <c r="AE1024" s="74"/>
      <c r="AF1024" s="74"/>
      <c r="AG1024" s="74"/>
      <c r="AH1024" s="74"/>
      <c r="AI1024" s="74"/>
    </row>
    <row r="1025" ht="22.5" customHeight="1">
      <c r="A1025" s="614">
        <v>45790.0</v>
      </c>
      <c r="B1025" s="675" t="s">
        <v>2218</v>
      </c>
      <c r="C1025" s="610">
        <v>1200000.48</v>
      </c>
      <c r="D1025" s="609"/>
      <c r="E1025" s="606"/>
      <c r="F1025" s="627" t="s">
        <v>594</v>
      </c>
      <c r="G1025" s="597">
        <v>20.0</v>
      </c>
      <c r="H1025" s="598">
        <f t="shared" si="84"/>
        <v>200000.08</v>
      </c>
      <c r="I1025" s="599"/>
      <c r="J1025" s="599"/>
      <c r="K1025" s="615" t="s">
        <v>51</v>
      </c>
      <c r="L1025" s="616" t="s">
        <v>2229</v>
      </c>
      <c r="M1025" s="621"/>
      <c r="N1025" s="612">
        <v>60.0</v>
      </c>
      <c r="O1025" s="662">
        <v>45699.0</v>
      </c>
      <c r="P1025" s="602">
        <f t="shared" si="85"/>
        <v>91</v>
      </c>
      <c r="Q1025" s="622"/>
      <c r="R1025" s="74"/>
      <c r="S1025" s="74"/>
      <c r="T1025" s="74"/>
      <c r="U1025" s="74"/>
      <c r="V1025" s="74"/>
      <c r="W1025" s="74"/>
      <c r="X1025" s="74"/>
      <c r="Y1025" s="74"/>
      <c r="Z1025" s="74"/>
      <c r="AA1025" s="74"/>
      <c r="AB1025" s="74"/>
      <c r="AC1025" s="74"/>
      <c r="AD1025" s="74"/>
      <c r="AE1025" s="74"/>
      <c r="AF1025" s="74"/>
      <c r="AG1025" s="74"/>
      <c r="AH1025" s="74"/>
      <c r="AI1025" s="74"/>
    </row>
    <row r="1026" ht="22.5" customHeight="1">
      <c r="A1026" s="614">
        <v>45790.0</v>
      </c>
      <c r="B1026" s="675" t="s">
        <v>2218</v>
      </c>
      <c r="C1026" s="609"/>
      <c r="D1026" s="610">
        <v>277050.0</v>
      </c>
      <c r="E1026" s="693"/>
      <c r="F1026" s="627" t="s">
        <v>839</v>
      </c>
      <c r="G1026" s="688">
        <v>0.0</v>
      </c>
      <c r="H1026" s="689">
        <f t="shared" si="84"/>
        <v>0</v>
      </c>
      <c r="I1026" s="599"/>
      <c r="J1026" s="605"/>
      <c r="K1026" s="615" t="s">
        <v>322</v>
      </c>
      <c r="L1026" s="694" t="s">
        <v>2248</v>
      </c>
      <c r="M1026" s="621"/>
      <c r="N1026" s="621"/>
      <c r="O1026" s="621"/>
      <c r="P1026" s="602">
        <f t="shared" si="85"/>
        <v>0</v>
      </c>
      <c r="Q1026" s="682" t="s">
        <v>840</v>
      </c>
      <c r="R1026" s="74"/>
      <c r="S1026" s="74"/>
      <c r="T1026" s="74"/>
      <c r="U1026" s="74"/>
      <c r="V1026" s="74"/>
      <c r="W1026" s="74"/>
      <c r="X1026" s="74"/>
      <c r="Y1026" s="74"/>
      <c r="Z1026" s="74"/>
      <c r="AA1026" s="74"/>
      <c r="AB1026" s="74"/>
      <c r="AC1026" s="74"/>
      <c r="AD1026" s="74"/>
      <c r="AE1026" s="74"/>
      <c r="AF1026" s="74"/>
      <c r="AG1026" s="74"/>
      <c r="AH1026" s="74"/>
      <c r="AI1026" s="74"/>
    </row>
    <row r="1027" ht="22.5" customHeight="1">
      <c r="A1027" s="614">
        <v>45790.0</v>
      </c>
      <c r="B1027" s="675" t="s">
        <v>2218</v>
      </c>
      <c r="C1027" s="609"/>
      <c r="D1027" s="610">
        <v>217000.0</v>
      </c>
      <c r="E1027" s="606"/>
      <c r="F1027" s="627" t="s">
        <v>800</v>
      </c>
      <c r="G1027" s="597">
        <v>0.0</v>
      </c>
      <c r="H1027" s="598">
        <f t="shared" si="84"/>
        <v>0</v>
      </c>
      <c r="I1027" s="599"/>
      <c r="J1027" s="599"/>
      <c r="K1027" s="615" t="s">
        <v>494</v>
      </c>
      <c r="L1027" s="616" t="s">
        <v>691</v>
      </c>
      <c r="M1027" s="621"/>
      <c r="N1027" s="621"/>
      <c r="O1027" s="621"/>
      <c r="P1027" s="602">
        <f t="shared" si="85"/>
        <v>0</v>
      </c>
      <c r="Q1027" s="622"/>
      <c r="R1027" s="74"/>
      <c r="S1027" s="74"/>
      <c r="T1027" s="74"/>
      <c r="U1027" s="74"/>
      <c r="V1027" s="74"/>
      <c r="W1027" s="74"/>
      <c r="X1027" s="74"/>
      <c r="Y1027" s="74"/>
      <c r="Z1027" s="74"/>
      <c r="AA1027" s="74"/>
      <c r="AB1027" s="74"/>
      <c r="AC1027" s="74"/>
      <c r="AD1027" s="74"/>
      <c r="AE1027" s="74"/>
      <c r="AF1027" s="74"/>
      <c r="AG1027" s="74"/>
      <c r="AH1027" s="74"/>
      <c r="AI1027" s="74"/>
    </row>
    <row r="1028" ht="22.5" customHeight="1">
      <c r="A1028" s="614">
        <v>45790.0</v>
      </c>
      <c r="B1028" s="675" t="s">
        <v>2218</v>
      </c>
      <c r="C1028" s="609"/>
      <c r="D1028" s="609"/>
      <c r="E1028" s="604" t="s">
        <v>33</v>
      </c>
      <c r="F1028" s="627" t="s">
        <v>800</v>
      </c>
      <c r="G1028" s="597">
        <v>0.0</v>
      </c>
      <c r="H1028" s="598">
        <f t="shared" si="84"/>
        <v>0</v>
      </c>
      <c r="I1028" s="599"/>
      <c r="J1028" s="605">
        <v>100000.0</v>
      </c>
      <c r="K1028" s="615" t="s">
        <v>1181</v>
      </c>
      <c r="L1028" s="616" t="s">
        <v>841</v>
      </c>
      <c r="M1028" s="621"/>
      <c r="N1028" s="621"/>
      <c r="O1028" s="621"/>
      <c r="P1028" s="602">
        <f t="shared" si="85"/>
        <v>0</v>
      </c>
      <c r="Q1028" s="622"/>
      <c r="R1028" s="74"/>
      <c r="S1028" s="74"/>
      <c r="T1028" s="74"/>
      <c r="U1028" s="74"/>
      <c r="V1028" s="74"/>
      <c r="W1028" s="74"/>
      <c r="X1028" s="74"/>
      <c r="Y1028" s="74"/>
      <c r="Z1028" s="74"/>
      <c r="AA1028" s="74"/>
      <c r="AB1028" s="74"/>
      <c r="AC1028" s="74"/>
      <c r="AD1028" s="74"/>
      <c r="AE1028" s="74"/>
      <c r="AF1028" s="74"/>
      <c r="AG1028" s="74"/>
      <c r="AH1028" s="74"/>
      <c r="AI1028" s="74"/>
    </row>
    <row r="1029" ht="22.5" customHeight="1">
      <c r="A1029" s="614">
        <v>45790.0</v>
      </c>
      <c r="B1029" s="675" t="s">
        <v>2218</v>
      </c>
      <c r="C1029" s="609"/>
      <c r="D1029" s="609"/>
      <c r="E1029" s="604" t="s">
        <v>33</v>
      </c>
      <c r="F1029" s="627" t="s">
        <v>722</v>
      </c>
      <c r="G1029" s="597">
        <v>0.0</v>
      </c>
      <c r="H1029" s="598">
        <f t="shared" si="84"/>
        <v>0</v>
      </c>
      <c r="I1029" s="599"/>
      <c r="J1029" s="605">
        <v>50000.0</v>
      </c>
      <c r="K1029" s="615" t="s">
        <v>68</v>
      </c>
      <c r="L1029" s="616" t="s">
        <v>842</v>
      </c>
      <c r="M1029" s="621"/>
      <c r="N1029" s="621"/>
      <c r="O1029" s="621"/>
      <c r="P1029" s="602">
        <f t="shared" si="85"/>
        <v>0</v>
      </c>
      <c r="Q1029" s="622"/>
      <c r="R1029" s="74"/>
      <c r="S1029" s="74"/>
      <c r="T1029" s="74"/>
      <c r="U1029" s="74"/>
      <c r="V1029" s="74"/>
      <c r="W1029" s="74"/>
      <c r="X1029" s="74"/>
      <c r="Y1029" s="74"/>
      <c r="Z1029" s="74"/>
      <c r="AA1029" s="74"/>
      <c r="AB1029" s="74"/>
      <c r="AC1029" s="74"/>
      <c r="AD1029" s="74"/>
      <c r="AE1029" s="74"/>
      <c r="AF1029" s="74"/>
      <c r="AG1029" s="74"/>
      <c r="AH1029" s="74"/>
      <c r="AI1029" s="74"/>
    </row>
    <row r="1030" ht="22.5" customHeight="1">
      <c r="A1030" s="614">
        <v>45790.0</v>
      </c>
      <c r="B1030" s="675" t="s">
        <v>2218</v>
      </c>
      <c r="C1030" s="609"/>
      <c r="D1030" s="609"/>
      <c r="E1030" s="604" t="s">
        <v>33</v>
      </c>
      <c r="F1030" s="627" t="s">
        <v>800</v>
      </c>
      <c r="G1030" s="597">
        <v>0.0</v>
      </c>
      <c r="H1030" s="598">
        <f t="shared" si="84"/>
        <v>0</v>
      </c>
      <c r="I1030" s="599"/>
      <c r="J1030" s="605">
        <v>132000.0</v>
      </c>
      <c r="K1030" s="615" t="s">
        <v>108</v>
      </c>
      <c r="L1030" s="616" t="s">
        <v>676</v>
      </c>
      <c r="M1030" s="621"/>
      <c r="N1030" s="621"/>
      <c r="O1030" s="621"/>
      <c r="P1030" s="602">
        <f t="shared" si="85"/>
        <v>0</v>
      </c>
      <c r="Q1030" s="622"/>
      <c r="R1030" s="74"/>
      <c r="S1030" s="74"/>
      <c r="T1030" s="74"/>
      <c r="U1030" s="74"/>
      <c r="V1030" s="74"/>
      <c r="W1030" s="74"/>
      <c r="X1030" s="74"/>
      <c r="Y1030" s="74"/>
      <c r="Z1030" s="74"/>
      <c r="AA1030" s="74"/>
      <c r="AB1030" s="74"/>
      <c r="AC1030" s="74"/>
      <c r="AD1030" s="74"/>
      <c r="AE1030" s="74"/>
      <c r="AF1030" s="74"/>
      <c r="AG1030" s="74"/>
      <c r="AH1030" s="74"/>
      <c r="AI1030" s="74"/>
    </row>
    <row r="1031" ht="22.5" customHeight="1">
      <c r="A1031" s="614">
        <v>45790.0</v>
      </c>
      <c r="B1031" s="675" t="s">
        <v>2218</v>
      </c>
      <c r="C1031" s="609"/>
      <c r="D1031" s="609"/>
      <c r="E1031" s="604" t="s">
        <v>33</v>
      </c>
      <c r="F1031" s="627" t="s">
        <v>800</v>
      </c>
      <c r="G1031" s="597">
        <v>0.0</v>
      </c>
      <c r="H1031" s="598">
        <f t="shared" si="84"/>
        <v>0</v>
      </c>
      <c r="I1031" s="599"/>
      <c r="J1031" s="605">
        <v>15000.0</v>
      </c>
      <c r="K1031" s="615" t="s">
        <v>108</v>
      </c>
      <c r="L1031" s="616" t="s">
        <v>843</v>
      </c>
      <c r="M1031" s="621"/>
      <c r="N1031" s="621"/>
      <c r="O1031" s="621"/>
      <c r="P1031" s="602">
        <f t="shared" si="85"/>
        <v>0</v>
      </c>
      <c r="Q1031" s="622"/>
      <c r="R1031" s="74"/>
      <c r="S1031" s="74"/>
      <c r="T1031" s="74"/>
      <c r="U1031" s="74"/>
      <c r="V1031" s="74"/>
      <c r="W1031" s="74"/>
      <c r="X1031" s="74"/>
      <c r="Y1031" s="74"/>
      <c r="Z1031" s="74"/>
      <c r="AA1031" s="74"/>
      <c r="AB1031" s="74"/>
      <c r="AC1031" s="74"/>
      <c r="AD1031" s="74"/>
      <c r="AE1031" s="74"/>
      <c r="AF1031" s="74"/>
      <c r="AG1031" s="74"/>
      <c r="AH1031" s="74"/>
      <c r="AI1031" s="74"/>
    </row>
    <row r="1032" ht="22.5" customHeight="1">
      <c r="A1032" s="614">
        <v>45792.0</v>
      </c>
      <c r="B1032" s="675" t="s">
        <v>2218</v>
      </c>
      <c r="C1032" s="610">
        <v>420000.0</v>
      </c>
      <c r="D1032" s="609"/>
      <c r="E1032" s="606"/>
      <c r="F1032" s="627" t="s">
        <v>674</v>
      </c>
      <c r="G1032" s="597">
        <v>20.0</v>
      </c>
      <c r="H1032" s="598">
        <f t="shared" si="84"/>
        <v>70000</v>
      </c>
      <c r="I1032" s="599"/>
      <c r="J1032" s="599"/>
      <c r="K1032" s="672" t="s">
        <v>51</v>
      </c>
      <c r="L1032" s="616" t="s">
        <v>605</v>
      </c>
      <c r="M1032" s="612" t="s">
        <v>844</v>
      </c>
      <c r="N1032" s="612">
        <v>103.0</v>
      </c>
      <c r="O1032" s="662">
        <v>45757.0</v>
      </c>
      <c r="P1032" s="602">
        <f t="shared" si="85"/>
        <v>35</v>
      </c>
      <c r="Q1032" s="622"/>
      <c r="R1032" s="74"/>
      <c r="S1032" s="74"/>
      <c r="T1032" s="74"/>
      <c r="U1032" s="74"/>
      <c r="V1032" s="74"/>
      <c r="W1032" s="74"/>
      <c r="X1032" s="74"/>
      <c r="Y1032" s="74"/>
      <c r="Z1032" s="74"/>
      <c r="AA1032" s="74"/>
      <c r="AB1032" s="74"/>
      <c r="AC1032" s="74"/>
      <c r="AD1032" s="74"/>
      <c r="AE1032" s="74"/>
      <c r="AF1032" s="74"/>
      <c r="AG1032" s="74"/>
      <c r="AH1032" s="74"/>
      <c r="AI1032" s="74"/>
    </row>
    <row r="1033" ht="22.5" customHeight="1">
      <c r="A1033" s="614">
        <v>45792.0</v>
      </c>
      <c r="B1033" s="675" t="s">
        <v>2218</v>
      </c>
      <c r="C1033" s="609"/>
      <c r="D1033" s="609"/>
      <c r="E1033" s="604" t="s">
        <v>33</v>
      </c>
      <c r="F1033" s="627" t="s">
        <v>800</v>
      </c>
      <c r="G1033" s="597">
        <v>0.0</v>
      </c>
      <c r="H1033" s="598">
        <f t="shared" si="84"/>
        <v>0</v>
      </c>
      <c r="I1033" s="599"/>
      <c r="J1033" s="605">
        <v>15000.0</v>
      </c>
      <c r="K1033" s="695" t="s">
        <v>108</v>
      </c>
      <c r="L1033" s="616" t="s">
        <v>845</v>
      </c>
      <c r="M1033" s="621"/>
      <c r="N1033" s="621"/>
      <c r="O1033" s="621"/>
      <c r="P1033" s="602">
        <f t="shared" si="85"/>
        <v>0</v>
      </c>
      <c r="Q1033" s="622"/>
      <c r="R1033" s="74"/>
      <c r="S1033" s="74"/>
      <c r="T1033" s="74"/>
      <c r="U1033" s="74"/>
      <c r="V1033" s="74"/>
      <c r="W1033" s="74"/>
      <c r="X1033" s="74"/>
      <c r="Y1033" s="74"/>
      <c r="Z1033" s="74"/>
      <c r="AA1033" s="74"/>
      <c r="AB1033" s="74"/>
      <c r="AC1033" s="74"/>
      <c r="AD1033" s="74"/>
      <c r="AE1033" s="74"/>
      <c r="AF1033" s="74"/>
      <c r="AG1033" s="74"/>
      <c r="AH1033" s="74"/>
      <c r="AI1033" s="74"/>
    </row>
    <row r="1034" ht="22.5" customHeight="1">
      <c r="A1034" s="614">
        <v>45792.0</v>
      </c>
      <c r="B1034" s="675" t="s">
        <v>2218</v>
      </c>
      <c r="C1034" s="609"/>
      <c r="D1034" s="610">
        <v>550000.0</v>
      </c>
      <c r="E1034" s="606"/>
      <c r="F1034" s="627" t="s">
        <v>722</v>
      </c>
      <c r="G1034" s="597">
        <v>0.0</v>
      </c>
      <c r="H1034" s="598">
        <f t="shared" si="84"/>
        <v>0</v>
      </c>
      <c r="I1034" s="599"/>
      <c r="J1034" s="599"/>
      <c r="K1034" s="615" t="s">
        <v>2230</v>
      </c>
      <c r="L1034" s="616" t="s">
        <v>505</v>
      </c>
      <c r="M1034" s="621"/>
      <c r="N1034" s="621"/>
      <c r="O1034" s="621"/>
      <c r="P1034" s="602">
        <f t="shared" si="85"/>
        <v>0</v>
      </c>
      <c r="Q1034" s="682" t="s">
        <v>846</v>
      </c>
      <c r="R1034" s="74"/>
      <c r="S1034" s="74"/>
      <c r="T1034" s="74"/>
      <c r="U1034" s="74"/>
      <c r="V1034" s="74"/>
      <c r="W1034" s="74"/>
      <c r="X1034" s="74"/>
      <c r="Y1034" s="74"/>
      <c r="Z1034" s="74"/>
      <c r="AA1034" s="74"/>
      <c r="AB1034" s="74"/>
      <c r="AC1034" s="74"/>
      <c r="AD1034" s="74"/>
      <c r="AE1034" s="74"/>
      <c r="AF1034" s="74"/>
      <c r="AG1034" s="74"/>
      <c r="AH1034" s="74"/>
      <c r="AI1034" s="74"/>
    </row>
    <row r="1035" ht="22.5" customHeight="1">
      <c r="A1035" s="614">
        <v>45796.0</v>
      </c>
      <c r="B1035" s="675" t="s">
        <v>2218</v>
      </c>
      <c r="C1035" s="610">
        <v>600000.24</v>
      </c>
      <c r="D1035" s="610"/>
      <c r="E1035" s="606"/>
      <c r="F1035" s="627" t="s">
        <v>626</v>
      </c>
      <c r="G1035" s="597">
        <v>20.0</v>
      </c>
      <c r="H1035" s="598">
        <f t="shared" si="84"/>
        <v>100000.04</v>
      </c>
      <c r="I1035" s="599"/>
      <c r="J1035" s="599"/>
      <c r="K1035" s="673" t="s">
        <v>51</v>
      </c>
      <c r="L1035" s="616" t="s">
        <v>440</v>
      </c>
      <c r="M1035" s="612" t="s">
        <v>829</v>
      </c>
      <c r="N1035" s="612">
        <v>75.0</v>
      </c>
      <c r="O1035" s="662">
        <v>45726.0</v>
      </c>
      <c r="P1035" s="602">
        <f t="shared" si="85"/>
        <v>70</v>
      </c>
      <c r="Q1035" s="622"/>
      <c r="R1035" s="74"/>
      <c r="S1035" s="74"/>
      <c r="T1035" s="74"/>
      <c r="U1035" s="74"/>
      <c r="V1035" s="74"/>
      <c r="W1035" s="74"/>
      <c r="X1035" s="74"/>
      <c r="Y1035" s="74"/>
      <c r="Z1035" s="74"/>
      <c r="AA1035" s="74"/>
      <c r="AB1035" s="74"/>
      <c r="AC1035" s="74"/>
      <c r="AD1035" s="74"/>
      <c r="AE1035" s="74"/>
      <c r="AF1035" s="74"/>
      <c r="AG1035" s="74"/>
      <c r="AH1035" s="74"/>
      <c r="AI1035" s="74"/>
    </row>
    <row r="1036" ht="22.5" customHeight="1">
      <c r="A1036" s="614">
        <v>45796.0</v>
      </c>
      <c r="B1036" s="675" t="s">
        <v>2218</v>
      </c>
      <c r="C1036" s="610">
        <v>600000.24</v>
      </c>
      <c r="D1036" s="610"/>
      <c r="E1036" s="606"/>
      <c r="F1036" s="627" t="s">
        <v>626</v>
      </c>
      <c r="G1036" s="597">
        <v>20.0</v>
      </c>
      <c r="H1036" s="598">
        <f t="shared" si="84"/>
        <v>100000.04</v>
      </c>
      <c r="I1036" s="599"/>
      <c r="J1036" s="599"/>
      <c r="K1036" s="674" t="s">
        <v>51</v>
      </c>
      <c r="L1036" s="616" t="s">
        <v>440</v>
      </c>
      <c r="M1036" s="612" t="s">
        <v>830</v>
      </c>
      <c r="N1036" s="612">
        <v>76.0</v>
      </c>
      <c r="O1036" s="662">
        <v>45727.0</v>
      </c>
      <c r="P1036" s="602">
        <f t="shared" si="85"/>
        <v>69</v>
      </c>
      <c r="Q1036" s="622"/>
      <c r="R1036" s="74"/>
      <c r="S1036" s="74"/>
      <c r="T1036" s="74"/>
      <c r="U1036" s="74"/>
      <c r="V1036" s="74"/>
      <c r="W1036" s="74"/>
      <c r="X1036" s="74"/>
      <c r="Y1036" s="74"/>
      <c r="Z1036" s="74"/>
      <c r="AA1036" s="74"/>
      <c r="AB1036" s="74"/>
      <c r="AC1036" s="74"/>
      <c r="AD1036" s="74"/>
      <c r="AE1036" s="74"/>
      <c r="AF1036" s="74"/>
      <c r="AG1036" s="74"/>
      <c r="AH1036" s="74"/>
      <c r="AI1036" s="74"/>
    </row>
    <row r="1037" ht="22.5" customHeight="1">
      <c r="A1037" s="614">
        <v>45796.0</v>
      </c>
      <c r="B1037" s="675" t="s">
        <v>2218</v>
      </c>
      <c r="C1037" s="610">
        <v>600000.24</v>
      </c>
      <c r="D1037" s="610"/>
      <c r="E1037" s="606"/>
      <c r="F1037" s="627" t="s">
        <v>626</v>
      </c>
      <c r="G1037" s="597">
        <v>20.0</v>
      </c>
      <c r="H1037" s="598">
        <f t="shared" si="84"/>
        <v>100000.04</v>
      </c>
      <c r="I1037" s="599"/>
      <c r="J1037" s="599"/>
      <c r="K1037" s="615" t="s">
        <v>51</v>
      </c>
      <c r="L1037" s="616" t="s">
        <v>440</v>
      </c>
      <c r="M1037" s="612" t="s">
        <v>805</v>
      </c>
      <c r="N1037" s="612">
        <v>77.0</v>
      </c>
      <c r="O1037" s="662">
        <v>45727.0</v>
      </c>
      <c r="P1037" s="602">
        <f t="shared" si="85"/>
        <v>69</v>
      </c>
      <c r="Q1037" s="622"/>
      <c r="R1037" s="74"/>
      <c r="S1037" s="74"/>
      <c r="T1037" s="74"/>
      <c r="U1037" s="74"/>
      <c r="V1037" s="74"/>
      <c r="W1037" s="74"/>
      <c r="X1037" s="74"/>
      <c r="Y1037" s="74"/>
      <c r="Z1037" s="74"/>
      <c r="AA1037" s="74"/>
      <c r="AB1037" s="74"/>
      <c r="AC1037" s="74"/>
      <c r="AD1037" s="74"/>
      <c r="AE1037" s="74"/>
      <c r="AF1037" s="74"/>
      <c r="AG1037" s="74"/>
      <c r="AH1037" s="74"/>
      <c r="AI1037" s="74"/>
    </row>
    <row r="1038" ht="22.5" customHeight="1">
      <c r="A1038" s="614">
        <v>45796.0</v>
      </c>
      <c r="B1038" s="675" t="s">
        <v>2218</v>
      </c>
      <c r="C1038" s="609"/>
      <c r="D1038" s="609"/>
      <c r="E1038" s="604" t="s">
        <v>33</v>
      </c>
      <c r="F1038" s="627" t="s">
        <v>800</v>
      </c>
      <c r="G1038" s="597">
        <v>0.0</v>
      </c>
      <c r="H1038" s="598">
        <f t="shared" si="84"/>
        <v>0</v>
      </c>
      <c r="I1038" s="599"/>
      <c r="J1038" s="605">
        <v>12000.0</v>
      </c>
      <c r="K1038" s="615" t="s">
        <v>2240</v>
      </c>
      <c r="L1038" s="616" t="s">
        <v>847</v>
      </c>
      <c r="M1038" s="621"/>
      <c r="N1038" s="621"/>
      <c r="O1038" s="621"/>
      <c r="P1038" s="602">
        <f t="shared" si="85"/>
        <v>0</v>
      </c>
      <c r="Q1038" s="622"/>
      <c r="R1038" s="74"/>
      <c r="S1038" s="74"/>
      <c r="T1038" s="74"/>
      <c r="U1038" s="74"/>
      <c r="V1038" s="74"/>
      <c r="W1038" s="74"/>
      <c r="X1038" s="74"/>
      <c r="Y1038" s="74"/>
      <c r="Z1038" s="74"/>
      <c r="AA1038" s="74"/>
      <c r="AB1038" s="74"/>
      <c r="AC1038" s="74"/>
      <c r="AD1038" s="74"/>
      <c r="AE1038" s="74"/>
      <c r="AF1038" s="74"/>
      <c r="AG1038" s="74"/>
      <c r="AH1038" s="74"/>
      <c r="AI1038" s="74"/>
    </row>
    <row r="1039" ht="22.5" customHeight="1">
      <c r="A1039" s="614">
        <v>45796.0</v>
      </c>
      <c r="B1039" s="675" t="s">
        <v>2218</v>
      </c>
      <c r="C1039" s="609"/>
      <c r="D1039" s="609"/>
      <c r="E1039" s="604" t="s">
        <v>33</v>
      </c>
      <c r="F1039" s="627" t="s">
        <v>800</v>
      </c>
      <c r="G1039" s="597">
        <v>0.0</v>
      </c>
      <c r="H1039" s="598">
        <f t="shared" si="84"/>
        <v>0</v>
      </c>
      <c r="I1039" s="599"/>
      <c r="J1039" s="605">
        <v>5000.0</v>
      </c>
      <c r="K1039" s="615" t="s">
        <v>494</v>
      </c>
      <c r="L1039" s="616" t="s">
        <v>848</v>
      </c>
      <c r="M1039" s="621"/>
      <c r="N1039" s="621"/>
      <c r="O1039" s="621"/>
      <c r="P1039" s="602">
        <f t="shared" si="85"/>
        <v>0</v>
      </c>
      <c r="Q1039" s="622"/>
      <c r="R1039" s="74"/>
      <c r="S1039" s="74"/>
      <c r="T1039" s="74"/>
      <c r="U1039" s="74"/>
      <c r="V1039" s="74"/>
      <c r="W1039" s="74"/>
      <c r="X1039" s="74"/>
      <c r="Y1039" s="74"/>
      <c r="Z1039" s="74"/>
      <c r="AA1039" s="74"/>
      <c r="AB1039" s="74"/>
      <c r="AC1039" s="74"/>
      <c r="AD1039" s="74"/>
      <c r="AE1039" s="74"/>
      <c r="AF1039" s="74"/>
      <c r="AG1039" s="74"/>
      <c r="AH1039" s="74"/>
      <c r="AI1039" s="74"/>
    </row>
    <row r="1040" ht="22.5" customHeight="1">
      <c r="A1040" s="614">
        <v>45797.0</v>
      </c>
      <c r="B1040" s="675" t="s">
        <v>2218</v>
      </c>
      <c r="C1040" s="610">
        <v>900000.36</v>
      </c>
      <c r="D1040" s="610"/>
      <c r="E1040" s="606"/>
      <c r="F1040" s="627" t="s">
        <v>626</v>
      </c>
      <c r="G1040" s="597">
        <v>20.0</v>
      </c>
      <c r="H1040" s="598">
        <f t="shared" si="84"/>
        <v>150000.06</v>
      </c>
      <c r="I1040" s="599"/>
      <c r="J1040" s="599"/>
      <c r="K1040" s="673" t="s">
        <v>51</v>
      </c>
      <c r="L1040" s="616" t="s">
        <v>474</v>
      </c>
      <c r="M1040" s="612" t="s">
        <v>830</v>
      </c>
      <c r="N1040" s="612">
        <v>78.0</v>
      </c>
      <c r="O1040" s="662">
        <v>45727.0</v>
      </c>
      <c r="P1040" s="602">
        <f t="shared" si="85"/>
        <v>70</v>
      </c>
      <c r="Q1040" s="622"/>
      <c r="R1040" s="74"/>
      <c r="S1040" s="74"/>
      <c r="T1040" s="74"/>
      <c r="U1040" s="74"/>
      <c r="V1040" s="74"/>
      <c r="W1040" s="74"/>
      <c r="X1040" s="74"/>
      <c r="Y1040" s="74"/>
      <c r="Z1040" s="74"/>
      <c r="AA1040" s="74"/>
      <c r="AB1040" s="74"/>
      <c r="AC1040" s="74"/>
      <c r="AD1040" s="74"/>
      <c r="AE1040" s="74"/>
      <c r="AF1040" s="74"/>
      <c r="AG1040" s="74"/>
      <c r="AH1040" s="74"/>
      <c r="AI1040" s="74"/>
    </row>
    <row r="1041" ht="22.5" customHeight="1">
      <c r="A1041" s="614">
        <v>45797.0</v>
      </c>
      <c r="B1041" s="675" t="s">
        <v>2218</v>
      </c>
      <c r="C1041" s="610">
        <v>1766665.74</v>
      </c>
      <c r="D1041" s="610"/>
      <c r="E1041" s="652"/>
      <c r="F1041" s="627" t="s">
        <v>626</v>
      </c>
      <c r="G1041" s="597">
        <v>20.0</v>
      </c>
      <c r="H1041" s="598">
        <f t="shared" si="84"/>
        <v>294444.29</v>
      </c>
      <c r="I1041" s="599"/>
      <c r="J1041" s="599"/>
      <c r="K1041" s="674" t="s">
        <v>51</v>
      </c>
      <c r="L1041" s="616" t="s">
        <v>474</v>
      </c>
      <c r="M1041" s="612" t="s">
        <v>829</v>
      </c>
      <c r="N1041" s="612">
        <v>93.0</v>
      </c>
      <c r="O1041" s="662">
        <v>45728.0</v>
      </c>
      <c r="P1041" s="602">
        <f t="shared" si="85"/>
        <v>69</v>
      </c>
      <c r="Q1041" s="622"/>
      <c r="R1041" s="74"/>
      <c r="S1041" s="74"/>
      <c r="T1041" s="74"/>
      <c r="U1041" s="74"/>
      <c r="V1041" s="74"/>
      <c r="W1041" s="74"/>
      <c r="X1041" s="74"/>
      <c r="Y1041" s="74"/>
      <c r="Z1041" s="74"/>
      <c r="AA1041" s="74"/>
      <c r="AB1041" s="74"/>
      <c r="AC1041" s="74"/>
      <c r="AD1041" s="74"/>
      <c r="AE1041" s="74"/>
      <c r="AF1041" s="74"/>
      <c r="AG1041" s="74"/>
      <c r="AH1041" s="74"/>
      <c r="AI1041" s="74"/>
    </row>
    <row r="1042" ht="22.5" customHeight="1">
      <c r="A1042" s="614">
        <v>45797.0</v>
      </c>
      <c r="B1042" s="626" t="s">
        <v>2218</v>
      </c>
      <c r="C1042" s="610">
        <v>600600.0</v>
      </c>
      <c r="D1042" s="610"/>
      <c r="E1042" s="606"/>
      <c r="F1042" s="627" t="s">
        <v>626</v>
      </c>
      <c r="G1042" s="597">
        <v>20.0</v>
      </c>
      <c r="H1042" s="598">
        <f t="shared" si="84"/>
        <v>100100</v>
      </c>
      <c r="I1042" s="599"/>
      <c r="J1042" s="599"/>
      <c r="K1042" s="615" t="s">
        <v>51</v>
      </c>
      <c r="L1042" s="616" t="s">
        <v>849</v>
      </c>
      <c r="M1042" s="612" t="s">
        <v>830</v>
      </c>
      <c r="N1042" s="612">
        <v>80.0</v>
      </c>
      <c r="O1042" s="662">
        <v>45727.0</v>
      </c>
      <c r="P1042" s="602">
        <f t="shared" si="85"/>
        <v>70</v>
      </c>
      <c r="Q1042" s="622"/>
      <c r="R1042" s="74"/>
      <c r="S1042" s="74"/>
      <c r="T1042" s="74"/>
      <c r="U1042" s="74"/>
      <c r="V1042" s="74"/>
      <c r="W1042" s="74"/>
      <c r="X1042" s="74"/>
      <c r="Y1042" s="74"/>
      <c r="Z1042" s="74"/>
      <c r="AA1042" s="74"/>
      <c r="AB1042" s="74"/>
      <c r="AC1042" s="74"/>
      <c r="AD1042" s="74"/>
      <c r="AE1042" s="74"/>
      <c r="AF1042" s="74"/>
      <c r="AG1042" s="74"/>
      <c r="AH1042" s="74"/>
      <c r="AI1042" s="74"/>
    </row>
    <row r="1043" ht="22.5" customHeight="1">
      <c r="A1043" s="614">
        <v>45797.0</v>
      </c>
      <c r="B1043" s="626" t="s">
        <v>2218</v>
      </c>
      <c r="C1043" s="610">
        <v>600600.0</v>
      </c>
      <c r="D1043" s="610"/>
      <c r="E1043" s="606"/>
      <c r="F1043" s="627" t="s">
        <v>626</v>
      </c>
      <c r="G1043" s="597">
        <v>20.0</v>
      </c>
      <c r="H1043" s="598">
        <f t="shared" si="84"/>
        <v>100100</v>
      </c>
      <c r="I1043" s="599"/>
      <c r="J1043" s="599"/>
      <c r="K1043" s="615" t="s">
        <v>51</v>
      </c>
      <c r="L1043" s="616" t="s">
        <v>849</v>
      </c>
      <c r="M1043" s="612" t="s">
        <v>755</v>
      </c>
      <c r="N1043" s="612">
        <v>81.0</v>
      </c>
      <c r="O1043" s="662">
        <v>45727.0</v>
      </c>
      <c r="P1043" s="602">
        <f t="shared" si="85"/>
        <v>70</v>
      </c>
      <c r="Q1043" s="622"/>
      <c r="R1043" s="74"/>
      <c r="S1043" s="74"/>
      <c r="T1043" s="74"/>
      <c r="U1043" s="74"/>
      <c r="V1043" s="74"/>
      <c r="W1043" s="74"/>
      <c r="X1043" s="74"/>
      <c r="Y1043" s="74"/>
      <c r="Z1043" s="74"/>
      <c r="AA1043" s="74"/>
      <c r="AB1043" s="74"/>
      <c r="AC1043" s="74"/>
      <c r="AD1043" s="74"/>
      <c r="AE1043" s="74"/>
      <c r="AF1043" s="74"/>
      <c r="AG1043" s="74"/>
      <c r="AH1043" s="74"/>
      <c r="AI1043" s="74"/>
    </row>
    <row r="1044" ht="22.5" customHeight="1">
      <c r="A1044" s="614">
        <v>45797.0</v>
      </c>
      <c r="B1044" s="626" t="s">
        <v>2218</v>
      </c>
      <c r="C1044" s="610">
        <v>807240.0</v>
      </c>
      <c r="D1044" s="610"/>
      <c r="E1044" s="606"/>
      <c r="F1044" s="627" t="s">
        <v>626</v>
      </c>
      <c r="G1044" s="597">
        <v>20.0</v>
      </c>
      <c r="H1044" s="598">
        <f t="shared" si="84"/>
        <v>134540</v>
      </c>
      <c r="I1044" s="599"/>
      <c r="J1044" s="599"/>
      <c r="K1044" s="615" t="s">
        <v>51</v>
      </c>
      <c r="L1044" s="616" t="s">
        <v>849</v>
      </c>
      <c r="M1044" s="612" t="s">
        <v>850</v>
      </c>
      <c r="N1044" s="612">
        <v>82.0</v>
      </c>
      <c r="O1044" s="662">
        <v>45727.0</v>
      </c>
      <c r="P1044" s="602">
        <f t="shared" si="85"/>
        <v>70</v>
      </c>
      <c r="Q1044" s="622"/>
      <c r="R1044" s="74"/>
      <c r="S1044" s="74"/>
      <c r="T1044" s="74"/>
      <c r="U1044" s="74"/>
      <c r="V1044" s="74"/>
      <c r="W1044" s="74"/>
      <c r="X1044" s="74"/>
      <c r="Y1044" s="74"/>
      <c r="Z1044" s="74"/>
      <c r="AA1044" s="74"/>
      <c r="AB1044" s="74"/>
      <c r="AC1044" s="74"/>
      <c r="AD1044" s="74"/>
      <c r="AE1044" s="74"/>
      <c r="AF1044" s="74"/>
      <c r="AG1044" s="74"/>
      <c r="AH1044" s="74"/>
      <c r="AI1044" s="74"/>
    </row>
    <row r="1045" ht="22.5" customHeight="1">
      <c r="A1045" s="614">
        <v>45797.0</v>
      </c>
      <c r="B1045" s="626" t="s">
        <v>2218</v>
      </c>
      <c r="C1045" s="610">
        <v>714000.0</v>
      </c>
      <c r="D1045" s="610"/>
      <c r="E1045" s="606"/>
      <c r="F1045" s="627" t="s">
        <v>626</v>
      </c>
      <c r="G1045" s="597">
        <v>20.0</v>
      </c>
      <c r="H1045" s="598">
        <f t="shared" si="84"/>
        <v>119000</v>
      </c>
      <c r="I1045" s="599"/>
      <c r="J1045" s="599"/>
      <c r="K1045" s="615" t="s">
        <v>51</v>
      </c>
      <c r="L1045" s="616" t="s">
        <v>849</v>
      </c>
      <c r="M1045" s="612" t="s">
        <v>851</v>
      </c>
      <c r="N1045" s="612">
        <v>83.0</v>
      </c>
      <c r="O1045" s="662">
        <v>45727.0</v>
      </c>
      <c r="P1045" s="602">
        <f t="shared" si="85"/>
        <v>70</v>
      </c>
      <c r="Q1045" s="622"/>
      <c r="R1045" s="74"/>
      <c r="S1045" s="74"/>
      <c r="T1045" s="74"/>
      <c r="U1045" s="74"/>
      <c r="V1045" s="74"/>
      <c r="W1045" s="74"/>
      <c r="X1045" s="74"/>
      <c r="Y1045" s="74"/>
      <c r="Z1045" s="74"/>
      <c r="AA1045" s="74"/>
      <c r="AB1045" s="74"/>
      <c r="AC1045" s="74"/>
      <c r="AD1045" s="74"/>
      <c r="AE1045" s="74"/>
      <c r="AF1045" s="74"/>
      <c r="AG1045" s="74"/>
      <c r="AH1045" s="74"/>
      <c r="AI1045" s="74"/>
    </row>
    <row r="1046" ht="22.5" customHeight="1">
      <c r="A1046" s="614">
        <v>45797.0</v>
      </c>
      <c r="B1046" s="626" t="s">
        <v>2218</v>
      </c>
      <c r="C1046" s="610">
        <v>630000.0</v>
      </c>
      <c r="D1046" s="610"/>
      <c r="E1046" s="606"/>
      <c r="F1046" s="627" t="s">
        <v>626</v>
      </c>
      <c r="G1046" s="597">
        <v>20.0</v>
      </c>
      <c r="H1046" s="598">
        <f t="shared" si="84"/>
        <v>105000</v>
      </c>
      <c r="I1046" s="599"/>
      <c r="J1046" s="599"/>
      <c r="K1046" s="615" t="s">
        <v>51</v>
      </c>
      <c r="L1046" s="616" t="s">
        <v>849</v>
      </c>
      <c r="M1046" s="612" t="s">
        <v>852</v>
      </c>
      <c r="N1046" s="612">
        <v>84.0</v>
      </c>
      <c r="O1046" s="662">
        <v>45727.0</v>
      </c>
      <c r="P1046" s="602">
        <f t="shared" si="85"/>
        <v>70</v>
      </c>
      <c r="Q1046" s="622"/>
      <c r="R1046" s="74"/>
      <c r="S1046" s="74"/>
      <c r="T1046" s="74"/>
      <c r="U1046" s="74"/>
      <c r="V1046" s="74"/>
      <c r="W1046" s="74"/>
      <c r="X1046" s="74"/>
      <c r="Y1046" s="74"/>
      <c r="Z1046" s="74"/>
      <c r="AA1046" s="74"/>
      <c r="AB1046" s="74"/>
      <c r="AC1046" s="74"/>
      <c r="AD1046" s="74"/>
      <c r="AE1046" s="74"/>
      <c r="AF1046" s="74"/>
      <c r="AG1046" s="74"/>
      <c r="AH1046" s="74"/>
      <c r="AI1046" s="74"/>
    </row>
    <row r="1047" ht="22.5" customHeight="1">
      <c r="A1047" s="614">
        <v>45797.0</v>
      </c>
      <c r="B1047" s="626" t="s">
        <v>2218</v>
      </c>
      <c r="C1047" s="610">
        <v>441000.0</v>
      </c>
      <c r="D1047" s="610"/>
      <c r="E1047" s="606"/>
      <c r="F1047" s="627" t="s">
        <v>626</v>
      </c>
      <c r="G1047" s="597">
        <v>20.0</v>
      </c>
      <c r="H1047" s="598">
        <f t="shared" si="84"/>
        <v>73500</v>
      </c>
      <c r="I1047" s="599"/>
      <c r="J1047" s="599"/>
      <c r="K1047" s="615" t="s">
        <v>51</v>
      </c>
      <c r="L1047" s="616" t="s">
        <v>849</v>
      </c>
      <c r="M1047" s="612" t="s">
        <v>756</v>
      </c>
      <c r="N1047" s="612">
        <v>85.0</v>
      </c>
      <c r="O1047" s="662">
        <v>45727.0</v>
      </c>
      <c r="P1047" s="602">
        <f t="shared" si="85"/>
        <v>70</v>
      </c>
      <c r="Q1047" s="622"/>
      <c r="R1047" s="74"/>
      <c r="S1047" s="74"/>
      <c r="T1047" s="74"/>
      <c r="U1047" s="74"/>
      <c r="V1047" s="74"/>
      <c r="W1047" s="74"/>
      <c r="X1047" s="74"/>
      <c r="Y1047" s="74"/>
      <c r="Z1047" s="74"/>
      <c r="AA1047" s="74"/>
      <c r="AB1047" s="74"/>
      <c r="AC1047" s="74"/>
      <c r="AD1047" s="74"/>
      <c r="AE1047" s="74"/>
      <c r="AF1047" s="74"/>
      <c r="AG1047" s="74"/>
      <c r="AH1047" s="74"/>
      <c r="AI1047" s="74"/>
    </row>
    <row r="1048" ht="22.5" customHeight="1">
      <c r="A1048" s="614">
        <v>45797.0</v>
      </c>
      <c r="B1048" s="626" t="s">
        <v>2218</v>
      </c>
      <c r="C1048" s="610">
        <v>630000.0</v>
      </c>
      <c r="D1048" s="610"/>
      <c r="E1048" s="652"/>
      <c r="F1048" s="627" t="s">
        <v>626</v>
      </c>
      <c r="G1048" s="597">
        <v>20.0</v>
      </c>
      <c r="H1048" s="598">
        <f t="shared" si="84"/>
        <v>105000</v>
      </c>
      <c r="I1048" s="599"/>
      <c r="J1048" s="599"/>
      <c r="K1048" s="615" t="s">
        <v>51</v>
      </c>
      <c r="L1048" s="616" t="s">
        <v>849</v>
      </c>
      <c r="M1048" s="612" t="s">
        <v>853</v>
      </c>
      <c r="N1048" s="612">
        <v>86.0</v>
      </c>
      <c r="O1048" s="662">
        <v>45727.0</v>
      </c>
      <c r="P1048" s="602">
        <f t="shared" si="85"/>
        <v>70</v>
      </c>
      <c r="Q1048" s="622"/>
      <c r="R1048" s="74"/>
      <c r="S1048" s="74"/>
      <c r="T1048" s="74"/>
      <c r="U1048" s="74"/>
      <c r="V1048" s="74"/>
      <c r="W1048" s="74"/>
      <c r="X1048" s="74"/>
      <c r="Y1048" s="74"/>
      <c r="Z1048" s="74"/>
      <c r="AA1048" s="74"/>
      <c r="AB1048" s="74"/>
      <c r="AC1048" s="74"/>
      <c r="AD1048" s="74"/>
      <c r="AE1048" s="74"/>
      <c r="AF1048" s="74"/>
      <c r="AG1048" s="74"/>
      <c r="AH1048" s="74"/>
      <c r="AI1048" s="74"/>
    </row>
    <row r="1049" ht="22.5" customHeight="1">
      <c r="A1049" s="614">
        <v>45797.0</v>
      </c>
      <c r="B1049" s="626" t="s">
        <v>2218</v>
      </c>
      <c r="C1049" s="610">
        <v>624180.0</v>
      </c>
      <c r="D1049" s="610"/>
      <c r="E1049" s="652"/>
      <c r="F1049" s="627" t="s">
        <v>626</v>
      </c>
      <c r="G1049" s="597">
        <v>20.0</v>
      </c>
      <c r="H1049" s="598">
        <f t="shared" si="84"/>
        <v>104030</v>
      </c>
      <c r="I1049" s="599"/>
      <c r="J1049" s="599"/>
      <c r="K1049" s="615" t="s">
        <v>51</v>
      </c>
      <c r="L1049" s="616" t="s">
        <v>849</v>
      </c>
      <c r="M1049" s="612" t="s">
        <v>854</v>
      </c>
      <c r="N1049" s="612">
        <v>96.0</v>
      </c>
      <c r="O1049" s="662">
        <v>45735.0</v>
      </c>
      <c r="P1049" s="602">
        <f t="shared" si="85"/>
        <v>62</v>
      </c>
      <c r="Q1049" s="622"/>
      <c r="R1049" s="74"/>
      <c r="S1049" s="74"/>
      <c r="T1049" s="74"/>
      <c r="U1049" s="74"/>
      <c r="V1049" s="74"/>
      <c r="W1049" s="74"/>
      <c r="X1049" s="74"/>
      <c r="Y1049" s="74"/>
      <c r="Z1049" s="74"/>
      <c r="AA1049" s="74"/>
      <c r="AB1049" s="74"/>
      <c r="AC1049" s="74"/>
      <c r="AD1049" s="74"/>
      <c r="AE1049" s="74"/>
      <c r="AF1049" s="74"/>
      <c r="AG1049" s="74"/>
      <c r="AH1049" s="74"/>
      <c r="AI1049" s="74"/>
    </row>
    <row r="1050" ht="22.5" customHeight="1">
      <c r="A1050" s="614">
        <v>45797.0</v>
      </c>
      <c r="B1050" s="626" t="s">
        <v>2218</v>
      </c>
      <c r="C1050" s="610">
        <v>624180.0</v>
      </c>
      <c r="D1050" s="610"/>
      <c r="E1050" s="652"/>
      <c r="F1050" s="627" t="s">
        <v>626</v>
      </c>
      <c r="G1050" s="597">
        <v>20.0</v>
      </c>
      <c r="H1050" s="598">
        <f t="shared" si="84"/>
        <v>104030</v>
      </c>
      <c r="I1050" s="599"/>
      <c r="J1050" s="599"/>
      <c r="K1050" s="672" t="s">
        <v>51</v>
      </c>
      <c r="L1050" s="616" t="s">
        <v>849</v>
      </c>
      <c r="M1050" s="612" t="s">
        <v>855</v>
      </c>
      <c r="N1050" s="612">
        <v>97.0</v>
      </c>
      <c r="O1050" s="662">
        <v>45735.0</v>
      </c>
      <c r="P1050" s="602">
        <f t="shared" si="85"/>
        <v>62</v>
      </c>
      <c r="Q1050" s="622"/>
      <c r="R1050" s="74"/>
      <c r="S1050" s="74"/>
      <c r="T1050" s="74"/>
      <c r="U1050" s="74"/>
      <c r="V1050" s="74"/>
      <c r="W1050" s="74"/>
      <c r="X1050" s="74"/>
      <c r="Y1050" s="74"/>
      <c r="Z1050" s="74"/>
      <c r="AA1050" s="74"/>
      <c r="AB1050" s="74"/>
      <c r="AC1050" s="74"/>
      <c r="AD1050" s="74"/>
      <c r="AE1050" s="74"/>
      <c r="AF1050" s="74"/>
      <c r="AG1050" s="74"/>
      <c r="AH1050" s="74"/>
      <c r="AI1050" s="74"/>
    </row>
    <row r="1051" ht="22.5" customHeight="1">
      <c r="A1051" s="614">
        <v>45797.0</v>
      </c>
      <c r="B1051" s="626" t="s">
        <v>2218</v>
      </c>
      <c r="C1051" s="610">
        <v>600600.0</v>
      </c>
      <c r="D1051" s="609"/>
      <c r="E1051" s="606"/>
      <c r="F1051" s="627" t="s">
        <v>674</v>
      </c>
      <c r="G1051" s="597">
        <v>20.0</v>
      </c>
      <c r="H1051" s="598">
        <f t="shared" si="84"/>
        <v>100100</v>
      </c>
      <c r="I1051" s="599"/>
      <c r="J1051" s="599"/>
      <c r="K1051" s="673" t="s">
        <v>51</v>
      </c>
      <c r="L1051" s="616" t="s">
        <v>849</v>
      </c>
      <c r="M1051" s="612" t="s">
        <v>803</v>
      </c>
      <c r="N1051" s="612">
        <v>127.0</v>
      </c>
      <c r="O1051" s="662">
        <v>45758.0</v>
      </c>
      <c r="P1051" s="602">
        <f t="shared" si="85"/>
        <v>39</v>
      </c>
      <c r="Q1051" s="622"/>
      <c r="R1051" s="74"/>
      <c r="S1051" s="74"/>
      <c r="T1051" s="74"/>
      <c r="U1051" s="74"/>
      <c r="V1051" s="74"/>
      <c r="W1051" s="74"/>
      <c r="X1051" s="74"/>
      <c r="Y1051" s="74"/>
      <c r="Z1051" s="74"/>
      <c r="AA1051" s="74"/>
      <c r="AB1051" s="74"/>
      <c r="AC1051" s="74"/>
      <c r="AD1051" s="74"/>
      <c r="AE1051" s="74"/>
      <c r="AF1051" s="74"/>
      <c r="AG1051" s="74"/>
      <c r="AH1051" s="74"/>
      <c r="AI1051" s="74"/>
    </row>
    <row r="1052" ht="22.5" customHeight="1">
      <c r="A1052" s="614">
        <v>45797.0</v>
      </c>
      <c r="B1052" s="626" t="s">
        <v>2218</v>
      </c>
      <c r="C1052" s="610">
        <v>609000.0</v>
      </c>
      <c r="D1052" s="609"/>
      <c r="E1052" s="606"/>
      <c r="F1052" s="627" t="s">
        <v>674</v>
      </c>
      <c r="G1052" s="597">
        <v>20.0</v>
      </c>
      <c r="H1052" s="598">
        <f t="shared" si="84"/>
        <v>101500</v>
      </c>
      <c r="I1052" s="599"/>
      <c r="J1052" s="599"/>
      <c r="K1052" s="674" t="s">
        <v>51</v>
      </c>
      <c r="L1052" s="616" t="s">
        <v>849</v>
      </c>
      <c r="M1052" s="612" t="s">
        <v>802</v>
      </c>
      <c r="N1052" s="612">
        <v>128.0</v>
      </c>
      <c r="O1052" s="662">
        <v>45758.0</v>
      </c>
      <c r="P1052" s="602">
        <f t="shared" si="85"/>
        <v>39</v>
      </c>
      <c r="Q1052" s="622"/>
      <c r="R1052" s="74"/>
      <c r="S1052" s="74"/>
      <c r="T1052" s="74"/>
      <c r="U1052" s="74"/>
      <c r="V1052" s="74"/>
      <c r="W1052" s="74"/>
      <c r="X1052" s="74"/>
      <c r="Y1052" s="74"/>
      <c r="Z1052" s="74"/>
      <c r="AA1052" s="74"/>
      <c r="AB1052" s="74"/>
      <c r="AC1052" s="74"/>
      <c r="AD1052" s="74"/>
      <c r="AE1052" s="74"/>
      <c r="AF1052" s="74"/>
      <c r="AG1052" s="74"/>
      <c r="AH1052" s="74"/>
      <c r="AI1052" s="74"/>
    </row>
    <row r="1053" ht="22.5" customHeight="1">
      <c r="A1053" s="614">
        <v>45797.0</v>
      </c>
      <c r="B1053" s="626" t="s">
        <v>2218</v>
      </c>
      <c r="C1053" s="610">
        <v>630000.0</v>
      </c>
      <c r="D1053" s="609"/>
      <c r="E1053" s="606"/>
      <c r="F1053" s="627" t="s">
        <v>674</v>
      </c>
      <c r="G1053" s="597">
        <v>20.0</v>
      </c>
      <c r="H1053" s="598">
        <f t="shared" si="84"/>
        <v>105000</v>
      </c>
      <c r="I1053" s="599"/>
      <c r="J1053" s="599"/>
      <c r="K1053" s="615" t="s">
        <v>51</v>
      </c>
      <c r="L1053" s="616" t="s">
        <v>849</v>
      </c>
      <c r="M1053" s="612" t="s">
        <v>856</v>
      </c>
      <c r="N1053" s="612">
        <v>129.0</v>
      </c>
      <c r="O1053" s="662">
        <v>45758.0</v>
      </c>
      <c r="P1053" s="602">
        <f t="shared" si="85"/>
        <v>39</v>
      </c>
      <c r="Q1053" s="622"/>
      <c r="R1053" s="74"/>
      <c r="S1053" s="74"/>
      <c r="T1053" s="74"/>
      <c r="U1053" s="74"/>
      <c r="V1053" s="74"/>
      <c r="W1053" s="74"/>
      <c r="X1053" s="74"/>
      <c r="Y1053" s="74"/>
      <c r="Z1053" s="74"/>
      <c r="AA1053" s="74"/>
      <c r="AB1053" s="74"/>
      <c r="AC1053" s="74"/>
      <c r="AD1053" s="74"/>
      <c r="AE1053" s="74"/>
      <c r="AF1053" s="74"/>
      <c r="AG1053" s="74"/>
      <c r="AH1053" s="74"/>
      <c r="AI1053" s="74"/>
    </row>
    <row r="1054" ht="22.5" customHeight="1">
      <c r="A1054" s="614">
        <v>45797.0</v>
      </c>
      <c r="B1054" s="626" t="s">
        <v>2218</v>
      </c>
      <c r="C1054" s="610">
        <v>630000.0</v>
      </c>
      <c r="D1054" s="609"/>
      <c r="E1054" s="606"/>
      <c r="F1054" s="627" t="s">
        <v>674</v>
      </c>
      <c r="G1054" s="597">
        <v>20.0</v>
      </c>
      <c r="H1054" s="598">
        <f t="shared" si="84"/>
        <v>105000</v>
      </c>
      <c r="I1054" s="599"/>
      <c r="J1054" s="599"/>
      <c r="K1054" s="615" t="s">
        <v>51</v>
      </c>
      <c r="L1054" s="616" t="s">
        <v>849</v>
      </c>
      <c r="M1054" s="612" t="s">
        <v>857</v>
      </c>
      <c r="N1054" s="612">
        <v>130.0</v>
      </c>
      <c r="O1054" s="662">
        <v>45758.0</v>
      </c>
      <c r="P1054" s="602">
        <f t="shared" si="85"/>
        <v>39</v>
      </c>
      <c r="Q1054" s="622"/>
      <c r="R1054" s="74"/>
      <c r="S1054" s="74"/>
      <c r="T1054" s="74"/>
      <c r="U1054" s="74"/>
      <c r="V1054" s="74"/>
      <c r="W1054" s="74"/>
      <c r="X1054" s="74"/>
      <c r="Y1054" s="74"/>
      <c r="Z1054" s="74"/>
      <c r="AA1054" s="74"/>
      <c r="AB1054" s="74"/>
      <c r="AC1054" s="74"/>
      <c r="AD1054" s="74"/>
      <c r="AE1054" s="74"/>
      <c r="AF1054" s="74"/>
      <c r="AG1054" s="74"/>
      <c r="AH1054" s="74"/>
      <c r="AI1054" s="74"/>
    </row>
    <row r="1055" ht="22.5" customHeight="1">
      <c r="A1055" s="614">
        <v>45797.0</v>
      </c>
      <c r="B1055" s="626" t="s">
        <v>2218</v>
      </c>
      <c r="C1055" s="610">
        <v>886200.0</v>
      </c>
      <c r="D1055" s="609"/>
      <c r="E1055" s="606"/>
      <c r="F1055" s="627" t="s">
        <v>674</v>
      </c>
      <c r="G1055" s="597">
        <v>20.0</v>
      </c>
      <c r="H1055" s="598">
        <f t="shared" si="84"/>
        <v>147700</v>
      </c>
      <c r="I1055" s="599"/>
      <c r="J1055" s="599"/>
      <c r="K1055" s="615" t="s">
        <v>51</v>
      </c>
      <c r="L1055" s="616" t="s">
        <v>849</v>
      </c>
      <c r="M1055" s="612" t="s">
        <v>758</v>
      </c>
      <c r="N1055" s="612">
        <v>131.0</v>
      </c>
      <c r="O1055" s="662">
        <v>45758.0</v>
      </c>
      <c r="P1055" s="602">
        <f t="shared" si="85"/>
        <v>39</v>
      </c>
      <c r="Q1055" s="622"/>
      <c r="R1055" s="74"/>
      <c r="S1055" s="74"/>
      <c r="T1055" s="74"/>
      <c r="U1055" s="74"/>
      <c r="V1055" s="74"/>
      <c r="W1055" s="74"/>
      <c r="X1055" s="74"/>
      <c r="Y1055" s="74"/>
      <c r="Z1055" s="74"/>
      <c r="AA1055" s="74"/>
      <c r="AB1055" s="74"/>
      <c r="AC1055" s="74"/>
      <c r="AD1055" s="74"/>
      <c r="AE1055" s="74"/>
      <c r="AF1055" s="74"/>
      <c r="AG1055" s="74"/>
      <c r="AH1055" s="74"/>
      <c r="AI1055" s="74"/>
    </row>
    <row r="1056" ht="22.5" customHeight="1">
      <c r="A1056" s="614">
        <v>45797.0</v>
      </c>
      <c r="B1056" s="626" t="s">
        <v>2218</v>
      </c>
      <c r="C1056" s="610">
        <v>600600.0</v>
      </c>
      <c r="D1056" s="609"/>
      <c r="E1056" s="606"/>
      <c r="F1056" s="627" t="s">
        <v>674</v>
      </c>
      <c r="G1056" s="597">
        <v>20.0</v>
      </c>
      <c r="H1056" s="598">
        <f t="shared" si="84"/>
        <v>100100</v>
      </c>
      <c r="I1056" s="599"/>
      <c r="J1056" s="599"/>
      <c r="K1056" s="615" t="s">
        <v>51</v>
      </c>
      <c r="L1056" s="616" t="s">
        <v>849</v>
      </c>
      <c r="M1056" s="612" t="s">
        <v>804</v>
      </c>
      <c r="N1056" s="612">
        <v>132.0</v>
      </c>
      <c r="O1056" s="662">
        <v>45758.0</v>
      </c>
      <c r="P1056" s="602">
        <f t="shared" si="85"/>
        <v>39</v>
      </c>
      <c r="Q1056" s="622"/>
      <c r="R1056" s="74"/>
      <c r="S1056" s="74"/>
      <c r="T1056" s="74"/>
      <c r="U1056" s="74"/>
      <c r="V1056" s="74"/>
      <c r="W1056" s="74"/>
      <c r="X1056" s="74"/>
      <c r="Y1056" s="74"/>
      <c r="Z1056" s="74"/>
      <c r="AA1056" s="74"/>
      <c r="AB1056" s="74"/>
      <c r="AC1056" s="74"/>
      <c r="AD1056" s="74"/>
      <c r="AE1056" s="74"/>
      <c r="AF1056" s="74"/>
      <c r="AG1056" s="74"/>
      <c r="AH1056" s="74"/>
      <c r="AI1056" s="74"/>
    </row>
    <row r="1057" ht="22.5" customHeight="1">
      <c r="A1057" s="614">
        <v>45797.0</v>
      </c>
      <c r="B1057" s="626" t="s">
        <v>2218</v>
      </c>
      <c r="C1057" s="610">
        <v>840000.0</v>
      </c>
      <c r="D1057" s="609"/>
      <c r="E1057" s="606"/>
      <c r="F1057" s="627" t="s">
        <v>674</v>
      </c>
      <c r="G1057" s="597">
        <v>20.0</v>
      </c>
      <c r="H1057" s="598">
        <f t="shared" si="84"/>
        <v>140000</v>
      </c>
      <c r="I1057" s="599"/>
      <c r="J1057" s="599"/>
      <c r="K1057" s="615" t="s">
        <v>51</v>
      </c>
      <c r="L1057" s="616" t="s">
        <v>849</v>
      </c>
      <c r="M1057" s="612" t="s">
        <v>801</v>
      </c>
      <c r="N1057" s="612">
        <v>133.0</v>
      </c>
      <c r="O1057" s="662">
        <v>45758.0</v>
      </c>
      <c r="P1057" s="602">
        <f t="shared" si="85"/>
        <v>39</v>
      </c>
      <c r="Q1057" s="622"/>
      <c r="R1057" s="74"/>
      <c r="S1057" s="74"/>
      <c r="T1057" s="74"/>
      <c r="U1057" s="74"/>
      <c r="V1057" s="74"/>
      <c r="W1057" s="74"/>
      <c r="X1057" s="74"/>
      <c r="Y1057" s="74"/>
      <c r="Z1057" s="74"/>
      <c r="AA1057" s="74"/>
      <c r="AB1057" s="74"/>
      <c r="AC1057" s="74"/>
      <c r="AD1057" s="74"/>
      <c r="AE1057" s="74"/>
      <c r="AF1057" s="74"/>
      <c r="AG1057" s="74"/>
      <c r="AH1057" s="74"/>
      <c r="AI1057" s="74"/>
    </row>
    <row r="1058" ht="22.5" customHeight="1">
      <c r="A1058" s="614">
        <v>45797.0</v>
      </c>
      <c r="B1058" s="626" t="s">
        <v>2218</v>
      </c>
      <c r="C1058" s="610">
        <v>600600.0</v>
      </c>
      <c r="D1058" s="609"/>
      <c r="E1058" s="606"/>
      <c r="F1058" s="627" t="s">
        <v>674</v>
      </c>
      <c r="G1058" s="597">
        <v>20.0</v>
      </c>
      <c r="H1058" s="598">
        <f t="shared" si="84"/>
        <v>100100</v>
      </c>
      <c r="I1058" s="599"/>
      <c r="J1058" s="599"/>
      <c r="K1058" s="615" t="s">
        <v>51</v>
      </c>
      <c r="L1058" s="616" t="s">
        <v>849</v>
      </c>
      <c r="M1058" s="612" t="s">
        <v>858</v>
      </c>
      <c r="N1058" s="612">
        <v>134.0</v>
      </c>
      <c r="O1058" s="662">
        <v>45758.0</v>
      </c>
      <c r="P1058" s="602">
        <f t="shared" si="85"/>
        <v>39</v>
      </c>
      <c r="Q1058" s="622"/>
      <c r="R1058" s="74"/>
      <c r="S1058" s="74"/>
      <c r="T1058" s="74"/>
      <c r="U1058" s="74"/>
      <c r="V1058" s="74"/>
      <c r="W1058" s="74"/>
      <c r="X1058" s="74"/>
      <c r="Y1058" s="74"/>
      <c r="Z1058" s="74"/>
      <c r="AA1058" s="74"/>
      <c r="AB1058" s="74"/>
      <c r="AC1058" s="74"/>
      <c r="AD1058" s="74"/>
      <c r="AE1058" s="74"/>
      <c r="AF1058" s="74"/>
      <c r="AG1058" s="74"/>
      <c r="AH1058" s="74"/>
      <c r="AI1058" s="74"/>
    </row>
    <row r="1059" ht="22.5" customHeight="1">
      <c r="A1059" s="614">
        <v>45797.0</v>
      </c>
      <c r="B1059" s="626" t="s">
        <v>2218</v>
      </c>
      <c r="C1059" s="610">
        <v>588000.0</v>
      </c>
      <c r="D1059" s="609"/>
      <c r="E1059" s="606"/>
      <c r="F1059" s="627" t="s">
        <v>674</v>
      </c>
      <c r="G1059" s="597">
        <v>20.0</v>
      </c>
      <c r="H1059" s="598">
        <f t="shared" si="84"/>
        <v>98000</v>
      </c>
      <c r="I1059" s="599"/>
      <c r="J1059" s="599"/>
      <c r="K1059" s="615" t="s">
        <v>51</v>
      </c>
      <c r="L1059" s="616" t="s">
        <v>849</v>
      </c>
      <c r="M1059" s="612" t="s">
        <v>757</v>
      </c>
      <c r="N1059" s="612">
        <v>135.0</v>
      </c>
      <c r="O1059" s="662">
        <v>45758.0</v>
      </c>
      <c r="P1059" s="602">
        <f t="shared" si="85"/>
        <v>39</v>
      </c>
      <c r="Q1059" s="622"/>
      <c r="R1059" s="74"/>
      <c r="S1059" s="74"/>
      <c r="T1059" s="74"/>
      <c r="U1059" s="74"/>
      <c r="V1059" s="74"/>
      <c r="W1059" s="74"/>
      <c r="X1059" s="74"/>
      <c r="Y1059" s="74"/>
      <c r="Z1059" s="74"/>
      <c r="AA1059" s="74"/>
      <c r="AB1059" s="74"/>
      <c r="AC1059" s="74"/>
      <c r="AD1059" s="74"/>
      <c r="AE1059" s="74"/>
      <c r="AF1059" s="74"/>
      <c r="AG1059" s="74"/>
      <c r="AH1059" s="74"/>
      <c r="AI1059" s="74"/>
    </row>
    <row r="1060" ht="22.5" customHeight="1">
      <c r="A1060" s="614">
        <v>45798.0</v>
      </c>
      <c r="B1060" s="626" t="s">
        <v>2218</v>
      </c>
      <c r="C1060" s="609"/>
      <c r="D1060" s="610">
        <v>1296000.0</v>
      </c>
      <c r="E1060" s="606"/>
      <c r="F1060" s="627" t="s">
        <v>664</v>
      </c>
      <c r="G1060" s="597">
        <v>20.0</v>
      </c>
      <c r="H1060" s="598">
        <f t="shared" si="84"/>
        <v>216000</v>
      </c>
      <c r="I1060" s="599"/>
      <c r="J1060" s="599"/>
      <c r="K1060" s="615" t="s">
        <v>322</v>
      </c>
      <c r="L1060" s="616" t="s">
        <v>578</v>
      </c>
      <c r="M1060" s="621"/>
      <c r="N1060" s="621"/>
      <c r="O1060" s="621"/>
      <c r="P1060" s="602">
        <f t="shared" si="85"/>
        <v>0</v>
      </c>
      <c r="Q1060" s="682" t="s">
        <v>859</v>
      </c>
      <c r="R1060" s="74"/>
      <c r="S1060" s="74"/>
      <c r="T1060" s="74"/>
      <c r="U1060" s="74"/>
      <c r="V1060" s="74"/>
      <c r="W1060" s="74"/>
      <c r="X1060" s="74"/>
      <c r="Y1060" s="74"/>
      <c r="Z1060" s="74"/>
      <c r="AA1060" s="74"/>
      <c r="AB1060" s="74"/>
      <c r="AC1060" s="74"/>
      <c r="AD1060" s="74"/>
      <c r="AE1060" s="74"/>
      <c r="AF1060" s="74"/>
      <c r="AG1060" s="74"/>
      <c r="AH1060" s="74"/>
      <c r="AI1060" s="74"/>
    </row>
    <row r="1061" ht="22.5" customHeight="1">
      <c r="A1061" s="614">
        <v>45798.0</v>
      </c>
      <c r="B1061" s="626" t="s">
        <v>2218</v>
      </c>
      <c r="C1061" s="609"/>
      <c r="D1061" s="610">
        <v>1998000.0</v>
      </c>
      <c r="E1061" s="606"/>
      <c r="F1061" s="627" t="s">
        <v>664</v>
      </c>
      <c r="G1061" s="597">
        <v>20.0</v>
      </c>
      <c r="H1061" s="598">
        <f t="shared" si="84"/>
        <v>333000</v>
      </c>
      <c r="I1061" s="599"/>
      <c r="J1061" s="599"/>
      <c r="K1061" s="615" t="s">
        <v>322</v>
      </c>
      <c r="L1061" s="616" t="s">
        <v>578</v>
      </c>
      <c r="M1061" s="621"/>
      <c r="N1061" s="621"/>
      <c r="O1061" s="621"/>
      <c r="P1061" s="602">
        <f t="shared" si="85"/>
        <v>0</v>
      </c>
      <c r="Q1061" s="682" t="s">
        <v>860</v>
      </c>
      <c r="R1061" s="74"/>
      <c r="S1061" s="74"/>
      <c r="T1061" s="74"/>
      <c r="U1061" s="74"/>
      <c r="V1061" s="74"/>
      <c r="W1061" s="74"/>
      <c r="X1061" s="74"/>
      <c r="Y1061" s="74"/>
      <c r="Z1061" s="74"/>
      <c r="AA1061" s="74"/>
      <c r="AB1061" s="74"/>
      <c r="AC1061" s="74"/>
      <c r="AD1061" s="74"/>
      <c r="AE1061" s="74"/>
      <c r="AF1061" s="74"/>
      <c r="AG1061" s="74"/>
      <c r="AH1061" s="74"/>
      <c r="AI1061" s="74"/>
    </row>
    <row r="1062" ht="22.5" customHeight="1">
      <c r="A1062" s="614">
        <v>45798.0</v>
      </c>
      <c r="B1062" s="626" t="s">
        <v>2218</v>
      </c>
      <c r="C1062" s="609"/>
      <c r="D1062" s="610">
        <v>4200000.0</v>
      </c>
      <c r="E1062" s="606"/>
      <c r="F1062" s="627" t="s">
        <v>664</v>
      </c>
      <c r="G1062" s="597">
        <v>20.0</v>
      </c>
      <c r="H1062" s="598">
        <f t="shared" si="84"/>
        <v>700000</v>
      </c>
      <c r="I1062" s="599"/>
      <c r="J1062" s="599"/>
      <c r="K1062" s="615" t="s">
        <v>322</v>
      </c>
      <c r="L1062" s="616" t="s">
        <v>110</v>
      </c>
      <c r="M1062" s="621"/>
      <c r="N1062" s="621"/>
      <c r="O1062" s="621"/>
      <c r="P1062" s="602">
        <f t="shared" si="85"/>
        <v>0</v>
      </c>
      <c r="Q1062" s="682" t="s">
        <v>861</v>
      </c>
      <c r="R1062" s="74"/>
      <c r="S1062" s="74"/>
      <c r="T1062" s="74"/>
      <c r="U1062" s="74"/>
      <c r="V1062" s="74"/>
      <c r="W1062" s="74"/>
      <c r="X1062" s="74"/>
      <c r="Y1062" s="74"/>
      <c r="Z1062" s="74"/>
      <c r="AA1062" s="74"/>
      <c r="AB1062" s="74"/>
      <c r="AC1062" s="74"/>
      <c r="AD1062" s="74"/>
      <c r="AE1062" s="74"/>
      <c r="AF1062" s="74"/>
      <c r="AG1062" s="74"/>
      <c r="AH1062" s="74"/>
      <c r="AI1062" s="74"/>
    </row>
    <row r="1063" ht="22.5" customHeight="1">
      <c r="A1063" s="614">
        <v>45798.0</v>
      </c>
      <c r="B1063" s="626" t="s">
        <v>2218</v>
      </c>
      <c r="C1063" s="609"/>
      <c r="D1063" s="610">
        <v>451105.0</v>
      </c>
      <c r="E1063" s="606"/>
      <c r="F1063" s="627" t="s">
        <v>626</v>
      </c>
      <c r="G1063" s="597">
        <v>0.0</v>
      </c>
      <c r="H1063" s="598">
        <f t="shared" si="84"/>
        <v>0</v>
      </c>
      <c r="I1063" s="599"/>
      <c r="J1063" s="599"/>
      <c r="K1063" s="615" t="s">
        <v>93</v>
      </c>
      <c r="L1063" s="679" t="s">
        <v>516</v>
      </c>
      <c r="M1063" s="621"/>
      <c r="N1063" s="621"/>
      <c r="O1063" s="621"/>
      <c r="P1063" s="602">
        <f t="shared" si="85"/>
        <v>0</v>
      </c>
      <c r="Q1063" s="682" t="s">
        <v>862</v>
      </c>
      <c r="R1063" s="74"/>
      <c r="S1063" s="74"/>
      <c r="T1063" s="74"/>
      <c r="U1063" s="74"/>
      <c r="V1063" s="74"/>
      <c r="W1063" s="74"/>
      <c r="X1063" s="74"/>
      <c r="Y1063" s="74"/>
      <c r="Z1063" s="74"/>
      <c r="AA1063" s="74"/>
      <c r="AB1063" s="74"/>
      <c r="AC1063" s="74"/>
      <c r="AD1063" s="74"/>
      <c r="AE1063" s="74"/>
      <c r="AF1063" s="74"/>
      <c r="AG1063" s="74"/>
      <c r="AH1063" s="74"/>
      <c r="AI1063" s="74"/>
    </row>
    <row r="1064" ht="22.5" customHeight="1">
      <c r="A1064" s="614">
        <v>45798.0</v>
      </c>
      <c r="B1064" s="626" t="s">
        <v>2218</v>
      </c>
      <c r="C1064" s="609"/>
      <c r="D1064" s="610">
        <v>6109884.64</v>
      </c>
      <c r="E1064" s="606"/>
      <c r="F1064" s="627" t="s">
        <v>626</v>
      </c>
      <c r="G1064" s="597">
        <v>20.0</v>
      </c>
      <c r="H1064" s="598">
        <f t="shared" si="84"/>
        <v>1018314.107</v>
      </c>
      <c r="I1064" s="599"/>
      <c r="J1064" s="599"/>
      <c r="K1064" s="615" t="s">
        <v>101</v>
      </c>
      <c r="L1064" s="616" t="s">
        <v>654</v>
      </c>
      <c r="M1064" s="621"/>
      <c r="N1064" s="621"/>
      <c r="O1064" s="621"/>
      <c r="P1064" s="602">
        <f t="shared" si="85"/>
        <v>0</v>
      </c>
      <c r="Q1064" s="682" t="s">
        <v>863</v>
      </c>
      <c r="R1064" s="74"/>
      <c r="S1064" s="74"/>
      <c r="T1064" s="74"/>
      <c r="U1064" s="74"/>
      <c r="V1064" s="74"/>
      <c r="W1064" s="74"/>
      <c r="X1064" s="74"/>
      <c r="Y1064" s="74"/>
      <c r="Z1064" s="74"/>
      <c r="AA1064" s="74"/>
      <c r="AB1064" s="74"/>
      <c r="AC1064" s="74"/>
      <c r="AD1064" s="74"/>
      <c r="AE1064" s="74"/>
      <c r="AF1064" s="74"/>
      <c r="AG1064" s="74"/>
      <c r="AH1064" s="74"/>
      <c r="AI1064" s="74"/>
    </row>
    <row r="1065" ht="22.5" customHeight="1">
      <c r="A1065" s="614">
        <v>45798.0</v>
      </c>
      <c r="B1065" s="626" t="s">
        <v>2218</v>
      </c>
      <c r="C1065" s="609"/>
      <c r="D1065" s="610">
        <f>2615282.76-600000</f>
        <v>2015282.76</v>
      </c>
      <c r="E1065" s="606"/>
      <c r="F1065" s="627" t="s">
        <v>674</v>
      </c>
      <c r="G1065" s="597">
        <v>20.0</v>
      </c>
      <c r="H1065" s="598">
        <f t="shared" si="84"/>
        <v>335880.46</v>
      </c>
      <c r="I1065" s="599"/>
      <c r="J1065" s="599"/>
      <c r="K1065" s="615" t="s">
        <v>2237</v>
      </c>
      <c r="L1065" s="671" t="s">
        <v>228</v>
      </c>
      <c r="M1065" s="621"/>
      <c r="N1065" s="621"/>
      <c r="O1065" s="621"/>
      <c r="P1065" s="602">
        <f t="shared" si="85"/>
        <v>0</v>
      </c>
      <c r="Q1065" s="682" t="s">
        <v>864</v>
      </c>
      <c r="R1065" s="74"/>
      <c r="S1065" s="74"/>
      <c r="T1065" s="74"/>
      <c r="U1065" s="74"/>
      <c r="V1065" s="74"/>
      <c r="W1065" s="74"/>
      <c r="X1065" s="74"/>
      <c r="Y1065" s="74"/>
      <c r="Z1065" s="74"/>
      <c r="AA1065" s="74"/>
      <c r="AB1065" s="74"/>
      <c r="AC1065" s="74"/>
      <c r="AD1065" s="74"/>
      <c r="AE1065" s="74"/>
      <c r="AF1065" s="74"/>
      <c r="AG1065" s="74"/>
      <c r="AH1065" s="74"/>
      <c r="AI1065" s="74"/>
    </row>
    <row r="1066" ht="22.5" customHeight="1">
      <c r="A1066" s="614">
        <v>45798.0</v>
      </c>
      <c r="B1066" s="626" t="s">
        <v>2218</v>
      </c>
      <c r="C1066" s="609"/>
      <c r="D1066" s="610">
        <v>185400.0</v>
      </c>
      <c r="E1066" s="606"/>
      <c r="F1066" s="627" t="s">
        <v>674</v>
      </c>
      <c r="G1066" s="597">
        <v>0.0</v>
      </c>
      <c r="H1066" s="598">
        <f t="shared" si="84"/>
        <v>0</v>
      </c>
      <c r="I1066" s="599"/>
      <c r="J1066" s="599"/>
      <c r="K1066" s="615" t="s">
        <v>286</v>
      </c>
      <c r="L1066" s="616" t="s">
        <v>454</v>
      </c>
      <c r="M1066" s="621"/>
      <c r="N1066" s="621"/>
      <c r="O1066" s="621"/>
      <c r="P1066" s="602">
        <f t="shared" si="85"/>
        <v>0</v>
      </c>
      <c r="Q1066" s="682" t="s">
        <v>865</v>
      </c>
      <c r="R1066" s="74"/>
      <c r="S1066" s="74"/>
      <c r="T1066" s="74"/>
      <c r="U1066" s="74"/>
      <c r="V1066" s="74"/>
      <c r="W1066" s="74"/>
      <c r="X1066" s="74"/>
      <c r="Y1066" s="74"/>
      <c r="Z1066" s="74"/>
      <c r="AA1066" s="74"/>
      <c r="AB1066" s="74"/>
      <c r="AC1066" s="74"/>
      <c r="AD1066" s="74"/>
      <c r="AE1066" s="74"/>
      <c r="AF1066" s="74"/>
      <c r="AG1066" s="74"/>
      <c r="AH1066" s="74"/>
      <c r="AI1066" s="74"/>
    </row>
    <row r="1067" ht="22.5" customHeight="1">
      <c r="A1067" s="614">
        <v>45798.0</v>
      </c>
      <c r="B1067" s="626" t="s">
        <v>2218</v>
      </c>
      <c r="C1067" s="610">
        <v>210000.0</v>
      </c>
      <c r="D1067" s="609"/>
      <c r="E1067" s="652"/>
      <c r="F1067" s="627" t="s">
        <v>626</v>
      </c>
      <c r="G1067" s="597">
        <v>20.0</v>
      </c>
      <c r="H1067" s="598">
        <f t="shared" si="84"/>
        <v>35000</v>
      </c>
      <c r="I1067" s="599"/>
      <c r="J1067" s="599"/>
      <c r="K1067" s="615" t="s">
        <v>51</v>
      </c>
      <c r="L1067" s="616" t="s">
        <v>654</v>
      </c>
      <c r="M1067" s="621"/>
      <c r="N1067" s="612">
        <v>102.0</v>
      </c>
      <c r="O1067" s="621"/>
      <c r="P1067" s="602">
        <f t="shared" si="85"/>
        <v>0</v>
      </c>
      <c r="Q1067" s="622"/>
      <c r="R1067" s="74"/>
      <c r="S1067" s="74"/>
      <c r="T1067" s="74"/>
      <c r="U1067" s="74"/>
      <c r="V1067" s="74"/>
      <c r="W1067" s="74"/>
      <c r="X1067" s="74"/>
      <c r="Y1067" s="74"/>
      <c r="Z1067" s="74"/>
      <c r="AA1067" s="74"/>
      <c r="AB1067" s="74"/>
      <c r="AC1067" s="74"/>
      <c r="AD1067" s="74"/>
      <c r="AE1067" s="74"/>
      <c r="AF1067" s="74"/>
      <c r="AG1067" s="74"/>
      <c r="AH1067" s="74"/>
      <c r="AI1067" s="74"/>
    </row>
    <row r="1068" ht="22.5" customHeight="1">
      <c r="A1068" s="614">
        <v>45798.0</v>
      </c>
      <c r="B1068" s="626" t="s">
        <v>2218</v>
      </c>
      <c r="C1068" s="609"/>
      <c r="D1068" s="609"/>
      <c r="E1068" s="604" t="s">
        <v>33</v>
      </c>
      <c r="F1068" s="627" t="s">
        <v>800</v>
      </c>
      <c r="G1068" s="597">
        <v>0.0</v>
      </c>
      <c r="H1068" s="598">
        <f t="shared" si="84"/>
        <v>0</v>
      </c>
      <c r="I1068" s="599"/>
      <c r="J1068" s="605">
        <v>10000.0</v>
      </c>
      <c r="K1068" s="615" t="s">
        <v>1181</v>
      </c>
      <c r="L1068" s="616" t="s">
        <v>866</v>
      </c>
      <c r="M1068" s="621"/>
      <c r="N1068" s="621"/>
      <c r="O1068" s="621"/>
      <c r="P1068" s="602">
        <f t="shared" si="85"/>
        <v>0</v>
      </c>
      <c r="Q1068" s="622"/>
      <c r="R1068" s="74"/>
      <c r="S1068" s="74"/>
      <c r="T1068" s="74"/>
      <c r="U1068" s="74"/>
      <c r="V1068" s="74"/>
      <c r="W1068" s="74"/>
      <c r="X1068" s="74"/>
      <c r="Y1068" s="74"/>
      <c r="Z1068" s="74"/>
      <c r="AA1068" s="74"/>
      <c r="AB1068" s="74"/>
      <c r="AC1068" s="74"/>
      <c r="AD1068" s="74"/>
      <c r="AE1068" s="74"/>
      <c r="AF1068" s="74"/>
      <c r="AG1068" s="74"/>
      <c r="AH1068" s="74"/>
      <c r="AI1068" s="74"/>
    </row>
    <row r="1069" ht="22.5" customHeight="1">
      <c r="A1069" s="614">
        <v>45798.0</v>
      </c>
      <c r="B1069" s="626" t="s">
        <v>2218</v>
      </c>
      <c r="C1069" s="609"/>
      <c r="D1069" s="609"/>
      <c r="E1069" s="604" t="s">
        <v>33</v>
      </c>
      <c r="F1069" s="627" t="s">
        <v>800</v>
      </c>
      <c r="G1069" s="597">
        <v>0.0</v>
      </c>
      <c r="H1069" s="598">
        <f t="shared" si="84"/>
        <v>0</v>
      </c>
      <c r="I1069" s="599"/>
      <c r="J1069" s="605">
        <v>7000.0</v>
      </c>
      <c r="K1069" s="615" t="s">
        <v>494</v>
      </c>
      <c r="L1069" s="616" t="s">
        <v>867</v>
      </c>
      <c r="M1069" s="621"/>
      <c r="N1069" s="621"/>
      <c r="O1069" s="621"/>
      <c r="P1069" s="602">
        <f t="shared" si="85"/>
        <v>0</v>
      </c>
      <c r="Q1069" s="622"/>
      <c r="R1069" s="74"/>
      <c r="S1069" s="74"/>
      <c r="T1069" s="74"/>
      <c r="U1069" s="74"/>
      <c r="V1069" s="74"/>
      <c r="W1069" s="74"/>
      <c r="X1069" s="74"/>
      <c r="Y1069" s="74"/>
      <c r="Z1069" s="74"/>
      <c r="AA1069" s="74"/>
      <c r="AB1069" s="74"/>
      <c r="AC1069" s="74"/>
      <c r="AD1069" s="74"/>
      <c r="AE1069" s="74"/>
      <c r="AF1069" s="74"/>
      <c r="AG1069" s="74"/>
      <c r="AH1069" s="74"/>
      <c r="AI1069" s="74"/>
    </row>
    <row r="1070" ht="22.5" customHeight="1">
      <c r="A1070" s="614">
        <v>45798.0</v>
      </c>
      <c r="B1070" s="626" t="s">
        <v>2218</v>
      </c>
      <c r="C1070" s="609"/>
      <c r="D1070" s="609"/>
      <c r="E1070" s="604" t="s">
        <v>33</v>
      </c>
      <c r="F1070" s="627" t="s">
        <v>800</v>
      </c>
      <c r="G1070" s="597">
        <v>0.0</v>
      </c>
      <c r="H1070" s="598">
        <f t="shared" si="84"/>
        <v>0</v>
      </c>
      <c r="I1070" s="599"/>
      <c r="J1070" s="605">
        <v>50000.0</v>
      </c>
      <c r="K1070" s="615" t="s">
        <v>591</v>
      </c>
      <c r="L1070" s="616" t="s">
        <v>868</v>
      </c>
      <c r="M1070" s="621"/>
      <c r="N1070" s="621"/>
      <c r="O1070" s="621"/>
      <c r="P1070" s="602">
        <f t="shared" si="85"/>
        <v>0</v>
      </c>
      <c r="Q1070" s="622"/>
      <c r="R1070" s="74"/>
      <c r="S1070" s="74"/>
      <c r="T1070" s="74"/>
      <c r="U1070" s="74"/>
      <c r="V1070" s="74"/>
      <c r="W1070" s="74"/>
      <c r="X1070" s="74"/>
      <c r="Y1070" s="74"/>
      <c r="Z1070" s="74"/>
      <c r="AA1070" s="74"/>
      <c r="AB1070" s="74"/>
      <c r="AC1070" s="74"/>
      <c r="AD1070" s="74"/>
      <c r="AE1070" s="74"/>
      <c r="AF1070" s="74"/>
      <c r="AG1070" s="74"/>
      <c r="AH1070" s="74"/>
      <c r="AI1070" s="74"/>
    </row>
    <row r="1071" ht="22.5" customHeight="1">
      <c r="A1071" s="614">
        <v>45798.0</v>
      </c>
      <c r="B1071" s="626" t="s">
        <v>2218</v>
      </c>
      <c r="C1071" s="609"/>
      <c r="D1071" s="609"/>
      <c r="E1071" s="604" t="s">
        <v>33</v>
      </c>
      <c r="F1071" s="627" t="s">
        <v>800</v>
      </c>
      <c r="G1071" s="597">
        <v>0.0</v>
      </c>
      <c r="H1071" s="598">
        <f t="shared" si="84"/>
        <v>0</v>
      </c>
      <c r="I1071" s="599"/>
      <c r="J1071" s="605">
        <v>50000.0</v>
      </c>
      <c r="K1071" s="615" t="s">
        <v>591</v>
      </c>
      <c r="L1071" s="616" t="s">
        <v>869</v>
      </c>
      <c r="M1071" s="621"/>
      <c r="N1071" s="621"/>
      <c r="O1071" s="621"/>
      <c r="P1071" s="602">
        <f t="shared" si="85"/>
        <v>0</v>
      </c>
      <c r="Q1071" s="622"/>
      <c r="R1071" s="74"/>
      <c r="S1071" s="74"/>
      <c r="T1071" s="74"/>
      <c r="U1071" s="74"/>
      <c r="V1071" s="74"/>
      <c r="W1071" s="74"/>
      <c r="X1071" s="74"/>
      <c r="Y1071" s="74"/>
      <c r="Z1071" s="74"/>
      <c r="AA1071" s="74"/>
      <c r="AB1071" s="74"/>
      <c r="AC1071" s="74"/>
      <c r="AD1071" s="74"/>
      <c r="AE1071" s="74"/>
      <c r="AF1071" s="74"/>
      <c r="AG1071" s="74"/>
      <c r="AH1071" s="74"/>
      <c r="AI1071" s="74"/>
    </row>
    <row r="1072" ht="22.5" customHeight="1">
      <c r="A1072" s="614">
        <v>45798.0</v>
      </c>
      <c r="B1072" s="626" t="s">
        <v>2218</v>
      </c>
      <c r="C1072" s="609"/>
      <c r="D1072" s="609"/>
      <c r="E1072" s="604" t="s">
        <v>33</v>
      </c>
      <c r="F1072" s="627" t="s">
        <v>674</v>
      </c>
      <c r="G1072" s="597">
        <v>0.0</v>
      </c>
      <c r="H1072" s="598">
        <f t="shared" si="84"/>
        <v>0</v>
      </c>
      <c r="I1072" s="599"/>
      <c r="J1072" s="605">
        <v>406500.0</v>
      </c>
      <c r="K1072" s="615" t="s">
        <v>93</v>
      </c>
      <c r="L1072" s="616" t="s">
        <v>870</v>
      </c>
      <c r="M1072" s="621"/>
      <c r="N1072" s="621"/>
      <c r="O1072" s="621"/>
      <c r="P1072" s="602">
        <f t="shared" si="85"/>
        <v>0</v>
      </c>
      <c r="Q1072" s="622"/>
      <c r="R1072" s="74"/>
      <c r="S1072" s="74"/>
      <c r="T1072" s="74"/>
      <c r="U1072" s="74"/>
      <c r="V1072" s="74"/>
      <c r="W1072" s="74"/>
      <c r="X1072" s="74"/>
      <c r="Y1072" s="74"/>
      <c r="Z1072" s="74"/>
      <c r="AA1072" s="74"/>
      <c r="AB1072" s="74"/>
      <c r="AC1072" s="74"/>
      <c r="AD1072" s="74"/>
      <c r="AE1072" s="74"/>
      <c r="AF1072" s="74"/>
      <c r="AG1072" s="74"/>
      <c r="AH1072" s="74"/>
      <c r="AI1072" s="74"/>
    </row>
    <row r="1073" ht="22.5" customHeight="1">
      <c r="A1073" s="614">
        <v>45798.0</v>
      </c>
      <c r="B1073" s="626" t="s">
        <v>2218</v>
      </c>
      <c r="C1073" s="609"/>
      <c r="D1073" s="610">
        <v>1700000.0</v>
      </c>
      <c r="E1073" s="604" t="s">
        <v>28</v>
      </c>
      <c r="F1073" s="627" t="s">
        <v>800</v>
      </c>
      <c r="G1073" s="597">
        <v>20.0</v>
      </c>
      <c r="H1073" s="598">
        <f t="shared" si="84"/>
        <v>283333.3333</v>
      </c>
      <c r="I1073" s="605"/>
      <c r="J1073" s="599"/>
      <c r="K1073" s="615" t="s">
        <v>48</v>
      </c>
      <c r="L1073" s="616"/>
      <c r="M1073" s="621"/>
      <c r="N1073" s="621"/>
      <c r="O1073" s="621"/>
      <c r="P1073" s="602">
        <f t="shared" si="85"/>
        <v>0</v>
      </c>
      <c r="Q1073" s="622"/>
      <c r="R1073" s="74"/>
      <c r="S1073" s="74"/>
      <c r="T1073" s="74"/>
      <c r="U1073" s="74"/>
      <c r="V1073" s="74"/>
      <c r="W1073" s="74"/>
      <c r="X1073" s="74"/>
      <c r="Y1073" s="74"/>
      <c r="Z1073" s="74"/>
      <c r="AA1073" s="74"/>
      <c r="AB1073" s="74"/>
      <c r="AC1073" s="74"/>
      <c r="AD1073" s="74"/>
      <c r="AE1073" s="74"/>
      <c r="AF1073" s="74"/>
      <c r="AG1073" s="74"/>
      <c r="AH1073" s="74"/>
      <c r="AI1073" s="74"/>
    </row>
    <row r="1074" ht="22.5" customHeight="1">
      <c r="A1074" s="614">
        <v>45798.0</v>
      </c>
      <c r="B1074" s="681" t="s">
        <v>2218</v>
      </c>
      <c r="C1074" s="609"/>
      <c r="D1074" s="609"/>
      <c r="E1074" s="604" t="s">
        <v>33</v>
      </c>
      <c r="F1074" s="627" t="s">
        <v>800</v>
      </c>
      <c r="G1074" s="597">
        <v>0.0</v>
      </c>
      <c r="H1074" s="689">
        <f t="shared" si="84"/>
        <v>0</v>
      </c>
      <c r="I1074" s="605">
        <v>1275000.0</v>
      </c>
      <c r="J1074" s="599"/>
      <c r="K1074" s="615" t="s">
        <v>48</v>
      </c>
      <c r="L1074" s="616"/>
      <c r="M1074" s="621"/>
      <c r="N1074" s="621"/>
      <c r="O1074" s="621"/>
      <c r="P1074" s="602">
        <f t="shared" si="85"/>
        <v>0</v>
      </c>
      <c r="Q1074" s="622"/>
      <c r="R1074" s="74"/>
      <c r="S1074" s="74"/>
      <c r="T1074" s="74"/>
      <c r="U1074" s="74"/>
      <c r="V1074" s="74"/>
      <c r="W1074" s="74"/>
      <c r="X1074" s="74"/>
      <c r="Y1074" s="74"/>
      <c r="Z1074" s="74"/>
      <c r="AA1074" s="74"/>
      <c r="AB1074" s="74"/>
      <c r="AC1074" s="74"/>
      <c r="AD1074" s="74"/>
      <c r="AE1074" s="74"/>
      <c r="AF1074" s="74"/>
      <c r="AG1074" s="74"/>
      <c r="AH1074" s="74"/>
      <c r="AI1074" s="74"/>
    </row>
    <row r="1075" ht="22.5" customHeight="1">
      <c r="A1075" s="614">
        <v>45800.0</v>
      </c>
      <c r="B1075" s="626" t="s">
        <v>2218</v>
      </c>
      <c r="C1075" s="609"/>
      <c r="D1075" s="609">
        <f>16025+367.45+399323.43</f>
        <v>415715.88</v>
      </c>
      <c r="E1075" s="606"/>
      <c r="F1075" s="627" t="s">
        <v>800</v>
      </c>
      <c r="G1075" s="688">
        <v>0.0</v>
      </c>
      <c r="H1075" s="689">
        <f t="shared" si="84"/>
        <v>0</v>
      </c>
      <c r="I1075" s="599"/>
      <c r="J1075" s="599"/>
      <c r="K1075" s="615" t="s">
        <v>280</v>
      </c>
      <c r="L1075" s="616" t="s">
        <v>248</v>
      </c>
      <c r="M1075" s="621"/>
      <c r="N1075" s="621"/>
      <c r="O1075" s="621"/>
      <c r="P1075" s="602">
        <f t="shared" si="85"/>
        <v>0</v>
      </c>
      <c r="Q1075" s="622"/>
      <c r="R1075" s="74"/>
      <c r="S1075" s="74"/>
      <c r="T1075" s="74"/>
      <c r="U1075" s="74"/>
      <c r="V1075" s="74"/>
      <c r="W1075" s="74"/>
      <c r="X1075" s="74"/>
      <c r="Y1075" s="74"/>
      <c r="Z1075" s="74"/>
      <c r="AA1075" s="74"/>
      <c r="AB1075" s="74"/>
      <c r="AC1075" s="74"/>
      <c r="AD1075" s="74"/>
      <c r="AE1075" s="74"/>
      <c r="AF1075" s="74"/>
      <c r="AG1075" s="74"/>
      <c r="AH1075" s="74"/>
      <c r="AI1075" s="74"/>
    </row>
    <row r="1076" ht="22.5" customHeight="1">
      <c r="A1076" s="614">
        <v>45800.0</v>
      </c>
      <c r="B1076" s="626" t="s">
        <v>2218</v>
      </c>
      <c r="C1076" s="610">
        <v>619200.0</v>
      </c>
      <c r="D1076" s="610"/>
      <c r="E1076" s="652"/>
      <c r="F1076" s="627" t="s">
        <v>626</v>
      </c>
      <c r="G1076" s="597">
        <v>20.0</v>
      </c>
      <c r="H1076" s="598">
        <f t="shared" si="84"/>
        <v>103200</v>
      </c>
      <c r="I1076" s="599"/>
      <c r="J1076" s="599"/>
      <c r="K1076" s="672" t="s">
        <v>51</v>
      </c>
      <c r="L1076" s="616" t="s">
        <v>474</v>
      </c>
      <c r="M1076" s="612" t="s">
        <v>850</v>
      </c>
      <c r="N1076" s="612">
        <v>98.0</v>
      </c>
      <c r="O1076" s="662">
        <v>45735.0</v>
      </c>
      <c r="P1076" s="602">
        <f t="shared" si="85"/>
        <v>65</v>
      </c>
      <c r="Q1076" s="622"/>
      <c r="R1076" s="74"/>
      <c r="S1076" s="74"/>
      <c r="T1076" s="74"/>
      <c r="U1076" s="74"/>
      <c r="V1076" s="74"/>
      <c r="W1076" s="74"/>
      <c r="X1076" s="74"/>
      <c r="Y1076" s="74"/>
      <c r="Z1076" s="74"/>
      <c r="AA1076" s="74"/>
      <c r="AB1076" s="74"/>
      <c r="AC1076" s="74"/>
      <c r="AD1076" s="74"/>
      <c r="AE1076" s="74"/>
      <c r="AF1076" s="74"/>
      <c r="AG1076" s="74"/>
      <c r="AH1076" s="74"/>
      <c r="AI1076" s="74"/>
    </row>
    <row r="1077" ht="22.5" customHeight="1">
      <c r="A1077" s="614">
        <v>45800.0</v>
      </c>
      <c r="B1077" s="626" t="s">
        <v>2218</v>
      </c>
      <c r="C1077" s="610">
        <v>2412000.0</v>
      </c>
      <c r="D1077" s="610"/>
      <c r="E1077" s="652"/>
      <c r="F1077" s="627" t="s">
        <v>626</v>
      </c>
      <c r="G1077" s="597">
        <v>20.0</v>
      </c>
      <c r="H1077" s="598">
        <f t="shared" si="84"/>
        <v>402000</v>
      </c>
      <c r="I1077" s="599"/>
      <c r="J1077" s="599"/>
      <c r="K1077" s="673" t="s">
        <v>51</v>
      </c>
      <c r="L1077" s="616" t="s">
        <v>474</v>
      </c>
      <c r="M1077" s="612" t="s">
        <v>855</v>
      </c>
      <c r="N1077" s="612">
        <v>99.0</v>
      </c>
      <c r="O1077" s="662">
        <v>45735.0</v>
      </c>
      <c r="P1077" s="602">
        <f t="shared" si="85"/>
        <v>65</v>
      </c>
      <c r="Q1077" s="622"/>
      <c r="R1077" s="74"/>
      <c r="S1077" s="74"/>
      <c r="T1077" s="74"/>
      <c r="U1077" s="74"/>
      <c r="V1077" s="74"/>
      <c r="W1077" s="74"/>
      <c r="X1077" s="74"/>
      <c r="Y1077" s="74"/>
      <c r="Z1077" s="74"/>
      <c r="AA1077" s="74"/>
      <c r="AB1077" s="74"/>
      <c r="AC1077" s="74"/>
      <c r="AD1077" s="74"/>
      <c r="AE1077" s="74"/>
      <c r="AF1077" s="74"/>
      <c r="AG1077" s="74"/>
      <c r="AH1077" s="74"/>
      <c r="AI1077" s="74"/>
    </row>
    <row r="1078" ht="22.5" customHeight="1">
      <c r="A1078" s="614">
        <v>45800.0</v>
      </c>
      <c r="B1078" s="626" t="s">
        <v>2218</v>
      </c>
      <c r="C1078" s="610">
        <v>3773418.78</v>
      </c>
      <c r="D1078" s="610"/>
      <c r="E1078" s="606"/>
      <c r="F1078" s="627" t="s">
        <v>722</v>
      </c>
      <c r="G1078" s="597">
        <v>20.0</v>
      </c>
      <c r="H1078" s="598">
        <f t="shared" si="84"/>
        <v>628903.13</v>
      </c>
      <c r="I1078" s="599"/>
      <c r="J1078" s="599"/>
      <c r="K1078" s="674" t="s">
        <v>51</v>
      </c>
      <c r="L1078" s="616" t="s">
        <v>871</v>
      </c>
      <c r="M1078" s="621"/>
      <c r="N1078" s="612">
        <v>196.0</v>
      </c>
      <c r="O1078" s="662">
        <v>45792.0</v>
      </c>
      <c r="P1078" s="602">
        <f t="shared" si="85"/>
        <v>8</v>
      </c>
      <c r="Q1078" s="622"/>
      <c r="R1078" s="74"/>
      <c r="S1078" s="74"/>
      <c r="T1078" s="74"/>
      <c r="U1078" s="74"/>
      <c r="V1078" s="74"/>
      <c r="W1078" s="74"/>
      <c r="X1078" s="74"/>
      <c r="Y1078" s="74"/>
      <c r="Z1078" s="74"/>
      <c r="AA1078" s="74"/>
      <c r="AB1078" s="74"/>
      <c r="AC1078" s="74"/>
      <c r="AD1078" s="74"/>
      <c r="AE1078" s="74"/>
      <c r="AF1078" s="74"/>
      <c r="AG1078" s="74"/>
      <c r="AH1078" s="74"/>
      <c r="AI1078" s="74"/>
    </row>
    <row r="1079" ht="22.5" customHeight="1">
      <c r="A1079" s="614">
        <v>45803.0</v>
      </c>
      <c r="B1079" s="626" t="s">
        <v>2218</v>
      </c>
      <c r="C1079" s="609"/>
      <c r="D1079" s="610">
        <v>117516.0</v>
      </c>
      <c r="E1079" s="606"/>
      <c r="F1079" s="627" t="s">
        <v>800</v>
      </c>
      <c r="G1079" s="597">
        <v>0.0</v>
      </c>
      <c r="H1079" s="598">
        <f t="shared" si="84"/>
        <v>0</v>
      </c>
      <c r="I1079" s="599"/>
      <c r="J1079" s="599"/>
      <c r="K1079" s="615" t="s">
        <v>30</v>
      </c>
      <c r="L1079" s="616" t="s">
        <v>828</v>
      </c>
      <c r="M1079" s="621"/>
      <c r="N1079" s="621"/>
      <c r="O1079" s="621"/>
      <c r="P1079" s="602">
        <f t="shared" si="85"/>
        <v>0</v>
      </c>
      <c r="Q1079" s="622"/>
      <c r="R1079" s="74"/>
      <c r="S1079" s="74"/>
      <c r="T1079" s="74"/>
      <c r="U1079" s="74"/>
      <c r="V1079" s="74"/>
      <c r="W1079" s="74"/>
      <c r="X1079" s="74"/>
      <c r="Y1079" s="74"/>
      <c r="Z1079" s="74"/>
      <c r="AA1079" s="74"/>
      <c r="AB1079" s="74"/>
      <c r="AC1079" s="74"/>
      <c r="AD1079" s="74"/>
      <c r="AE1079" s="74"/>
      <c r="AF1079" s="74"/>
      <c r="AG1079" s="74"/>
      <c r="AH1079" s="74"/>
      <c r="AI1079" s="74"/>
    </row>
    <row r="1080" ht="22.5" customHeight="1">
      <c r="A1080" s="614">
        <v>45803.0</v>
      </c>
      <c r="B1080" s="626" t="s">
        <v>2218</v>
      </c>
      <c r="C1080" s="609"/>
      <c r="D1080" s="609"/>
      <c r="E1080" s="604" t="s">
        <v>33</v>
      </c>
      <c r="F1080" s="627" t="s">
        <v>800</v>
      </c>
      <c r="G1080" s="597">
        <v>0.0</v>
      </c>
      <c r="H1080" s="598">
        <f t="shared" si="84"/>
        <v>0</v>
      </c>
      <c r="I1080" s="599"/>
      <c r="J1080" s="605">
        <v>20000.0</v>
      </c>
      <c r="K1080" s="615" t="s">
        <v>1181</v>
      </c>
      <c r="L1080" s="616" t="s">
        <v>872</v>
      </c>
      <c r="M1080" s="621"/>
      <c r="N1080" s="621"/>
      <c r="O1080" s="621"/>
      <c r="P1080" s="602">
        <f t="shared" si="85"/>
        <v>0</v>
      </c>
      <c r="Q1080" s="622"/>
      <c r="R1080" s="74"/>
      <c r="S1080" s="74"/>
      <c r="T1080" s="74"/>
      <c r="U1080" s="74"/>
      <c r="V1080" s="74"/>
      <c r="W1080" s="74"/>
      <c r="X1080" s="74"/>
      <c r="Y1080" s="74"/>
      <c r="Z1080" s="74"/>
      <c r="AA1080" s="74"/>
      <c r="AB1080" s="74"/>
      <c r="AC1080" s="74"/>
      <c r="AD1080" s="74"/>
      <c r="AE1080" s="74"/>
      <c r="AF1080" s="74"/>
      <c r="AG1080" s="74"/>
      <c r="AH1080" s="74"/>
      <c r="AI1080" s="74"/>
    </row>
    <row r="1081" ht="22.5" customHeight="1">
      <c r="A1081" s="614">
        <v>45803.0</v>
      </c>
      <c r="B1081" s="626" t="s">
        <v>2218</v>
      </c>
      <c r="C1081" s="609"/>
      <c r="D1081" s="609"/>
      <c r="E1081" s="604" t="s">
        <v>33</v>
      </c>
      <c r="F1081" s="627" t="s">
        <v>800</v>
      </c>
      <c r="G1081" s="597">
        <v>0.0</v>
      </c>
      <c r="H1081" s="598">
        <f t="shared" si="84"/>
        <v>0</v>
      </c>
      <c r="I1081" s="599"/>
      <c r="J1081" s="605">
        <v>10000.0</v>
      </c>
      <c r="K1081" s="615" t="s">
        <v>1181</v>
      </c>
      <c r="L1081" s="616" t="s">
        <v>873</v>
      </c>
      <c r="M1081" s="621"/>
      <c r="N1081" s="621"/>
      <c r="O1081" s="621"/>
      <c r="P1081" s="602">
        <f t="shared" si="85"/>
        <v>0</v>
      </c>
      <c r="Q1081" s="622"/>
      <c r="R1081" s="74"/>
      <c r="S1081" s="74"/>
      <c r="T1081" s="74"/>
      <c r="U1081" s="74"/>
      <c r="V1081" s="74"/>
      <c r="W1081" s="74"/>
      <c r="X1081" s="74"/>
      <c r="Y1081" s="74"/>
      <c r="Z1081" s="74"/>
      <c r="AA1081" s="74"/>
      <c r="AB1081" s="74"/>
      <c r="AC1081" s="74"/>
      <c r="AD1081" s="74"/>
      <c r="AE1081" s="74"/>
      <c r="AF1081" s="74"/>
      <c r="AG1081" s="74"/>
      <c r="AH1081" s="74"/>
      <c r="AI1081" s="74"/>
    </row>
    <row r="1082" ht="22.5" customHeight="1">
      <c r="A1082" s="614">
        <v>45803.0</v>
      </c>
      <c r="B1082" s="626" t="s">
        <v>2218</v>
      </c>
      <c r="C1082" s="609"/>
      <c r="D1082" s="610">
        <v>3600.0</v>
      </c>
      <c r="E1082" s="606"/>
      <c r="F1082" s="627" t="s">
        <v>800</v>
      </c>
      <c r="G1082" s="597">
        <v>20.0</v>
      </c>
      <c r="H1082" s="598">
        <f t="shared" si="84"/>
        <v>600</v>
      </c>
      <c r="I1082" s="599"/>
      <c r="J1082" s="599"/>
      <c r="K1082" s="615" t="s">
        <v>494</v>
      </c>
      <c r="L1082" s="616" t="s">
        <v>874</v>
      </c>
      <c r="M1082" s="621"/>
      <c r="N1082" s="621"/>
      <c r="O1082" s="621"/>
      <c r="P1082" s="602">
        <f t="shared" si="85"/>
        <v>0</v>
      </c>
      <c r="Q1082" s="613" t="s">
        <v>875</v>
      </c>
      <c r="R1082" s="74"/>
      <c r="S1082" s="74"/>
      <c r="T1082" s="74"/>
      <c r="U1082" s="74"/>
      <c r="V1082" s="74"/>
      <c r="W1082" s="74"/>
      <c r="X1082" s="74"/>
      <c r="Y1082" s="74"/>
      <c r="Z1082" s="74"/>
      <c r="AA1082" s="74"/>
      <c r="AB1082" s="74"/>
      <c r="AC1082" s="74"/>
      <c r="AD1082" s="74"/>
      <c r="AE1082" s="74"/>
      <c r="AF1082" s="74"/>
      <c r="AG1082" s="74"/>
      <c r="AH1082" s="74"/>
      <c r="AI1082" s="74"/>
    </row>
    <row r="1083" ht="22.5" customHeight="1">
      <c r="A1083" s="614">
        <v>45804.0</v>
      </c>
      <c r="B1083" s="675" t="s">
        <v>2218</v>
      </c>
      <c r="C1083" s="609"/>
      <c r="D1083" s="610">
        <v>309539.54</v>
      </c>
      <c r="E1083" s="606"/>
      <c r="F1083" s="627" t="s">
        <v>674</v>
      </c>
      <c r="G1083" s="597">
        <v>20.0</v>
      </c>
      <c r="H1083" s="598">
        <f t="shared" si="84"/>
        <v>51589.92333</v>
      </c>
      <c r="I1083" s="599"/>
      <c r="J1083" s="599"/>
      <c r="K1083" s="615" t="s">
        <v>2237</v>
      </c>
      <c r="L1083" s="615" t="s">
        <v>509</v>
      </c>
      <c r="M1083" s="621"/>
      <c r="N1083" s="621"/>
      <c r="O1083" s="621"/>
      <c r="P1083" s="602">
        <f t="shared" si="85"/>
        <v>0</v>
      </c>
      <c r="Q1083" s="682" t="s">
        <v>876</v>
      </c>
      <c r="R1083" s="74"/>
      <c r="S1083" s="74"/>
      <c r="T1083" s="74"/>
      <c r="U1083" s="74"/>
      <c r="V1083" s="74"/>
      <c r="W1083" s="74"/>
      <c r="X1083" s="74"/>
      <c r="Y1083" s="74"/>
      <c r="Z1083" s="74"/>
      <c r="AA1083" s="74"/>
      <c r="AB1083" s="74"/>
      <c r="AC1083" s="74"/>
      <c r="AD1083" s="74"/>
      <c r="AE1083" s="74"/>
      <c r="AF1083" s="74"/>
      <c r="AG1083" s="74"/>
      <c r="AH1083" s="74"/>
      <c r="AI1083" s="74"/>
    </row>
    <row r="1084" ht="22.5" customHeight="1">
      <c r="A1084" s="614">
        <v>45804.0</v>
      </c>
      <c r="B1084" s="626" t="s">
        <v>2218</v>
      </c>
      <c r="C1084" s="609"/>
      <c r="D1084" s="610">
        <v>968095.1</v>
      </c>
      <c r="E1084" s="696"/>
      <c r="F1084" s="697" t="s">
        <v>674</v>
      </c>
      <c r="G1084" s="597">
        <v>0.0</v>
      </c>
      <c r="H1084" s="598">
        <f t="shared" si="84"/>
        <v>0</v>
      </c>
      <c r="I1084" s="599"/>
      <c r="J1084" s="599"/>
      <c r="K1084" s="615" t="s">
        <v>93</v>
      </c>
      <c r="L1084" s="679" t="s">
        <v>516</v>
      </c>
      <c r="M1084" s="621"/>
      <c r="N1084" s="621"/>
      <c r="O1084" s="621"/>
      <c r="P1084" s="602">
        <f t="shared" si="85"/>
        <v>0</v>
      </c>
      <c r="Q1084" s="622"/>
      <c r="R1084" s="74"/>
      <c r="S1084" s="74"/>
      <c r="T1084" s="74"/>
      <c r="U1084" s="74"/>
      <c r="V1084" s="74"/>
      <c r="W1084" s="74"/>
      <c r="X1084" s="74"/>
      <c r="Y1084" s="74"/>
      <c r="Z1084" s="74"/>
      <c r="AA1084" s="74"/>
      <c r="AB1084" s="74"/>
      <c r="AC1084" s="74"/>
      <c r="AD1084" s="74"/>
      <c r="AE1084" s="74"/>
      <c r="AF1084" s="74"/>
      <c r="AG1084" s="74"/>
      <c r="AH1084" s="74"/>
      <c r="AI1084" s="74"/>
    </row>
    <row r="1085" ht="22.5" customHeight="1">
      <c r="A1085" s="614">
        <v>45804.0</v>
      </c>
      <c r="B1085" s="675" t="s">
        <v>2218</v>
      </c>
      <c r="C1085" s="609"/>
      <c r="D1085" s="609"/>
      <c r="E1085" s="604" t="s">
        <v>33</v>
      </c>
      <c r="F1085" s="627" t="s">
        <v>800</v>
      </c>
      <c r="G1085" s="597">
        <v>0.0</v>
      </c>
      <c r="H1085" s="598">
        <f t="shared" si="84"/>
        <v>0</v>
      </c>
      <c r="I1085" s="599"/>
      <c r="J1085" s="605">
        <v>25000.0</v>
      </c>
      <c r="K1085" s="615" t="s">
        <v>494</v>
      </c>
      <c r="L1085" s="616" t="s">
        <v>877</v>
      </c>
      <c r="M1085" s="621"/>
      <c r="N1085" s="621"/>
      <c r="O1085" s="621"/>
      <c r="P1085" s="602">
        <f t="shared" si="85"/>
        <v>0</v>
      </c>
      <c r="Q1085" s="622"/>
      <c r="R1085" s="74"/>
      <c r="S1085" s="74"/>
      <c r="T1085" s="74"/>
      <c r="U1085" s="74"/>
      <c r="V1085" s="74"/>
      <c r="W1085" s="74"/>
      <c r="X1085" s="74"/>
      <c r="Y1085" s="74"/>
      <c r="Z1085" s="74"/>
      <c r="AA1085" s="74"/>
      <c r="AB1085" s="74"/>
      <c r="AC1085" s="74"/>
      <c r="AD1085" s="74"/>
      <c r="AE1085" s="74"/>
      <c r="AF1085" s="74"/>
      <c r="AG1085" s="74"/>
      <c r="AH1085" s="74"/>
      <c r="AI1085" s="74"/>
    </row>
    <row r="1086" ht="22.5" customHeight="1">
      <c r="A1086" s="614">
        <v>45805.0</v>
      </c>
      <c r="B1086" s="675" t="s">
        <v>2218</v>
      </c>
      <c r="C1086" s="610">
        <v>720000.12</v>
      </c>
      <c r="D1086" s="609"/>
      <c r="E1086" s="606"/>
      <c r="F1086" s="627" t="s">
        <v>674</v>
      </c>
      <c r="G1086" s="597">
        <v>20.0</v>
      </c>
      <c r="H1086" s="598">
        <f t="shared" si="84"/>
        <v>120000.02</v>
      </c>
      <c r="I1086" s="599"/>
      <c r="J1086" s="599"/>
      <c r="K1086" s="615" t="s">
        <v>51</v>
      </c>
      <c r="L1086" s="616" t="s">
        <v>878</v>
      </c>
      <c r="M1086" s="612" t="s">
        <v>879</v>
      </c>
      <c r="N1086" s="612">
        <v>104.0</v>
      </c>
      <c r="O1086" s="662">
        <v>45757.0</v>
      </c>
      <c r="P1086" s="602">
        <f t="shared" si="85"/>
        <v>48</v>
      </c>
      <c r="Q1086" s="622"/>
      <c r="R1086" s="74"/>
      <c r="S1086" s="74"/>
      <c r="T1086" s="74"/>
      <c r="U1086" s="74"/>
      <c r="V1086" s="74"/>
      <c r="W1086" s="74"/>
      <c r="X1086" s="74"/>
      <c r="Y1086" s="74"/>
      <c r="Z1086" s="74"/>
      <c r="AA1086" s="74"/>
      <c r="AB1086" s="74"/>
      <c r="AC1086" s="74"/>
      <c r="AD1086" s="74"/>
      <c r="AE1086" s="74"/>
      <c r="AF1086" s="74"/>
      <c r="AG1086" s="74"/>
      <c r="AH1086" s="74"/>
      <c r="AI1086" s="74"/>
    </row>
    <row r="1087" ht="22.5" customHeight="1">
      <c r="A1087" s="614">
        <v>45805.0</v>
      </c>
      <c r="B1087" s="675" t="s">
        <v>2218</v>
      </c>
      <c r="C1087" s="610">
        <v>720000.12</v>
      </c>
      <c r="D1087" s="609"/>
      <c r="E1087" s="606"/>
      <c r="F1087" s="627" t="s">
        <v>674</v>
      </c>
      <c r="G1087" s="597">
        <v>20.0</v>
      </c>
      <c r="H1087" s="598">
        <f t="shared" si="84"/>
        <v>120000.02</v>
      </c>
      <c r="I1087" s="599"/>
      <c r="J1087" s="599"/>
      <c r="K1087" s="615" t="s">
        <v>51</v>
      </c>
      <c r="L1087" s="616" t="s">
        <v>878</v>
      </c>
      <c r="M1087" s="612" t="s">
        <v>880</v>
      </c>
      <c r="N1087" s="612">
        <v>105.0</v>
      </c>
      <c r="O1087" s="662">
        <v>45757.0</v>
      </c>
      <c r="P1087" s="602">
        <f t="shared" si="85"/>
        <v>48</v>
      </c>
      <c r="Q1087" s="622"/>
      <c r="R1087" s="74"/>
      <c r="S1087" s="74"/>
      <c r="T1087" s="74"/>
      <c r="U1087" s="74"/>
      <c r="V1087" s="74"/>
      <c r="W1087" s="74"/>
      <c r="X1087" s="74"/>
      <c r="Y1087" s="74"/>
      <c r="Z1087" s="74"/>
      <c r="AA1087" s="74"/>
      <c r="AB1087" s="74"/>
      <c r="AC1087" s="74"/>
      <c r="AD1087" s="74"/>
      <c r="AE1087" s="74"/>
      <c r="AF1087" s="74"/>
      <c r="AG1087" s="74"/>
      <c r="AH1087" s="74"/>
      <c r="AI1087" s="74"/>
    </row>
    <row r="1088" ht="22.5" customHeight="1">
      <c r="A1088" s="614">
        <v>45805.0</v>
      </c>
      <c r="B1088" s="675" t="s">
        <v>2218</v>
      </c>
      <c r="C1088" s="610">
        <v>720000.16</v>
      </c>
      <c r="D1088" s="609"/>
      <c r="E1088" s="606"/>
      <c r="F1088" s="627" t="s">
        <v>674</v>
      </c>
      <c r="G1088" s="597">
        <v>20.0</v>
      </c>
      <c r="H1088" s="598">
        <f t="shared" si="84"/>
        <v>120000.0267</v>
      </c>
      <c r="I1088" s="599"/>
      <c r="J1088" s="599"/>
      <c r="K1088" s="615" t="s">
        <v>51</v>
      </c>
      <c r="L1088" s="616" t="s">
        <v>878</v>
      </c>
      <c r="M1088" s="612" t="s">
        <v>881</v>
      </c>
      <c r="N1088" s="612">
        <v>115.0</v>
      </c>
      <c r="O1088" s="662">
        <v>45757.0</v>
      </c>
      <c r="P1088" s="602">
        <f t="shared" si="85"/>
        <v>48</v>
      </c>
      <c r="Q1088" s="622"/>
      <c r="R1088" s="74"/>
      <c r="S1088" s="74"/>
      <c r="T1088" s="74"/>
      <c r="U1088" s="74"/>
      <c r="V1088" s="74"/>
      <c r="W1088" s="74"/>
      <c r="X1088" s="74"/>
      <c r="Y1088" s="74"/>
      <c r="Z1088" s="74"/>
      <c r="AA1088" s="74"/>
      <c r="AB1088" s="74"/>
      <c r="AC1088" s="74"/>
      <c r="AD1088" s="74"/>
      <c r="AE1088" s="74"/>
      <c r="AF1088" s="74"/>
      <c r="AG1088" s="74"/>
      <c r="AH1088" s="74"/>
      <c r="AI1088" s="74"/>
    </row>
    <row r="1089" ht="22.5" customHeight="1">
      <c r="A1089" s="614">
        <v>45805.0</v>
      </c>
      <c r="B1089" s="675" t="s">
        <v>2218</v>
      </c>
      <c r="C1089" s="610">
        <v>720000.12</v>
      </c>
      <c r="D1089" s="609"/>
      <c r="E1089" s="606"/>
      <c r="F1089" s="627" t="s">
        <v>674</v>
      </c>
      <c r="G1089" s="597">
        <v>20.0</v>
      </c>
      <c r="H1089" s="598">
        <f t="shared" si="84"/>
        <v>120000.02</v>
      </c>
      <c r="I1089" s="599"/>
      <c r="J1089" s="599"/>
      <c r="K1089" s="615" t="s">
        <v>51</v>
      </c>
      <c r="L1089" s="616" t="s">
        <v>878</v>
      </c>
      <c r="M1089" s="612" t="s">
        <v>882</v>
      </c>
      <c r="N1089" s="612">
        <v>117.0</v>
      </c>
      <c r="O1089" s="662">
        <v>45757.0</v>
      </c>
      <c r="P1089" s="602">
        <f t="shared" si="85"/>
        <v>48</v>
      </c>
      <c r="Q1089" s="622"/>
      <c r="R1089" s="74"/>
      <c r="S1089" s="74"/>
      <c r="T1089" s="74"/>
      <c r="U1089" s="74"/>
      <c r="V1089" s="74"/>
      <c r="W1089" s="74"/>
      <c r="X1089" s="74"/>
      <c r="Y1089" s="74"/>
      <c r="Z1089" s="74"/>
      <c r="AA1089" s="74"/>
      <c r="AB1089" s="74"/>
      <c r="AC1089" s="74"/>
      <c r="AD1089" s="74"/>
      <c r="AE1089" s="74"/>
      <c r="AF1089" s="74"/>
      <c r="AG1089" s="74"/>
      <c r="AH1089" s="74"/>
      <c r="AI1089" s="74"/>
    </row>
    <row r="1090" ht="22.5" customHeight="1">
      <c r="A1090" s="614">
        <v>45805.0</v>
      </c>
      <c r="B1090" s="675" t="s">
        <v>2218</v>
      </c>
      <c r="C1090" s="610">
        <v>1200000.06</v>
      </c>
      <c r="D1090" s="609"/>
      <c r="E1090" s="606"/>
      <c r="F1090" s="627" t="s">
        <v>674</v>
      </c>
      <c r="G1090" s="597">
        <v>20.0</v>
      </c>
      <c r="H1090" s="598">
        <f t="shared" si="84"/>
        <v>200000.01</v>
      </c>
      <c r="I1090" s="599"/>
      <c r="J1090" s="599"/>
      <c r="K1090" s="615" t="s">
        <v>51</v>
      </c>
      <c r="L1090" s="616" t="s">
        <v>878</v>
      </c>
      <c r="M1090" s="612" t="s">
        <v>883</v>
      </c>
      <c r="N1090" s="612">
        <v>118.0</v>
      </c>
      <c r="O1090" s="662">
        <v>45757.0</v>
      </c>
      <c r="P1090" s="602">
        <f t="shared" si="85"/>
        <v>48</v>
      </c>
      <c r="Q1090" s="622"/>
      <c r="R1090" s="74"/>
      <c r="S1090" s="74"/>
      <c r="T1090" s="74"/>
      <c r="U1090" s="74"/>
      <c r="V1090" s="74"/>
      <c r="W1090" s="74"/>
      <c r="X1090" s="74"/>
      <c r="Y1090" s="74"/>
      <c r="Z1090" s="74"/>
      <c r="AA1090" s="74"/>
      <c r="AB1090" s="74"/>
      <c r="AC1090" s="74"/>
      <c r="AD1090" s="74"/>
      <c r="AE1090" s="74"/>
      <c r="AF1090" s="74"/>
      <c r="AG1090" s="74"/>
      <c r="AH1090" s="74"/>
      <c r="AI1090" s="74"/>
    </row>
    <row r="1091" ht="22.5" customHeight="1">
      <c r="A1091" s="614">
        <v>45805.0</v>
      </c>
      <c r="B1091" s="626" t="s">
        <v>2218</v>
      </c>
      <c r="C1091" s="610">
        <v>900000.36</v>
      </c>
      <c r="D1091" s="609"/>
      <c r="E1091" s="606"/>
      <c r="F1091" s="627" t="s">
        <v>674</v>
      </c>
      <c r="G1091" s="597">
        <v>20.0</v>
      </c>
      <c r="H1091" s="598">
        <f t="shared" si="84"/>
        <v>150000.06</v>
      </c>
      <c r="I1091" s="599"/>
      <c r="J1091" s="599"/>
      <c r="K1091" s="615" t="s">
        <v>51</v>
      </c>
      <c r="L1091" s="616" t="s">
        <v>878</v>
      </c>
      <c r="M1091" s="612" t="s">
        <v>884</v>
      </c>
      <c r="N1091" s="612">
        <v>119.0</v>
      </c>
      <c r="O1091" s="662">
        <v>45757.0</v>
      </c>
      <c r="P1091" s="602">
        <f t="shared" si="85"/>
        <v>48</v>
      </c>
      <c r="Q1091" s="622"/>
      <c r="R1091" s="74"/>
      <c r="S1091" s="74"/>
      <c r="T1091" s="74"/>
      <c r="U1091" s="74"/>
      <c r="V1091" s="74"/>
      <c r="W1091" s="74"/>
      <c r="X1091" s="74"/>
      <c r="Y1091" s="74"/>
      <c r="Z1091" s="74"/>
      <c r="AA1091" s="74"/>
      <c r="AB1091" s="74"/>
      <c r="AC1091" s="74"/>
      <c r="AD1091" s="74"/>
      <c r="AE1091" s="74"/>
      <c r="AF1091" s="74"/>
      <c r="AG1091" s="74"/>
      <c r="AH1091" s="74"/>
      <c r="AI1091" s="74"/>
    </row>
    <row r="1092" ht="22.5" customHeight="1">
      <c r="A1092" s="614">
        <v>45806.0</v>
      </c>
      <c r="B1092" s="675" t="s">
        <v>2218</v>
      </c>
      <c r="C1092" s="609"/>
      <c r="D1092" s="610"/>
      <c r="E1092" s="604" t="s">
        <v>33</v>
      </c>
      <c r="F1092" s="627" t="s">
        <v>800</v>
      </c>
      <c r="G1092" s="597">
        <v>0.0</v>
      </c>
      <c r="H1092" s="598">
        <f t="shared" si="84"/>
        <v>0</v>
      </c>
      <c r="I1092" s="599"/>
      <c r="J1092" s="605">
        <v>60000.0</v>
      </c>
      <c r="K1092" s="615" t="s">
        <v>591</v>
      </c>
      <c r="L1092" s="616" t="s">
        <v>885</v>
      </c>
      <c r="M1092" s="621"/>
      <c r="N1092" s="621"/>
      <c r="O1092" s="621"/>
      <c r="P1092" s="602">
        <f t="shared" si="85"/>
        <v>0</v>
      </c>
      <c r="Q1092" s="622"/>
      <c r="R1092" s="74"/>
      <c r="S1092" s="74"/>
      <c r="T1092" s="74"/>
      <c r="U1092" s="74"/>
      <c r="V1092" s="74"/>
      <c r="W1092" s="74"/>
      <c r="X1092" s="74"/>
      <c r="Y1092" s="74"/>
      <c r="Z1092" s="74"/>
      <c r="AA1092" s="74"/>
      <c r="AB1092" s="74"/>
      <c r="AC1092" s="74"/>
      <c r="AD1092" s="74"/>
      <c r="AE1092" s="74"/>
      <c r="AF1092" s="74"/>
      <c r="AG1092" s="74"/>
      <c r="AH1092" s="74"/>
      <c r="AI1092" s="74"/>
    </row>
    <row r="1093" ht="22.5" customHeight="1">
      <c r="A1093" s="614">
        <v>45806.0</v>
      </c>
      <c r="B1093" s="626" t="s">
        <v>2218</v>
      </c>
      <c r="C1093" s="609"/>
      <c r="D1093" s="610">
        <v>17151.29</v>
      </c>
      <c r="E1093" s="606"/>
      <c r="F1093" s="627" t="s">
        <v>800</v>
      </c>
      <c r="G1093" s="597">
        <v>0.0</v>
      </c>
      <c r="H1093" s="598">
        <f t="shared" si="84"/>
        <v>0</v>
      </c>
      <c r="I1093" s="599"/>
      <c r="J1093" s="605"/>
      <c r="K1093" s="615" t="s">
        <v>591</v>
      </c>
      <c r="L1093" s="616" t="s">
        <v>886</v>
      </c>
      <c r="M1093" s="621"/>
      <c r="N1093" s="621"/>
      <c r="O1093" s="621"/>
      <c r="P1093" s="602">
        <f t="shared" si="85"/>
        <v>0</v>
      </c>
      <c r="Q1093" s="622"/>
      <c r="R1093" s="74"/>
      <c r="S1093" s="74"/>
      <c r="T1093" s="74"/>
      <c r="U1093" s="74"/>
      <c r="V1093" s="74"/>
      <c r="W1093" s="74"/>
      <c r="X1093" s="74"/>
      <c r="Y1093" s="74"/>
      <c r="Z1093" s="74"/>
      <c r="AA1093" s="74"/>
      <c r="AB1093" s="74"/>
      <c r="AC1093" s="74"/>
      <c r="AD1093" s="74"/>
      <c r="AE1093" s="74"/>
      <c r="AF1093" s="74"/>
      <c r="AG1093" s="74"/>
      <c r="AH1093" s="74"/>
      <c r="AI1093" s="74"/>
    </row>
    <row r="1094" ht="22.5" customHeight="1">
      <c r="A1094" s="614">
        <v>45806.0</v>
      </c>
      <c r="B1094" s="675" t="s">
        <v>2218</v>
      </c>
      <c r="C1094" s="609"/>
      <c r="D1094" s="610">
        <v>40000.0</v>
      </c>
      <c r="E1094" s="606"/>
      <c r="F1094" s="627" t="s">
        <v>800</v>
      </c>
      <c r="G1094" s="597">
        <v>0.0</v>
      </c>
      <c r="H1094" s="598">
        <f t="shared" si="84"/>
        <v>0</v>
      </c>
      <c r="I1094" s="599"/>
      <c r="J1094" s="599"/>
      <c r="K1094" s="615" t="s">
        <v>30</v>
      </c>
      <c r="L1094" s="616" t="s">
        <v>887</v>
      </c>
      <c r="M1094" s="621"/>
      <c r="N1094" s="621"/>
      <c r="O1094" s="621"/>
      <c r="P1094" s="602">
        <f t="shared" si="85"/>
        <v>0</v>
      </c>
      <c r="Q1094" s="622"/>
      <c r="R1094" s="74"/>
      <c r="S1094" s="74"/>
      <c r="T1094" s="74"/>
      <c r="U1094" s="74"/>
      <c r="V1094" s="74"/>
      <c r="W1094" s="74"/>
      <c r="X1094" s="74"/>
      <c r="Y1094" s="74"/>
      <c r="Z1094" s="74"/>
      <c r="AA1094" s="74"/>
      <c r="AB1094" s="74"/>
      <c r="AC1094" s="74"/>
      <c r="AD1094" s="74"/>
      <c r="AE1094" s="74"/>
      <c r="AF1094" s="74"/>
      <c r="AG1094" s="74"/>
      <c r="AH1094" s="74"/>
      <c r="AI1094" s="74"/>
    </row>
    <row r="1095" ht="22.5" customHeight="1">
      <c r="A1095" s="614">
        <v>45806.0</v>
      </c>
      <c r="B1095" s="675" t="s">
        <v>2218</v>
      </c>
      <c r="C1095" s="609"/>
      <c r="D1095" s="610">
        <v>84210.0</v>
      </c>
      <c r="E1095" s="606"/>
      <c r="F1095" s="627" t="s">
        <v>800</v>
      </c>
      <c r="G1095" s="597">
        <v>0.0</v>
      </c>
      <c r="H1095" s="598">
        <f t="shared" si="84"/>
        <v>0</v>
      </c>
      <c r="I1095" s="599"/>
      <c r="J1095" s="599"/>
      <c r="K1095" s="680" t="s">
        <v>236</v>
      </c>
      <c r="L1095" s="616" t="s">
        <v>72</v>
      </c>
      <c r="M1095" s="621"/>
      <c r="N1095" s="621"/>
      <c r="O1095" s="621"/>
      <c r="P1095" s="602">
        <f t="shared" si="85"/>
        <v>0</v>
      </c>
      <c r="Q1095" s="622"/>
      <c r="R1095" s="74"/>
      <c r="S1095" s="74"/>
      <c r="T1095" s="74"/>
      <c r="U1095" s="74"/>
      <c r="V1095" s="74"/>
      <c r="W1095" s="74"/>
      <c r="X1095" s="74"/>
      <c r="Y1095" s="74"/>
      <c r="Z1095" s="74"/>
      <c r="AA1095" s="74"/>
      <c r="AB1095" s="74"/>
      <c r="AC1095" s="74"/>
      <c r="AD1095" s="74"/>
      <c r="AE1095" s="74"/>
      <c r="AF1095" s="74"/>
      <c r="AG1095" s="74"/>
      <c r="AH1095" s="74"/>
      <c r="AI1095" s="74"/>
    </row>
    <row r="1096" ht="22.5" customHeight="1">
      <c r="A1096" s="614">
        <v>45806.0</v>
      </c>
      <c r="B1096" s="626" t="s">
        <v>2218</v>
      </c>
      <c r="C1096" s="609"/>
      <c r="D1096" s="610">
        <v>232032.6</v>
      </c>
      <c r="E1096" s="606"/>
      <c r="F1096" s="627" t="s">
        <v>800</v>
      </c>
      <c r="G1096" s="597">
        <v>0.0</v>
      </c>
      <c r="H1096" s="598">
        <f t="shared" si="84"/>
        <v>0</v>
      </c>
      <c r="I1096" s="599"/>
      <c r="J1096" s="599"/>
      <c r="K1096" s="680" t="s">
        <v>236</v>
      </c>
      <c r="L1096" s="616" t="s">
        <v>72</v>
      </c>
      <c r="M1096" s="621"/>
      <c r="N1096" s="621"/>
      <c r="O1096" s="621"/>
      <c r="P1096" s="602">
        <f t="shared" si="85"/>
        <v>0</v>
      </c>
      <c r="Q1096" s="622"/>
      <c r="R1096" s="74"/>
      <c r="S1096" s="74"/>
      <c r="T1096" s="74"/>
      <c r="U1096" s="74"/>
      <c r="V1096" s="74"/>
      <c r="W1096" s="74"/>
      <c r="X1096" s="74"/>
      <c r="Y1096" s="74"/>
      <c r="Z1096" s="74"/>
      <c r="AA1096" s="74"/>
      <c r="AB1096" s="74"/>
      <c r="AC1096" s="74"/>
      <c r="AD1096" s="74"/>
      <c r="AE1096" s="74"/>
      <c r="AF1096" s="74"/>
      <c r="AG1096" s="74"/>
      <c r="AH1096" s="74"/>
      <c r="AI1096" s="74"/>
    </row>
    <row r="1097" ht="22.5" customHeight="1">
      <c r="A1097" s="614">
        <v>45806.0</v>
      </c>
      <c r="B1097" s="675" t="s">
        <v>2218</v>
      </c>
      <c r="C1097" s="609"/>
      <c r="D1097" s="610">
        <v>1172793.0</v>
      </c>
      <c r="E1097" s="606"/>
      <c r="F1097" s="627" t="s">
        <v>800</v>
      </c>
      <c r="G1097" s="597">
        <v>0.0</v>
      </c>
      <c r="H1097" s="598">
        <f t="shared" si="84"/>
        <v>0</v>
      </c>
      <c r="I1097" s="599"/>
      <c r="J1097" s="599"/>
      <c r="K1097" s="680" t="s">
        <v>236</v>
      </c>
      <c r="L1097" s="616" t="s">
        <v>72</v>
      </c>
      <c r="M1097" s="621"/>
      <c r="N1097" s="621"/>
      <c r="O1097" s="621"/>
      <c r="P1097" s="602">
        <f t="shared" si="85"/>
        <v>0</v>
      </c>
      <c r="Q1097" s="622"/>
      <c r="R1097" s="74"/>
      <c r="S1097" s="74"/>
      <c r="T1097" s="74"/>
      <c r="U1097" s="74"/>
      <c r="V1097" s="74"/>
      <c r="W1097" s="74"/>
      <c r="X1097" s="74"/>
      <c r="Y1097" s="74"/>
      <c r="Z1097" s="74"/>
      <c r="AA1097" s="74"/>
      <c r="AB1097" s="74"/>
      <c r="AC1097" s="74"/>
      <c r="AD1097" s="74"/>
      <c r="AE1097" s="74"/>
      <c r="AF1097" s="74"/>
      <c r="AG1097" s="74"/>
      <c r="AH1097" s="74"/>
      <c r="AI1097" s="74"/>
    </row>
    <row r="1098" ht="22.5" customHeight="1">
      <c r="A1098" s="614">
        <v>45806.0</v>
      </c>
      <c r="B1098" s="675" t="s">
        <v>2218</v>
      </c>
      <c r="C1098" s="609"/>
      <c r="D1098" s="610">
        <v>1824104.0</v>
      </c>
      <c r="E1098" s="606"/>
      <c r="F1098" s="627" t="s">
        <v>800</v>
      </c>
      <c r="G1098" s="597">
        <v>0.0</v>
      </c>
      <c r="H1098" s="598">
        <f t="shared" si="84"/>
        <v>0</v>
      </c>
      <c r="I1098" s="599"/>
      <c r="J1098" s="599"/>
      <c r="K1098" s="680" t="s">
        <v>236</v>
      </c>
      <c r="L1098" s="616" t="s">
        <v>72</v>
      </c>
      <c r="M1098" s="621"/>
      <c r="N1098" s="621"/>
      <c r="O1098" s="621"/>
      <c r="P1098" s="602">
        <f t="shared" si="85"/>
        <v>0</v>
      </c>
      <c r="Q1098" s="622"/>
      <c r="R1098" s="74"/>
      <c r="S1098" s="74"/>
      <c r="T1098" s="74"/>
      <c r="U1098" s="74"/>
      <c r="V1098" s="74"/>
      <c r="W1098" s="74"/>
      <c r="X1098" s="74"/>
      <c r="Y1098" s="74"/>
      <c r="Z1098" s="74"/>
      <c r="AA1098" s="74"/>
      <c r="AB1098" s="74"/>
      <c r="AC1098" s="74"/>
      <c r="AD1098" s="74"/>
      <c r="AE1098" s="74"/>
      <c r="AF1098" s="74"/>
      <c r="AG1098" s="74"/>
      <c r="AH1098" s="74"/>
      <c r="AI1098" s="74"/>
    </row>
    <row r="1099" ht="22.5" customHeight="1">
      <c r="A1099" s="614">
        <v>45806.0</v>
      </c>
      <c r="B1099" s="675" t="s">
        <v>2218</v>
      </c>
      <c r="C1099" s="610">
        <v>1067094.0</v>
      </c>
      <c r="D1099" s="609"/>
      <c r="E1099" s="606"/>
      <c r="F1099" s="627" t="s">
        <v>674</v>
      </c>
      <c r="G1099" s="597">
        <v>20.0</v>
      </c>
      <c r="H1099" s="598">
        <f t="shared" si="84"/>
        <v>177849</v>
      </c>
      <c r="I1099" s="599"/>
      <c r="J1099" s="599"/>
      <c r="K1099" s="615" t="s">
        <v>51</v>
      </c>
      <c r="L1099" s="616" t="s">
        <v>624</v>
      </c>
      <c r="M1099" s="612" t="s">
        <v>888</v>
      </c>
      <c r="N1099" s="612">
        <v>142.0</v>
      </c>
      <c r="O1099" s="662">
        <v>45758.0</v>
      </c>
      <c r="P1099" s="602">
        <f t="shared" si="85"/>
        <v>48</v>
      </c>
      <c r="Q1099" s="622"/>
      <c r="R1099" s="74"/>
      <c r="S1099" s="74"/>
      <c r="T1099" s="74"/>
      <c r="U1099" s="74"/>
      <c r="V1099" s="74"/>
      <c r="W1099" s="74"/>
      <c r="X1099" s="74"/>
      <c r="Y1099" s="74"/>
      <c r="Z1099" s="74"/>
      <c r="AA1099" s="74"/>
      <c r="AB1099" s="74"/>
      <c r="AC1099" s="74"/>
      <c r="AD1099" s="74"/>
      <c r="AE1099" s="74"/>
      <c r="AF1099" s="74"/>
      <c r="AG1099" s="74"/>
      <c r="AH1099" s="74"/>
      <c r="AI1099" s="74"/>
    </row>
    <row r="1100" ht="22.5" customHeight="1">
      <c r="A1100" s="614">
        <v>45806.0</v>
      </c>
      <c r="B1100" s="675" t="s">
        <v>2218</v>
      </c>
      <c r="C1100" s="610">
        <v>960000.0</v>
      </c>
      <c r="D1100" s="609"/>
      <c r="E1100" s="606"/>
      <c r="F1100" s="627" t="s">
        <v>674</v>
      </c>
      <c r="G1100" s="597">
        <v>20.0</v>
      </c>
      <c r="H1100" s="598">
        <f t="shared" si="84"/>
        <v>160000</v>
      </c>
      <c r="I1100" s="599"/>
      <c r="J1100" s="599"/>
      <c r="K1100" s="615" t="s">
        <v>51</v>
      </c>
      <c r="L1100" s="616" t="s">
        <v>624</v>
      </c>
      <c r="M1100" s="612" t="s">
        <v>889</v>
      </c>
      <c r="N1100" s="612">
        <v>143.0</v>
      </c>
      <c r="O1100" s="662">
        <v>45758.0</v>
      </c>
      <c r="P1100" s="602">
        <f t="shared" si="85"/>
        <v>48</v>
      </c>
      <c r="Q1100" s="622"/>
      <c r="R1100" s="74"/>
      <c r="S1100" s="74"/>
      <c r="T1100" s="74"/>
      <c r="U1100" s="74"/>
      <c r="V1100" s="74"/>
      <c r="W1100" s="74"/>
      <c r="X1100" s="74"/>
      <c r="Y1100" s="74"/>
      <c r="Z1100" s="74"/>
      <c r="AA1100" s="74"/>
      <c r="AB1100" s="74"/>
      <c r="AC1100" s="74"/>
      <c r="AD1100" s="74"/>
      <c r="AE1100" s="74"/>
      <c r="AF1100" s="74"/>
      <c r="AG1100" s="74"/>
      <c r="AH1100" s="74"/>
      <c r="AI1100" s="74"/>
    </row>
    <row r="1101" ht="22.5" customHeight="1">
      <c r="A1101" s="614">
        <v>45806.0</v>
      </c>
      <c r="B1101" s="626" t="s">
        <v>2218</v>
      </c>
      <c r="C1101" s="610">
        <v>1200150.0</v>
      </c>
      <c r="D1101" s="610"/>
      <c r="E1101" s="606"/>
      <c r="F1101" s="627" t="s">
        <v>722</v>
      </c>
      <c r="G1101" s="597">
        <v>20.0</v>
      </c>
      <c r="H1101" s="598">
        <f t="shared" si="84"/>
        <v>200025</v>
      </c>
      <c r="I1101" s="599"/>
      <c r="J1101" s="599"/>
      <c r="K1101" s="672" t="s">
        <v>51</v>
      </c>
      <c r="L1101" s="616" t="s">
        <v>641</v>
      </c>
      <c r="M1101" s="612" t="s">
        <v>856</v>
      </c>
      <c r="N1101" s="612">
        <v>191.0</v>
      </c>
      <c r="O1101" s="662">
        <v>45790.0</v>
      </c>
      <c r="P1101" s="602">
        <f t="shared" si="85"/>
        <v>16</v>
      </c>
      <c r="Q1101" s="622"/>
      <c r="R1101" s="74"/>
      <c r="S1101" s="74"/>
      <c r="T1101" s="74"/>
      <c r="U1101" s="74"/>
      <c r="V1101" s="74"/>
      <c r="W1101" s="74"/>
      <c r="X1101" s="74"/>
      <c r="Y1101" s="74"/>
      <c r="Z1101" s="74"/>
      <c r="AA1101" s="74"/>
      <c r="AB1101" s="74"/>
      <c r="AC1101" s="74"/>
      <c r="AD1101" s="74"/>
      <c r="AE1101" s="74"/>
      <c r="AF1101" s="74"/>
      <c r="AG1101" s="74"/>
      <c r="AH1101" s="74"/>
      <c r="AI1101" s="74"/>
    </row>
    <row r="1102" ht="22.5" customHeight="1">
      <c r="A1102" s="614">
        <v>45806.0</v>
      </c>
      <c r="B1102" s="626" t="s">
        <v>2218</v>
      </c>
      <c r="C1102" s="610">
        <v>1087557.6</v>
      </c>
      <c r="D1102" s="610"/>
      <c r="E1102" s="606"/>
      <c r="F1102" s="627" t="s">
        <v>722</v>
      </c>
      <c r="G1102" s="597">
        <v>20.0</v>
      </c>
      <c r="H1102" s="598">
        <f t="shared" si="84"/>
        <v>181259.6</v>
      </c>
      <c r="I1102" s="599"/>
      <c r="J1102" s="599"/>
      <c r="K1102" s="673" t="s">
        <v>51</v>
      </c>
      <c r="L1102" s="616" t="s">
        <v>641</v>
      </c>
      <c r="M1102" s="612" t="s">
        <v>857</v>
      </c>
      <c r="N1102" s="612">
        <v>192.0</v>
      </c>
      <c r="O1102" s="662">
        <v>45790.0</v>
      </c>
      <c r="P1102" s="602">
        <f t="shared" si="85"/>
        <v>16</v>
      </c>
      <c r="Q1102" s="622"/>
      <c r="R1102" s="74"/>
      <c r="S1102" s="74"/>
      <c r="T1102" s="74"/>
      <c r="U1102" s="74"/>
      <c r="V1102" s="74"/>
      <c r="W1102" s="74"/>
      <c r="X1102" s="74"/>
      <c r="Y1102" s="74"/>
      <c r="Z1102" s="74"/>
      <c r="AA1102" s="74"/>
      <c r="AB1102" s="74"/>
      <c r="AC1102" s="74"/>
      <c r="AD1102" s="74"/>
      <c r="AE1102" s="74"/>
      <c r="AF1102" s="74"/>
      <c r="AG1102" s="74"/>
      <c r="AH1102" s="74"/>
      <c r="AI1102" s="74"/>
    </row>
    <row r="1103" ht="22.5" customHeight="1">
      <c r="A1103" s="614">
        <v>45810.0</v>
      </c>
      <c r="B1103" s="626" t="s">
        <v>2218</v>
      </c>
      <c r="C1103" s="609"/>
      <c r="D1103" s="610">
        <v>177108.0</v>
      </c>
      <c r="E1103" s="606"/>
      <c r="F1103" s="627" t="s">
        <v>674</v>
      </c>
      <c r="G1103" s="597">
        <v>20.0</v>
      </c>
      <c r="H1103" s="689">
        <f t="shared" si="84"/>
        <v>29518</v>
      </c>
      <c r="I1103" s="599"/>
      <c r="J1103" s="599"/>
      <c r="K1103" s="615" t="s">
        <v>101</v>
      </c>
      <c r="L1103" s="692" t="s">
        <v>643</v>
      </c>
      <c r="M1103" s="621"/>
      <c r="N1103" s="621"/>
      <c r="O1103" s="621"/>
      <c r="P1103" s="602">
        <f t="shared" si="85"/>
        <v>0</v>
      </c>
      <c r="Q1103" s="682" t="s">
        <v>890</v>
      </c>
      <c r="R1103" s="74"/>
      <c r="S1103" s="74"/>
      <c r="T1103" s="74"/>
      <c r="U1103" s="74"/>
      <c r="V1103" s="74"/>
      <c r="W1103" s="74"/>
      <c r="X1103" s="74"/>
      <c r="Y1103" s="74"/>
      <c r="Z1103" s="74"/>
      <c r="AA1103" s="74"/>
      <c r="AB1103" s="74"/>
      <c r="AC1103" s="74"/>
      <c r="AD1103" s="74"/>
      <c r="AE1103" s="74"/>
      <c r="AF1103" s="74"/>
      <c r="AG1103" s="74"/>
      <c r="AH1103" s="74"/>
      <c r="AI1103" s="74"/>
    </row>
    <row r="1104" ht="22.5" customHeight="1">
      <c r="A1104" s="614">
        <v>45810.0</v>
      </c>
      <c r="B1104" s="626" t="s">
        <v>2218</v>
      </c>
      <c r="C1104" s="609"/>
      <c r="D1104" s="610">
        <v>821148.9</v>
      </c>
      <c r="E1104" s="606"/>
      <c r="F1104" s="627" t="s">
        <v>674</v>
      </c>
      <c r="G1104" s="597">
        <v>20.0</v>
      </c>
      <c r="H1104" s="689">
        <f t="shared" si="84"/>
        <v>136858.15</v>
      </c>
      <c r="I1104" s="599"/>
      <c r="J1104" s="599"/>
      <c r="K1104" s="615" t="s">
        <v>101</v>
      </c>
      <c r="L1104" s="692" t="s">
        <v>597</v>
      </c>
      <c r="M1104" s="621"/>
      <c r="N1104" s="621"/>
      <c r="O1104" s="621"/>
      <c r="P1104" s="602">
        <f t="shared" si="85"/>
        <v>0</v>
      </c>
      <c r="Q1104" s="682" t="s">
        <v>891</v>
      </c>
      <c r="R1104" s="74"/>
      <c r="S1104" s="74"/>
      <c r="T1104" s="74"/>
      <c r="U1104" s="74"/>
      <c r="V1104" s="74"/>
      <c r="W1104" s="74"/>
      <c r="X1104" s="74"/>
      <c r="Y1104" s="74"/>
      <c r="Z1104" s="74"/>
      <c r="AA1104" s="74"/>
      <c r="AB1104" s="74"/>
      <c r="AC1104" s="74"/>
      <c r="AD1104" s="74"/>
      <c r="AE1104" s="74"/>
      <c r="AF1104" s="74"/>
      <c r="AG1104" s="74"/>
      <c r="AH1104" s="74"/>
      <c r="AI1104" s="74"/>
    </row>
    <row r="1105" ht="22.5" customHeight="1">
      <c r="A1105" s="614">
        <v>45810.0</v>
      </c>
      <c r="B1105" s="626" t="s">
        <v>2218</v>
      </c>
      <c r="C1105" s="609"/>
      <c r="D1105" s="610">
        <v>139989.0</v>
      </c>
      <c r="E1105" s="604" t="s">
        <v>28</v>
      </c>
      <c r="F1105" s="627" t="s">
        <v>674</v>
      </c>
      <c r="G1105" s="597">
        <v>0.0</v>
      </c>
      <c r="H1105" s="689">
        <f t="shared" si="84"/>
        <v>0</v>
      </c>
      <c r="I1105" s="599"/>
      <c r="J1105" s="599"/>
      <c r="K1105" s="615" t="s">
        <v>101</v>
      </c>
      <c r="L1105" s="698" t="s">
        <v>631</v>
      </c>
      <c r="M1105" s="621"/>
      <c r="N1105" s="621"/>
      <c r="O1105" s="621"/>
      <c r="P1105" s="602">
        <f t="shared" si="85"/>
        <v>0</v>
      </c>
      <c r="Q1105" s="682" t="s">
        <v>892</v>
      </c>
      <c r="R1105" s="74"/>
      <c r="S1105" s="74"/>
      <c r="T1105" s="74"/>
      <c r="U1105" s="74"/>
      <c r="V1105" s="74"/>
      <c r="W1105" s="74"/>
      <c r="X1105" s="74"/>
      <c r="Y1105" s="74"/>
      <c r="Z1105" s="74"/>
      <c r="AA1105" s="74"/>
      <c r="AB1105" s="74"/>
      <c r="AC1105" s="74"/>
      <c r="AD1105" s="74"/>
      <c r="AE1105" s="74"/>
      <c r="AF1105" s="74"/>
      <c r="AG1105" s="74"/>
      <c r="AH1105" s="74"/>
      <c r="AI1105" s="74"/>
    </row>
    <row r="1106" ht="22.5" customHeight="1">
      <c r="A1106" s="614">
        <v>45810.0</v>
      </c>
      <c r="B1106" s="626" t="s">
        <v>2218</v>
      </c>
      <c r="C1106" s="609"/>
      <c r="D1106" s="610">
        <v>67203.25</v>
      </c>
      <c r="E1106" s="606"/>
      <c r="F1106" s="627" t="s">
        <v>674</v>
      </c>
      <c r="G1106" s="597">
        <v>5.0</v>
      </c>
      <c r="H1106" s="689">
        <f t="shared" si="84"/>
        <v>3200.154762</v>
      </c>
      <c r="I1106" s="599"/>
      <c r="J1106" s="599"/>
      <c r="K1106" s="615" t="s">
        <v>101</v>
      </c>
      <c r="L1106" s="692" t="s">
        <v>671</v>
      </c>
      <c r="M1106" s="621"/>
      <c r="N1106" s="621"/>
      <c r="O1106" s="621"/>
      <c r="P1106" s="602">
        <f t="shared" si="85"/>
        <v>0</v>
      </c>
      <c r="Q1106" s="622"/>
      <c r="R1106" s="74"/>
      <c r="S1106" s="74"/>
      <c r="T1106" s="74"/>
      <c r="U1106" s="74"/>
      <c r="V1106" s="74"/>
      <c r="W1106" s="74"/>
      <c r="X1106" s="74"/>
      <c r="Y1106" s="74"/>
      <c r="Z1106" s="74"/>
      <c r="AA1106" s="74"/>
      <c r="AB1106" s="74"/>
      <c r="AC1106" s="74"/>
      <c r="AD1106" s="74"/>
      <c r="AE1106" s="74"/>
      <c r="AF1106" s="74"/>
      <c r="AG1106" s="74"/>
      <c r="AH1106" s="74"/>
      <c r="AI1106" s="74"/>
    </row>
    <row r="1107" ht="22.5" customHeight="1">
      <c r="A1107" s="614">
        <v>45810.0</v>
      </c>
      <c r="B1107" s="626" t="s">
        <v>2218</v>
      </c>
      <c r="C1107" s="609"/>
      <c r="D1107" s="610">
        <v>301109.92</v>
      </c>
      <c r="E1107" s="606"/>
      <c r="F1107" s="627" t="s">
        <v>674</v>
      </c>
      <c r="G1107" s="597">
        <v>20.0</v>
      </c>
      <c r="H1107" s="689">
        <f t="shared" si="84"/>
        <v>50184.98667</v>
      </c>
      <c r="I1107" s="599"/>
      <c r="J1107" s="599"/>
      <c r="K1107" s="615" t="s">
        <v>44</v>
      </c>
      <c r="L1107" s="616" t="s">
        <v>2247</v>
      </c>
      <c r="M1107" s="621"/>
      <c r="N1107" s="621"/>
      <c r="O1107" s="621"/>
      <c r="P1107" s="602">
        <f t="shared" si="85"/>
        <v>0</v>
      </c>
      <c r="Q1107" s="682" t="s">
        <v>893</v>
      </c>
      <c r="R1107" s="74"/>
      <c r="S1107" s="74"/>
      <c r="T1107" s="74"/>
      <c r="U1107" s="74"/>
      <c r="V1107" s="74"/>
      <c r="W1107" s="74"/>
      <c r="X1107" s="74"/>
      <c r="Y1107" s="74"/>
      <c r="Z1107" s="74"/>
      <c r="AA1107" s="74"/>
      <c r="AB1107" s="74"/>
      <c r="AC1107" s="74"/>
      <c r="AD1107" s="74"/>
      <c r="AE1107" s="74"/>
      <c r="AF1107" s="74"/>
      <c r="AG1107" s="74"/>
      <c r="AH1107" s="74"/>
      <c r="AI1107" s="74"/>
    </row>
    <row r="1108" ht="22.5" customHeight="1">
      <c r="A1108" s="614">
        <v>45810.0</v>
      </c>
      <c r="B1108" s="626" t="s">
        <v>2218</v>
      </c>
      <c r="C1108" s="609"/>
      <c r="D1108" s="610">
        <v>501358.2</v>
      </c>
      <c r="E1108" s="606"/>
      <c r="F1108" s="627" t="s">
        <v>674</v>
      </c>
      <c r="G1108" s="597">
        <v>20.0</v>
      </c>
      <c r="H1108" s="689">
        <f t="shared" si="84"/>
        <v>83559.7</v>
      </c>
      <c r="I1108" s="599"/>
      <c r="J1108" s="599"/>
      <c r="K1108" s="615" t="s">
        <v>101</v>
      </c>
      <c r="L1108" s="692" t="s">
        <v>670</v>
      </c>
      <c r="M1108" s="621"/>
      <c r="N1108" s="621"/>
      <c r="O1108" s="621"/>
      <c r="P1108" s="602">
        <f t="shared" si="85"/>
        <v>0</v>
      </c>
      <c r="Q1108" s="682" t="s">
        <v>894</v>
      </c>
      <c r="R1108" s="74"/>
      <c r="S1108" s="74"/>
      <c r="T1108" s="74"/>
      <c r="U1108" s="74"/>
      <c r="V1108" s="74"/>
      <c r="W1108" s="74"/>
      <c r="X1108" s="74"/>
      <c r="Y1108" s="74"/>
      <c r="Z1108" s="74"/>
      <c r="AA1108" s="74"/>
      <c r="AB1108" s="74"/>
      <c r="AC1108" s="74"/>
      <c r="AD1108" s="74"/>
      <c r="AE1108" s="74"/>
      <c r="AF1108" s="74"/>
      <c r="AG1108" s="74"/>
      <c r="AH1108" s="74"/>
      <c r="AI1108" s="74"/>
    </row>
    <row r="1109" ht="22.5" customHeight="1">
      <c r="A1109" s="614">
        <v>45810.0</v>
      </c>
      <c r="B1109" s="626" t="s">
        <v>2218</v>
      </c>
      <c r="C1109" s="609"/>
      <c r="D1109" s="610">
        <v>90621.9</v>
      </c>
      <c r="E1109" s="606"/>
      <c r="F1109" s="627" t="s">
        <v>674</v>
      </c>
      <c r="G1109" s="597">
        <v>20.0</v>
      </c>
      <c r="H1109" s="689">
        <f t="shared" si="84"/>
        <v>15103.65</v>
      </c>
      <c r="I1109" s="599"/>
      <c r="J1109" s="599"/>
      <c r="K1109" s="615" t="s">
        <v>101</v>
      </c>
      <c r="L1109" s="692" t="s">
        <v>820</v>
      </c>
      <c r="M1109" s="621"/>
      <c r="N1109" s="621"/>
      <c r="O1109" s="621"/>
      <c r="P1109" s="602">
        <f t="shared" si="85"/>
        <v>0</v>
      </c>
      <c r="Q1109" s="682" t="s">
        <v>895</v>
      </c>
      <c r="R1109" s="74"/>
      <c r="S1109" s="74"/>
      <c r="T1109" s="74"/>
      <c r="U1109" s="74"/>
      <c r="V1109" s="74"/>
      <c r="W1109" s="74"/>
      <c r="X1109" s="74"/>
      <c r="Y1109" s="74"/>
      <c r="Z1109" s="74"/>
      <c r="AA1109" s="74"/>
      <c r="AB1109" s="74"/>
      <c r="AC1109" s="74"/>
      <c r="AD1109" s="74"/>
      <c r="AE1109" s="74"/>
      <c r="AF1109" s="74"/>
      <c r="AG1109" s="74"/>
      <c r="AH1109" s="74"/>
      <c r="AI1109" s="74"/>
    </row>
    <row r="1110" ht="22.5" customHeight="1">
      <c r="A1110" s="614">
        <v>45810.0</v>
      </c>
      <c r="B1110" s="626" t="s">
        <v>2218</v>
      </c>
      <c r="C1110" s="609"/>
      <c r="D1110" s="610">
        <v>91815.9</v>
      </c>
      <c r="E1110" s="606"/>
      <c r="F1110" s="627" t="s">
        <v>674</v>
      </c>
      <c r="G1110" s="597">
        <v>20.0</v>
      </c>
      <c r="H1110" s="689">
        <f t="shared" si="84"/>
        <v>15302.65</v>
      </c>
      <c r="I1110" s="599"/>
      <c r="J1110" s="599"/>
      <c r="K1110" s="615" t="s">
        <v>101</v>
      </c>
      <c r="L1110" s="692" t="s">
        <v>818</v>
      </c>
      <c r="M1110" s="621"/>
      <c r="N1110" s="621"/>
      <c r="O1110" s="621"/>
      <c r="P1110" s="602">
        <f t="shared" si="85"/>
        <v>0</v>
      </c>
      <c r="Q1110" s="682" t="s">
        <v>896</v>
      </c>
      <c r="R1110" s="74"/>
      <c r="S1110" s="74"/>
      <c r="T1110" s="74"/>
      <c r="U1110" s="74"/>
      <c r="V1110" s="74"/>
      <c r="W1110" s="74"/>
      <c r="X1110" s="74"/>
      <c r="Y1110" s="74"/>
      <c r="Z1110" s="74"/>
      <c r="AA1110" s="74"/>
      <c r="AB1110" s="74"/>
      <c r="AC1110" s="74"/>
      <c r="AD1110" s="74"/>
      <c r="AE1110" s="74"/>
      <c r="AF1110" s="74"/>
      <c r="AG1110" s="74"/>
      <c r="AH1110" s="74"/>
      <c r="AI1110" s="74"/>
    </row>
    <row r="1111" ht="22.5" customHeight="1">
      <c r="A1111" s="614">
        <v>45810.0</v>
      </c>
      <c r="B1111" s="626" t="s">
        <v>2218</v>
      </c>
      <c r="C1111" s="609"/>
      <c r="D1111" s="610">
        <v>6361.45</v>
      </c>
      <c r="E1111" s="606"/>
      <c r="F1111" s="627" t="s">
        <v>897</v>
      </c>
      <c r="G1111" s="597">
        <v>0.0</v>
      </c>
      <c r="H1111" s="689">
        <f t="shared" si="84"/>
        <v>0</v>
      </c>
      <c r="I1111" s="599"/>
      <c r="J1111" s="599"/>
      <c r="K1111" s="615" t="s">
        <v>494</v>
      </c>
      <c r="L1111" s="616" t="s">
        <v>745</v>
      </c>
      <c r="M1111" s="621"/>
      <c r="N1111" s="621"/>
      <c r="O1111" s="621"/>
      <c r="P1111" s="602">
        <f t="shared" si="85"/>
        <v>0</v>
      </c>
      <c r="Q1111" s="682" t="s">
        <v>898</v>
      </c>
      <c r="R1111" s="74"/>
      <c r="S1111" s="74"/>
      <c r="T1111" s="74"/>
      <c r="U1111" s="74"/>
      <c r="V1111" s="74"/>
      <c r="W1111" s="74"/>
      <c r="X1111" s="74"/>
      <c r="Y1111" s="74"/>
      <c r="Z1111" s="74"/>
      <c r="AA1111" s="74"/>
      <c r="AB1111" s="74"/>
      <c r="AC1111" s="74"/>
      <c r="AD1111" s="74"/>
      <c r="AE1111" s="74"/>
      <c r="AF1111" s="74"/>
      <c r="AG1111" s="74"/>
      <c r="AH1111" s="74"/>
      <c r="AI1111" s="74"/>
    </row>
    <row r="1112" ht="22.5" customHeight="1">
      <c r="A1112" s="614">
        <v>45810.0</v>
      </c>
      <c r="B1112" s="626" t="s">
        <v>2218</v>
      </c>
      <c r="C1112" s="609"/>
      <c r="D1112" s="609"/>
      <c r="E1112" s="604" t="s">
        <v>33</v>
      </c>
      <c r="F1112" s="627" t="s">
        <v>897</v>
      </c>
      <c r="G1112" s="688">
        <v>0.0</v>
      </c>
      <c r="H1112" s="689">
        <f t="shared" si="84"/>
        <v>0</v>
      </c>
      <c r="I1112" s="599"/>
      <c r="J1112" s="605">
        <v>11300.0</v>
      </c>
      <c r="K1112" s="658" t="s">
        <v>108</v>
      </c>
      <c r="L1112" s="659" t="s">
        <v>393</v>
      </c>
      <c r="M1112" s="621"/>
      <c r="N1112" s="621"/>
      <c r="O1112" s="621"/>
      <c r="P1112" s="602">
        <f t="shared" si="85"/>
        <v>0</v>
      </c>
      <c r="Q1112" s="622"/>
      <c r="R1112" s="74"/>
      <c r="S1112" s="74"/>
      <c r="T1112" s="74"/>
      <c r="U1112" s="74"/>
      <c r="V1112" s="74"/>
      <c r="W1112" s="74"/>
      <c r="X1112" s="74"/>
      <c r="Y1112" s="74"/>
      <c r="Z1112" s="74"/>
      <c r="AA1112" s="74"/>
      <c r="AB1112" s="74"/>
      <c r="AC1112" s="74"/>
      <c r="AD1112" s="74"/>
      <c r="AE1112" s="74"/>
      <c r="AF1112" s="74"/>
      <c r="AG1112" s="74"/>
      <c r="AH1112" s="74"/>
      <c r="AI1112" s="74"/>
    </row>
    <row r="1113" ht="22.5" customHeight="1">
      <c r="A1113" s="614">
        <v>45810.0</v>
      </c>
      <c r="B1113" s="626" t="s">
        <v>2218</v>
      </c>
      <c r="C1113" s="609"/>
      <c r="D1113" s="610">
        <v>265242.0</v>
      </c>
      <c r="E1113" s="606"/>
      <c r="F1113" s="627" t="s">
        <v>800</v>
      </c>
      <c r="G1113" s="688">
        <v>0.0</v>
      </c>
      <c r="H1113" s="689">
        <f t="shared" si="84"/>
        <v>0</v>
      </c>
      <c r="I1113" s="599"/>
      <c r="J1113" s="599"/>
      <c r="K1113" s="615" t="s">
        <v>203</v>
      </c>
      <c r="L1113" s="616" t="s">
        <v>899</v>
      </c>
      <c r="M1113" s="621"/>
      <c r="N1113" s="621"/>
      <c r="O1113" s="621"/>
      <c r="P1113" s="602">
        <f t="shared" si="85"/>
        <v>0</v>
      </c>
      <c r="Q1113" s="682" t="s">
        <v>900</v>
      </c>
      <c r="R1113" s="74"/>
      <c r="S1113" s="74"/>
      <c r="T1113" s="74"/>
      <c r="U1113" s="74"/>
      <c r="V1113" s="74"/>
      <c r="W1113" s="74"/>
      <c r="X1113" s="74"/>
      <c r="Y1113" s="74"/>
      <c r="Z1113" s="74"/>
      <c r="AA1113" s="74"/>
      <c r="AB1113" s="74"/>
      <c r="AC1113" s="74"/>
      <c r="AD1113" s="74"/>
      <c r="AE1113" s="74"/>
      <c r="AF1113" s="74"/>
      <c r="AG1113" s="74"/>
      <c r="AH1113" s="74"/>
      <c r="AI1113" s="74"/>
    </row>
    <row r="1114" ht="22.5" customHeight="1">
      <c r="A1114" s="614">
        <v>45810.0</v>
      </c>
      <c r="B1114" s="626" t="s">
        <v>2218</v>
      </c>
      <c r="C1114" s="609"/>
      <c r="D1114" s="610">
        <v>57448.0</v>
      </c>
      <c r="E1114" s="606"/>
      <c r="F1114" s="627" t="s">
        <v>897</v>
      </c>
      <c r="G1114" s="688">
        <v>0.0</v>
      </c>
      <c r="H1114" s="689">
        <f t="shared" si="84"/>
        <v>0</v>
      </c>
      <c r="I1114" s="599"/>
      <c r="J1114" s="599"/>
      <c r="K1114" s="615" t="s">
        <v>2237</v>
      </c>
      <c r="L1114" s="616" t="s">
        <v>901</v>
      </c>
      <c r="M1114" s="621"/>
      <c r="N1114" s="621"/>
      <c r="O1114" s="621"/>
      <c r="P1114" s="602">
        <f t="shared" si="85"/>
        <v>0</v>
      </c>
      <c r="Q1114" s="622"/>
      <c r="R1114" s="74"/>
      <c r="S1114" s="74"/>
      <c r="T1114" s="74"/>
      <c r="U1114" s="74"/>
      <c r="V1114" s="74"/>
      <c r="W1114" s="74"/>
      <c r="X1114" s="74"/>
      <c r="Y1114" s="74"/>
      <c r="Z1114" s="74"/>
      <c r="AA1114" s="74"/>
      <c r="AB1114" s="74"/>
      <c r="AC1114" s="74"/>
      <c r="AD1114" s="74"/>
      <c r="AE1114" s="74"/>
      <c r="AF1114" s="74"/>
      <c r="AG1114" s="74"/>
      <c r="AH1114" s="74"/>
      <c r="AI1114" s="74"/>
    </row>
    <row r="1115" ht="22.5" customHeight="1">
      <c r="A1115" s="614">
        <v>45810.0</v>
      </c>
      <c r="B1115" s="626" t="s">
        <v>2218</v>
      </c>
      <c r="C1115" s="609"/>
      <c r="D1115" s="610">
        <v>192794.7</v>
      </c>
      <c r="E1115" s="606"/>
      <c r="F1115" s="627" t="s">
        <v>674</v>
      </c>
      <c r="G1115" s="597">
        <v>20.0</v>
      </c>
      <c r="H1115" s="689">
        <f t="shared" si="84"/>
        <v>32132.45</v>
      </c>
      <c r="I1115" s="599"/>
      <c r="J1115" s="599"/>
      <c r="K1115" s="615" t="s">
        <v>101</v>
      </c>
      <c r="L1115" s="692" t="s">
        <v>632</v>
      </c>
      <c r="M1115" s="621"/>
      <c r="N1115" s="621"/>
      <c r="O1115" s="621"/>
      <c r="P1115" s="602">
        <f t="shared" si="85"/>
        <v>0</v>
      </c>
      <c r="Q1115" s="682" t="s">
        <v>902</v>
      </c>
      <c r="R1115" s="74"/>
      <c r="S1115" s="74"/>
      <c r="T1115" s="74"/>
      <c r="U1115" s="74"/>
      <c r="V1115" s="74"/>
      <c r="W1115" s="74"/>
      <c r="X1115" s="74"/>
      <c r="Y1115" s="74"/>
      <c r="Z1115" s="74"/>
      <c r="AA1115" s="74"/>
      <c r="AB1115" s="74"/>
      <c r="AC1115" s="74"/>
      <c r="AD1115" s="74"/>
      <c r="AE1115" s="74"/>
      <c r="AF1115" s="74"/>
      <c r="AG1115" s="74"/>
      <c r="AH1115" s="74"/>
      <c r="AI1115" s="74"/>
    </row>
    <row r="1116" ht="22.5" customHeight="1">
      <c r="A1116" s="614">
        <v>45810.0</v>
      </c>
      <c r="B1116" s="626" t="s">
        <v>2218</v>
      </c>
      <c r="C1116" s="609"/>
      <c r="D1116" s="609"/>
      <c r="E1116" s="604" t="s">
        <v>33</v>
      </c>
      <c r="F1116" s="627" t="s">
        <v>674</v>
      </c>
      <c r="G1116" s="688">
        <v>0.0</v>
      </c>
      <c r="H1116" s="689">
        <f t="shared" si="84"/>
        <v>0</v>
      </c>
      <c r="I1116" s="599"/>
      <c r="J1116" s="605">
        <v>220000.0</v>
      </c>
      <c r="K1116" s="615" t="s">
        <v>93</v>
      </c>
      <c r="L1116" s="616" t="s">
        <v>903</v>
      </c>
      <c r="M1116" s="621"/>
      <c r="N1116" s="621"/>
      <c r="O1116" s="621"/>
      <c r="P1116" s="602">
        <f t="shared" si="85"/>
        <v>0</v>
      </c>
      <c r="Q1116" s="622"/>
      <c r="R1116" s="74"/>
      <c r="S1116" s="74"/>
      <c r="T1116" s="74"/>
      <c r="U1116" s="74"/>
      <c r="V1116" s="74"/>
      <c r="W1116" s="74"/>
      <c r="X1116" s="74"/>
      <c r="Y1116" s="74"/>
      <c r="Z1116" s="74"/>
      <c r="AA1116" s="74"/>
      <c r="AB1116" s="74"/>
      <c r="AC1116" s="74"/>
      <c r="AD1116" s="74"/>
      <c r="AE1116" s="74"/>
      <c r="AF1116" s="74"/>
      <c r="AG1116" s="74"/>
      <c r="AH1116" s="74"/>
      <c r="AI1116" s="74"/>
    </row>
    <row r="1117" ht="22.5" customHeight="1">
      <c r="A1117" s="614">
        <v>45810.0</v>
      </c>
      <c r="B1117" s="626" t="s">
        <v>2218</v>
      </c>
      <c r="C1117" s="609"/>
      <c r="D1117" s="609"/>
      <c r="E1117" s="604" t="s">
        <v>33</v>
      </c>
      <c r="F1117" s="627" t="s">
        <v>897</v>
      </c>
      <c r="G1117" s="688">
        <v>0.0</v>
      </c>
      <c r="H1117" s="689">
        <f t="shared" si="84"/>
        <v>0</v>
      </c>
      <c r="I1117" s="599"/>
      <c r="J1117" s="605">
        <v>3000.0</v>
      </c>
      <c r="K1117" s="615" t="s">
        <v>1181</v>
      </c>
      <c r="L1117" s="616" t="s">
        <v>904</v>
      </c>
      <c r="M1117" s="621"/>
      <c r="N1117" s="621"/>
      <c r="O1117" s="621"/>
      <c r="P1117" s="602">
        <f t="shared" si="85"/>
        <v>0</v>
      </c>
      <c r="Q1117" s="622"/>
      <c r="R1117" s="74"/>
      <c r="S1117" s="74"/>
      <c r="T1117" s="74"/>
      <c r="U1117" s="74"/>
      <c r="V1117" s="74"/>
      <c r="W1117" s="74"/>
      <c r="X1117" s="74"/>
      <c r="Y1117" s="74"/>
      <c r="Z1117" s="74"/>
      <c r="AA1117" s="74"/>
      <c r="AB1117" s="74"/>
      <c r="AC1117" s="74"/>
      <c r="AD1117" s="74"/>
      <c r="AE1117" s="74"/>
      <c r="AF1117" s="74"/>
      <c r="AG1117" s="74"/>
      <c r="AH1117" s="74"/>
      <c r="AI1117" s="74"/>
    </row>
    <row r="1118" ht="22.5" customHeight="1">
      <c r="A1118" s="614">
        <v>45810.0</v>
      </c>
      <c r="B1118" s="626" t="s">
        <v>2218</v>
      </c>
      <c r="C1118" s="609"/>
      <c r="D1118" s="609"/>
      <c r="E1118" s="604" t="s">
        <v>33</v>
      </c>
      <c r="F1118" s="627" t="s">
        <v>897</v>
      </c>
      <c r="G1118" s="688">
        <v>0.0</v>
      </c>
      <c r="H1118" s="689">
        <f t="shared" si="84"/>
        <v>0</v>
      </c>
      <c r="I1118" s="599"/>
      <c r="J1118" s="605">
        <v>2500.0</v>
      </c>
      <c r="K1118" s="615" t="s">
        <v>494</v>
      </c>
      <c r="L1118" s="616" t="s">
        <v>848</v>
      </c>
      <c r="M1118" s="621"/>
      <c r="N1118" s="621"/>
      <c r="O1118" s="621"/>
      <c r="P1118" s="602">
        <f t="shared" si="85"/>
        <v>0</v>
      </c>
      <c r="Q1118" s="622"/>
      <c r="R1118" s="74"/>
      <c r="S1118" s="74"/>
      <c r="T1118" s="74"/>
      <c r="U1118" s="74"/>
      <c r="V1118" s="74"/>
      <c r="W1118" s="74"/>
      <c r="X1118" s="74"/>
      <c r="Y1118" s="74"/>
      <c r="Z1118" s="74"/>
      <c r="AA1118" s="74"/>
      <c r="AB1118" s="74"/>
      <c r="AC1118" s="74"/>
      <c r="AD1118" s="74"/>
      <c r="AE1118" s="74"/>
      <c r="AF1118" s="74"/>
      <c r="AG1118" s="74"/>
      <c r="AH1118" s="74"/>
      <c r="AI1118" s="74"/>
    </row>
    <row r="1119" ht="22.5" customHeight="1">
      <c r="A1119" s="614">
        <v>45811.0</v>
      </c>
      <c r="B1119" s="626" t="s">
        <v>2218</v>
      </c>
      <c r="C1119" s="609"/>
      <c r="D1119" s="609"/>
      <c r="E1119" s="604" t="s">
        <v>33</v>
      </c>
      <c r="F1119" s="627" t="s">
        <v>800</v>
      </c>
      <c r="G1119" s="688">
        <v>0.0</v>
      </c>
      <c r="H1119" s="689">
        <f t="shared" si="84"/>
        <v>0</v>
      </c>
      <c r="I1119" s="599"/>
      <c r="J1119" s="605">
        <f>665000</f>
        <v>665000</v>
      </c>
      <c r="K1119" s="680" t="s">
        <v>203</v>
      </c>
      <c r="L1119" s="616" t="s">
        <v>905</v>
      </c>
      <c r="M1119" s="621"/>
      <c r="N1119" s="621"/>
      <c r="O1119" s="621"/>
      <c r="P1119" s="602">
        <f t="shared" si="85"/>
        <v>0</v>
      </c>
      <c r="Q1119" s="622"/>
      <c r="R1119" s="74"/>
      <c r="S1119" s="74"/>
      <c r="T1119" s="74"/>
      <c r="U1119" s="74"/>
      <c r="V1119" s="74"/>
      <c r="W1119" s="74"/>
      <c r="X1119" s="74"/>
      <c r="Y1119" s="74"/>
      <c r="Z1119" s="74"/>
      <c r="AA1119" s="74"/>
      <c r="AB1119" s="74"/>
      <c r="AC1119" s="74"/>
      <c r="AD1119" s="74"/>
      <c r="AE1119" s="74"/>
      <c r="AF1119" s="74"/>
      <c r="AG1119" s="74"/>
      <c r="AH1119" s="74"/>
      <c r="AI1119" s="74"/>
    </row>
    <row r="1120" ht="22.5" customHeight="1">
      <c r="A1120" s="614">
        <v>45811.0</v>
      </c>
      <c r="B1120" s="626" t="s">
        <v>2218</v>
      </c>
      <c r="C1120" s="609"/>
      <c r="D1120" s="609"/>
      <c r="E1120" s="604" t="s">
        <v>33</v>
      </c>
      <c r="F1120" s="627" t="s">
        <v>897</v>
      </c>
      <c r="G1120" s="688">
        <v>0.0</v>
      </c>
      <c r="H1120" s="689">
        <f t="shared" si="84"/>
        <v>0</v>
      </c>
      <c r="I1120" s="599"/>
      <c r="J1120" s="605">
        <v>100000.0</v>
      </c>
      <c r="K1120" s="615" t="s">
        <v>1181</v>
      </c>
      <c r="L1120" s="616" t="s">
        <v>906</v>
      </c>
      <c r="M1120" s="621"/>
      <c r="N1120" s="621"/>
      <c r="O1120" s="621"/>
      <c r="P1120" s="602">
        <f t="shared" si="85"/>
        <v>0</v>
      </c>
      <c r="Q1120" s="622"/>
      <c r="R1120" s="74"/>
      <c r="S1120" s="74"/>
      <c r="T1120" s="74"/>
      <c r="U1120" s="74"/>
      <c r="V1120" s="74"/>
      <c r="W1120" s="74"/>
      <c r="X1120" s="74"/>
      <c r="Y1120" s="74"/>
      <c r="Z1120" s="74"/>
      <c r="AA1120" s="74"/>
      <c r="AB1120" s="74"/>
      <c r="AC1120" s="74"/>
      <c r="AD1120" s="74"/>
      <c r="AE1120" s="74"/>
      <c r="AF1120" s="74"/>
      <c r="AG1120" s="74"/>
      <c r="AH1120" s="74"/>
      <c r="AI1120" s="74"/>
    </row>
    <row r="1121" ht="22.5" customHeight="1">
      <c r="A1121" s="614">
        <v>45811.0</v>
      </c>
      <c r="B1121" s="626" t="s">
        <v>2218</v>
      </c>
      <c r="C1121" s="609"/>
      <c r="D1121" s="609"/>
      <c r="E1121" s="604" t="s">
        <v>33</v>
      </c>
      <c r="F1121" s="627" t="s">
        <v>897</v>
      </c>
      <c r="G1121" s="688">
        <v>0.0</v>
      </c>
      <c r="H1121" s="689">
        <f t="shared" si="84"/>
        <v>0</v>
      </c>
      <c r="I1121" s="599"/>
      <c r="J1121" s="605">
        <v>8400.0</v>
      </c>
      <c r="K1121" s="615" t="s">
        <v>1181</v>
      </c>
      <c r="L1121" s="616" t="s">
        <v>907</v>
      </c>
      <c r="M1121" s="621"/>
      <c r="N1121" s="621"/>
      <c r="O1121" s="621"/>
      <c r="P1121" s="602">
        <f t="shared" si="85"/>
        <v>0</v>
      </c>
      <c r="Q1121" s="622"/>
      <c r="R1121" s="74"/>
      <c r="S1121" s="74"/>
      <c r="T1121" s="74"/>
      <c r="U1121" s="74"/>
      <c r="V1121" s="74"/>
      <c r="W1121" s="74"/>
      <c r="X1121" s="74"/>
      <c r="Y1121" s="74"/>
      <c r="Z1121" s="74"/>
      <c r="AA1121" s="74"/>
      <c r="AB1121" s="74"/>
      <c r="AC1121" s="74"/>
      <c r="AD1121" s="74"/>
      <c r="AE1121" s="74"/>
      <c r="AF1121" s="74"/>
      <c r="AG1121" s="74"/>
      <c r="AH1121" s="74"/>
      <c r="AI1121" s="74"/>
    </row>
    <row r="1122" ht="22.5" customHeight="1">
      <c r="A1122" s="614">
        <v>45811.0</v>
      </c>
      <c r="B1122" s="626" t="s">
        <v>2218</v>
      </c>
      <c r="C1122" s="609"/>
      <c r="D1122" s="609"/>
      <c r="E1122" s="604" t="s">
        <v>33</v>
      </c>
      <c r="F1122" s="627" t="s">
        <v>897</v>
      </c>
      <c r="G1122" s="688">
        <v>0.0</v>
      </c>
      <c r="H1122" s="689">
        <f t="shared" si="84"/>
        <v>0</v>
      </c>
      <c r="I1122" s="599"/>
      <c r="J1122" s="605">
        <v>2500.0</v>
      </c>
      <c r="K1122" s="615" t="s">
        <v>494</v>
      </c>
      <c r="L1122" s="616" t="s">
        <v>720</v>
      </c>
      <c r="M1122" s="621"/>
      <c r="N1122" s="621"/>
      <c r="O1122" s="621"/>
      <c r="P1122" s="602">
        <f t="shared" si="85"/>
        <v>0</v>
      </c>
      <c r="Q1122" s="622"/>
      <c r="R1122" s="74"/>
      <c r="S1122" s="74"/>
      <c r="T1122" s="74"/>
      <c r="U1122" s="74"/>
      <c r="V1122" s="74"/>
      <c r="W1122" s="74"/>
      <c r="X1122" s="74"/>
      <c r="Y1122" s="74"/>
      <c r="Z1122" s="74"/>
      <c r="AA1122" s="74"/>
      <c r="AB1122" s="74"/>
      <c r="AC1122" s="74"/>
      <c r="AD1122" s="74"/>
      <c r="AE1122" s="74"/>
      <c r="AF1122" s="74"/>
      <c r="AG1122" s="74"/>
      <c r="AH1122" s="74"/>
      <c r="AI1122" s="74"/>
    </row>
    <row r="1123" ht="22.5" customHeight="1">
      <c r="A1123" s="614">
        <v>45812.0</v>
      </c>
      <c r="B1123" s="626" t="s">
        <v>2218</v>
      </c>
      <c r="C1123" s="610">
        <v>237600.0</v>
      </c>
      <c r="D1123" s="609"/>
      <c r="E1123" s="606"/>
      <c r="F1123" s="627" t="s">
        <v>674</v>
      </c>
      <c r="G1123" s="597">
        <v>20.0</v>
      </c>
      <c r="H1123" s="689">
        <f t="shared" si="84"/>
        <v>39600</v>
      </c>
      <c r="I1123" s="599"/>
      <c r="J1123" s="599"/>
      <c r="K1123" s="674" t="s">
        <v>51</v>
      </c>
      <c r="L1123" s="616" t="s">
        <v>878</v>
      </c>
      <c r="M1123" s="612" t="s">
        <v>908</v>
      </c>
      <c r="N1123" s="612">
        <v>150.0</v>
      </c>
      <c r="O1123" s="662">
        <v>45763.0</v>
      </c>
      <c r="P1123" s="602">
        <f t="shared" si="85"/>
        <v>49</v>
      </c>
      <c r="Q1123" s="622"/>
      <c r="R1123" s="74"/>
      <c r="S1123" s="74"/>
      <c r="T1123" s="74"/>
      <c r="U1123" s="74"/>
      <c r="V1123" s="74"/>
      <c r="W1123" s="74"/>
      <c r="X1123" s="74"/>
      <c r="Y1123" s="74"/>
      <c r="Z1123" s="74"/>
      <c r="AA1123" s="74"/>
      <c r="AB1123" s="74"/>
      <c r="AC1123" s="74"/>
      <c r="AD1123" s="74"/>
      <c r="AE1123" s="74"/>
      <c r="AF1123" s="74"/>
      <c r="AG1123" s="74"/>
      <c r="AH1123" s="74"/>
      <c r="AI1123" s="74"/>
    </row>
    <row r="1124" ht="22.5" customHeight="1">
      <c r="A1124" s="614">
        <v>45812.0</v>
      </c>
      <c r="B1124" s="626" t="s">
        <v>2218</v>
      </c>
      <c r="C1124" s="610">
        <v>237600.0</v>
      </c>
      <c r="D1124" s="609"/>
      <c r="E1124" s="606"/>
      <c r="F1124" s="627" t="s">
        <v>674</v>
      </c>
      <c r="G1124" s="597">
        <v>20.0</v>
      </c>
      <c r="H1124" s="689">
        <f t="shared" si="84"/>
        <v>39600</v>
      </c>
      <c r="I1124" s="599"/>
      <c r="J1124" s="599"/>
      <c r="K1124" s="615" t="s">
        <v>51</v>
      </c>
      <c r="L1124" s="616" t="s">
        <v>878</v>
      </c>
      <c r="M1124" s="612" t="s">
        <v>909</v>
      </c>
      <c r="N1124" s="612">
        <v>151.0</v>
      </c>
      <c r="O1124" s="662">
        <v>45763.0</v>
      </c>
      <c r="P1124" s="602">
        <f t="shared" si="85"/>
        <v>49</v>
      </c>
      <c r="Q1124" s="622"/>
      <c r="R1124" s="74"/>
      <c r="S1124" s="74"/>
      <c r="T1124" s="74"/>
      <c r="U1124" s="74"/>
      <c r="V1124" s="74"/>
      <c r="W1124" s="74"/>
      <c r="X1124" s="74"/>
      <c r="Y1124" s="74"/>
      <c r="Z1124" s="74"/>
      <c r="AA1124" s="74"/>
      <c r="AB1124" s="74"/>
      <c r="AC1124" s="74"/>
      <c r="AD1124" s="74"/>
      <c r="AE1124" s="74"/>
      <c r="AF1124" s="74"/>
      <c r="AG1124" s="74"/>
      <c r="AH1124" s="74"/>
      <c r="AI1124" s="74"/>
    </row>
    <row r="1125" ht="22.5" customHeight="1">
      <c r="A1125" s="614">
        <v>45813.0</v>
      </c>
      <c r="B1125" s="626" t="s">
        <v>2218</v>
      </c>
      <c r="C1125" s="609"/>
      <c r="D1125" s="609"/>
      <c r="E1125" s="604" t="s">
        <v>33</v>
      </c>
      <c r="F1125" s="627" t="s">
        <v>897</v>
      </c>
      <c r="G1125" s="688">
        <v>0.0</v>
      </c>
      <c r="H1125" s="689">
        <f t="shared" si="84"/>
        <v>0</v>
      </c>
      <c r="I1125" s="599"/>
      <c r="J1125" s="605">
        <v>370000.0</v>
      </c>
      <c r="K1125" s="680" t="s">
        <v>591</v>
      </c>
      <c r="L1125" s="616" t="s">
        <v>905</v>
      </c>
      <c r="M1125" s="621"/>
      <c r="N1125" s="621"/>
      <c r="O1125" s="621"/>
      <c r="P1125" s="602">
        <f t="shared" si="85"/>
        <v>0</v>
      </c>
      <c r="Q1125" s="622"/>
      <c r="R1125" s="74"/>
      <c r="S1125" s="74"/>
      <c r="T1125" s="74"/>
      <c r="U1125" s="74"/>
      <c r="V1125" s="74"/>
      <c r="W1125" s="74"/>
      <c r="X1125" s="74"/>
      <c r="Y1125" s="74"/>
      <c r="Z1125" s="74"/>
      <c r="AA1125" s="74"/>
      <c r="AB1125" s="74"/>
      <c r="AC1125" s="74"/>
      <c r="AD1125" s="74"/>
      <c r="AE1125" s="74"/>
      <c r="AF1125" s="74"/>
      <c r="AG1125" s="74"/>
      <c r="AH1125" s="74"/>
      <c r="AI1125" s="74"/>
    </row>
    <row r="1126" ht="22.5" customHeight="1">
      <c r="A1126" s="614">
        <v>45813.0</v>
      </c>
      <c r="B1126" s="626" t="s">
        <v>2218</v>
      </c>
      <c r="C1126" s="609"/>
      <c r="D1126" s="610">
        <v>20400.0</v>
      </c>
      <c r="E1126" s="606"/>
      <c r="F1126" s="627" t="s">
        <v>800</v>
      </c>
      <c r="G1126" s="597">
        <v>20.0</v>
      </c>
      <c r="H1126" s="689">
        <f t="shared" si="84"/>
        <v>3400</v>
      </c>
      <c r="I1126" s="599"/>
      <c r="J1126" s="599"/>
      <c r="K1126" s="615" t="s">
        <v>494</v>
      </c>
      <c r="L1126" s="615" t="s">
        <v>910</v>
      </c>
      <c r="M1126" s="621"/>
      <c r="N1126" s="621"/>
      <c r="O1126" s="621"/>
      <c r="P1126" s="602">
        <f t="shared" si="85"/>
        <v>0</v>
      </c>
      <c r="Q1126" s="682" t="s">
        <v>911</v>
      </c>
      <c r="R1126" s="74"/>
      <c r="S1126" s="74"/>
      <c r="T1126" s="74"/>
      <c r="U1126" s="74"/>
      <c r="V1126" s="74"/>
      <c r="W1126" s="74"/>
      <c r="X1126" s="74"/>
      <c r="Y1126" s="74"/>
      <c r="Z1126" s="74"/>
      <c r="AA1126" s="74"/>
      <c r="AB1126" s="74"/>
      <c r="AC1126" s="74"/>
      <c r="AD1126" s="74"/>
      <c r="AE1126" s="74"/>
      <c r="AF1126" s="74"/>
      <c r="AG1126" s="74"/>
      <c r="AH1126" s="74"/>
      <c r="AI1126" s="74"/>
    </row>
    <row r="1127" ht="22.5" customHeight="1">
      <c r="A1127" s="614">
        <v>45813.0</v>
      </c>
      <c r="B1127" s="626" t="s">
        <v>2218</v>
      </c>
      <c r="C1127" s="609"/>
      <c r="D1127" s="610">
        <v>6580.64</v>
      </c>
      <c r="E1127" s="606"/>
      <c r="F1127" s="627" t="s">
        <v>800</v>
      </c>
      <c r="G1127" s="597">
        <v>20.0</v>
      </c>
      <c r="H1127" s="689">
        <f t="shared" si="84"/>
        <v>1096.773333</v>
      </c>
      <c r="I1127" s="599"/>
      <c r="J1127" s="599"/>
      <c r="K1127" s="615" t="s">
        <v>494</v>
      </c>
      <c r="L1127" s="615" t="s">
        <v>910</v>
      </c>
      <c r="M1127" s="621"/>
      <c r="N1127" s="621"/>
      <c r="O1127" s="621"/>
      <c r="P1127" s="602">
        <f t="shared" si="85"/>
        <v>0</v>
      </c>
      <c r="Q1127" s="682" t="s">
        <v>912</v>
      </c>
      <c r="R1127" s="74"/>
      <c r="S1127" s="74"/>
      <c r="T1127" s="74"/>
      <c r="U1127" s="74"/>
      <c r="V1127" s="74"/>
      <c r="W1127" s="74"/>
      <c r="X1127" s="74"/>
      <c r="Y1127" s="74"/>
      <c r="Z1127" s="74"/>
      <c r="AA1127" s="74"/>
      <c r="AB1127" s="74"/>
      <c r="AC1127" s="74"/>
      <c r="AD1127" s="74"/>
      <c r="AE1127" s="74"/>
      <c r="AF1127" s="74"/>
      <c r="AG1127" s="74"/>
      <c r="AH1127" s="74"/>
      <c r="AI1127" s="74"/>
    </row>
    <row r="1128" ht="22.5" customHeight="1">
      <c r="A1128" s="614">
        <v>45813.0</v>
      </c>
      <c r="B1128" s="626" t="s">
        <v>2218</v>
      </c>
      <c r="C1128" s="609"/>
      <c r="D1128" s="610">
        <v>64626.0</v>
      </c>
      <c r="E1128" s="606"/>
      <c r="F1128" s="627" t="s">
        <v>800</v>
      </c>
      <c r="G1128" s="688">
        <v>0.0</v>
      </c>
      <c r="H1128" s="689">
        <f t="shared" si="84"/>
        <v>0</v>
      </c>
      <c r="I1128" s="599"/>
      <c r="J1128" s="599"/>
      <c r="K1128" s="615" t="s">
        <v>236</v>
      </c>
      <c r="L1128" s="616" t="s">
        <v>72</v>
      </c>
      <c r="M1128" s="621"/>
      <c r="N1128" s="621"/>
      <c r="O1128" s="621"/>
      <c r="P1128" s="602">
        <f t="shared" si="85"/>
        <v>0</v>
      </c>
      <c r="Q1128" s="622"/>
      <c r="R1128" s="74"/>
      <c r="S1128" s="74"/>
      <c r="T1128" s="74"/>
      <c r="U1128" s="74"/>
      <c r="V1128" s="74"/>
      <c r="W1128" s="74"/>
      <c r="X1128" s="74"/>
      <c r="Y1128" s="74"/>
      <c r="Z1128" s="74"/>
      <c r="AA1128" s="74"/>
      <c r="AB1128" s="74"/>
      <c r="AC1128" s="74"/>
      <c r="AD1128" s="74"/>
      <c r="AE1128" s="74"/>
      <c r="AF1128" s="74"/>
      <c r="AG1128" s="74"/>
      <c r="AH1128" s="74"/>
      <c r="AI1128" s="74"/>
    </row>
    <row r="1129" ht="22.5" customHeight="1">
      <c r="A1129" s="614">
        <v>45818.0</v>
      </c>
      <c r="B1129" s="626" t="s">
        <v>2218</v>
      </c>
      <c r="C1129" s="610">
        <v>3015000.0</v>
      </c>
      <c r="D1129" s="609"/>
      <c r="E1129" s="606"/>
      <c r="F1129" s="627" t="s">
        <v>674</v>
      </c>
      <c r="G1129" s="597">
        <v>20.0</v>
      </c>
      <c r="H1129" s="689">
        <f t="shared" si="84"/>
        <v>502500</v>
      </c>
      <c r="I1129" s="599"/>
      <c r="J1129" s="599"/>
      <c r="K1129" s="615" t="s">
        <v>51</v>
      </c>
      <c r="L1129" s="616" t="s">
        <v>474</v>
      </c>
      <c r="M1129" s="612" t="s">
        <v>853</v>
      </c>
      <c r="N1129" s="612">
        <v>144.0</v>
      </c>
      <c r="O1129" s="662">
        <v>45758.0</v>
      </c>
      <c r="P1129" s="602">
        <f t="shared" si="85"/>
        <v>60</v>
      </c>
      <c r="Q1129" s="622"/>
      <c r="R1129" s="74"/>
      <c r="S1129" s="74"/>
      <c r="T1129" s="74"/>
      <c r="U1129" s="74"/>
      <c r="V1129" s="74"/>
      <c r="W1129" s="74"/>
      <c r="X1129" s="74"/>
      <c r="Y1129" s="74"/>
      <c r="Z1129" s="74"/>
      <c r="AA1129" s="74"/>
      <c r="AB1129" s="74"/>
      <c r="AC1129" s="74"/>
      <c r="AD1129" s="74"/>
      <c r="AE1129" s="74"/>
      <c r="AF1129" s="74"/>
      <c r="AG1129" s="74"/>
      <c r="AH1129" s="74"/>
      <c r="AI1129" s="74"/>
    </row>
    <row r="1130" ht="22.5" customHeight="1">
      <c r="A1130" s="614">
        <v>45818.0</v>
      </c>
      <c r="B1130" s="626" t="s">
        <v>2218</v>
      </c>
      <c r="C1130" s="610">
        <v>681600.0</v>
      </c>
      <c r="D1130" s="609"/>
      <c r="E1130" s="606"/>
      <c r="F1130" s="627" t="s">
        <v>674</v>
      </c>
      <c r="G1130" s="597">
        <v>20.0</v>
      </c>
      <c r="H1130" s="689">
        <f t="shared" si="84"/>
        <v>113600</v>
      </c>
      <c r="I1130" s="599"/>
      <c r="J1130" s="599"/>
      <c r="K1130" s="615" t="s">
        <v>51</v>
      </c>
      <c r="L1130" s="616" t="s">
        <v>474</v>
      </c>
      <c r="M1130" s="612" t="s">
        <v>852</v>
      </c>
      <c r="N1130" s="612">
        <v>145.0</v>
      </c>
      <c r="O1130" s="662">
        <v>45758.0</v>
      </c>
      <c r="P1130" s="602">
        <f t="shared" si="85"/>
        <v>60</v>
      </c>
      <c r="Q1130" s="622"/>
      <c r="R1130" s="74"/>
      <c r="S1130" s="74"/>
      <c r="T1130" s="74"/>
      <c r="U1130" s="74"/>
      <c r="V1130" s="74"/>
      <c r="W1130" s="74"/>
      <c r="X1130" s="74"/>
      <c r="Y1130" s="74"/>
      <c r="Z1130" s="74"/>
      <c r="AA1130" s="74"/>
      <c r="AB1130" s="74"/>
      <c r="AC1130" s="74"/>
      <c r="AD1130" s="74"/>
      <c r="AE1130" s="74"/>
      <c r="AF1130" s="74"/>
      <c r="AG1130" s="74"/>
      <c r="AH1130" s="74"/>
      <c r="AI1130" s="74"/>
    </row>
    <row r="1131" ht="22.5" customHeight="1">
      <c r="A1131" s="614">
        <v>45818.0</v>
      </c>
      <c r="B1131" s="626" t="s">
        <v>2218</v>
      </c>
      <c r="C1131" s="609"/>
      <c r="D1131" s="609">
        <f>688475.61+24038+511.68</f>
        <v>713025.29</v>
      </c>
      <c r="E1131" s="606"/>
      <c r="F1131" s="627" t="s">
        <v>800</v>
      </c>
      <c r="G1131" s="688">
        <v>0.0</v>
      </c>
      <c r="H1131" s="689">
        <f t="shared" si="84"/>
        <v>0</v>
      </c>
      <c r="I1131" s="599"/>
      <c r="J1131" s="599"/>
      <c r="K1131" s="615" t="s">
        <v>203</v>
      </c>
      <c r="L1131" s="616" t="s">
        <v>913</v>
      </c>
      <c r="M1131" s="621"/>
      <c r="N1131" s="621"/>
      <c r="O1131" s="621"/>
      <c r="P1131" s="602">
        <f t="shared" si="85"/>
        <v>0</v>
      </c>
      <c r="Q1131" s="622"/>
      <c r="R1131" s="74"/>
      <c r="S1131" s="74"/>
      <c r="T1131" s="74"/>
      <c r="U1131" s="74"/>
      <c r="V1131" s="74"/>
      <c r="W1131" s="74"/>
      <c r="X1131" s="74"/>
      <c r="Y1131" s="74"/>
      <c r="Z1131" s="74"/>
      <c r="AA1131" s="74"/>
      <c r="AB1131" s="74"/>
      <c r="AC1131" s="74"/>
      <c r="AD1131" s="74"/>
      <c r="AE1131" s="74"/>
      <c r="AF1131" s="74"/>
      <c r="AG1131" s="74"/>
      <c r="AH1131" s="74"/>
      <c r="AI1131" s="74"/>
    </row>
    <row r="1132" ht="22.5" customHeight="1">
      <c r="A1132" s="614">
        <v>45818.0</v>
      </c>
      <c r="B1132" s="626" t="s">
        <v>2218</v>
      </c>
      <c r="C1132" s="609"/>
      <c r="D1132" s="609"/>
      <c r="E1132" s="604" t="s">
        <v>33</v>
      </c>
      <c r="F1132" s="627" t="s">
        <v>800</v>
      </c>
      <c r="G1132" s="688">
        <v>0.0</v>
      </c>
      <c r="H1132" s="689">
        <f t="shared" si="84"/>
        <v>0</v>
      </c>
      <c r="I1132" s="599"/>
      <c r="J1132" s="605">
        <v>18500.0</v>
      </c>
      <c r="K1132" s="615" t="s">
        <v>494</v>
      </c>
      <c r="L1132" s="616" t="s">
        <v>914</v>
      </c>
      <c r="M1132" s="621"/>
      <c r="N1132" s="621"/>
      <c r="O1132" s="621"/>
      <c r="P1132" s="602">
        <f t="shared" si="85"/>
        <v>0</v>
      </c>
      <c r="Q1132" s="622"/>
      <c r="R1132" s="74"/>
      <c r="S1132" s="74"/>
      <c r="T1132" s="74"/>
      <c r="U1132" s="74"/>
      <c r="V1132" s="74"/>
      <c r="W1132" s="74"/>
      <c r="X1132" s="74"/>
      <c r="Y1132" s="74"/>
      <c r="Z1132" s="74"/>
      <c r="AA1132" s="74"/>
      <c r="AB1132" s="74"/>
      <c r="AC1132" s="74"/>
      <c r="AD1132" s="74"/>
      <c r="AE1132" s="74"/>
      <c r="AF1132" s="74"/>
      <c r="AG1132" s="74"/>
      <c r="AH1132" s="74"/>
      <c r="AI1132" s="74"/>
    </row>
    <row r="1133" ht="22.5" customHeight="1">
      <c r="A1133" s="614">
        <v>45818.0</v>
      </c>
      <c r="B1133" s="626" t="s">
        <v>2218</v>
      </c>
      <c r="C1133" s="609"/>
      <c r="D1133" s="609"/>
      <c r="E1133" s="604" t="s">
        <v>33</v>
      </c>
      <c r="F1133" s="627" t="s">
        <v>800</v>
      </c>
      <c r="G1133" s="688">
        <v>0.0</v>
      </c>
      <c r="H1133" s="689">
        <f t="shared" si="84"/>
        <v>0</v>
      </c>
      <c r="I1133" s="599"/>
      <c r="J1133" s="605">
        <v>2000.0</v>
      </c>
      <c r="K1133" s="615" t="s">
        <v>494</v>
      </c>
      <c r="L1133" s="616" t="s">
        <v>848</v>
      </c>
      <c r="M1133" s="621"/>
      <c r="N1133" s="621"/>
      <c r="O1133" s="621"/>
      <c r="P1133" s="602">
        <f t="shared" si="85"/>
        <v>0</v>
      </c>
      <c r="Q1133" s="622"/>
      <c r="R1133" s="74"/>
      <c r="S1133" s="74"/>
      <c r="T1133" s="74"/>
      <c r="U1133" s="74"/>
      <c r="V1133" s="74"/>
      <c r="W1133" s="74"/>
      <c r="X1133" s="74"/>
      <c r="Y1133" s="74"/>
      <c r="Z1133" s="74"/>
      <c r="AA1133" s="74"/>
      <c r="AB1133" s="74"/>
      <c r="AC1133" s="74"/>
      <c r="AD1133" s="74"/>
      <c r="AE1133" s="74"/>
      <c r="AF1133" s="74"/>
      <c r="AG1133" s="74"/>
      <c r="AH1133" s="74"/>
      <c r="AI1133" s="74"/>
    </row>
    <row r="1134" ht="22.5" customHeight="1">
      <c r="A1134" s="614">
        <v>45819.0</v>
      </c>
      <c r="B1134" s="626" t="s">
        <v>2218</v>
      </c>
      <c r="C1134" s="609"/>
      <c r="D1134" s="610">
        <v>3796855.67</v>
      </c>
      <c r="E1134" s="604" t="s">
        <v>28</v>
      </c>
      <c r="F1134" s="627" t="s">
        <v>722</v>
      </c>
      <c r="G1134" s="597">
        <v>20.0</v>
      </c>
      <c r="H1134" s="689">
        <f t="shared" si="84"/>
        <v>632809.2783</v>
      </c>
      <c r="I1134" s="599"/>
      <c r="J1134" s="599"/>
      <c r="K1134" s="615" t="s">
        <v>2237</v>
      </c>
      <c r="L1134" s="671" t="s">
        <v>228</v>
      </c>
      <c r="M1134" s="621"/>
      <c r="N1134" s="621"/>
      <c r="O1134" s="621"/>
      <c r="P1134" s="602">
        <f t="shared" si="85"/>
        <v>0</v>
      </c>
      <c r="Q1134" s="682" t="s">
        <v>915</v>
      </c>
      <c r="R1134" s="74"/>
      <c r="S1134" s="74"/>
      <c r="T1134" s="74"/>
      <c r="U1134" s="74"/>
      <c r="V1134" s="74"/>
      <c r="W1134" s="74"/>
      <c r="X1134" s="74"/>
      <c r="Y1134" s="74"/>
      <c r="Z1134" s="74"/>
      <c r="AA1134" s="74"/>
      <c r="AB1134" s="74"/>
      <c r="AC1134" s="74"/>
      <c r="AD1134" s="74"/>
      <c r="AE1134" s="74"/>
      <c r="AF1134" s="74"/>
      <c r="AG1134" s="74"/>
      <c r="AH1134" s="74"/>
      <c r="AI1134" s="74"/>
    </row>
    <row r="1135" ht="22.5" customHeight="1">
      <c r="A1135" s="614">
        <v>45819.0</v>
      </c>
      <c r="B1135" s="626" t="s">
        <v>2218</v>
      </c>
      <c r="C1135" s="609"/>
      <c r="D1135" s="609"/>
      <c r="E1135" s="604" t="s">
        <v>33</v>
      </c>
      <c r="F1135" s="627" t="s">
        <v>800</v>
      </c>
      <c r="G1135" s="688">
        <v>0.0</v>
      </c>
      <c r="H1135" s="689">
        <f t="shared" si="84"/>
        <v>0</v>
      </c>
      <c r="I1135" s="599"/>
      <c r="J1135" s="605">
        <v>31400.0</v>
      </c>
      <c r="K1135" s="615" t="s">
        <v>93</v>
      </c>
      <c r="L1135" s="616" t="s">
        <v>916</v>
      </c>
      <c r="M1135" s="621"/>
      <c r="N1135" s="621"/>
      <c r="O1135" s="621"/>
      <c r="P1135" s="602">
        <f t="shared" si="85"/>
        <v>0</v>
      </c>
      <c r="Q1135" s="622"/>
      <c r="R1135" s="74"/>
      <c r="S1135" s="74"/>
      <c r="T1135" s="74"/>
      <c r="U1135" s="74"/>
      <c r="V1135" s="74"/>
      <c r="W1135" s="74"/>
      <c r="X1135" s="74"/>
      <c r="Y1135" s="74"/>
      <c r="Z1135" s="74"/>
      <c r="AA1135" s="74"/>
      <c r="AB1135" s="74"/>
      <c r="AC1135" s="74"/>
      <c r="AD1135" s="74"/>
      <c r="AE1135" s="74"/>
      <c r="AF1135" s="74"/>
      <c r="AG1135" s="74"/>
      <c r="AH1135" s="74"/>
      <c r="AI1135" s="74"/>
    </row>
    <row r="1136" ht="22.5" customHeight="1">
      <c r="A1136" s="614">
        <v>45819.0</v>
      </c>
      <c r="B1136" s="626" t="s">
        <v>2218</v>
      </c>
      <c r="C1136" s="609"/>
      <c r="D1136" s="609"/>
      <c r="E1136" s="604" t="s">
        <v>33</v>
      </c>
      <c r="F1136" s="627" t="s">
        <v>800</v>
      </c>
      <c r="G1136" s="688">
        <v>0.0</v>
      </c>
      <c r="H1136" s="689">
        <f t="shared" si="84"/>
        <v>0</v>
      </c>
      <c r="I1136" s="599"/>
      <c r="J1136" s="605">
        <v>15000.0</v>
      </c>
      <c r="K1136" s="615" t="s">
        <v>108</v>
      </c>
      <c r="L1136" s="616" t="s">
        <v>917</v>
      </c>
      <c r="M1136" s="621"/>
      <c r="N1136" s="621"/>
      <c r="O1136" s="621"/>
      <c r="P1136" s="602">
        <f t="shared" si="85"/>
        <v>0</v>
      </c>
      <c r="Q1136" s="622"/>
      <c r="R1136" s="74"/>
      <c r="S1136" s="74"/>
      <c r="T1136" s="74"/>
      <c r="U1136" s="74"/>
      <c r="V1136" s="74"/>
      <c r="W1136" s="74"/>
      <c r="X1136" s="74"/>
      <c r="Y1136" s="74"/>
      <c r="Z1136" s="74"/>
      <c r="AA1136" s="74"/>
      <c r="AB1136" s="74"/>
      <c r="AC1136" s="74"/>
      <c r="AD1136" s="74"/>
      <c r="AE1136" s="74"/>
      <c r="AF1136" s="74"/>
      <c r="AG1136" s="74"/>
      <c r="AH1136" s="74"/>
      <c r="AI1136" s="74"/>
    </row>
    <row r="1137" ht="22.5" customHeight="1">
      <c r="A1137" s="614">
        <v>45824.0</v>
      </c>
      <c r="B1137" s="675" t="s">
        <v>2218</v>
      </c>
      <c r="C1137" s="609"/>
      <c r="D1137" s="610">
        <v>217000.0</v>
      </c>
      <c r="E1137" s="604" t="s">
        <v>28</v>
      </c>
      <c r="F1137" s="627" t="s">
        <v>897</v>
      </c>
      <c r="G1137" s="597">
        <v>0.0</v>
      </c>
      <c r="H1137" s="689">
        <f t="shared" si="84"/>
        <v>0</v>
      </c>
      <c r="I1137" s="599"/>
      <c r="J1137" s="599"/>
      <c r="K1137" s="615" t="s">
        <v>494</v>
      </c>
      <c r="L1137" s="616" t="s">
        <v>691</v>
      </c>
      <c r="M1137" s="621"/>
      <c r="N1137" s="621"/>
      <c r="O1137" s="621"/>
      <c r="P1137" s="602">
        <f t="shared" si="85"/>
        <v>0</v>
      </c>
      <c r="Q1137" s="622"/>
      <c r="R1137" s="74"/>
      <c r="S1137" s="74"/>
      <c r="T1137" s="74"/>
      <c r="U1137" s="74"/>
      <c r="V1137" s="74"/>
      <c r="W1137" s="74"/>
      <c r="X1137" s="74"/>
      <c r="Y1137" s="74"/>
      <c r="Z1137" s="74"/>
      <c r="AA1137" s="74"/>
      <c r="AB1137" s="74"/>
      <c r="AC1137" s="74"/>
      <c r="AD1137" s="74"/>
      <c r="AE1137" s="74"/>
      <c r="AF1137" s="74"/>
      <c r="AG1137" s="74"/>
      <c r="AH1137" s="74"/>
      <c r="AI1137" s="74"/>
    </row>
    <row r="1138" ht="22.5" customHeight="1">
      <c r="A1138" s="614">
        <v>45824.0</v>
      </c>
      <c r="B1138" s="675" t="s">
        <v>2218</v>
      </c>
      <c r="C1138" s="609"/>
      <c r="D1138" s="610">
        <v>550000.0</v>
      </c>
      <c r="E1138" s="604" t="s">
        <v>28</v>
      </c>
      <c r="F1138" s="627" t="s">
        <v>800</v>
      </c>
      <c r="G1138" s="597">
        <v>0.0</v>
      </c>
      <c r="H1138" s="689">
        <f t="shared" si="84"/>
        <v>0</v>
      </c>
      <c r="I1138" s="599"/>
      <c r="J1138" s="599"/>
      <c r="K1138" s="615" t="s">
        <v>2230</v>
      </c>
      <c r="L1138" s="616" t="s">
        <v>505</v>
      </c>
      <c r="M1138" s="621"/>
      <c r="N1138" s="621"/>
      <c r="O1138" s="621"/>
      <c r="P1138" s="602">
        <f t="shared" si="85"/>
        <v>0</v>
      </c>
      <c r="Q1138" s="622"/>
      <c r="R1138" s="74"/>
      <c r="S1138" s="74"/>
      <c r="T1138" s="74"/>
      <c r="U1138" s="74"/>
      <c r="V1138" s="74"/>
      <c r="W1138" s="74"/>
      <c r="X1138" s="74"/>
      <c r="Y1138" s="74"/>
      <c r="Z1138" s="74"/>
      <c r="AA1138" s="74"/>
      <c r="AB1138" s="74"/>
      <c r="AC1138" s="74"/>
      <c r="AD1138" s="74"/>
      <c r="AE1138" s="74"/>
      <c r="AF1138" s="74"/>
      <c r="AG1138" s="74"/>
      <c r="AH1138" s="74"/>
      <c r="AI1138" s="74"/>
    </row>
    <row r="1139" ht="22.5" customHeight="1">
      <c r="A1139" s="614">
        <v>45824.0</v>
      </c>
      <c r="B1139" s="675" t="s">
        <v>2218</v>
      </c>
      <c r="C1139" s="609"/>
      <c r="D1139" s="610">
        <v>650000.0</v>
      </c>
      <c r="E1139" s="604" t="s">
        <v>28</v>
      </c>
      <c r="F1139" s="627" t="s">
        <v>897</v>
      </c>
      <c r="G1139" s="597">
        <v>20.0</v>
      </c>
      <c r="H1139" s="689">
        <f t="shared" si="84"/>
        <v>108333.3333</v>
      </c>
      <c r="I1139" s="605"/>
      <c r="J1139" s="605"/>
      <c r="K1139" s="680" t="s">
        <v>48</v>
      </c>
      <c r="L1139" s="611"/>
      <c r="M1139" s="621"/>
      <c r="N1139" s="621"/>
      <c r="O1139" s="621"/>
      <c r="P1139" s="602">
        <f t="shared" si="85"/>
        <v>0</v>
      </c>
      <c r="Q1139" s="622"/>
      <c r="R1139" s="74"/>
      <c r="S1139" s="74"/>
      <c r="T1139" s="74"/>
      <c r="U1139" s="74"/>
      <c r="V1139" s="74"/>
      <c r="W1139" s="74"/>
      <c r="X1139" s="74"/>
      <c r="Y1139" s="74"/>
      <c r="Z1139" s="74"/>
      <c r="AA1139" s="74"/>
      <c r="AB1139" s="74"/>
      <c r="AC1139" s="74"/>
      <c r="AD1139" s="74"/>
      <c r="AE1139" s="74"/>
      <c r="AF1139" s="74"/>
      <c r="AG1139" s="74"/>
      <c r="AH1139" s="74"/>
      <c r="AI1139" s="74"/>
    </row>
    <row r="1140" ht="22.5" customHeight="1">
      <c r="A1140" s="614">
        <v>45824.0</v>
      </c>
      <c r="B1140" s="675" t="s">
        <v>2218</v>
      </c>
      <c r="C1140" s="609"/>
      <c r="D1140" s="610"/>
      <c r="E1140" s="604" t="s">
        <v>33</v>
      </c>
      <c r="F1140" s="627" t="s">
        <v>897</v>
      </c>
      <c r="G1140" s="597">
        <v>0.0</v>
      </c>
      <c r="H1140" s="689">
        <f t="shared" si="84"/>
        <v>0</v>
      </c>
      <c r="I1140" s="605">
        <v>484250.0</v>
      </c>
      <c r="J1140" s="599"/>
      <c r="K1140" s="680" t="s">
        <v>48</v>
      </c>
      <c r="L1140" s="615"/>
      <c r="M1140" s="621"/>
      <c r="N1140" s="621"/>
      <c r="O1140" s="621"/>
      <c r="P1140" s="602">
        <f t="shared" si="85"/>
        <v>0</v>
      </c>
      <c r="Q1140" s="622"/>
      <c r="R1140" s="74"/>
      <c r="S1140" s="74"/>
      <c r="T1140" s="74"/>
      <c r="U1140" s="74"/>
      <c r="V1140" s="74"/>
      <c r="W1140" s="74"/>
      <c r="X1140" s="74"/>
      <c r="Y1140" s="74"/>
      <c r="Z1140" s="74"/>
      <c r="AA1140" s="74"/>
      <c r="AB1140" s="74"/>
      <c r="AC1140" s="74"/>
      <c r="AD1140" s="74"/>
      <c r="AE1140" s="74"/>
      <c r="AF1140" s="74"/>
      <c r="AG1140" s="74"/>
      <c r="AH1140" s="74"/>
      <c r="AI1140" s="74"/>
    </row>
    <row r="1141" ht="22.5" customHeight="1">
      <c r="A1141" s="614">
        <v>45824.0</v>
      </c>
      <c r="B1141" s="675" t="s">
        <v>2218</v>
      </c>
      <c r="C1141" s="609"/>
      <c r="D1141" s="610">
        <v>2632.22</v>
      </c>
      <c r="E1141" s="604" t="s">
        <v>28</v>
      </c>
      <c r="F1141" s="627" t="s">
        <v>897</v>
      </c>
      <c r="G1141" s="688">
        <v>0.0</v>
      </c>
      <c r="H1141" s="689">
        <f t="shared" si="84"/>
        <v>0</v>
      </c>
      <c r="I1141" s="599"/>
      <c r="J1141" s="599"/>
      <c r="K1141" s="615" t="s">
        <v>236</v>
      </c>
      <c r="L1141" s="616" t="s">
        <v>72</v>
      </c>
      <c r="M1141" s="621"/>
      <c r="N1141" s="621"/>
      <c r="O1141" s="621"/>
      <c r="P1141" s="602">
        <f t="shared" si="85"/>
        <v>0</v>
      </c>
      <c r="Q1141" s="622"/>
      <c r="R1141" s="74"/>
      <c r="S1141" s="74"/>
      <c r="T1141" s="74"/>
      <c r="U1141" s="74"/>
      <c r="V1141" s="74"/>
      <c r="W1141" s="74"/>
      <c r="X1141" s="74"/>
      <c r="Y1141" s="74"/>
      <c r="Z1141" s="74"/>
      <c r="AA1141" s="74"/>
      <c r="AB1141" s="74"/>
      <c r="AC1141" s="74"/>
      <c r="AD1141" s="74"/>
      <c r="AE1141" s="74"/>
      <c r="AF1141" s="74"/>
      <c r="AG1141" s="74"/>
      <c r="AH1141" s="74"/>
      <c r="AI1141" s="74"/>
    </row>
    <row r="1142" ht="22.5" customHeight="1">
      <c r="A1142" s="614">
        <v>45825.0</v>
      </c>
      <c r="B1142" s="626" t="s">
        <v>2218</v>
      </c>
      <c r="C1142" s="610">
        <v>600000.24</v>
      </c>
      <c r="D1142" s="609"/>
      <c r="E1142" s="606"/>
      <c r="F1142" s="627" t="s">
        <v>674</v>
      </c>
      <c r="G1142" s="597">
        <v>20.0</v>
      </c>
      <c r="H1142" s="689">
        <f t="shared" si="84"/>
        <v>100000.04</v>
      </c>
      <c r="I1142" s="599"/>
      <c r="J1142" s="599"/>
      <c r="K1142" s="615" t="s">
        <v>51</v>
      </c>
      <c r="L1142" s="616" t="s">
        <v>440</v>
      </c>
      <c r="M1142" s="612" t="s">
        <v>855</v>
      </c>
      <c r="N1142" s="612">
        <v>109.0</v>
      </c>
      <c r="O1142" s="662">
        <v>45757.0</v>
      </c>
      <c r="P1142" s="602">
        <f t="shared" si="85"/>
        <v>68</v>
      </c>
      <c r="Q1142" s="622"/>
      <c r="R1142" s="74"/>
      <c r="S1142" s="74"/>
      <c r="T1142" s="74"/>
      <c r="U1142" s="74"/>
      <c r="V1142" s="74"/>
      <c r="W1142" s="74"/>
      <c r="X1142" s="74"/>
      <c r="Y1142" s="74"/>
      <c r="Z1142" s="74"/>
      <c r="AA1142" s="74"/>
      <c r="AB1142" s="74"/>
      <c r="AC1142" s="74"/>
      <c r="AD1142" s="74"/>
      <c r="AE1142" s="74"/>
      <c r="AF1142" s="74"/>
      <c r="AG1142" s="74"/>
      <c r="AH1142" s="74"/>
      <c r="AI1142" s="74"/>
    </row>
    <row r="1143" ht="22.5" customHeight="1">
      <c r="A1143" s="614">
        <v>45825.0</v>
      </c>
      <c r="B1143" s="675" t="s">
        <v>2218</v>
      </c>
      <c r="C1143" s="610">
        <v>600000.24</v>
      </c>
      <c r="D1143" s="609"/>
      <c r="E1143" s="606"/>
      <c r="F1143" s="627" t="s">
        <v>674</v>
      </c>
      <c r="G1143" s="597">
        <v>20.0</v>
      </c>
      <c r="H1143" s="689">
        <f t="shared" si="84"/>
        <v>100000.04</v>
      </c>
      <c r="I1143" s="599"/>
      <c r="J1143" s="599"/>
      <c r="K1143" s="615" t="s">
        <v>51</v>
      </c>
      <c r="L1143" s="616" t="s">
        <v>440</v>
      </c>
      <c r="M1143" s="612" t="s">
        <v>854</v>
      </c>
      <c r="N1143" s="612">
        <v>110.0</v>
      </c>
      <c r="O1143" s="662">
        <v>45757.0</v>
      </c>
      <c r="P1143" s="602">
        <f t="shared" si="85"/>
        <v>68</v>
      </c>
      <c r="Q1143" s="622"/>
      <c r="R1143" s="74"/>
      <c r="S1143" s="74"/>
      <c r="T1143" s="74"/>
      <c r="U1143" s="74"/>
      <c r="V1143" s="74"/>
      <c r="W1143" s="74"/>
      <c r="X1143" s="74"/>
      <c r="Y1143" s="74"/>
      <c r="Z1143" s="74"/>
      <c r="AA1143" s="74"/>
      <c r="AB1143" s="74"/>
      <c r="AC1143" s="74"/>
      <c r="AD1143" s="74"/>
      <c r="AE1143" s="74"/>
      <c r="AF1143" s="74"/>
      <c r="AG1143" s="74"/>
      <c r="AH1143" s="74"/>
      <c r="AI1143" s="74"/>
    </row>
    <row r="1144" ht="22.5" customHeight="1">
      <c r="A1144" s="614">
        <v>45825.0</v>
      </c>
      <c r="B1144" s="675" t="s">
        <v>2218</v>
      </c>
      <c r="C1144" s="610">
        <v>600000.24</v>
      </c>
      <c r="D1144" s="609"/>
      <c r="E1144" s="606"/>
      <c r="F1144" s="627" t="s">
        <v>674</v>
      </c>
      <c r="G1144" s="597">
        <v>20.0</v>
      </c>
      <c r="H1144" s="689">
        <f t="shared" si="84"/>
        <v>100000.04</v>
      </c>
      <c r="I1144" s="599"/>
      <c r="J1144" s="599"/>
      <c r="K1144" s="615" t="s">
        <v>51</v>
      </c>
      <c r="L1144" s="616" t="s">
        <v>440</v>
      </c>
      <c r="M1144" s="612" t="s">
        <v>851</v>
      </c>
      <c r="N1144" s="612">
        <v>111.0</v>
      </c>
      <c r="O1144" s="662">
        <v>45757.0</v>
      </c>
      <c r="P1144" s="602">
        <f t="shared" si="85"/>
        <v>68</v>
      </c>
      <c r="Q1144" s="622"/>
      <c r="R1144" s="74"/>
      <c r="S1144" s="74"/>
      <c r="T1144" s="74"/>
      <c r="U1144" s="74"/>
      <c r="V1144" s="74"/>
      <c r="W1144" s="74"/>
      <c r="X1144" s="74"/>
      <c r="Y1144" s="74"/>
      <c r="Z1144" s="74"/>
      <c r="AA1144" s="74"/>
      <c r="AB1144" s="74"/>
      <c r="AC1144" s="74"/>
      <c r="AD1144" s="74"/>
      <c r="AE1144" s="74"/>
      <c r="AF1144" s="74"/>
      <c r="AG1144" s="74"/>
      <c r="AH1144" s="74"/>
      <c r="AI1144" s="74"/>
    </row>
    <row r="1145" ht="22.5" customHeight="1">
      <c r="A1145" s="614">
        <v>45825.0</v>
      </c>
      <c r="B1145" s="675" t="s">
        <v>2218</v>
      </c>
      <c r="C1145" s="610">
        <v>750000.3</v>
      </c>
      <c r="D1145" s="609"/>
      <c r="E1145" s="606"/>
      <c r="F1145" s="627" t="s">
        <v>674</v>
      </c>
      <c r="G1145" s="597">
        <v>20.0</v>
      </c>
      <c r="H1145" s="689">
        <f t="shared" si="84"/>
        <v>125000.05</v>
      </c>
      <c r="I1145" s="599"/>
      <c r="J1145" s="599"/>
      <c r="K1145" s="615" t="s">
        <v>51</v>
      </c>
      <c r="L1145" s="616" t="s">
        <v>440</v>
      </c>
      <c r="M1145" s="612" t="s">
        <v>850</v>
      </c>
      <c r="N1145" s="612">
        <v>112.0</v>
      </c>
      <c r="O1145" s="662">
        <v>45757.0</v>
      </c>
      <c r="P1145" s="602">
        <f t="shared" si="85"/>
        <v>68</v>
      </c>
      <c r="Q1145" s="622"/>
      <c r="R1145" s="74"/>
      <c r="S1145" s="74"/>
      <c r="T1145" s="74"/>
      <c r="U1145" s="74"/>
      <c r="V1145" s="74"/>
      <c r="W1145" s="74"/>
      <c r="X1145" s="74"/>
      <c r="Y1145" s="74"/>
      <c r="Z1145" s="74"/>
      <c r="AA1145" s="74"/>
      <c r="AB1145" s="74"/>
      <c r="AC1145" s="74"/>
      <c r="AD1145" s="74"/>
      <c r="AE1145" s="74"/>
      <c r="AF1145" s="74"/>
      <c r="AG1145" s="74"/>
      <c r="AH1145" s="74"/>
      <c r="AI1145" s="74"/>
    </row>
    <row r="1146" ht="22.5" customHeight="1">
      <c r="A1146" s="614">
        <v>45825.0</v>
      </c>
      <c r="B1146" s="675" t="s">
        <v>2218</v>
      </c>
      <c r="C1146" s="609"/>
      <c r="D1146" s="609"/>
      <c r="E1146" s="604" t="s">
        <v>33</v>
      </c>
      <c r="F1146" s="627" t="s">
        <v>839</v>
      </c>
      <c r="G1146" s="688">
        <v>0.0</v>
      </c>
      <c r="H1146" s="689">
        <f t="shared" si="84"/>
        <v>0</v>
      </c>
      <c r="I1146" s="599"/>
      <c r="J1146" s="605">
        <v>190000.0</v>
      </c>
      <c r="K1146" s="615" t="s">
        <v>65</v>
      </c>
      <c r="L1146" s="616" t="s">
        <v>918</v>
      </c>
      <c r="M1146" s="621"/>
      <c r="N1146" s="621"/>
      <c r="O1146" s="621"/>
      <c r="P1146" s="602">
        <f t="shared" si="85"/>
        <v>0</v>
      </c>
      <c r="Q1146" s="622"/>
      <c r="R1146" s="74"/>
      <c r="S1146" s="74"/>
      <c r="T1146" s="74"/>
      <c r="U1146" s="74"/>
      <c r="V1146" s="74"/>
      <c r="W1146" s="74"/>
      <c r="X1146" s="74"/>
      <c r="Y1146" s="74"/>
      <c r="Z1146" s="74"/>
      <c r="AA1146" s="74"/>
      <c r="AB1146" s="74"/>
      <c r="AC1146" s="74"/>
      <c r="AD1146" s="74"/>
      <c r="AE1146" s="74"/>
      <c r="AF1146" s="74"/>
      <c r="AG1146" s="74"/>
      <c r="AH1146" s="74"/>
      <c r="AI1146" s="74"/>
    </row>
    <row r="1147" ht="22.5" customHeight="1">
      <c r="A1147" s="614">
        <v>45825.0</v>
      </c>
      <c r="B1147" s="675" t="s">
        <v>2218</v>
      </c>
      <c r="C1147" s="609"/>
      <c r="D1147" s="609"/>
      <c r="E1147" s="604" t="s">
        <v>33</v>
      </c>
      <c r="F1147" s="627" t="s">
        <v>897</v>
      </c>
      <c r="G1147" s="688">
        <v>0.0</v>
      </c>
      <c r="H1147" s="689">
        <f t="shared" si="84"/>
        <v>0</v>
      </c>
      <c r="I1147" s="599"/>
      <c r="J1147" s="599">
        <f>49000+54000</f>
        <v>103000</v>
      </c>
      <c r="K1147" s="615" t="s">
        <v>494</v>
      </c>
      <c r="L1147" s="616" t="s">
        <v>919</v>
      </c>
      <c r="M1147" s="621"/>
      <c r="N1147" s="621"/>
      <c r="O1147" s="621"/>
      <c r="P1147" s="602">
        <f t="shared" si="85"/>
        <v>0</v>
      </c>
      <c r="Q1147" s="622"/>
      <c r="R1147" s="74"/>
      <c r="S1147" s="74"/>
      <c r="T1147" s="74"/>
      <c r="U1147" s="74"/>
      <c r="V1147" s="74"/>
      <c r="W1147" s="74"/>
      <c r="X1147" s="74"/>
      <c r="Y1147" s="74"/>
      <c r="Z1147" s="74"/>
      <c r="AA1147" s="74"/>
      <c r="AB1147" s="74"/>
      <c r="AC1147" s="74"/>
      <c r="AD1147" s="74"/>
      <c r="AE1147" s="74"/>
      <c r="AF1147" s="74"/>
      <c r="AG1147" s="74"/>
      <c r="AH1147" s="74"/>
      <c r="AI1147" s="74"/>
    </row>
    <row r="1148" ht="22.5" customHeight="1">
      <c r="A1148" s="614">
        <v>45827.0</v>
      </c>
      <c r="B1148" s="675" t="s">
        <v>2218</v>
      </c>
      <c r="C1148" s="610">
        <v>392461.85</v>
      </c>
      <c r="D1148" s="609"/>
      <c r="E1148" s="606"/>
      <c r="F1148" s="627" t="s">
        <v>674</v>
      </c>
      <c r="G1148" s="597">
        <v>20.0</v>
      </c>
      <c r="H1148" s="689">
        <f t="shared" si="84"/>
        <v>65410.30833</v>
      </c>
      <c r="I1148" s="599"/>
      <c r="J1148" s="599"/>
      <c r="K1148" s="615" t="s">
        <v>51</v>
      </c>
      <c r="L1148" s="616" t="s">
        <v>920</v>
      </c>
      <c r="M1148" s="612" t="s">
        <v>921</v>
      </c>
      <c r="N1148" s="612">
        <v>107.0</v>
      </c>
      <c r="O1148" s="662">
        <v>45757.0</v>
      </c>
      <c r="P1148" s="602">
        <f t="shared" si="85"/>
        <v>70</v>
      </c>
      <c r="Q1148" s="622"/>
      <c r="R1148" s="74"/>
      <c r="S1148" s="74"/>
      <c r="T1148" s="74"/>
      <c r="U1148" s="74"/>
      <c r="V1148" s="74"/>
      <c r="W1148" s="74"/>
      <c r="X1148" s="74"/>
      <c r="Y1148" s="74"/>
      <c r="Z1148" s="74"/>
      <c r="AA1148" s="74"/>
      <c r="AB1148" s="74"/>
      <c r="AC1148" s="74"/>
      <c r="AD1148" s="74"/>
      <c r="AE1148" s="74"/>
      <c r="AF1148" s="74"/>
      <c r="AG1148" s="74"/>
      <c r="AH1148" s="74"/>
      <c r="AI1148" s="74"/>
    </row>
    <row r="1149" ht="22.5" customHeight="1">
      <c r="A1149" s="614">
        <v>45827.0</v>
      </c>
      <c r="B1149" s="675" t="s">
        <v>2218</v>
      </c>
      <c r="C1149" s="610">
        <v>600000.24</v>
      </c>
      <c r="D1149" s="609"/>
      <c r="E1149" s="606"/>
      <c r="F1149" s="627" t="s">
        <v>674</v>
      </c>
      <c r="G1149" s="597">
        <v>20.0</v>
      </c>
      <c r="H1149" s="689">
        <f t="shared" si="84"/>
        <v>100000.04</v>
      </c>
      <c r="I1149" s="599"/>
      <c r="J1149" s="599"/>
      <c r="K1149" s="615" t="s">
        <v>51</v>
      </c>
      <c r="L1149" s="616" t="s">
        <v>675</v>
      </c>
      <c r="M1149" s="612" t="s">
        <v>855</v>
      </c>
      <c r="N1149" s="612">
        <v>138.0</v>
      </c>
      <c r="O1149" s="662">
        <v>45758.0</v>
      </c>
      <c r="P1149" s="602">
        <f t="shared" si="85"/>
        <v>69</v>
      </c>
      <c r="Q1149" s="622"/>
      <c r="R1149" s="74"/>
      <c r="S1149" s="74"/>
      <c r="T1149" s="74"/>
      <c r="U1149" s="74"/>
      <c r="V1149" s="74"/>
      <c r="W1149" s="74"/>
      <c r="X1149" s="74"/>
      <c r="Y1149" s="74"/>
      <c r="Z1149" s="74"/>
      <c r="AA1149" s="74"/>
      <c r="AB1149" s="74"/>
      <c r="AC1149" s="74"/>
      <c r="AD1149" s="74"/>
      <c r="AE1149" s="74"/>
      <c r="AF1149" s="74"/>
      <c r="AG1149" s="74"/>
      <c r="AH1149" s="74"/>
      <c r="AI1149" s="74"/>
    </row>
    <row r="1150" ht="22.5" customHeight="1">
      <c r="A1150" s="614">
        <v>45827.0</v>
      </c>
      <c r="B1150" s="675" t="s">
        <v>2218</v>
      </c>
      <c r="C1150" s="610">
        <v>600000.24</v>
      </c>
      <c r="D1150" s="609"/>
      <c r="E1150" s="606"/>
      <c r="F1150" s="627" t="s">
        <v>674</v>
      </c>
      <c r="G1150" s="597">
        <v>20.0</v>
      </c>
      <c r="H1150" s="689">
        <f t="shared" si="84"/>
        <v>100000.04</v>
      </c>
      <c r="I1150" s="599"/>
      <c r="J1150" s="599"/>
      <c r="K1150" s="615" t="s">
        <v>51</v>
      </c>
      <c r="L1150" s="616" t="s">
        <v>675</v>
      </c>
      <c r="M1150" s="612" t="s">
        <v>850</v>
      </c>
      <c r="N1150" s="612">
        <v>139.0</v>
      </c>
      <c r="O1150" s="662">
        <v>45758.0</v>
      </c>
      <c r="P1150" s="602">
        <f t="shared" si="85"/>
        <v>69</v>
      </c>
      <c r="Q1150" s="622"/>
      <c r="R1150" s="74"/>
      <c r="S1150" s="74"/>
      <c r="T1150" s="74"/>
      <c r="U1150" s="74"/>
      <c r="V1150" s="74"/>
      <c r="W1150" s="74"/>
      <c r="X1150" s="74"/>
      <c r="Y1150" s="74"/>
      <c r="Z1150" s="74"/>
      <c r="AA1150" s="74"/>
      <c r="AB1150" s="74"/>
      <c r="AC1150" s="74"/>
      <c r="AD1150" s="74"/>
      <c r="AE1150" s="74"/>
      <c r="AF1150" s="74"/>
      <c r="AG1150" s="74"/>
      <c r="AH1150" s="74"/>
      <c r="AI1150" s="74"/>
    </row>
    <row r="1151" ht="22.5" customHeight="1">
      <c r="A1151" s="614">
        <v>45827.0</v>
      </c>
      <c r="B1151" s="675" t="s">
        <v>2218</v>
      </c>
      <c r="C1151" s="609"/>
      <c r="D1151" s="609"/>
      <c r="E1151" s="604" t="s">
        <v>33</v>
      </c>
      <c r="F1151" s="627" t="s">
        <v>897</v>
      </c>
      <c r="G1151" s="688">
        <v>0.0</v>
      </c>
      <c r="H1151" s="689">
        <f t="shared" si="84"/>
        <v>0</v>
      </c>
      <c r="I1151" s="599"/>
      <c r="J1151" s="605">
        <v>18000.0</v>
      </c>
      <c r="K1151" s="615" t="s">
        <v>1181</v>
      </c>
      <c r="L1151" s="616" t="s">
        <v>922</v>
      </c>
      <c r="M1151" s="621"/>
      <c r="N1151" s="621"/>
      <c r="O1151" s="621"/>
      <c r="P1151" s="602">
        <f t="shared" si="85"/>
        <v>0</v>
      </c>
      <c r="Q1151" s="622"/>
      <c r="R1151" s="74"/>
      <c r="S1151" s="74"/>
      <c r="T1151" s="74"/>
      <c r="U1151" s="74"/>
      <c r="V1151" s="74"/>
      <c r="W1151" s="74"/>
      <c r="X1151" s="74"/>
      <c r="Y1151" s="74"/>
      <c r="Z1151" s="74"/>
      <c r="AA1151" s="74"/>
      <c r="AB1151" s="74"/>
      <c r="AC1151" s="74"/>
      <c r="AD1151" s="74"/>
      <c r="AE1151" s="74"/>
      <c r="AF1151" s="74"/>
      <c r="AG1151" s="74"/>
      <c r="AH1151" s="74"/>
      <c r="AI1151" s="74"/>
    </row>
    <row r="1152" ht="22.5" customHeight="1">
      <c r="A1152" s="614">
        <v>45828.0</v>
      </c>
      <c r="B1152" s="675" t="s">
        <v>2218</v>
      </c>
      <c r="C1152" s="610">
        <v>624000.0</v>
      </c>
      <c r="D1152" s="610"/>
      <c r="E1152" s="606"/>
      <c r="F1152" s="627" t="s">
        <v>722</v>
      </c>
      <c r="G1152" s="597">
        <v>20.0</v>
      </c>
      <c r="H1152" s="689">
        <f t="shared" si="84"/>
        <v>104000</v>
      </c>
      <c r="I1152" s="599"/>
      <c r="J1152" s="599"/>
      <c r="K1152" s="615" t="s">
        <v>51</v>
      </c>
      <c r="L1152" s="616" t="s">
        <v>474</v>
      </c>
      <c r="M1152" s="612" t="s">
        <v>757</v>
      </c>
      <c r="N1152" s="612">
        <v>160.0</v>
      </c>
      <c r="O1152" s="662">
        <v>45789.0</v>
      </c>
      <c r="P1152" s="602">
        <f t="shared" si="85"/>
        <v>39</v>
      </c>
      <c r="Q1152" s="622"/>
      <c r="R1152" s="74"/>
      <c r="S1152" s="74"/>
      <c r="T1152" s="74"/>
      <c r="U1152" s="74"/>
      <c r="V1152" s="74"/>
      <c r="W1152" s="74"/>
      <c r="X1152" s="74"/>
      <c r="Y1152" s="74"/>
      <c r="Z1152" s="74"/>
      <c r="AA1152" s="74"/>
      <c r="AB1152" s="74"/>
      <c r="AC1152" s="74"/>
      <c r="AD1152" s="74"/>
      <c r="AE1152" s="74"/>
      <c r="AF1152" s="74"/>
      <c r="AG1152" s="74"/>
      <c r="AH1152" s="74"/>
      <c r="AI1152" s="74"/>
    </row>
    <row r="1153" ht="22.5" customHeight="1">
      <c r="A1153" s="614">
        <v>45830.0</v>
      </c>
      <c r="B1153" s="675" t="s">
        <v>2218</v>
      </c>
      <c r="C1153" s="609"/>
      <c r="D1153" s="610"/>
      <c r="E1153" s="604" t="s">
        <v>33</v>
      </c>
      <c r="F1153" s="627" t="s">
        <v>897</v>
      </c>
      <c r="G1153" s="688">
        <v>0.0</v>
      </c>
      <c r="H1153" s="689">
        <f t="shared" si="84"/>
        <v>0</v>
      </c>
      <c r="I1153" s="599"/>
      <c r="J1153" s="605">
        <v>30000.0</v>
      </c>
      <c r="K1153" s="615" t="s">
        <v>591</v>
      </c>
      <c r="L1153" s="616" t="s">
        <v>923</v>
      </c>
      <c r="M1153" s="621"/>
      <c r="N1153" s="621"/>
      <c r="O1153" s="621"/>
      <c r="P1153" s="602">
        <f t="shared" si="85"/>
        <v>0</v>
      </c>
      <c r="Q1153" s="622"/>
      <c r="R1153" s="74"/>
      <c r="S1153" s="74"/>
      <c r="T1153" s="74"/>
      <c r="U1153" s="74"/>
      <c r="V1153" s="74"/>
      <c r="W1153" s="74"/>
      <c r="X1153" s="74"/>
      <c r="Y1153" s="74"/>
      <c r="Z1153" s="74"/>
      <c r="AA1153" s="74"/>
      <c r="AB1153" s="74"/>
      <c r="AC1153" s="74"/>
      <c r="AD1153" s="74"/>
      <c r="AE1153" s="74"/>
      <c r="AF1153" s="74"/>
      <c r="AG1153" s="74"/>
      <c r="AH1153" s="74"/>
      <c r="AI1153" s="74"/>
    </row>
    <row r="1154" ht="22.5" customHeight="1">
      <c r="A1154" s="614">
        <v>45832.0</v>
      </c>
      <c r="B1154" s="675" t="s">
        <v>2218</v>
      </c>
      <c r="C1154" s="610">
        <v>350000.0</v>
      </c>
      <c r="D1154" s="609"/>
      <c r="E1154" s="606"/>
      <c r="F1154" s="627" t="s">
        <v>897</v>
      </c>
      <c r="G1154" s="597">
        <v>20.0</v>
      </c>
      <c r="H1154" s="689">
        <f t="shared" si="84"/>
        <v>58333.33333</v>
      </c>
      <c r="I1154" s="599"/>
      <c r="J1154" s="599"/>
      <c r="K1154" s="615" t="s">
        <v>51</v>
      </c>
      <c r="L1154" s="616" t="s">
        <v>924</v>
      </c>
      <c r="M1154" s="621"/>
      <c r="N1154" s="612">
        <v>245.0</v>
      </c>
      <c r="O1154" s="662">
        <v>45832.0</v>
      </c>
      <c r="P1154" s="602">
        <f t="shared" si="85"/>
        <v>0</v>
      </c>
      <c r="Q1154" s="622"/>
      <c r="R1154" s="74"/>
      <c r="S1154" s="74"/>
      <c r="T1154" s="74"/>
      <c r="U1154" s="74"/>
      <c r="V1154" s="74"/>
      <c r="W1154" s="74"/>
      <c r="X1154" s="74"/>
      <c r="Y1154" s="74"/>
      <c r="Z1154" s="74"/>
      <c r="AA1154" s="74"/>
      <c r="AB1154" s="74"/>
      <c r="AC1154" s="74"/>
      <c r="AD1154" s="74"/>
      <c r="AE1154" s="74"/>
      <c r="AF1154" s="74"/>
      <c r="AG1154" s="74"/>
      <c r="AH1154" s="74"/>
      <c r="AI1154" s="74"/>
    </row>
    <row r="1155" ht="22.5" customHeight="1">
      <c r="A1155" s="614">
        <v>45833.0</v>
      </c>
      <c r="B1155" s="675" t="s">
        <v>2218</v>
      </c>
      <c r="C1155" s="609"/>
      <c r="D1155" s="610">
        <f>622260+16026+367</f>
        <v>638653</v>
      </c>
      <c r="E1155" s="606"/>
      <c r="F1155" s="627" t="s">
        <v>897</v>
      </c>
      <c r="G1155" s="597">
        <v>20.0</v>
      </c>
      <c r="H1155" s="689">
        <f t="shared" si="84"/>
        <v>106442.1667</v>
      </c>
      <c r="I1155" s="599"/>
      <c r="J1155" s="599"/>
      <c r="K1155" s="615" t="s">
        <v>280</v>
      </c>
      <c r="L1155" s="616" t="s">
        <v>925</v>
      </c>
      <c r="M1155" s="621"/>
      <c r="N1155" s="621"/>
      <c r="O1155" s="621"/>
      <c r="P1155" s="602">
        <f t="shared" si="85"/>
        <v>0</v>
      </c>
      <c r="Q1155" s="622"/>
      <c r="R1155" s="74"/>
      <c r="S1155" s="74"/>
      <c r="T1155" s="74"/>
      <c r="U1155" s="74"/>
      <c r="V1155" s="74"/>
      <c r="W1155" s="74"/>
      <c r="X1155" s="74"/>
      <c r="Y1155" s="74"/>
      <c r="Z1155" s="74"/>
      <c r="AA1155" s="74"/>
      <c r="AB1155" s="74"/>
      <c r="AC1155" s="74"/>
      <c r="AD1155" s="74"/>
      <c r="AE1155" s="74"/>
      <c r="AF1155" s="74"/>
      <c r="AG1155" s="74"/>
      <c r="AH1155" s="74"/>
      <c r="AI1155" s="74"/>
    </row>
    <row r="1156" ht="22.5" customHeight="1">
      <c r="A1156" s="614">
        <v>45833.0</v>
      </c>
      <c r="B1156" s="675" t="s">
        <v>2218</v>
      </c>
      <c r="C1156" s="609"/>
      <c r="D1156" s="610">
        <v>3300000.0</v>
      </c>
      <c r="E1156" s="604" t="s">
        <v>28</v>
      </c>
      <c r="F1156" s="627" t="s">
        <v>897</v>
      </c>
      <c r="G1156" s="597">
        <v>20.0</v>
      </c>
      <c r="H1156" s="689">
        <f t="shared" si="84"/>
        <v>550000</v>
      </c>
      <c r="I1156" s="605"/>
      <c r="J1156" s="599"/>
      <c r="K1156" s="680" t="s">
        <v>48</v>
      </c>
      <c r="L1156" s="611"/>
      <c r="M1156" s="621"/>
      <c r="N1156" s="621"/>
      <c r="O1156" s="621"/>
      <c r="P1156" s="602">
        <f t="shared" si="85"/>
        <v>0</v>
      </c>
      <c r="Q1156" s="622"/>
      <c r="R1156" s="74"/>
      <c r="S1156" s="74"/>
      <c r="T1156" s="74"/>
      <c r="U1156" s="74"/>
      <c r="V1156" s="74"/>
      <c r="W1156" s="74"/>
      <c r="X1156" s="74"/>
      <c r="Y1156" s="74"/>
      <c r="Z1156" s="74"/>
      <c r="AA1156" s="74"/>
      <c r="AB1156" s="74"/>
      <c r="AC1156" s="74"/>
      <c r="AD1156" s="74"/>
      <c r="AE1156" s="74"/>
      <c r="AF1156" s="74"/>
      <c r="AG1156" s="74"/>
      <c r="AH1156" s="74"/>
      <c r="AI1156" s="74"/>
    </row>
    <row r="1157" ht="22.5" customHeight="1">
      <c r="A1157" s="614">
        <v>45833.0</v>
      </c>
      <c r="B1157" s="684" t="s">
        <v>2218</v>
      </c>
      <c r="C1157" s="609"/>
      <c r="D1157" s="610"/>
      <c r="E1157" s="604" t="s">
        <v>33</v>
      </c>
      <c r="F1157" s="627" t="s">
        <v>897</v>
      </c>
      <c r="G1157" s="597">
        <v>0.0</v>
      </c>
      <c r="H1157" s="689">
        <f t="shared" si="84"/>
        <v>0</v>
      </c>
      <c r="I1157" s="605">
        <v>2525000.0</v>
      </c>
      <c r="J1157" s="599"/>
      <c r="K1157" s="680" t="s">
        <v>48</v>
      </c>
      <c r="L1157" s="671"/>
      <c r="M1157" s="621"/>
      <c r="N1157" s="621"/>
      <c r="O1157" s="621"/>
      <c r="P1157" s="602">
        <f t="shared" si="85"/>
        <v>0</v>
      </c>
      <c r="Q1157" s="622"/>
      <c r="R1157" s="74"/>
      <c r="S1157" s="74"/>
      <c r="T1157" s="74"/>
      <c r="U1157" s="74"/>
      <c r="V1157" s="74"/>
      <c r="W1157" s="74"/>
      <c r="X1157" s="74"/>
      <c r="Y1157" s="74"/>
      <c r="Z1157" s="74"/>
      <c r="AA1157" s="74"/>
      <c r="AB1157" s="74"/>
      <c r="AC1157" s="74"/>
      <c r="AD1157" s="74"/>
      <c r="AE1157" s="74"/>
      <c r="AF1157" s="74"/>
      <c r="AG1157" s="74"/>
      <c r="AH1157" s="74"/>
      <c r="AI1157" s="74"/>
    </row>
    <row r="1158" ht="22.5" customHeight="1">
      <c r="A1158" s="614">
        <v>45833.0</v>
      </c>
      <c r="B1158" s="675" t="s">
        <v>2218</v>
      </c>
      <c r="C1158" s="609"/>
      <c r="D1158" s="610">
        <v>600000.0</v>
      </c>
      <c r="E1158" s="604" t="s">
        <v>28</v>
      </c>
      <c r="F1158" s="627" t="s">
        <v>897</v>
      </c>
      <c r="G1158" s="597">
        <v>20.0</v>
      </c>
      <c r="H1158" s="689">
        <f t="shared" si="84"/>
        <v>100000</v>
      </c>
      <c r="I1158" s="599"/>
      <c r="J1158" s="599"/>
      <c r="K1158" s="615" t="s">
        <v>2238</v>
      </c>
      <c r="L1158" s="671" t="s">
        <v>228</v>
      </c>
      <c r="M1158" s="621"/>
      <c r="N1158" s="621"/>
      <c r="O1158" s="621"/>
      <c r="P1158" s="602">
        <f t="shared" si="85"/>
        <v>0</v>
      </c>
      <c r="Q1158" s="622"/>
      <c r="R1158" s="74"/>
      <c r="S1158" s="74"/>
      <c r="T1158" s="74"/>
      <c r="U1158" s="74"/>
      <c r="V1158" s="74"/>
      <c r="W1158" s="74"/>
      <c r="X1158" s="74"/>
      <c r="Y1158" s="74"/>
      <c r="Z1158" s="74"/>
      <c r="AA1158" s="74"/>
      <c r="AB1158" s="74"/>
      <c r="AC1158" s="74"/>
      <c r="AD1158" s="74"/>
      <c r="AE1158" s="74"/>
      <c r="AF1158" s="74"/>
      <c r="AG1158" s="74"/>
      <c r="AH1158" s="74"/>
      <c r="AI1158" s="74"/>
    </row>
    <row r="1159" ht="22.5" customHeight="1">
      <c r="A1159" s="614">
        <v>45834.0</v>
      </c>
      <c r="B1159" s="675" t="s">
        <v>2218</v>
      </c>
      <c r="C1159" s="609"/>
      <c r="D1159" s="610">
        <v>769875.33</v>
      </c>
      <c r="E1159" s="696"/>
      <c r="F1159" s="627" t="s">
        <v>839</v>
      </c>
      <c r="G1159" s="597">
        <v>0.0</v>
      </c>
      <c r="H1159" s="689">
        <f t="shared" si="84"/>
        <v>0</v>
      </c>
      <c r="I1159" s="599"/>
      <c r="J1159" s="599"/>
      <c r="K1159" s="615" t="s">
        <v>322</v>
      </c>
      <c r="L1159" s="694" t="s">
        <v>675</v>
      </c>
      <c r="M1159" s="621"/>
      <c r="N1159" s="621"/>
      <c r="O1159" s="621"/>
      <c r="P1159" s="602">
        <f t="shared" si="85"/>
        <v>0</v>
      </c>
      <c r="Q1159" s="682" t="s">
        <v>926</v>
      </c>
      <c r="R1159" s="74"/>
      <c r="S1159" s="74"/>
      <c r="T1159" s="74"/>
      <c r="U1159" s="74"/>
      <c r="V1159" s="74"/>
      <c r="W1159" s="74"/>
      <c r="X1159" s="74"/>
      <c r="Y1159" s="74"/>
      <c r="Z1159" s="74"/>
      <c r="AA1159" s="74"/>
      <c r="AB1159" s="74"/>
      <c r="AC1159" s="74"/>
      <c r="AD1159" s="74"/>
      <c r="AE1159" s="74"/>
      <c r="AF1159" s="74"/>
      <c r="AG1159" s="74"/>
      <c r="AH1159" s="74"/>
      <c r="AI1159" s="74"/>
    </row>
    <row r="1160" ht="22.5" customHeight="1">
      <c r="A1160" s="614">
        <v>45834.0</v>
      </c>
      <c r="B1160" s="675" t="s">
        <v>2218</v>
      </c>
      <c r="C1160" s="609"/>
      <c r="D1160" s="610">
        <v>1537500.62</v>
      </c>
      <c r="E1160" s="696"/>
      <c r="F1160" s="627" t="s">
        <v>839</v>
      </c>
      <c r="G1160" s="597">
        <v>0.0</v>
      </c>
      <c r="H1160" s="689">
        <f t="shared" si="84"/>
        <v>0</v>
      </c>
      <c r="I1160" s="599"/>
      <c r="J1160" s="599"/>
      <c r="K1160" s="615" t="s">
        <v>322</v>
      </c>
      <c r="L1160" s="616" t="s">
        <v>440</v>
      </c>
      <c r="M1160" s="621"/>
      <c r="N1160" s="621"/>
      <c r="O1160" s="621"/>
      <c r="P1160" s="602">
        <f t="shared" si="85"/>
        <v>0</v>
      </c>
      <c r="Q1160" s="682" t="s">
        <v>927</v>
      </c>
      <c r="R1160" s="74"/>
      <c r="S1160" s="74"/>
      <c r="T1160" s="74"/>
      <c r="U1160" s="74"/>
      <c r="V1160" s="74"/>
      <c r="W1160" s="74"/>
      <c r="X1160" s="74"/>
      <c r="Y1160" s="74"/>
      <c r="Z1160" s="74"/>
      <c r="AA1160" s="74"/>
      <c r="AB1160" s="74"/>
      <c r="AC1160" s="74"/>
      <c r="AD1160" s="74"/>
      <c r="AE1160" s="74"/>
      <c r="AF1160" s="74"/>
      <c r="AG1160" s="74"/>
      <c r="AH1160" s="74"/>
      <c r="AI1160" s="74"/>
    </row>
    <row r="1161" ht="22.5" customHeight="1">
      <c r="A1161" s="614">
        <v>45834.0</v>
      </c>
      <c r="B1161" s="675" t="s">
        <v>2218</v>
      </c>
      <c r="C1161" s="609"/>
      <c r="D1161" s="610">
        <v>1010138.0</v>
      </c>
      <c r="E1161" s="696"/>
      <c r="F1161" s="627" t="s">
        <v>839</v>
      </c>
      <c r="G1161" s="597">
        <v>0.0</v>
      </c>
      <c r="H1161" s="689">
        <f t="shared" si="84"/>
        <v>0</v>
      </c>
      <c r="I1161" s="599"/>
      <c r="J1161" s="599"/>
      <c r="K1161" s="615" t="s">
        <v>322</v>
      </c>
      <c r="L1161" s="694" t="s">
        <v>624</v>
      </c>
      <c r="M1161" s="621"/>
      <c r="N1161" s="621"/>
      <c r="O1161" s="621"/>
      <c r="P1161" s="602">
        <f t="shared" si="85"/>
        <v>0</v>
      </c>
      <c r="Q1161" s="682" t="s">
        <v>928</v>
      </c>
      <c r="R1161" s="74"/>
      <c r="S1161" s="74"/>
      <c r="T1161" s="74"/>
      <c r="U1161" s="74"/>
      <c r="V1161" s="74"/>
      <c r="W1161" s="74"/>
      <c r="X1161" s="74"/>
      <c r="Y1161" s="74"/>
      <c r="Z1161" s="74"/>
      <c r="AA1161" s="74"/>
      <c r="AB1161" s="74"/>
      <c r="AC1161" s="74"/>
      <c r="AD1161" s="74"/>
      <c r="AE1161" s="74"/>
      <c r="AF1161" s="74"/>
      <c r="AG1161" s="74"/>
      <c r="AH1161" s="74"/>
      <c r="AI1161" s="74"/>
    </row>
    <row r="1162" ht="22.5" customHeight="1">
      <c r="A1162" s="614">
        <v>45834.0</v>
      </c>
      <c r="B1162" s="675" t="s">
        <v>2218</v>
      </c>
      <c r="C1162" s="609"/>
      <c r="D1162" s="610">
        <v>130820.62</v>
      </c>
      <c r="E1162" s="693"/>
      <c r="F1162" s="627" t="s">
        <v>839</v>
      </c>
      <c r="G1162" s="688">
        <v>0.0</v>
      </c>
      <c r="H1162" s="689">
        <f t="shared" si="84"/>
        <v>0</v>
      </c>
      <c r="I1162" s="599"/>
      <c r="J1162" s="599"/>
      <c r="K1162" s="615" t="s">
        <v>322</v>
      </c>
      <c r="L1162" s="694" t="s">
        <v>157</v>
      </c>
      <c r="M1162" s="621"/>
      <c r="N1162" s="621"/>
      <c r="O1162" s="621"/>
      <c r="P1162" s="602">
        <f t="shared" si="85"/>
        <v>0</v>
      </c>
      <c r="Q1162" s="682" t="s">
        <v>929</v>
      </c>
      <c r="R1162" s="74"/>
      <c r="S1162" s="74"/>
      <c r="T1162" s="74"/>
      <c r="U1162" s="74"/>
      <c r="V1162" s="74"/>
      <c r="W1162" s="74"/>
      <c r="X1162" s="74"/>
      <c r="Y1162" s="74"/>
      <c r="Z1162" s="74"/>
      <c r="AA1162" s="74"/>
      <c r="AB1162" s="74"/>
      <c r="AC1162" s="74"/>
      <c r="AD1162" s="74"/>
      <c r="AE1162" s="74"/>
      <c r="AF1162" s="74"/>
      <c r="AG1162" s="74"/>
      <c r="AH1162" s="74"/>
      <c r="AI1162" s="74"/>
    </row>
    <row r="1163" ht="22.5" customHeight="1">
      <c r="A1163" s="614">
        <v>45834.0</v>
      </c>
      <c r="B1163" s="675" t="s">
        <v>2218</v>
      </c>
      <c r="C1163" s="609"/>
      <c r="D1163" s="610">
        <v>817792.5</v>
      </c>
      <c r="E1163" s="693"/>
      <c r="F1163" s="627" t="s">
        <v>839</v>
      </c>
      <c r="G1163" s="597">
        <v>0.0</v>
      </c>
      <c r="H1163" s="689">
        <f t="shared" si="84"/>
        <v>0</v>
      </c>
      <c r="I1163" s="599"/>
      <c r="J1163" s="599"/>
      <c r="K1163" s="615" t="s">
        <v>322</v>
      </c>
      <c r="L1163" s="694" t="s">
        <v>930</v>
      </c>
      <c r="M1163" s="621"/>
      <c r="N1163" s="621"/>
      <c r="O1163" s="621"/>
      <c r="P1163" s="602">
        <f t="shared" si="85"/>
        <v>0</v>
      </c>
      <c r="Q1163" s="699" t="s">
        <v>931</v>
      </c>
      <c r="R1163" s="74"/>
      <c r="S1163" s="74"/>
      <c r="T1163" s="74"/>
      <c r="U1163" s="74"/>
      <c r="V1163" s="74"/>
      <c r="W1163" s="74"/>
      <c r="X1163" s="74"/>
      <c r="Y1163" s="74"/>
      <c r="Z1163" s="74"/>
      <c r="AA1163" s="74"/>
      <c r="AB1163" s="74"/>
      <c r="AC1163" s="74"/>
      <c r="AD1163" s="74"/>
      <c r="AE1163" s="74"/>
      <c r="AF1163" s="74"/>
      <c r="AG1163" s="74"/>
      <c r="AH1163" s="74"/>
      <c r="AI1163" s="74"/>
    </row>
    <row r="1164" ht="22.5" customHeight="1">
      <c r="A1164" s="614">
        <v>45834.0</v>
      </c>
      <c r="B1164" s="675" t="s">
        <v>2218</v>
      </c>
      <c r="C1164" s="609"/>
      <c r="D1164" s="610">
        <v>878440.0</v>
      </c>
      <c r="E1164" s="693"/>
      <c r="F1164" s="627" t="s">
        <v>839</v>
      </c>
      <c r="G1164" s="688">
        <v>0.0</v>
      </c>
      <c r="H1164" s="689">
        <f t="shared" si="84"/>
        <v>0</v>
      </c>
      <c r="I1164" s="599"/>
      <c r="J1164" s="599"/>
      <c r="K1164" s="615" t="s">
        <v>322</v>
      </c>
      <c r="L1164" s="694" t="s">
        <v>2249</v>
      </c>
      <c r="M1164" s="621"/>
      <c r="N1164" s="621"/>
      <c r="O1164" s="621"/>
      <c r="P1164" s="602">
        <f t="shared" si="85"/>
        <v>0</v>
      </c>
      <c r="Q1164" s="682" t="s">
        <v>932</v>
      </c>
      <c r="R1164" s="74"/>
      <c r="S1164" s="74"/>
      <c r="T1164" s="74"/>
      <c r="U1164" s="74"/>
      <c r="V1164" s="74"/>
      <c r="W1164" s="74"/>
      <c r="X1164" s="74"/>
      <c r="Y1164" s="74"/>
      <c r="Z1164" s="74"/>
      <c r="AA1164" s="74"/>
      <c r="AB1164" s="74"/>
      <c r="AC1164" s="74"/>
      <c r="AD1164" s="74"/>
      <c r="AE1164" s="74"/>
      <c r="AF1164" s="74"/>
      <c r="AG1164" s="74"/>
      <c r="AH1164" s="74"/>
      <c r="AI1164" s="74"/>
    </row>
    <row r="1165" ht="22.5" customHeight="1">
      <c r="A1165" s="614">
        <v>45834.0</v>
      </c>
      <c r="B1165" s="675" t="s">
        <v>2218</v>
      </c>
      <c r="C1165" s="609"/>
      <c r="D1165" s="610">
        <v>2728306.0</v>
      </c>
      <c r="E1165" s="693"/>
      <c r="F1165" s="627" t="s">
        <v>839</v>
      </c>
      <c r="G1165" s="688">
        <v>0.0</v>
      </c>
      <c r="H1165" s="689">
        <f t="shared" si="84"/>
        <v>0</v>
      </c>
      <c r="I1165" s="599"/>
      <c r="J1165" s="599"/>
      <c r="K1165" s="615" t="s">
        <v>322</v>
      </c>
      <c r="L1165" s="694" t="s">
        <v>2250</v>
      </c>
      <c r="M1165" s="621"/>
      <c r="N1165" s="621"/>
      <c r="O1165" s="621"/>
      <c r="P1165" s="602">
        <f t="shared" si="85"/>
        <v>0</v>
      </c>
      <c r="Q1165" s="682" t="s">
        <v>933</v>
      </c>
      <c r="R1165" s="74"/>
      <c r="S1165" s="74"/>
      <c r="T1165" s="74"/>
      <c r="U1165" s="74"/>
      <c r="V1165" s="74"/>
      <c r="W1165" s="74"/>
      <c r="X1165" s="74"/>
      <c r="Y1165" s="74"/>
      <c r="Z1165" s="74"/>
      <c r="AA1165" s="74"/>
      <c r="AB1165" s="74"/>
      <c r="AC1165" s="74"/>
      <c r="AD1165" s="74"/>
      <c r="AE1165" s="74"/>
      <c r="AF1165" s="74"/>
      <c r="AG1165" s="74"/>
      <c r="AH1165" s="74"/>
      <c r="AI1165" s="74"/>
    </row>
    <row r="1166" ht="22.5" customHeight="1">
      <c r="A1166" s="614">
        <v>45835.0</v>
      </c>
      <c r="B1166" s="675" t="s">
        <v>2218</v>
      </c>
      <c r="C1166" s="610">
        <v>600000.24</v>
      </c>
      <c r="D1166" s="609"/>
      <c r="E1166" s="606"/>
      <c r="F1166" s="627" t="s">
        <v>674</v>
      </c>
      <c r="G1166" s="597">
        <v>20.0</v>
      </c>
      <c r="H1166" s="689">
        <f t="shared" si="84"/>
        <v>100000.04</v>
      </c>
      <c r="I1166" s="599"/>
      <c r="J1166" s="599"/>
      <c r="K1166" s="672" t="s">
        <v>51</v>
      </c>
      <c r="L1166" s="616" t="s">
        <v>474</v>
      </c>
      <c r="M1166" s="612" t="s">
        <v>851</v>
      </c>
      <c r="N1166" s="612">
        <v>113.0</v>
      </c>
      <c r="O1166" s="662">
        <v>45757.0</v>
      </c>
      <c r="P1166" s="602">
        <f t="shared" si="85"/>
        <v>78</v>
      </c>
      <c r="Q1166" s="622"/>
      <c r="R1166" s="74"/>
      <c r="S1166" s="74"/>
      <c r="T1166" s="74"/>
      <c r="U1166" s="74"/>
      <c r="V1166" s="74"/>
      <c r="W1166" s="74"/>
      <c r="X1166" s="74"/>
      <c r="Y1166" s="74"/>
      <c r="Z1166" s="74"/>
      <c r="AA1166" s="74"/>
      <c r="AB1166" s="74"/>
      <c r="AC1166" s="74"/>
      <c r="AD1166" s="74"/>
      <c r="AE1166" s="74"/>
      <c r="AF1166" s="74"/>
      <c r="AG1166" s="74"/>
      <c r="AH1166" s="74"/>
      <c r="AI1166" s="74"/>
    </row>
    <row r="1167" ht="22.5" customHeight="1">
      <c r="A1167" s="614">
        <v>45835.0</v>
      </c>
      <c r="B1167" s="626" t="s">
        <v>2218</v>
      </c>
      <c r="C1167" s="610">
        <v>1452000.48</v>
      </c>
      <c r="D1167" s="609"/>
      <c r="E1167" s="606"/>
      <c r="F1167" s="627" t="s">
        <v>674</v>
      </c>
      <c r="G1167" s="597">
        <v>20.0</v>
      </c>
      <c r="H1167" s="689">
        <f t="shared" si="84"/>
        <v>242000.08</v>
      </c>
      <c r="I1167" s="599"/>
      <c r="J1167" s="599"/>
      <c r="K1167" s="673" t="s">
        <v>51</v>
      </c>
      <c r="L1167" s="616" t="s">
        <v>474</v>
      </c>
      <c r="M1167" s="612" t="s">
        <v>854</v>
      </c>
      <c r="N1167" s="612">
        <v>114.0</v>
      </c>
      <c r="O1167" s="662">
        <v>45757.0</v>
      </c>
      <c r="P1167" s="602">
        <f t="shared" si="85"/>
        <v>78</v>
      </c>
      <c r="Q1167" s="622"/>
      <c r="R1167" s="74"/>
      <c r="S1167" s="74"/>
      <c r="T1167" s="74"/>
      <c r="U1167" s="74"/>
      <c r="V1167" s="74"/>
      <c r="W1167" s="74"/>
      <c r="X1167" s="74"/>
      <c r="Y1167" s="74"/>
      <c r="Z1167" s="74"/>
      <c r="AA1167" s="74"/>
      <c r="AB1167" s="74"/>
      <c r="AC1167" s="74"/>
      <c r="AD1167" s="74"/>
      <c r="AE1167" s="74"/>
      <c r="AF1167" s="74"/>
      <c r="AG1167" s="74"/>
      <c r="AH1167" s="74"/>
      <c r="AI1167" s="74"/>
    </row>
    <row r="1168" ht="22.5" customHeight="1">
      <c r="A1168" s="614">
        <v>45835.0</v>
      </c>
      <c r="B1168" s="626" t="s">
        <v>2218</v>
      </c>
      <c r="C1168" s="610">
        <v>1200000.06</v>
      </c>
      <c r="D1168" s="609"/>
      <c r="E1168" s="606"/>
      <c r="F1168" s="627" t="s">
        <v>674</v>
      </c>
      <c r="G1168" s="597">
        <v>20.0</v>
      </c>
      <c r="H1168" s="689">
        <f t="shared" si="84"/>
        <v>200000.01</v>
      </c>
      <c r="I1168" s="599"/>
      <c r="J1168" s="599"/>
      <c r="K1168" s="674" t="s">
        <v>51</v>
      </c>
      <c r="L1168" s="616" t="s">
        <v>474</v>
      </c>
      <c r="M1168" s="612" t="s">
        <v>756</v>
      </c>
      <c r="N1168" s="612">
        <v>125.0</v>
      </c>
      <c r="O1168" s="662">
        <v>45757.0</v>
      </c>
      <c r="P1168" s="602">
        <f t="shared" si="85"/>
        <v>78</v>
      </c>
      <c r="Q1168" s="622"/>
      <c r="R1168" s="74"/>
      <c r="S1168" s="74"/>
      <c r="T1168" s="74"/>
      <c r="U1168" s="74"/>
      <c r="V1168" s="74"/>
      <c r="W1168" s="74"/>
      <c r="X1168" s="74"/>
      <c r="Y1168" s="74"/>
      <c r="Z1168" s="74"/>
      <c r="AA1168" s="74"/>
      <c r="AB1168" s="74"/>
      <c r="AC1168" s="74"/>
      <c r="AD1168" s="74"/>
      <c r="AE1168" s="74"/>
      <c r="AF1168" s="74"/>
      <c r="AG1168" s="74"/>
      <c r="AH1168" s="74"/>
      <c r="AI1168" s="74"/>
    </row>
    <row r="1169" ht="22.5" customHeight="1">
      <c r="A1169" s="614">
        <v>45835.0</v>
      </c>
      <c r="B1169" s="626" t="s">
        <v>2218</v>
      </c>
      <c r="C1169" s="610">
        <v>1600000.08</v>
      </c>
      <c r="D1169" s="609"/>
      <c r="E1169" s="606"/>
      <c r="F1169" s="627" t="s">
        <v>674</v>
      </c>
      <c r="G1169" s="597">
        <v>20.0</v>
      </c>
      <c r="H1169" s="689">
        <f t="shared" si="84"/>
        <v>266666.68</v>
      </c>
      <c r="I1169" s="599"/>
      <c r="J1169" s="599"/>
      <c r="K1169" s="615" t="s">
        <v>51</v>
      </c>
      <c r="L1169" s="616" t="s">
        <v>474</v>
      </c>
      <c r="M1169" s="612" t="s">
        <v>755</v>
      </c>
      <c r="N1169" s="612">
        <v>126.0</v>
      </c>
      <c r="O1169" s="662">
        <v>45757.0</v>
      </c>
      <c r="P1169" s="602">
        <f t="shared" si="85"/>
        <v>78</v>
      </c>
      <c r="Q1169" s="622"/>
      <c r="R1169" s="74"/>
      <c r="S1169" s="74"/>
      <c r="T1169" s="74"/>
      <c r="U1169" s="74"/>
      <c r="V1169" s="74"/>
      <c r="W1169" s="74"/>
      <c r="X1169" s="74"/>
      <c r="Y1169" s="74"/>
      <c r="Z1169" s="74"/>
      <c r="AA1169" s="74"/>
      <c r="AB1169" s="74"/>
      <c r="AC1169" s="74"/>
      <c r="AD1169" s="74"/>
      <c r="AE1169" s="74"/>
      <c r="AF1169" s="74"/>
      <c r="AG1169" s="74"/>
      <c r="AH1169" s="74"/>
      <c r="AI1169" s="74"/>
    </row>
    <row r="1170" ht="22.5" customHeight="1">
      <c r="A1170" s="614">
        <v>45835.0</v>
      </c>
      <c r="B1170" s="626" t="s">
        <v>2218</v>
      </c>
      <c r="C1170" s="610">
        <v>60000.0</v>
      </c>
      <c r="D1170" s="609"/>
      <c r="E1170" s="606"/>
      <c r="F1170" s="627" t="s">
        <v>674</v>
      </c>
      <c r="G1170" s="597">
        <v>20.0</v>
      </c>
      <c r="H1170" s="689">
        <f t="shared" si="84"/>
        <v>10000</v>
      </c>
      <c r="I1170" s="599"/>
      <c r="J1170" s="599"/>
      <c r="K1170" s="615" t="s">
        <v>51</v>
      </c>
      <c r="L1170" s="616" t="s">
        <v>474</v>
      </c>
      <c r="M1170" s="612" t="s">
        <v>934</v>
      </c>
      <c r="N1170" s="612">
        <v>153.0</v>
      </c>
      <c r="O1170" s="662">
        <v>45764.0</v>
      </c>
      <c r="P1170" s="602">
        <f t="shared" si="85"/>
        <v>71</v>
      </c>
      <c r="Q1170" s="622"/>
      <c r="R1170" s="74"/>
      <c r="S1170" s="74"/>
      <c r="T1170" s="74"/>
      <c r="U1170" s="74"/>
      <c r="V1170" s="74"/>
      <c r="W1170" s="74"/>
      <c r="X1170" s="74"/>
      <c r="Y1170" s="74"/>
      <c r="Z1170" s="74"/>
      <c r="AA1170" s="74"/>
      <c r="AB1170" s="74"/>
      <c r="AC1170" s="74"/>
      <c r="AD1170" s="74"/>
      <c r="AE1170" s="74"/>
      <c r="AF1170" s="74"/>
      <c r="AG1170" s="74"/>
      <c r="AH1170" s="74"/>
      <c r="AI1170" s="74"/>
    </row>
    <row r="1171" ht="22.5" customHeight="1">
      <c r="A1171" s="614">
        <v>45835.0</v>
      </c>
      <c r="B1171" s="675" t="s">
        <v>2218</v>
      </c>
      <c r="C1171" s="610">
        <v>80000.0</v>
      </c>
      <c r="D1171" s="609"/>
      <c r="E1171" s="606"/>
      <c r="F1171" s="627" t="s">
        <v>674</v>
      </c>
      <c r="G1171" s="597">
        <v>20.0</v>
      </c>
      <c r="H1171" s="689">
        <f t="shared" si="84"/>
        <v>13333.33333</v>
      </c>
      <c r="I1171" s="599"/>
      <c r="J1171" s="599"/>
      <c r="K1171" s="615" t="s">
        <v>51</v>
      </c>
      <c r="L1171" s="616" t="s">
        <v>474</v>
      </c>
      <c r="M1171" s="612" t="s">
        <v>935</v>
      </c>
      <c r="N1171" s="612">
        <v>154.0</v>
      </c>
      <c r="O1171" s="662">
        <v>45764.0</v>
      </c>
      <c r="P1171" s="602">
        <f t="shared" si="85"/>
        <v>71</v>
      </c>
      <c r="Q1171" s="622"/>
      <c r="R1171" s="74"/>
      <c r="S1171" s="74"/>
      <c r="T1171" s="74"/>
      <c r="U1171" s="74"/>
      <c r="V1171" s="74"/>
      <c r="W1171" s="74"/>
      <c r="X1171" s="74"/>
      <c r="Y1171" s="74"/>
      <c r="Z1171" s="74"/>
      <c r="AA1171" s="74"/>
      <c r="AB1171" s="74"/>
      <c r="AC1171" s="74"/>
      <c r="AD1171" s="74"/>
      <c r="AE1171" s="74"/>
      <c r="AF1171" s="74"/>
      <c r="AG1171" s="74"/>
      <c r="AH1171" s="74"/>
      <c r="AI1171" s="74"/>
    </row>
    <row r="1172" ht="22.5" customHeight="1">
      <c r="A1172" s="614">
        <v>45835.0</v>
      </c>
      <c r="B1172" s="675" t="s">
        <v>2218</v>
      </c>
      <c r="C1172" s="609"/>
      <c r="D1172" s="609"/>
      <c r="E1172" s="604" t="s">
        <v>33</v>
      </c>
      <c r="F1172" s="627" t="s">
        <v>722</v>
      </c>
      <c r="G1172" s="688">
        <v>0.0</v>
      </c>
      <c r="H1172" s="689">
        <f t="shared" si="84"/>
        <v>0</v>
      </c>
      <c r="I1172" s="599"/>
      <c r="J1172" s="605">
        <v>675100.0</v>
      </c>
      <c r="K1172" s="615" t="s">
        <v>322</v>
      </c>
      <c r="L1172" s="616" t="s">
        <v>936</v>
      </c>
      <c r="M1172" s="621"/>
      <c r="N1172" s="621"/>
      <c r="O1172" s="621"/>
      <c r="P1172" s="602">
        <f t="shared" si="85"/>
        <v>0</v>
      </c>
      <c r="Q1172" s="622"/>
      <c r="R1172" s="74"/>
      <c r="S1172" s="74"/>
      <c r="T1172" s="74"/>
      <c r="U1172" s="74"/>
      <c r="V1172" s="74"/>
      <c r="W1172" s="74"/>
      <c r="X1172" s="74"/>
      <c r="Y1172" s="74"/>
      <c r="Z1172" s="74"/>
      <c r="AA1172" s="74"/>
      <c r="AB1172" s="74"/>
      <c r="AC1172" s="74"/>
      <c r="AD1172" s="74"/>
      <c r="AE1172" s="74"/>
      <c r="AF1172" s="74"/>
      <c r="AG1172" s="74"/>
      <c r="AH1172" s="74"/>
      <c r="AI1172" s="74"/>
    </row>
    <row r="1173" ht="22.5" customHeight="1">
      <c r="A1173" s="614">
        <v>45835.0</v>
      </c>
      <c r="B1173" s="675" t="s">
        <v>2218</v>
      </c>
      <c r="C1173" s="609"/>
      <c r="D1173" s="609"/>
      <c r="E1173" s="604" t="s">
        <v>33</v>
      </c>
      <c r="F1173" s="627" t="s">
        <v>897</v>
      </c>
      <c r="G1173" s="688">
        <v>0.0</v>
      </c>
      <c r="H1173" s="689">
        <f t="shared" si="84"/>
        <v>0</v>
      </c>
      <c r="I1173" s="599"/>
      <c r="J1173" s="605">
        <v>150000.0</v>
      </c>
      <c r="K1173" s="615" t="s">
        <v>591</v>
      </c>
      <c r="L1173" s="616" t="s">
        <v>937</v>
      </c>
      <c r="M1173" s="621"/>
      <c r="N1173" s="621"/>
      <c r="O1173" s="621"/>
      <c r="P1173" s="602">
        <f t="shared" si="85"/>
        <v>0</v>
      </c>
      <c r="Q1173" s="622"/>
      <c r="R1173" s="74"/>
      <c r="S1173" s="74"/>
      <c r="T1173" s="74"/>
      <c r="U1173" s="74"/>
      <c r="V1173" s="74"/>
      <c r="W1173" s="74"/>
      <c r="X1173" s="74"/>
      <c r="Y1173" s="74"/>
      <c r="Z1173" s="74"/>
      <c r="AA1173" s="74"/>
      <c r="AB1173" s="74"/>
      <c r="AC1173" s="74"/>
      <c r="AD1173" s="74"/>
      <c r="AE1173" s="74"/>
      <c r="AF1173" s="74"/>
      <c r="AG1173" s="74"/>
      <c r="AH1173" s="74"/>
      <c r="AI1173" s="74"/>
    </row>
    <row r="1174" ht="22.5" customHeight="1">
      <c r="A1174" s="614">
        <v>45838.0</v>
      </c>
      <c r="B1174" s="675" t="s">
        <v>2218</v>
      </c>
      <c r="C1174" s="609"/>
      <c r="D1174" s="610">
        <v>6927773.06</v>
      </c>
      <c r="E1174" s="606"/>
      <c r="F1174" s="627" t="s">
        <v>674</v>
      </c>
      <c r="G1174" s="597">
        <v>20.0</v>
      </c>
      <c r="H1174" s="689">
        <f t="shared" si="84"/>
        <v>1154628.843</v>
      </c>
      <c r="I1174" s="599"/>
      <c r="J1174" s="599"/>
      <c r="K1174" s="615" t="s">
        <v>101</v>
      </c>
      <c r="L1174" s="616" t="s">
        <v>654</v>
      </c>
      <c r="M1174" s="621"/>
      <c r="N1174" s="621"/>
      <c r="O1174" s="621"/>
      <c r="P1174" s="602">
        <f t="shared" si="85"/>
        <v>0</v>
      </c>
      <c r="Q1174" s="699" t="s">
        <v>938</v>
      </c>
      <c r="R1174" s="74"/>
      <c r="S1174" s="74"/>
      <c r="T1174" s="74"/>
      <c r="U1174" s="74"/>
      <c r="V1174" s="74"/>
      <c r="W1174" s="74"/>
      <c r="X1174" s="74"/>
      <c r="Y1174" s="74"/>
      <c r="Z1174" s="74"/>
      <c r="AA1174" s="74"/>
      <c r="AB1174" s="74"/>
      <c r="AC1174" s="74"/>
      <c r="AD1174" s="74"/>
      <c r="AE1174" s="74"/>
      <c r="AF1174" s="74"/>
      <c r="AG1174" s="74"/>
      <c r="AH1174" s="74"/>
      <c r="AI1174" s="74"/>
    </row>
    <row r="1175" ht="22.5" customHeight="1">
      <c r="A1175" s="614">
        <v>45838.0</v>
      </c>
      <c r="B1175" s="675" t="s">
        <v>2218</v>
      </c>
      <c r="C1175" s="609"/>
      <c r="D1175" s="610">
        <v>177300.0</v>
      </c>
      <c r="E1175" s="606"/>
      <c r="F1175" s="627" t="s">
        <v>722</v>
      </c>
      <c r="G1175" s="597">
        <v>0.0</v>
      </c>
      <c r="H1175" s="689">
        <f t="shared" si="84"/>
        <v>0</v>
      </c>
      <c r="I1175" s="599"/>
      <c r="J1175" s="599"/>
      <c r="K1175" s="615" t="s">
        <v>286</v>
      </c>
      <c r="L1175" s="616" t="s">
        <v>454</v>
      </c>
      <c r="M1175" s="621"/>
      <c r="N1175" s="621"/>
      <c r="O1175" s="621"/>
      <c r="P1175" s="602">
        <f t="shared" si="85"/>
        <v>0</v>
      </c>
      <c r="Q1175" s="682" t="s">
        <v>939</v>
      </c>
      <c r="R1175" s="74"/>
      <c r="S1175" s="74"/>
      <c r="T1175" s="74"/>
      <c r="U1175" s="74"/>
      <c r="V1175" s="74"/>
      <c r="W1175" s="74"/>
      <c r="X1175" s="74"/>
      <c r="Y1175" s="74"/>
      <c r="Z1175" s="74"/>
      <c r="AA1175" s="74"/>
      <c r="AB1175" s="74"/>
      <c r="AC1175" s="74"/>
      <c r="AD1175" s="74"/>
      <c r="AE1175" s="74"/>
      <c r="AF1175" s="74"/>
      <c r="AG1175" s="74"/>
      <c r="AH1175" s="74"/>
      <c r="AI1175" s="74"/>
    </row>
    <row r="1176" ht="22.5" customHeight="1">
      <c r="A1176" s="614">
        <v>45838.0</v>
      </c>
      <c r="B1176" s="675" t="s">
        <v>2218</v>
      </c>
      <c r="C1176" s="609"/>
      <c r="D1176" s="610">
        <v>68270.86</v>
      </c>
      <c r="E1176" s="606"/>
      <c r="F1176" s="627" t="s">
        <v>722</v>
      </c>
      <c r="G1176" s="597">
        <v>20.0</v>
      </c>
      <c r="H1176" s="689">
        <f t="shared" si="84"/>
        <v>11378.47667</v>
      </c>
      <c r="I1176" s="599"/>
      <c r="J1176" s="599"/>
      <c r="K1176" s="615" t="s">
        <v>2237</v>
      </c>
      <c r="L1176" s="615" t="s">
        <v>509</v>
      </c>
      <c r="M1176" s="621"/>
      <c r="N1176" s="621"/>
      <c r="O1176" s="621"/>
      <c r="P1176" s="602">
        <f t="shared" si="85"/>
        <v>0</v>
      </c>
      <c r="Q1176" s="682" t="s">
        <v>940</v>
      </c>
      <c r="R1176" s="74"/>
      <c r="S1176" s="74"/>
      <c r="T1176" s="74"/>
      <c r="U1176" s="74"/>
      <c r="V1176" s="74"/>
      <c r="W1176" s="74"/>
      <c r="X1176" s="74"/>
      <c r="Y1176" s="74"/>
      <c r="Z1176" s="74"/>
      <c r="AA1176" s="74"/>
      <c r="AB1176" s="74"/>
      <c r="AC1176" s="74"/>
      <c r="AD1176" s="74"/>
      <c r="AE1176" s="74"/>
      <c r="AF1176" s="74"/>
      <c r="AG1176" s="74"/>
      <c r="AH1176" s="74"/>
      <c r="AI1176" s="74"/>
    </row>
    <row r="1177" ht="22.5" customHeight="1">
      <c r="A1177" s="614">
        <v>45838.0</v>
      </c>
      <c r="B1177" s="675" t="s">
        <v>2218</v>
      </c>
      <c r="C1177" s="609"/>
      <c r="D1177" s="610">
        <v>60000.0</v>
      </c>
      <c r="E1177" s="606"/>
      <c r="F1177" s="627" t="s">
        <v>941</v>
      </c>
      <c r="G1177" s="597">
        <v>20.0</v>
      </c>
      <c r="H1177" s="689">
        <f t="shared" si="84"/>
        <v>10000</v>
      </c>
      <c r="I1177" s="599"/>
      <c r="J1177" s="599"/>
      <c r="K1177" s="615" t="s">
        <v>2237</v>
      </c>
      <c r="L1177" s="616" t="s">
        <v>942</v>
      </c>
      <c r="M1177" s="621"/>
      <c r="N1177" s="621"/>
      <c r="O1177" s="621"/>
      <c r="P1177" s="602">
        <f t="shared" si="85"/>
        <v>0</v>
      </c>
      <c r="Q1177" s="613" t="s">
        <v>943</v>
      </c>
      <c r="R1177" s="74"/>
      <c r="S1177" s="74"/>
      <c r="T1177" s="74"/>
      <c r="U1177" s="74"/>
      <c r="V1177" s="74"/>
      <c r="W1177" s="74"/>
      <c r="X1177" s="74"/>
      <c r="Y1177" s="74"/>
      <c r="Z1177" s="74"/>
      <c r="AA1177" s="74"/>
      <c r="AB1177" s="74"/>
      <c r="AC1177" s="74"/>
      <c r="AD1177" s="74"/>
      <c r="AE1177" s="74"/>
      <c r="AF1177" s="74"/>
      <c r="AG1177" s="74"/>
      <c r="AH1177" s="74"/>
      <c r="AI1177" s="74"/>
    </row>
    <row r="1178" ht="22.5" customHeight="1">
      <c r="A1178" s="614">
        <v>45838.0</v>
      </c>
      <c r="B1178" s="675" t="s">
        <v>2218</v>
      </c>
      <c r="C1178" s="609"/>
      <c r="D1178" s="610">
        <v>60000.0</v>
      </c>
      <c r="E1178" s="606"/>
      <c r="F1178" s="627" t="s">
        <v>941</v>
      </c>
      <c r="G1178" s="597">
        <v>20.0</v>
      </c>
      <c r="H1178" s="689">
        <f t="shared" si="84"/>
        <v>10000</v>
      </c>
      <c r="I1178" s="599"/>
      <c r="J1178" s="599"/>
      <c r="K1178" s="615" t="s">
        <v>2237</v>
      </c>
      <c r="L1178" s="616" t="s">
        <v>942</v>
      </c>
      <c r="M1178" s="621"/>
      <c r="N1178" s="621"/>
      <c r="O1178" s="621"/>
      <c r="P1178" s="602">
        <f t="shared" si="85"/>
        <v>0</v>
      </c>
      <c r="Q1178" s="613" t="s">
        <v>943</v>
      </c>
      <c r="R1178" s="74"/>
      <c r="S1178" s="74"/>
      <c r="T1178" s="74"/>
      <c r="U1178" s="74"/>
      <c r="V1178" s="74"/>
      <c r="W1178" s="74"/>
      <c r="X1178" s="74"/>
      <c r="Y1178" s="74"/>
      <c r="Z1178" s="74"/>
      <c r="AA1178" s="74"/>
      <c r="AB1178" s="74"/>
      <c r="AC1178" s="74"/>
      <c r="AD1178" s="74"/>
      <c r="AE1178" s="74"/>
      <c r="AF1178" s="74"/>
      <c r="AG1178" s="74"/>
      <c r="AH1178" s="74"/>
      <c r="AI1178" s="74"/>
    </row>
    <row r="1179" ht="22.5" customHeight="1">
      <c r="A1179" s="614">
        <v>45838.0</v>
      </c>
      <c r="B1179" s="675" t="s">
        <v>2218</v>
      </c>
      <c r="C1179" s="610">
        <v>655316.51</v>
      </c>
      <c r="D1179" s="610"/>
      <c r="E1179" s="652"/>
      <c r="F1179" s="627" t="s">
        <v>626</v>
      </c>
      <c r="G1179" s="597">
        <v>20.0</v>
      </c>
      <c r="H1179" s="689">
        <f t="shared" si="84"/>
        <v>109219.4183</v>
      </c>
      <c r="I1179" s="599"/>
      <c r="J1179" s="599"/>
      <c r="K1179" s="615" t="s">
        <v>51</v>
      </c>
      <c r="L1179" s="616" t="s">
        <v>944</v>
      </c>
      <c r="M1179" s="612" t="s">
        <v>945</v>
      </c>
      <c r="N1179" s="612">
        <v>90.0</v>
      </c>
      <c r="O1179" s="662">
        <v>45728.0</v>
      </c>
      <c r="P1179" s="602">
        <f t="shared" si="85"/>
        <v>110</v>
      </c>
      <c r="Q1179" s="622"/>
      <c r="R1179" s="74"/>
      <c r="S1179" s="74"/>
      <c r="T1179" s="74"/>
      <c r="U1179" s="74"/>
      <c r="V1179" s="74"/>
      <c r="W1179" s="74"/>
      <c r="X1179" s="74"/>
      <c r="Y1179" s="74"/>
      <c r="Z1179" s="74"/>
      <c r="AA1179" s="74"/>
      <c r="AB1179" s="74"/>
      <c r="AC1179" s="74"/>
      <c r="AD1179" s="74"/>
      <c r="AE1179" s="74"/>
      <c r="AF1179" s="74"/>
      <c r="AG1179" s="74"/>
      <c r="AH1179" s="74"/>
      <c r="AI1179" s="74"/>
    </row>
    <row r="1180" ht="22.5" customHeight="1">
      <c r="A1180" s="614">
        <v>45838.0</v>
      </c>
      <c r="B1180" s="675" t="s">
        <v>2218</v>
      </c>
      <c r="C1180" s="610">
        <v>334950.0</v>
      </c>
      <c r="D1180" s="610"/>
      <c r="E1180" s="652"/>
      <c r="F1180" s="627" t="s">
        <v>626</v>
      </c>
      <c r="G1180" s="597">
        <v>20.0</v>
      </c>
      <c r="H1180" s="689">
        <f t="shared" si="84"/>
        <v>55825</v>
      </c>
      <c r="I1180" s="599"/>
      <c r="J1180" s="599"/>
      <c r="K1180" s="615" t="s">
        <v>51</v>
      </c>
      <c r="L1180" s="616" t="s">
        <v>944</v>
      </c>
      <c r="M1180" s="612" t="s">
        <v>945</v>
      </c>
      <c r="N1180" s="612">
        <v>91.0</v>
      </c>
      <c r="O1180" s="662">
        <v>45728.0</v>
      </c>
      <c r="P1180" s="602">
        <f t="shared" si="85"/>
        <v>110</v>
      </c>
      <c r="Q1180" s="622"/>
      <c r="R1180" s="74"/>
      <c r="S1180" s="74"/>
      <c r="T1180" s="74"/>
      <c r="U1180" s="74"/>
      <c r="V1180" s="74"/>
      <c r="W1180" s="74"/>
      <c r="X1180" s="74"/>
      <c r="Y1180" s="74"/>
      <c r="Z1180" s="74"/>
      <c r="AA1180" s="74"/>
      <c r="AB1180" s="74"/>
      <c r="AC1180" s="74"/>
      <c r="AD1180" s="74"/>
      <c r="AE1180" s="74"/>
      <c r="AF1180" s="74"/>
      <c r="AG1180" s="74"/>
      <c r="AH1180" s="74"/>
      <c r="AI1180" s="74"/>
    </row>
    <row r="1181" ht="22.5" customHeight="1">
      <c r="A1181" s="614">
        <v>45838.0</v>
      </c>
      <c r="B1181" s="675" t="s">
        <v>2218</v>
      </c>
      <c r="C1181" s="610">
        <v>792000.02</v>
      </c>
      <c r="D1181" s="610"/>
      <c r="E1181" s="652"/>
      <c r="F1181" s="627" t="s">
        <v>626</v>
      </c>
      <c r="G1181" s="597">
        <v>20.0</v>
      </c>
      <c r="H1181" s="689">
        <f t="shared" si="84"/>
        <v>132000.0033</v>
      </c>
      <c r="I1181" s="599"/>
      <c r="J1181" s="599"/>
      <c r="K1181" s="615" t="s">
        <v>51</v>
      </c>
      <c r="L1181" s="616" t="s">
        <v>944</v>
      </c>
      <c r="M1181" s="612" t="s">
        <v>945</v>
      </c>
      <c r="N1181" s="612">
        <v>92.0</v>
      </c>
      <c r="O1181" s="662">
        <v>45728.0</v>
      </c>
      <c r="P1181" s="602">
        <f t="shared" si="85"/>
        <v>110</v>
      </c>
      <c r="Q1181" s="622"/>
      <c r="R1181" s="74"/>
      <c r="S1181" s="74"/>
      <c r="T1181" s="74"/>
      <c r="U1181" s="74"/>
      <c r="V1181" s="74"/>
      <c r="W1181" s="74"/>
      <c r="X1181" s="74"/>
      <c r="Y1181" s="74"/>
      <c r="Z1181" s="74"/>
      <c r="AA1181" s="74"/>
      <c r="AB1181" s="74"/>
      <c r="AC1181" s="74"/>
      <c r="AD1181" s="74"/>
      <c r="AE1181" s="74"/>
      <c r="AF1181" s="74"/>
      <c r="AG1181" s="74"/>
      <c r="AH1181" s="74"/>
      <c r="AI1181" s="74"/>
    </row>
    <row r="1182" ht="22.5" customHeight="1">
      <c r="A1182" s="614">
        <v>45838.0</v>
      </c>
      <c r="B1182" s="675" t="s">
        <v>2218</v>
      </c>
      <c r="C1182" s="610">
        <v>34200.0</v>
      </c>
      <c r="D1182" s="609"/>
      <c r="E1182" s="606"/>
      <c r="F1182" s="627" t="s">
        <v>674</v>
      </c>
      <c r="G1182" s="597">
        <v>20.0</v>
      </c>
      <c r="H1182" s="689">
        <f t="shared" si="84"/>
        <v>5700</v>
      </c>
      <c r="I1182" s="599"/>
      <c r="J1182" s="599"/>
      <c r="K1182" s="615" t="s">
        <v>51</v>
      </c>
      <c r="L1182" s="616" t="s">
        <v>944</v>
      </c>
      <c r="M1182" s="612" t="s">
        <v>946</v>
      </c>
      <c r="N1182" s="612">
        <v>140.0</v>
      </c>
      <c r="O1182" s="662">
        <v>45758.0</v>
      </c>
      <c r="P1182" s="602">
        <f t="shared" si="85"/>
        <v>80</v>
      </c>
      <c r="Q1182" s="622"/>
      <c r="R1182" s="74"/>
      <c r="S1182" s="74"/>
      <c r="T1182" s="74"/>
      <c r="U1182" s="74"/>
      <c r="V1182" s="74"/>
      <c r="W1182" s="74"/>
      <c r="X1182" s="74"/>
      <c r="Y1182" s="74"/>
      <c r="Z1182" s="74"/>
      <c r="AA1182" s="74"/>
      <c r="AB1182" s="74"/>
      <c r="AC1182" s="74"/>
      <c r="AD1182" s="74"/>
      <c r="AE1182" s="74"/>
      <c r="AF1182" s="74"/>
      <c r="AG1182" s="74"/>
      <c r="AH1182" s="74"/>
      <c r="AI1182" s="74"/>
    </row>
    <row r="1183" ht="22.5" customHeight="1">
      <c r="A1183" s="614">
        <v>45838.0</v>
      </c>
      <c r="B1183" s="675" t="s">
        <v>2218</v>
      </c>
      <c r="C1183" s="610">
        <v>960000.0</v>
      </c>
      <c r="D1183" s="610"/>
      <c r="E1183" s="604" t="s">
        <v>28</v>
      </c>
      <c r="F1183" s="627" t="s">
        <v>722</v>
      </c>
      <c r="G1183" s="597">
        <v>20.0</v>
      </c>
      <c r="H1183" s="689">
        <f t="shared" si="84"/>
        <v>160000</v>
      </c>
      <c r="I1183" s="599"/>
      <c r="J1183" s="599"/>
      <c r="K1183" s="615" t="s">
        <v>51</v>
      </c>
      <c r="L1183" s="616" t="s">
        <v>624</v>
      </c>
      <c r="M1183" s="612" t="s">
        <v>947</v>
      </c>
      <c r="N1183" s="612">
        <v>168.0</v>
      </c>
      <c r="O1183" s="662">
        <v>45789.0</v>
      </c>
      <c r="P1183" s="602">
        <f t="shared" si="85"/>
        <v>49</v>
      </c>
      <c r="Q1183" s="622"/>
      <c r="R1183" s="74"/>
      <c r="S1183" s="74"/>
      <c r="T1183" s="74"/>
      <c r="U1183" s="74"/>
      <c r="V1183" s="74"/>
      <c r="W1183" s="74"/>
      <c r="X1183" s="74"/>
      <c r="Y1183" s="74"/>
      <c r="Z1183" s="74"/>
      <c r="AA1183" s="74"/>
      <c r="AB1183" s="74"/>
      <c r="AC1183" s="74"/>
      <c r="AD1183" s="74"/>
      <c r="AE1183" s="74"/>
      <c r="AF1183" s="74"/>
      <c r="AG1183" s="74"/>
      <c r="AH1183" s="74"/>
      <c r="AI1183" s="74"/>
    </row>
    <row r="1184" ht="22.5" customHeight="1">
      <c r="A1184" s="614">
        <v>45838.0</v>
      </c>
      <c r="B1184" s="675" t="s">
        <v>2218</v>
      </c>
      <c r="C1184" s="610">
        <v>960000.3</v>
      </c>
      <c r="D1184" s="610"/>
      <c r="E1184" s="606"/>
      <c r="F1184" s="627" t="s">
        <v>722</v>
      </c>
      <c r="G1184" s="597">
        <v>20.0</v>
      </c>
      <c r="H1184" s="689">
        <f t="shared" si="84"/>
        <v>160000.05</v>
      </c>
      <c r="I1184" s="599"/>
      <c r="J1184" s="599"/>
      <c r="K1184" s="615" t="s">
        <v>51</v>
      </c>
      <c r="L1184" s="616" t="s">
        <v>948</v>
      </c>
      <c r="M1184" s="612" t="s">
        <v>949</v>
      </c>
      <c r="N1184" s="612">
        <v>197.0</v>
      </c>
      <c r="O1184" s="662">
        <v>45792.0</v>
      </c>
      <c r="P1184" s="602">
        <f t="shared" si="85"/>
        <v>46</v>
      </c>
      <c r="Q1184" s="622"/>
      <c r="R1184" s="74"/>
      <c r="S1184" s="74"/>
      <c r="T1184" s="74"/>
      <c r="U1184" s="74"/>
      <c r="V1184" s="74"/>
      <c r="W1184" s="74"/>
      <c r="X1184" s="74"/>
      <c r="Y1184" s="74"/>
      <c r="Z1184" s="74"/>
      <c r="AA1184" s="74"/>
      <c r="AB1184" s="74"/>
      <c r="AC1184" s="74"/>
      <c r="AD1184" s="74"/>
      <c r="AE1184" s="74"/>
      <c r="AF1184" s="74"/>
      <c r="AG1184" s="74"/>
      <c r="AH1184" s="74"/>
      <c r="AI1184" s="74"/>
    </row>
    <row r="1185" ht="22.5" customHeight="1">
      <c r="A1185" s="614">
        <v>45838.0</v>
      </c>
      <c r="B1185" s="675" t="s">
        <v>2218</v>
      </c>
      <c r="C1185" s="610">
        <v>1123851.6</v>
      </c>
      <c r="D1185" s="609"/>
      <c r="E1185" s="606"/>
      <c r="F1185" s="627" t="s">
        <v>800</v>
      </c>
      <c r="G1185" s="597">
        <v>20.0</v>
      </c>
      <c r="H1185" s="689">
        <f t="shared" si="84"/>
        <v>187308.6</v>
      </c>
      <c r="I1185" s="599"/>
      <c r="J1185" s="599"/>
      <c r="K1185" s="615" t="s">
        <v>51</v>
      </c>
      <c r="L1185" s="616" t="s">
        <v>641</v>
      </c>
      <c r="M1185" s="612" t="s">
        <v>950</v>
      </c>
      <c r="N1185" s="612">
        <v>214.0</v>
      </c>
      <c r="O1185" s="662">
        <v>45817.0</v>
      </c>
      <c r="P1185" s="602">
        <f t="shared" si="85"/>
        <v>21</v>
      </c>
      <c r="Q1185" s="622"/>
      <c r="R1185" s="74"/>
      <c r="S1185" s="74"/>
      <c r="T1185" s="74"/>
      <c r="U1185" s="74"/>
      <c r="V1185" s="74"/>
      <c r="W1185" s="74"/>
      <c r="X1185" s="74"/>
      <c r="Y1185" s="74"/>
      <c r="Z1185" s="74"/>
      <c r="AA1185" s="74"/>
      <c r="AB1185" s="74"/>
      <c r="AC1185" s="74"/>
      <c r="AD1185" s="74"/>
      <c r="AE1185" s="74"/>
      <c r="AF1185" s="74"/>
      <c r="AG1185" s="74"/>
      <c r="AH1185" s="74"/>
      <c r="AI1185" s="74"/>
    </row>
    <row r="1186" ht="22.5" customHeight="1">
      <c r="A1186" s="614">
        <v>45838.0</v>
      </c>
      <c r="B1186" s="675" t="s">
        <v>2218</v>
      </c>
      <c r="C1186" s="609"/>
      <c r="D1186" s="610">
        <v>1824104.0</v>
      </c>
      <c r="E1186" s="606"/>
      <c r="F1186" s="627" t="s">
        <v>897</v>
      </c>
      <c r="G1186" s="688">
        <v>0.0</v>
      </c>
      <c r="H1186" s="689">
        <f t="shared" si="84"/>
        <v>0</v>
      </c>
      <c r="I1186" s="599"/>
      <c r="J1186" s="599"/>
      <c r="K1186" s="615" t="s">
        <v>236</v>
      </c>
      <c r="L1186" s="616" t="s">
        <v>72</v>
      </c>
      <c r="M1186" s="621"/>
      <c r="N1186" s="621"/>
      <c r="O1186" s="621"/>
      <c r="P1186" s="602">
        <f t="shared" si="85"/>
        <v>0</v>
      </c>
      <c r="Q1186" s="622"/>
      <c r="R1186" s="74"/>
      <c r="S1186" s="74"/>
      <c r="T1186" s="74"/>
      <c r="U1186" s="74"/>
      <c r="V1186" s="74"/>
      <c r="W1186" s="74"/>
      <c r="X1186" s="74"/>
      <c r="Y1186" s="74"/>
      <c r="Z1186" s="74"/>
      <c r="AA1186" s="74"/>
      <c r="AB1186" s="74"/>
      <c r="AC1186" s="74"/>
      <c r="AD1186" s="74"/>
      <c r="AE1186" s="74"/>
      <c r="AF1186" s="74"/>
      <c r="AG1186" s="74"/>
      <c r="AH1186" s="74"/>
      <c r="AI1186" s="74"/>
    </row>
    <row r="1187" ht="22.5" customHeight="1">
      <c r="A1187" s="614">
        <v>45838.0</v>
      </c>
      <c r="B1187" s="675" t="s">
        <v>2218</v>
      </c>
      <c r="C1187" s="609"/>
      <c r="D1187" s="610">
        <v>1172793.0</v>
      </c>
      <c r="E1187" s="606"/>
      <c r="F1187" s="627" t="s">
        <v>897</v>
      </c>
      <c r="G1187" s="688">
        <v>0.0</v>
      </c>
      <c r="H1187" s="689">
        <f t="shared" si="84"/>
        <v>0</v>
      </c>
      <c r="I1187" s="599"/>
      <c r="J1187" s="599"/>
      <c r="K1187" s="615" t="s">
        <v>236</v>
      </c>
      <c r="L1187" s="616" t="s">
        <v>72</v>
      </c>
      <c r="M1187" s="621"/>
      <c r="N1187" s="621"/>
      <c r="O1187" s="621"/>
      <c r="P1187" s="602">
        <f t="shared" si="85"/>
        <v>0</v>
      </c>
      <c r="Q1187" s="622"/>
      <c r="R1187" s="74"/>
      <c r="S1187" s="74"/>
      <c r="T1187" s="74"/>
      <c r="U1187" s="74"/>
      <c r="V1187" s="74"/>
      <c r="W1187" s="74"/>
      <c r="X1187" s="74"/>
      <c r="Y1187" s="74"/>
      <c r="Z1187" s="74"/>
      <c r="AA1187" s="74"/>
      <c r="AB1187" s="74"/>
      <c r="AC1187" s="74"/>
      <c r="AD1187" s="74"/>
      <c r="AE1187" s="74"/>
      <c r="AF1187" s="74"/>
      <c r="AG1187" s="74"/>
      <c r="AH1187" s="74"/>
      <c r="AI1187" s="74"/>
    </row>
    <row r="1188" ht="22.5" customHeight="1">
      <c r="A1188" s="614">
        <v>45838.0</v>
      </c>
      <c r="B1188" s="675" t="s">
        <v>2218</v>
      </c>
      <c r="C1188" s="609"/>
      <c r="D1188" s="610">
        <v>252955.25</v>
      </c>
      <c r="E1188" s="606"/>
      <c r="F1188" s="627" t="s">
        <v>897</v>
      </c>
      <c r="G1188" s="688">
        <v>0.0</v>
      </c>
      <c r="H1188" s="689">
        <f t="shared" si="84"/>
        <v>0</v>
      </c>
      <c r="I1188" s="599"/>
      <c r="J1188" s="599"/>
      <c r="K1188" s="615" t="s">
        <v>236</v>
      </c>
      <c r="L1188" s="616" t="s">
        <v>72</v>
      </c>
      <c r="M1188" s="621"/>
      <c r="N1188" s="621"/>
      <c r="O1188" s="621"/>
      <c r="P1188" s="602">
        <f t="shared" si="85"/>
        <v>0</v>
      </c>
      <c r="Q1188" s="622"/>
      <c r="R1188" s="74"/>
      <c r="S1188" s="74"/>
      <c r="T1188" s="74"/>
      <c r="U1188" s="74"/>
      <c r="V1188" s="74"/>
      <c r="W1188" s="74"/>
      <c r="X1188" s="74"/>
      <c r="Y1188" s="74"/>
      <c r="Z1188" s="74"/>
      <c r="AA1188" s="74"/>
      <c r="AB1188" s="74"/>
      <c r="AC1188" s="74"/>
      <c r="AD1188" s="74"/>
      <c r="AE1188" s="74"/>
      <c r="AF1188" s="74"/>
      <c r="AG1188" s="74"/>
      <c r="AH1188" s="74"/>
      <c r="AI1188" s="74"/>
    </row>
    <row r="1189" ht="22.5" customHeight="1">
      <c r="A1189" s="614">
        <v>45838.0</v>
      </c>
      <c r="B1189" s="675" t="s">
        <v>2218</v>
      </c>
      <c r="C1189" s="609"/>
      <c r="D1189" s="610">
        <v>106469.0</v>
      </c>
      <c r="E1189" s="606"/>
      <c r="F1189" s="627" t="s">
        <v>897</v>
      </c>
      <c r="G1189" s="688">
        <v>0.0</v>
      </c>
      <c r="H1189" s="689">
        <f t="shared" si="84"/>
        <v>0</v>
      </c>
      <c r="I1189" s="599"/>
      <c r="J1189" s="599"/>
      <c r="K1189" s="615" t="s">
        <v>236</v>
      </c>
      <c r="L1189" s="616" t="s">
        <v>72</v>
      </c>
      <c r="M1189" s="621"/>
      <c r="N1189" s="621"/>
      <c r="O1189" s="621"/>
      <c r="P1189" s="602">
        <f t="shared" si="85"/>
        <v>0</v>
      </c>
      <c r="Q1189" s="622"/>
      <c r="R1189" s="74"/>
      <c r="S1189" s="74"/>
      <c r="T1189" s="74"/>
      <c r="U1189" s="74"/>
      <c r="V1189" s="74"/>
      <c r="W1189" s="74"/>
      <c r="X1189" s="74"/>
      <c r="Y1189" s="74"/>
      <c r="Z1189" s="74"/>
      <c r="AA1189" s="74"/>
      <c r="AB1189" s="74"/>
      <c r="AC1189" s="74"/>
      <c r="AD1189" s="74"/>
      <c r="AE1189" s="74"/>
      <c r="AF1189" s="74"/>
      <c r="AG1189" s="74"/>
      <c r="AH1189" s="74"/>
      <c r="AI1189" s="74"/>
    </row>
    <row r="1190" ht="22.5" customHeight="1">
      <c r="A1190" s="614">
        <v>45838.0</v>
      </c>
      <c r="B1190" s="675" t="s">
        <v>2218</v>
      </c>
      <c r="C1190" s="609"/>
      <c r="D1190" s="609">
        <f>40*79</f>
        <v>3160</v>
      </c>
      <c r="E1190" s="606"/>
      <c r="F1190" s="627" t="s">
        <v>897</v>
      </c>
      <c r="G1190" s="688">
        <v>0.0</v>
      </c>
      <c r="H1190" s="689">
        <f t="shared" si="84"/>
        <v>0</v>
      </c>
      <c r="I1190" s="599"/>
      <c r="J1190" s="599"/>
      <c r="K1190" s="615" t="s">
        <v>294</v>
      </c>
      <c r="L1190" s="616" t="s">
        <v>719</v>
      </c>
      <c r="M1190" s="621"/>
      <c r="N1190" s="621"/>
      <c r="O1190" s="621"/>
      <c r="P1190" s="602">
        <f t="shared" si="85"/>
        <v>0</v>
      </c>
      <c r="Q1190" s="613" t="s">
        <v>952</v>
      </c>
      <c r="R1190" s="74"/>
      <c r="S1190" s="74"/>
      <c r="T1190" s="74"/>
      <c r="U1190" s="74"/>
      <c r="V1190" s="74"/>
      <c r="W1190" s="74"/>
      <c r="X1190" s="74"/>
      <c r="Y1190" s="74"/>
      <c r="Z1190" s="74"/>
      <c r="AA1190" s="74"/>
      <c r="AB1190" s="74"/>
      <c r="AC1190" s="74"/>
      <c r="AD1190" s="74"/>
      <c r="AE1190" s="74"/>
      <c r="AF1190" s="74"/>
      <c r="AG1190" s="74"/>
      <c r="AH1190" s="74"/>
      <c r="AI1190" s="74"/>
    </row>
    <row r="1191" ht="22.5" customHeight="1">
      <c r="A1191" s="614">
        <v>45839.0</v>
      </c>
      <c r="B1191" s="675" t="s">
        <v>2218</v>
      </c>
      <c r="C1191" s="609"/>
      <c r="D1191" s="609"/>
      <c r="E1191" s="604" t="s">
        <v>33</v>
      </c>
      <c r="F1191" s="627" t="s">
        <v>897</v>
      </c>
      <c r="G1191" s="688">
        <v>0.0</v>
      </c>
      <c r="H1191" s="689">
        <f t="shared" si="84"/>
        <v>0</v>
      </c>
      <c r="I1191" s="599"/>
      <c r="J1191" s="605">
        <v>100000.0</v>
      </c>
      <c r="K1191" s="615" t="s">
        <v>591</v>
      </c>
      <c r="L1191" s="616" t="s">
        <v>953</v>
      </c>
      <c r="M1191" s="621"/>
      <c r="N1191" s="621"/>
      <c r="O1191" s="621"/>
      <c r="P1191" s="602">
        <f t="shared" si="85"/>
        <v>0</v>
      </c>
      <c r="Q1191" s="622"/>
      <c r="R1191" s="74"/>
      <c r="S1191" s="74"/>
      <c r="T1191" s="74"/>
      <c r="U1191" s="74"/>
      <c r="V1191" s="74"/>
      <c r="W1191" s="74"/>
      <c r="X1191" s="74"/>
      <c r="Y1191" s="74"/>
      <c r="Z1191" s="74"/>
      <c r="AA1191" s="74"/>
      <c r="AB1191" s="74"/>
      <c r="AC1191" s="74"/>
      <c r="AD1191" s="74"/>
      <c r="AE1191" s="74"/>
      <c r="AF1191" s="74"/>
      <c r="AG1191" s="74"/>
      <c r="AH1191" s="74"/>
      <c r="AI1191" s="74"/>
    </row>
    <row r="1192" ht="22.5" customHeight="1">
      <c r="A1192" s="614">
        <v>45841.0</v>
      </c>
      <c r="B1192" s="675" t="s">
        <v>2218</v>
      </c>
      <c r="C1192" s="609"/>
      <c r="D1192" s="610">
        <v>60000.0</v>
      </c>
      <c r="E1192" s="606"/>
      <c r="F1192" s="627" t="s">
        <v>941</v>
      </c>
      <c r="G1192" s="597">
        <v>20.0</v>
      </c>
      <c r="H1192" s="689">
        <f t="shared" si="84"/>
        <v>10000</v>
      </c>
      <c r="I1192" s="599"/>
      <c r="J1192" s="599"/>
      <c r="K1192" s="615" t="s">
        <v>2237</v>
      </c>
      <c r="L1192" s="616" t="s">
        <v>942</v>
      </c>
      <c r="M1192" s="621"/>
      <c r="N1192" s="621"/>
      <c r="O1192" s="621"/>
      <c r="P1192" s="602">
        <f t="shared" si="85"/>
        <v>0</v>
      </c>
      <c r="Q1192" s="613" t="s">
        <v>943</v>
      </c>
      <c r="R1192" s="74"/>
      <c r="S1192" s="74"/>
      <c r="T1192" s="74"/>
      <c r="U1192" s="74"/>
      <c r="V1192" s="74"/>
      <c r="W1192" s="74"/>
      <c r="X1192" s="74"/>
      <c r="Y1192" s="74"/>
      <c r="Z1192" s="74"/>
      <c r="AA1192" s="74"/>
      <c r="AB1192" s="74"/>
      <c r="AC1192" s="74"/>
      <c r="AD1192" s="74"/>
      <c r="AE1192" s="74"/>
      <c r="AF1192" s="74"/>
      <c r="AG1192" s="74"/>
      <c r="AH1192" s="74"/>
      <c r="AI1192" s="74"/>
    </row>
    <row r="1193" ht="22.5" customHeight="1">
      <c r="A1193" s="614">
        <v>45842.0</v>
      </c>
      <c r="B1193" s="675" t="s">
        <v>2218</v>
      </c>
      <c r="C1193" s="609"/>
      <c r="D1193" s="610">
        <v>214000.0</v>
      </c>
      <c r="E1193" s="606"/>
      <c r="F1193" s="627" t="s">
        <v>941</v>
      </c>
      <c r="G1193" s="688">
        <v>0.0</v>
      </c>
      <c r="H1193" s="689">
        <f t="shared" si="84"/>
        <v>0</v>
      </c>
      <c r="I1193" s="599"/>
      <c r="J1193" s="605"/>
      <c r="K1193" s="615" t="s">
        <v>203</v>
      </c>
      <c r="L1193" s="616" t="s">
        <v>954</v>
      </c>
      <c r="M1193" s="621"/>
      <c r="N1193" s="621"/>
      <c r="O1193" s="621"/>
      <c r="P1193" s="602">
        <f t="shared" si="85"/>
        <v>0</v>
      </c>
      <c r="Q1193" s="613" t="s">
        <v>955</v>
      </c>
      <c r="R1193" s="74"/>
      <c r="S1193" s="74"/>
      <c r="T1193" s="74"/>
      <c r="U1193" s="74"/>
      <c r="V1193" s="74"/>
      <c r="W1193" s="74"/>
      <c r="X1193" s="74"/>
      <c r="Y1193" s="74"/>
      <c r="Z1193" s="74"/>
      <c r="AA1193" s="74"/>
      <c r="AB1193" s="74"/>
      <c r="AC1193" s="74"/>
      <c r="AD1193" s="74"/>
      <c r="AE1193" s="74"/>
      <c r="AF1193" s="74"/>
      <c r="AG1193" s="74"/>
      <c r="AH1193" s="74"/>
      <c r="AI1193" s="74"/>
    </row>
    <row r="1194" ht="22.5" customHeight="1">
      <c r="A1194" s="614">
        <v>45842.0</v>
      </c>
      <c r="B1194" s="675" t="s">
        <v>2218</v>
      </c>
      <c r="C1194" s="609"/>
      <c r="D1194" s="610">
        <f>53191+1036.44</f>
        <v>54227.44</v>
      </c>
      <c r="E1194" s="606"/>
      <c r="F1194" s="627" t="s">
        <v>897</v>
      </c>
      <c r="G1194" s="688">
        <v>0.0</v>
      </c>
      <c r="H1194" s="689">
        <f t="shared" si="84"/>
        <v>0</v>
      </c>
      <c r="I1194" s="599"/>
      <c r="J1194" s="599"/>
      <c r="K1194" s="615" t="s">
        <v>2237</v>
      </c>
      <c r="L1194" s="616" t="s">
        <v>901</v>
      </c>
      <c r="M1194" s="621"/>
      <c r="N1194" s="621"/>
      <c r="O1194" s="621"/>
      <c r="P1194" s="602">
        <f t="shared" si="85"/>
        <v>0</v>
      </c>
      <c r="Q1194" s="613" t="s">
        <v>955</v>
      </c>
      <c r="R1194" s="74"/>
      <c r="S1194" s="74"/>
      <c r="T1194" s="74"/>
      <c r="U1194" s="74"/>
      <c r="V1194" s="74"/>
      <c r="W1194" s="74"/>
      <c r="X1194" s="74"/>
      <c r="Y1194" s="74"/>
      <c r="Z1194" s="74"/>
      <c r="AA1194" s="74"/>
      <c r="AB1194" s="74"/>
      <c r="AC1194" s="74"/>
      <c r="AD1194" s="74"/>
      <c r="AE1194" s="74"/>
      <c r="AF1194" s="74"/>
      <c r="AG1194" s="74"/>
      <c r="AH1194" s="74"/>
      <c r="AI1194" s="74"/>
    </row>
    <row r="1195" ht="22.5" customHeight="1">
      <c r="A1195" s="614">
        <v>45842.0</v>
      </c>
      <c r="B1195" s="675" t="s">
        <v>2218</v>
      </c>
      <c r="C1195" s="609"/>
      <c r="D1195" s="609"/>
      <c r="E1195" s="604" t="s">
        <v>33</v>
      </c>
      <c r="F1195" s="627" t="s">
        <v>941</v>
      </c>
      <c r="G1195" s="688">
        <v>0.0</v>
      </c>
      <c r="H1195" s="689">
        <f t="shared" si="84"/>
        <v>0</v>
      </c>
      <c r="I1195" s="599"/>
      <c r="J1195" s="605">
        <f>28000+6500</f>
        <v>34500</v>
      </c>
      <c r="K1195" s="615" t="s">
        <v>1181</v>
      </c>
      <c r="L1195" s="616" t="s">
        <v>956</v>
      </c>
      <c r="M1195" s="621"/>
      <c r="N1195" s="621"/>
      <c r="O1195" s="621"/>
      <c r="P1195" s="602">
        <f t="shared" si="85"/>
        <v>0</v>
      </c>
      <c r="Q1195" s="622"/>
      <c r="R1195" s="74"/>
      <c r="S1195" s="74"/>
      <c r="T1195" s="74"/>
      <c r="U1195" s="74"/>
      <c r="V1195" s="74"/>
      <c r="W1195" s="74"/>
      <c r="X1195" s="74"/>
      <c r="Y1195" s="74"/>
      <c r="Z1195" s="74"/>
      <c r="AA1195" s="74"/>
      <c r="AB1195" s="74"/>
      <c r="AC1195" s="74"/>
      <c r="AD1195" s="74"/>
      <c r="AE1195" s="74"/>
      <c r="AF1195" s="74"/>
      <c r="AG1195" s="74"/>
      <c r="AH1195" s="74"/>
      <c r="AI1195" s="74"/>
    </row>
    <row r="1196" ht="22.5" customHeight="1">
      <c r="A1196" s="614">
        <v>45845.0</v>
      </c>
      <c r="B1196" s="675" t="s">
        <v>2218</v>
      </c>
      <c r="C1196" s="609"/>
      <c r="D1196" s="610">
        <v>4850.8</v>
      </c>
      <c r="E1196" s="606"/>
      <c r="F1196" s="627" t="s">
        <v>941</v>
      </c>
      <c r="G1196" s="688">
        <v>0.0</v>
      </c>
      <c r="H1196" s="689">
        <f t="shared" si="84"/>
        <v>0</v>
      </c>
      <c r="I1196" s="599"/>
      <c r="J1196" s="599"/>
      <c r="K1196" s="615" t="s">
        <v>494</v>
      </c>
      <c r="L1196" s="616" t="s">
        <v>957</v>
      </c>
      <c r="M1196" s="621"/>
      <c r="N1196" s="621"/>
      <c r="O1196" s="621"/>
      <c r="P1196" s="602">
        <f t="shared" si="85"/>
        <v>0</v>
      </c>
      <c r="Q1196" s="682" t="s">
        <v>958</v>
      </c>
      <c r="R1196" s="74"/>
      <c r="S1196" s="74"/>
      <c r="T1196" s="74"/>
      <c r="U1196" s="74"/>
      <c r="V1196" s="74"/>
      <c r="W1196" s="74"/>
      <c r="X1196" s="74"/>
      <c r="Y1196" s="74"/>
      <c r="Z1196" s="74"/>
      <c r="AA1196" s="74"/>
      <c r="AB1196" s="74"/>
      <c r="AC1196" s="74"/>
      <c r="AD1196" s="74"/>
      <c r="AE1196" s="74"/>
      <c r="AF1196" s="74"/>
      <c r="AG1196" s="74"/>
      <c r="AH1196" s="74"/>
      <c r="AI1196" s="74"/>
    </row>
    <row r="1197" ht="22.5" customHeight="1">
      <c r="A1197" s="614">
        <v>45845.0</v>
      </c>
      <c r="B1197" s="675" t="s">
        <v>2218</v>
      </c>
      <c r="C1197" s="609"/>
      <c r="D1197" s="610">
        <v>21502.8</v>
      </c>
      <c r="E1197" s="606"/>
      <c r="F1197" s="627" t="s">
        <v>941</v>
      </c>
      <c r="G1197" s="597">
        <v>20.0</v>
      </c>
      <c r="H1197" s="689">
        <f t="shared" si="84"/>
        <v>3583.8</v>
      </c>
      <c r="I1197" s="599"/>
      <c r="J1197" s="599"/>
      <c r="K1197" s="615" t="s">
        <v>494</v>
      </c>
      <c r="L1197" s="616" t="s">
        <v>957</v>
      </c>
      <c r="M1197" s="621"/>
      <c r="N1197" s="621"/>
      <c r="O1197" s="621"/>
      <c r="P1197" s="602">
        <f t="shared" si="85"/>
        <v>0</v>
      </c>
      <c r="Q1197" s="682" t="s">
        <v>959</v>
      </c>
      <c r="R1197" s="74"/>
      <c r="S1197" s="74"/>
      <c r="T1197" s="74"/>
      <c r="U1197" s="74"/>
      <c r="V1197" s="74"/>
      <c r="W1197" s="74"/>
      <c r="X1197" s="74"/>
      <c r="Y1197" s="74"/>
      <c r="Z1197" s="74"/>
      <c r="AA1197" s="74"/>
      <c r="AB1197" s="74"/>
      <c r="AC1197" s="74"/>
      <c r="AD1197" s="74"/>
      <c r="AE1197" s="74"/>
      <c r="AF1197" s="74"/>
      <c r="AG1197" s="74"/>
      <c r="AH1197" s="74"/>
      <c r="AI1197" s="74"/>
    </row>
    <row r="1198" ht="22.5" customHeight="1">
      <c r="A1198" s="614">
        <v>45845.0</v>
      </c>
      <c r="B1198" s="675" t="s">
        <v>2218</v>
      </c>
      <c r="C1198" s="609"/>
      <c r="D1198" s="609"/>
      <c r="E1198" s="604" t="s">
        <v>33</v>
      </c>
      <c r="F1198" s="627" t="s">
        <v>897</v>
      </c>
      <c r="G1198" s="688">
        <v>0.0</v>
      </c>
      <c r="H1198" s="689">
        <f t="shared" si="84"/>
        <v>0</v>
      </c>
      <c r="I1198" s="599"/>
      <c r="J1198" s="605">
        <v>1085722.0</v>
      </c>
      <c r="K1198" s="615" t="s">
        <v>591</v>
      </c>
      <c r="L1198" s="616" t="s">
        <v>960</v>
      </c>
      <c r="M1198" s="621"/>
      <c r="N1198" s="621"/>
      <c r="O1198" s="621"/>
      <c r="P1198" s="602">
        <f t="shared" si="85"/>
        <v>0</v>
      </c>
      <c r="Q1198" s="622"/>
      <c r="R1198" s="74"/>
      <c r="S1198" s="74"/>
      <c r="T1198" s="74"/>
      <c r="U1198" s="74"/>
      <c r="V1198" s="74"/>
      <c r="W1198" s="74"/>
      <c r="X1198" s="74"/>
      <c r="Y1198" s="74"/>
      <c r="Z1198" s="74"/>
      <c r="AA1198" s="74"/>
      <c r="AB1198" s="74"/>
      <c r="AC1198" s="74"/>
      <c r="AD1198" s="74"/>
      <c r="AE1198" s="74"/>
      <c r="AF1198" s="74"/>
      <c r="AG1198" s="74"/>
      <c r="AH1198" s="74"/>
      <c r="AI1198" s="74"/>
    </row>
    <row r="1199" ht="22.5" customHeight="1">
      <c r="A1199" s="614">
        <v>45845.0</v>
      </c>
      <c r="B1199" s="675" t="s">
        <v>2218</v>
      </c>
      <c r="C1199" s="609"/>
      <c r="D1199" s="609"/>
      <c r="E1199" s="604" t="s">
        <v>33</v>
      </c>
      <c r="F1199" s="627" t="s">
        <v>839</v>
      </c>
      <c r="G1199" s="688">
        <v>0.0</v>
      </c>
      <c r="H1199" s="689">
        <f t="shared" si="84"/>
        <v>0</v>
      </c>
      <c r="I1199" s="599"/>
      <c r="J1199" s="605">
        <v>470400.0</v>
      </c>
      <c r="K1199" s="615" t="s">
        <v>65</v>
      </c>
      <c r="L1199" s="616" t="s">
        <v>961</v>
      </c>
      <c r="M1199" s="621"/>
      <c r="N1199" s="621"/>
      <c r="O1199" s="621"/>
      <c r="P1199" s="602">
        <f t="shared" si="85"/>
        <v>0</v>
      </c>
      <c r="Q1199" s="622"/>
      <c r="R1199" s="74"/>
      <c r="S1199" s="74"/>
      <c r="T1199" s="74"/>
      <c r="U1199" s="74"/>
      <c r="V1199" s="74"/>
      <c r="W1199" s="74"/>
      <c r="X1199" s="74"/>
      <c r="Y1199" s="74"/>
      <c r="Z1199" s="74"/>
      <c r="AA1199" s="74"/>
      <c r="AB1199" s="74"/>
      <c r="AC1199" s="74"/>
      <c r="AD1199" s="74"/>
      <c r="AE1199" s="74"/>
      <c r="AF1199" s="74"/>
      <c r="AG1199" s="74"/>
      <c r="AH1199" s="74"/>
      <c r="AI1199" s="74"/>
    </row>
    <row r="1200" ht="22.5" customHeight="1">
      <c r="A1200" s="614">
        <v>45845.0</v>
      </c>
      <c r="B1200" s="675" t="s">
        <v>2218</v>
      </c>
      <c r="C1200" s="609"/>
      <c r="D1200" s="609"/>
      <c r="E1200" s="604" t="s">
        <v>33</v>
      </c>
      <c r="F1200" s="627" t="s">
        <v>897</v>
      </c>
      <c r="G1200" s="688">
        <v>0.0</v>
      </c>
      <c r="H1200" s="689">
        <f t="shared" si="84"/>
        <v>0</v>
      </c>
      <c r="I1200" s="599"/>
      <c r="J1200" s="605">
        <v>18622.0</v>
      </c>
      <c r="K1200" s="615" t="s">
        <v>1181</v>
      </c>
      <c r="L1200" s="616" t="s">
        <v>962</v>
      </c>
      <c r="M1200" s="621"/>
      <c r="N1200" s="621"/>
      <c r="O1200" s="621"/>
      <c r="P1200" s="602">
        <f t="shared" si="85"/>
        <v>0</v>
      </c>
      <c r="Q1200" s="622"/>
      <c r="R1200" s="74"/>
      <c r="S1200" s="74"/>
      <c r="T1200" s="74"/>
      <c r="U1200" s="74"/>
      <c r="V1200" s="74"/>
      <c r="W1200" s="74"/>
      <c r="X1200" s="74"/>
      <c r="Y1200" s="74"/>
      <c r="Z1200" s="74"/>
      <c r="AA1200" s="74"/>
      <c r="AB1200" s="74"/>
      <c r="AC1200" s="74"/>
      <c r="AD1200" s="74"/>
      <c r="AE1200" s="74"/>
      <c r="AF1200" s="74"/>
      <c r="AG1200" s="74"/>
      <c r="AH1200" s="74"/>
      <c r="AI1200" s="74"/>
    </row>
    <row r="1201" ht="22.5" customHeight="1">
      <c r="A1201" s="614">
        <v>45845.0</v>
      </c>
      <c r="B1201" s="675" t="s">
        <v>2218</v>
      </c>
      <c r="C1201" s="609"/>
      <c r="D1201" s="609"/>
      <c r="E1201" s="604" t="s">
        <v>33</v>
      </c>
      <c r="F1201" s="627" t="s">
        <v>897</v>
      </c>
      <c r="G1201" s="688">
        <v>0.0</v>
      </c>
      <c r="H1201" s="689">
        <f t="shared" si="84"/>
        <v>0</v>
      </c>
      <c r="I1201" s="599"/>
      <c r="J1201" s="605">
        <v>15500.0</v>
      </c>
      <c r="K1201" s="615" t="s">
        <v>494</v>
      </c>
      <c r="L1201" s="616" t="s">
        <v>963</v>
      </c>
      <c r="M1201" s="621"/>
      <c r="N1201" s="621"/>
      <c r="O1201" s="621"/>
      <c r="P1201" s="602">
        <f t="shared" si="85"/>
        <v>0</v>
      </c>
      <c r="Q1201" s="622"/>
      <c r="R1201" s="74"/>
      <c r="S1201" s="74"/>
      <c r="T1201" s="74"/>
      <c r="U1201" s="74"/>
      <c r="V1201" s="74"/>
      <c r="W1201" s="74"/>
      <c r="X1201" s="74"/>
      <c r="Y1201" s="74"/>
      <c r="Z1201" s="74"/>
      <c r="AA1201" s="74"/>
      <c r="AB1201" s="74"/>
      <c r="AC1201" s="74"/>
      <c r="AD1201" s="74"/>
      <c r="AE1201" s="74"/>
      <c r="AF1201" s="74"/>
      <c r="AG1201" s="74"/>
      <c r="AH1201" s="74"/>
      <c r="AI1201" s="74"/>
    </row>
    <row r="1202" ht="22.5" customHeight="1">
      <c r="A1202" s="614">
        <v>45845.0</v>
      </c>
      <c r="B1202" s="675" t="s">
        <v>2218</v>
      </c>
      <c r="C1202" s="609"/>
      <c r="D1202" s="610">
        <v>38676.0</v>
      </c>
      <c r="E1202" s="606"/>
      <c r="F1202" s="627" t="s">
        <v>941</v>
      </c>
      <c r="G1202" s="597">
        <v>20.0</v>
      </c>
      <c r="H1202" s="689">
        <f t="shared" si="84"/>
        <v>6446</v>
      </c>
      <c r="I1202" s="599"/>
      <c r="J1202" s="599"/>
      <c r="K1202" s="615" t="s">
        <v>213</v>
      </c>
      <c r="L1202" s="616" t="s">
        <v>964</v>
      </c>
      <c r="M1202" s="621"/>
      <c r="N1202" s="621"/>
      <c r="O1202" s="621"/>
      <c r="P1202" s="602">
        <f t="shared" si="85"/>
        <v>0</v>
      </c>
      <c r="Q1202" s="622"/>
      <c r="R1202" s="74"/>
      <c r="S1202" s="74"/>
      <c r="T1202" s="74"/>
      <c r="U1202" s="74"/>
      <c r="V1202" s="74"/>
      <c r="W1202" s="74"/>
      <c r="X1202" s="74"/>
      <c r="Y1202" s="74"/>
      <c r="Z1202" s="74"/>
      <c r="AA1202" s="74"/>
      <c r="AB1202" s="74"/>
      <c r="AC1202" s="74"/>
      <c r="AD1202" s="74"/>
      <c r="AE1202" s="74"/>
      <c r="AF1202" s="74"/>
      <c r="AG1202" s="74"/>
      <c r="AH1202" s="74"/>
      <c r="AI1202" s="74"/>
    </row>
    <row r="1203" ht="22.5" customHeight="1">
      <c r="A1203" s="614">
        <v>45845.0</v>
      </c>
      <c r="B1203" s="675" t="s">
        <v>2218</v>
      </c>
      <c r="C1203" s="609"/>
      <c r="D1203" s="610">
        <v>95374.0</v>
      </c>
      <c r="E1203" s="606"/>
      <c r="F1203" s="627" t="s">
        <v>941</v>
      </c>
      <c r="G1203" s="688">
        <v>0.0</v>
      </c>
      <c r="H1203" s="689">
        <f t="shared" si="84"/>
        <v>0</v>
      </c>
      <c r="I1203" s="599"/>
      <c r="J1203" s="599"/>
      <c r="K1203" s="615" t="s">
        <v>236</v>
      </c>
      <c r="L1203" s="616" t="s">
        <v>72</v>
      </c>
      <c r="M1203" s="621"/>
      <c r="N1203" s="621"/>
      <c r="O1203" s="621"/>
      <c r="P1203" s="602">
        <f t="shared" si="85"/>
        <v>0</v>
      </c>
      <c r="Q1203" s="622"/>
      <c r="R1203" s="74"/>
      <c r="S1203" s="74"/>
      <c r="T1203" s="74"/>
      <c r="U1203" s="74"/>
      <c r="V1203" s="74"/>
      <c r="W1203" s="74"/>
      <c r="X1203" s="74"/>
      <c r="Y1203" s="74"/>
      <c r="Z1203" s="74"/>
      <c r="AA1203" s="74"/>
      <c r="AB1203" s="74"/>
      <c r="AC1203" s="74"/>
      <c r="AD1203" s="74"/>
      <c r="AE1203" s="74"/>
      <c r="AF1203" s="74"/>
      <c r="AG1203" s="74"/>
      <c r="AH1203" s="74"/>
      <c r="AI1203" s="74"/>
    </row>
    <row r="1204" ht="22.5" customHeight="1">
      <c r="A1204" s="614">
        <v>45845.0</v>
      </c>
      <c r="B1204" s="675" t="s">
        <v>2218</v>
      </c>
      <c r="C1204" s="609"/>
      <c r="D1204" s="610">
        <v>3746.45</v>
      </c>
      <c r="E1204" s="606"/>
      <c r="F1204" s="627" t="s">
        <v>941</v>
      </c>
      <c r="G1204" s="597">
        <v>20.0</v>
      </c>
      <c r="H1204" s="689">
        <f t="shared" si="84"/>
        <v>624.4083333</v>
      </c>
      <c r="I1204" s="599"/>
      <c r="J1204" s="599"/>
      <c r="K1204" s="615" t="s">
        <v>494</v>
      </c>
      <c r="L1204" s="616" t="s">
        <v>745</v>
      </c>
      <c r="M1204" s="621"/>
      <c r="N1204" s="621"/>
      <c r="O1204" s="621"/>
      <c r="P1204" s="602">
        <f t="shared" si="85"/>
        <v>0</v>
      </c>
      <c r="Q1204" s="682" t="s">
        <v>965</v>
      </c>
      <c r="R1204" s="74"/>
      <c r="S1204" s="74"/>
      <c r="T1204" s="74"/>
      <c r="U1204" s="74"/>
      <c r="V1204" s="74"/>
      <c r="W1204" s="74"/>
      <c r="X1204" s="74"/>
      <c r="Y1204" s="74"/>
      <c r="Z1204" s="74"/>
      <c r="AA1204" s="74"/>
      <c r="AB1204" s="74"/>
      <c r="AC1204" s="74"/>
      <c r="AD1204" s="74"/>
      <c r="AE1204" s="74"/>
      <c r="AF1204" s="74"/>
      <c r="AG1204" s="74"/>
      <c r="AH1204" s="74"/>
      <c r="AI1204" s="74"/>
    </row>
    <row r="1205" ht="22.5" customHeight="1">
      <c r="A1205" s="614">
        <v>45845.0</v>
      </c>
      <c r="B1205" s="675" t="s">
        <v>2218</v>
      </c>
      <c r="C1205" s="609"/>
      <c r="D1205" s="609"/>
      <c r="E1205" s="604" t="s">
        <v>33</v>
      </c>
      <c r="F1205" s="627" t="s">
        <v>941</v>
      </c>
      <c r="G1205" s="597">
        <v>0.0</v>
      </c>
      <c r="H1205" s="689">
        <f t="shared" si="84"/>
        <v>0</v>
      </c>
      <c r="I1205" s="599"/>
      <c r="J1205" s="605">
        <f>50000+20000</f>
        <v>70000</v>
      </c>
      <c r="K1205" s="615" t="s">
        <v>1181</v>
      </c>
      <c r="L1205" s="616" t="s">
        <v>966</v>
      </c>
      <c r="M1205" s="621"/>
      <c r="N1205" s="621"/>
      <c r="O1205" s="621"/>
      <c r="P1205" s="602">
        <f t="shared" si="85"/>
        <v>0</v>
      </c>
      <c r="Q1205" s="622"/>
      <c r="R1205" s="74"/>
      <c r="S1205" s="74"/>
      <c r="T1205" s="74"/>
      <c r="U1205" s="74"/>
      <c r="V1205" s="74"/>
      <c r="W1205" s="74"/>
      <c r="X1205" s="74"/>
      <c r="Y1205" s="74"/>
      <c r="Z1205" s="74"/>
      <c r="AA1205" s="74"/>
      <c r="AB1205" s="74"/>
      <c r="AC1205" s="74"/>
      <c r="AD1205" s="74"/>
      <c r="AE1205" s="74"/>
      <c r="AF1205" s="74"/>
      <c r="AG1205" s="74"/>
      <c r="AH1205" s="74"/>
      <c r="AI1205" s="74"/>
    </row>
    <row r="1206" ht="22.5" customHeight="1">
      <c r="A1206" s="614">
        <v>45846.0</v>
      </c>
      <c r="B1206" s="675" t="s">
        <v>2218</v>
      </c>
      <c r="C1206" s="609"/>
      <c r="D1206" s="609"/>
      <c r="E1206" s="604" t="s">
        <v>33</v>
      </c>
      <c r="F1206" s="627" t="s">
        <v>941</v>
      </c>
      <c r="G1206" s="688">
        <v>0.0</v>
      </c>
      <c r="H1206" s="689">
        <f t="shared" si="84"/>
        <v>0</v>
      </c>
      <c r="I1206" s="599"/>
      <c r="J1206" s="605">
        <v>74000.0</v>
      </c>
      <c r="K1206" s="615" t="s">
        <v>1181</v>
      </c>
      <c r="L1206" s="616" t="s">
        <v>967</v>
      </c>
      <c r="M1206" s="621"/>
      <c r="N1206" s="621"/>
      <c r="O1206" s="621"/>
      <c r="P1206" s="602">
        <f t="shared" si="85"/>
        <v>0</v>
      </c>
      <c r="Q1206" s="622"/>
      <c r="R1206" s="74"/>
      <c r="S1206" s="74"/>
      <c r="T1206" s="74"/>
      <c r="U1206" s="74"/>
      <c r="V1206" s="74"/>
      <c r="W1206" s="74"/>
      <c r="X1206" s="74"/>
      <c r="Y1206" s="74"/>
      <c r="Z1206" s="74"/>
      <c r="AA1206" s="74"/>
      <c r="AB1206" s="74"/>
      <c r="AC1206" s="74"/>
      <c r="AD1206" s="74"/>
      <c r="AE1206" s="74"/>
      <c r="AF1206" s="74"/>
      <c r="AG1206" s="74"/>
      <c r="AH1206" s="74"/>
      <c r="AI1206" s="74"/>
    </row>
    <row r="1207" ht="22.5" customHeight="1">
      <c r="A1207" s="614">
        <v>45846.0</v>
      </c>
      <c r="B1207" s="675" t="s">
        <v>2218</v>
      </c>
      <c r="C1207" s="609"/>
      <c r="D1207" s="610">
        <v>28000.0</v>
      </c>
      <c r="E1207" s="606"/>
      <c r="F1207" s="627" t="s">
        <v>941</v>
      </c>
      <c r="G1207" s="597">
        <v>5.0</v>
      </c>
      <c r="H1207" s="689">
        <f t="shared" si="84"/>
        <v>1333.333333</v>
      </c>
      <c r="I1207" s="599"/>
      <c r="J1207" s="599"/>
      <c r="K1207" s="615" t="s">
        <v>213</v>
      </c>
      <c r="L1207" s="616" t="s">
        <v>968</v>
      </c>
      <c r="M1207" s="621"/>
      <c r="N1207" s="621"/>
      <c r="O1207" s="621"/>
      <c r="P1207" s="602">
        <f t="shared" si="85"/>
        <v>0</v>
      </c>
      <c r="Q1207" s="682" t="s">
        <v>969</v>
      </c>
      <c r="R1207" s="74"/>
      <c r="S1207" s="74"/>
      <c r="T1207" s="74"/>
      <c r="U1207" s="74"/>
      <c r="V1207" s="74"/>
      <c r="W1207" s="74"/>
      <c r="X1207" s="74"/>
      <c r="Y1207" s="74"/>
      <c r="Z1207" s="74"/>
      <c r="AA1207" s="74"/>
      <c r="AB1207" s="74"/>
      <c r="AC1207" s="74"/>
      <c r="AD1207" s="74"/>
      <c r="AE1207" s="74"/>
      <c r="AF1207" s="74"/>
      <c r="AG1207" s="74"/>
      <c r="AH1207" s="74"/>
      <c r="AI1207" s="74"/>
    </row>
    <row r="1208" ht="22.5" customHeight="1">
      <c r="A1208" s="614">
        <v>45847.0</v>
      </c>
      <c r="B1208" s="675" t="s">
        <v>2218</v>
      </c>
      <c r="C1208" s="609"/>
      <c r="D1208" s="610">
        <v>143074.6</v>
      </c>
      <c r="E1208" s="604" t="s">
        <v>28</v>
      </c>
      <c r="F1208" s="627" t="s">
        <v>722</v>
      </c>
      <c r="G1208" s="597">
        <v>0.0</v>
      </c>
      <c r="H1208" s="689">
        <f t="shared" si="84"/>
        <v>0</v>
      </c>
      <c r="I1208" s="599"/>
      <c r="J1208" s="599"/>
      <c r="K1208" s="615" t="s">
        <v>101</v>
      </c>
      <c r="L1208" s="698" t="s">
        <v>631</v>
      </c>
      <c r="M1208" s="621"/>
      <c r="N1208" s="621"/>
      <c r="O1208" s="621"/>
      <c r="P1208" s="602">
        <f t="shared" si="85"/>
        <v>0</v>
      </c>
      <c r="Q1208" s="682" t="s">
        <v>970</v>
      </c>
      <c r="R1208" s="74"/>
      <c r="S1208" s="74"/>
      <c r="T1208" s="74"/>
      <c r="U1208" s="74"/>
      <c r="V1208" s="74"/>
      <c r="W1208" s="74"/>
      <c r="X1208" s="74"/>
      <c r="Y1208" s="74"/>
      <c r="Z1208" s="74"/>
      <c r="AA1208" s="74"/>
      <c r="AB1208" s="74"/>
      <c r="AC1208" s="74"/>
      <c r="AD1208" s="74"/>
      <c r="AE1208" s="74"/>
      <c r="AF1208" s="74"/>
      <c r="AG1208" s="74"/>
      <c r="AH1208" s="74"/>
      <c r="AI1208" s="74"/>
    </row>
    <row r="1209" ht="22.5" customHeight="1">
      <c r="A1209" s="614">
        <v>45847.0</v>
      </c>
      <c r="B1209" s="675" t="s">
        <v>2218</v>
      </c>
      <c r="C1209" s="609"/>
      <c r="D1209" s="610">
        <v>234814.36</v>
      </c>
      <c r="E1209" s="606"/>
      <c r="F1209" s="627" t="s">
        <v>722</v>
      </c>
      <c r="G1209" s="597">
        <v>20.0</v>
      </c>
      <c r="H1209" s="689">
        <f t="shared" si="84"/>
        <v>39135.72667</v>
      </c>
      <c r="I1209" s="599"/>
      <c r="J1209" s="599"/>
      <c r="K1209" s="615" t="s">
        <v>101</v>
      </c>
      <c r="L1209" s="698" t="s">
        <v>820</v>
      </c>
      <c r="M1209" s="621"/>
      <c r="N1209" s="621"/>
      <c r="O1209" s="621"/>
      <c r="P1209" s="602">
        <f t="shared" si="85"/>
        <v>0</v>
      </c>
      <c r="Q1209" s="682" t="s">
        <v>971</v>
      </c>
      <c r="R1209" s="74"/>
      <c r="S1209" s="74"/>
      <c r="T1209" s="74"/>
      <c r="U1209" s="74"/>
      <c r="V1209" s="74"/>
      <c r="W1209" s="74"/>
      <c r="X1209" s="74"/>
      <c r="Y1209" s="74"/>
      <c r="Z1209" s="74"/>
      <c r="AA1209" s="74"/>
      <c r="AB1209" s="74"/>
      <c r="AC1209" s="74"/>
      <c r="AD1209" s="74"/>
      <c r="AE1209" s="74"/>
      <c r="AF1209" s="74"/>
      <c r="AG1209" s="74"/>
      <c r="AH1209" s="74"/>
      <c r="AI1209" s="74"/>
    </row>
    <row r="1210" ht="22.5" customHeight="1">
      <c r="A1210" s="614">
        <v>45847.0</v>
      </c>
      <c r="B1210" s="675" t="s">
        <v>2218</v>
      </c>
      <c r="C1210" s="609"/>
      <c r="D1210" s="610">
        <v>117095.8</v>
      </c>
      <c r="E1210" s="606"/>
      <c r="F1210" s="627" t="s">
        <v>722</v>
      </c>
      <c r="G1210" s="597">
        <v>0.0</v>
      </c>
      <c r="H1210" s="689">
        <f t="shared" si="84"/>
        <v>0</v>
      </c>
      <c r="I1210" s="599"/>
      <c r="J1210" s="599"/>
      <c r="K1210" s="615" t="s">
        <v>101</v>
      </c>
      <c r="L1210" s="698" t="s">
        <v>818</v>
      </c>
      <c r="M1210" s="621"/>
      <c r="N1210" s="621"/>
      <c r="O1210" s="621"/>
      <c r="P1210" s="602">
        <f t="shared" si="85"/>
        <v>0</v>
      </c>
      <c r="Q1210" s="682" t="s">
        <v>972</v>
      </c>
      <c r="R1210" s="74"/>
      <c r="S1210" s="74"/>
      <c r="T1210" s="74"/>
      <c r="U1210" s="74"/>
      <c r="V1210" s="74"/>
      <c r="W1210" s="74"/>
      <c r="X1210" s="74"/>
      <c r="Y1210" s="74"/>
      <c r="Z1210" s="74"/>
      <c r="AA1210" s="74"/>
      <c r="AB1210" s="74"/>
      <c r="AC1210" s="74"/>
      <c r="AD1210" s="74"/>
      <c r="AE1210" s="74"/>
      <c r="AF1210" s="74"/>
      <c r="AG1210" s="74"/>
      <c r="AH1210" s="74"/>
      <c r="AI1210" s="74"/>
    </row>
    <row r="1211" ht="22.5" customHeight="1">
      <c r="A1211" s="614">
        <v>45847.0</v>
      </c>
      <c r="B1211" s="675" t="s">
        <v>2218</v>
      </c>
      <c r="C1211" s="609"/>
      <c r="D1211" s="610">
        <v>6751.44</v>
      </c>
      <c r="E1211" s="606"/>
      <c r="F1211" s="627" t="s">
        <v>722</v>
      </c>
      <c r="G1211" s="597">
        <v>20.0</v>
      </c>
      <c r="H1211" s="689">
        <f t="shared" si="84"/>
        <v>1125.24</v>
      </c>
      <c r="I1211" s="599"/>
      <c r="J1211" s="599"/>
      <c r="K1211" s="615" t="s">
        <v>101</v>
      </c>
      <c r="L1211" s="698" t="s">
        <v>973</v>
      </c>
      <c r="M1211" s="621"/>
      <c r="N1211" s="621"/>
      <c r="O1211" s="621"/>
      <c r="P1211" s="602">
        <f t="shared" si="85"/>
        <v>0</v>
      </c>
      <c r="Q1211" s="682" t="s">
        <v>974</v>
      </c>
      <c r="R1211" s="74"/>
      <c r="S1211" s="74"/>
      <c r="T1211" s="74"/>
      <c r="U1211" s="74"/>
      <c r="V1211" s="74"/>
      <c r="W1211" s="74"/>
      <c r="X1211" s="74"/>
      <c r="Y1211" s="74"/>
      <c r="Z1211" s="74"/>
      <c r="AA1211" s="74"/>
      <c r="AB1211" s="74"/>
      <c r="AC1211" s="74"/>
      <c r="AD1211" s="74"/>
      <c r="AE1211" s="74"/>
      <c r="AF1211" s="74"/>
      <c r="AG1211" s="74"/>
      <c r="AH1211" s="74"/>
      <c r="AI1211" s="74"/>
    </row>
    <row r="1212" ht="22.5" customHeight="1">
      <c r="A1212" s="614">
        <v>45847.0</v>
      </c>
      <c r="B1212" s="675" t="s">
        <v>2218</v>
      </c>
      <c r="C1212" s="609"/>
      <c r="D1212" s="610">
        <v>42544.0</v>
      </c>
      <c r="E1212" s="606"/>
      <c r="F1212" s="627" t="s">
        <v>722</v>
      </c>
      <c r="G1212" s="597">
        <v>5.0</v>
      </c>
      <c r="H1212" s="689">
        <f t="shared" si="84"/>
        <v>2025.904762</v>
      </c>
      <c r="I1212" s="599"/>
      <c r="J1212" s="599"/>
      <c r="K1212" s="615" t="s">
        <v>101</v>
      </c>
      <c r="L1212" s="698" t="s">
        <v>671</v>
      </c>
      <c r="M1212" s="621"/>
      <c r="N1212" s="621"/>
      <c r="O1212" s="621"/>
      <c r="P1212" s="602">
        <f t="shared" si="85"/>
        <v>0</v>
      </c>
      <c r="Q1212" s="682" t="s">
        <v>975</v>
      </c>
      <c r="R1212" s="74"/>
      <c r="S1212" s="74"/>
      <c r="T1212" s="74"/>
      <c r="U1212" s="74"/>
      <c r="V1212" s="74"/>
      <c r="W1212" s="74"/>
      <c r="X1212" s="74"/>
      <c r="Y1212" s="74"/>
      <c r="Z1212" s="74"/>
      <c r="AA1212" s="74"/>
      <c r="AB1212" s="74"/>
      <c r="AC1212" s="74"/>
      <c r="AD1212" s="74"/>
      <c r="AE1212" s="74"/>
      <c r="AF1212" s="74"/>
      <c r="AG1212" s="74"/>
      <c r="AH1212" s="74"/>
      <c r="AI1212" s="74"/>
    </row>
    <row r="1213" ht="22.5" customHeight="1">
      <c r="A1213" s="614">
        <v>45847.0</v>
      </c>
      <c r="B1213" s="675" t="s">
        <v>2218</v>
      </c>
      <c r="C1213" s="609"/>
      <c r="D1213" s="610">
        <v>7092.84</v>
      </c>
      <c r="E1213" s="606"/>
      <c r="F1213" s="627" t="s">
        <v>722</v>
      </c>
      <c r="G1213" s="597">
        <v>0.0</v>
      </c>
      <c r="H1213" s="689">
        <f t="shared" si="84"/>
        <v>0</v>
      </c>
      <c r="I1213" s="599"/>
      <c r="J1213" s="599"/>
      <c r="K1213" s="615" t="s">
        <v>101</v>
      </c>
      <c r="L1213" s="698" t="s">
        <v>976</v>
      </c>
      <c r="M1213" s="621"/>
      <c r="N1213" s="621"/>
      <c r="O1213" s="621"/>
      <c r="P1213" s="602">
        <f t="shared" si="85"/>
        <v>0</v>
      </c>
      <c r="Q1213" s="682" t="s">
        <v>977</v>
      </c>
      <c r="R1213" s="74"/>
      <c r="S1213" s="74"/>
      <c r="T1213" s="74"/>
      <c r="U1213" s="74"/>
      <c r="V1213" s="74"/>
      <c r="W1213" s="74"/>
      <c r="X1213" s="74"/>
      <c r="Y1213" s="74"/>
      <c r="Z1213" s="74"/>
      <c r="AA1213" s="74"/>
      <c r="AB1213" s="74"/>
      <c r="AC1213" s="74"/>
      <c r="AD1213" s="74"/>
      <c r="AE1213" s="74"/>
      <c r="AF1213" s="74"/>
      <c r="AG1213" s="74"/>
      <c r="AH1213" s="74"/>
      <c r="AI1213" s="74"/>
    </row>
    <row r="1214" ht="22.5" customHeight="1">
      <c r="A1214" s="614">
        <v>45847.0</v>
      </c>
      <c r="B1214" s="675" t="s">
        <v>2218</v>
      </c>
      <c r="C1214" s="609"/>
      <c r="D1214" s="610">
        <v>373901.7</v>
      </c>
      <c r="E1214" s="606"/>
      <c r="F1214" s="627" t="s">
        <v>722</v>
      </c>
      <c r="G1214" s="597">
        <v>20.0</v>
      </c>
      <c r="H1214" s="689">
        <f t="shared" si="84"/>
        <v>62316.95</v>
      </c>
      <c r="I1214" s="599"/>
      <c r="J1214" s="599"/>
      <c r="K1214" s="615" t="s">
        <v>101</v>
      </c>
      <c r="L1214" s="698" t="s">
        <v>670</v>
      </c>
      <c r="M1214" s="621"/>
      <c r="N1214" s="621"/>
      <c r="O1214" s="621"/>
      <c r="P1214" s="602">
        <f t="shared" si="85"/>
        <v>0</v>
      </c>
      <c r="Q1214" s="682" t="s">
        <v>978</v>
      </c>
      <c r="R1214" s="74"/>
      <c r="S1214" s="74"/>
      <c r="T1214" s="74"/>
      <c r="U1214" s="74"/>
      <c r="V1214" s="74"/>
      <c r="W1214" s="74"/>
      <c r="X1214" s="74"/>
      <c r="Y1214" s="74"/>
      <c r="Z1214" s="74"/>
      <c r="AA1214" s="74"/>
      <c r="AB1214" s="74"/>
      <c r="AC1214" s="74"/>
      <c r="AD1214" s="74"/>
      <c r="AE1214" s="74"/>
      <c r="AF1214" s="74"/>
      <c r="AG1214" s="74"/>
      <c r="AH1214" s="74"/>
      <c r="AI1214" s="74"/>
    </row>
    <row r="1215" ht="22.5" customHeight="1">
      <c r="A1215" s="614">
        <v>45847.0</v>
      </c>
      <c r="B1215" s="675" t="s">
        <v>2218</v>
      </c>
      <c r="C1215" s="609"/>
      <c r="D1215" s="610">
        <v>191330.4</v>
      </c>
      <c r="E1215" s="606"/>
      <c r="F1215" s="627" t="s">
        <v>722</v>
      </c>
      <c r="G1215" s="597">
        <v>20.0</v>
      </c>
      <c r="H1215" s="689">
        <f t="shared" si="84"/>
        <v>31888.4</v>
      </c>
      <c r="I1215" s="599"/>
      <c r="J1215" s="599"/>
      <c r="K1215" s="615" t="s">
        <v>101</v>
      </c>
      <c r="L1215" s="698" t="s">
        <v>643</v>
      </c>
      <c r="M1215" s="621"/>
      <c r="N1215" s="621"/>
      <c r="O1215" s="621"/>
      <c r="P1215" s="602">
        <f t="shared" si="85"/>
        <v>0</v>
      </c>
      <c r="Q1215" s="682" t="s">
        <v>979</v>
      </c>
      <c r="R1215" s="74"/>
      <c r="S1215" s="74"/>
      <c r="T1215" s="74"/>
      <c r="U1215" s="74"/>
      <c r="V1215" s="74"/>
      <c r="W1215" s="74"/>
      <c r="X1215" s="74"/>
      <c r="Y1215" s="74"/>
      <c r="Z1215" s="74"/>
      <c r="AA1215" s="74"/>
      <c r="AB1215" s="74"/>
      <c r="AC1215" s="74"/>
      <c r="AD1215" s="74"/>
      <c r="AE1215" s="74"/>
      <c r="AF1215" s="74"/>
      <c r="AG1215" s="74"/>
      <c r="AH1215" s="74"/>
      <c r="AI1215" s="74"/>
    </row>
    <row r="1216" ht="22.5" customHeight="1">
      <c r="A1216" s="614">
        <v>45847.0</v>
      </c>
      <c r="B1216" s="675" t="s">
        <v>2218</v>
      </c>
      <c r="C1216" s="609"/>
      <c r="D1216" s="610">
        <v>692239.36</v>
      </c>
      <c r="E1216" s="606"/>
      <c r="F1216" s="627" t="s">
        <v>722</v>
      </c>
      <c r="G1216" s="597">
        <v>20.0</v>
      </c>
      <c r="H1216" s="689">
        <f t="shared" si="84"/>
        <v>115373.2267</v>
      </c>
      <c r="I1216" s="599"/>
      <c r="J1216" s="599"/>
      <c r="K1216" s="615" t="s">
        <v>101</v>
      </c>
      <c r="L1216" s="698" t="s">
        <v>597</v>
      </c>
      <c r="M1216" s="621"/>
      <c r="N1216" s="621"/>
      <c r="O1216" s="621"/>
      <c r="P1216" s="602">
        <f t="shared" si="85"/>
        <v>0</v>
      </c>
      <c r="Q1216" s="682" t="s">
        <v>980</v>
      </c>
      <c r="R1216" s="74"/>
      <c r="S1216" s="74"/>
      <c r="T1216" s="74"/>
      <c r="U1216" s="74"/>
      <c r="V1216" s="74"/>
      <c r="W1216" s="74"/>
      <c r="X1216" s="74"/>
      <c r="Y1216" s="74"/>
      <c r="Z1216" s="74"/>
      <c r="AA1216" s="74"/>
      <c r="AB1216" s="74"/>
      <c r="AC1216" s="74"/>
      <c r="AD1216" s="74"/>
      <c r="AE1216" s="74"/>
      <c r="AF1216" s="74"/>
      <c r="AG1216" s="74"/>
      <c r="AH1216" s="74"/>
      <c r="AI1216" s="74"/>
    </row>
    <row r="1217" ht="22.5" customHeight="1">
      <c r="A1217" s="614">
        <v>45847.0</v>
      </c>
      <c r="B1217" s="675" t="s">
        <v>2218</v>
      </c>
      <c r="C1217" s="609"/>
      <c r="D1217" s="610">
        <v>224751.67</v>
      </c>
      <c r="E1217" s="606"/>
      <c r="F1217" s="627" t="s">
        <v>722</v>
      </c>
      <c r="G1217" s="597">
        <v>20.0</v>
      </c>
      <c r="H1217" s="689">
        <f t="shared" si="84"/>
        <v>37458.61167</v>
      </c>
      <c r="I1217" s="599"/>
      <c r="J1217" s="599"/>
      <c r="K1217" s="615" t="s">
        <v>101</v>
      </c>
      <c r="L1217" s="698" t="s">
        <v>632</v>
      </c>
      <c r="M1217" s="621"/>
      <c r="N1217" s="621"/>
      <c r="O1217" s="621"/>
      <c r="P1217" s="602">
        <f t="shared" si="85"/>
        <v>0</v>
      </c>
      <c r="Q1217" s="682" t="s">
        <v>981</v>
      </c>
      <c r="R1217" s="74"/>
      <c r="S1217" s="74"/>
      <c r="T1217" s="74"/>
      <c r="U1217" s="74"/>
      <c r="V1217" s="74"/>
      <c r="W1217" s="74"/>
      <c r="X1217" s="74"/>
      <c r="Y1217" s="74"/>
      <c r="Z1217" s="74"/>
      <c r="AA1217" s="74"/>
      <c r="AB1217" s="74"/>
      <c r="AC1217" s="74"/>
      <c r="AD1217" s="74"/>
      <c r="AE1217" s="74"/>
      <c r="AF1217" s="74"/>
      <c r="AG1217" s="74"/>
      <c r="AH1217" s="74"/>
      <c r="AI1217" s="74"/>
    </row>
    <row r="1218" ht="22.5" customHeight="1">
      <c r="A1218" s="614">
        <v>45847.0</v>
      </c>
      <c r="B1218" s="675" t="s">
        <v>2218</v>
      </c>
      <c r="C1218" s="609"/>
      <c r="D1218" s="610">
        <v>7402.2</v>
      </c>
      <c r="E1218" s="606"/>
      <c r="F1218" s="627" t="s">
        <v>722</v>
      </c>
      <c r="G1218" s="597">
        <v>0.0</v>
      </c>
      <c r="H1218" s="689">
        <f t="shared" si="84"/>
        <v>0</v>
      </c>
      <c r="I1218" s="599"/>
      <c r="J1218" s="599"/>
      <c r="K1218" s="615" t="s">
        <v>101</v>
      </c>
      <c r="L1218" s="698" t="s">
        <v>982</v>
      </c>
      <c r="M1218" s="621"/>
      <c r="N1218" s="621"/>
      <c r="O1218" s="621"/>
      <c r="P1218" s="602">
        <f t="shared" si="85"/>
        <v>0</v>
      </c>
      <c r="Q1218" s="682" t="s">
        <v>983</v>
      </c>
      <c r="R1218" s="74"/>
      <c r="S1218" s="74"/>
      <c r="T1218" s="74"/>
      <c r="U1218" s="74"/>
      <c r="V1218" s="74"/>
      <c r="W1218" s="74"/>
      <c r="X1218" s="74"/>
      <c r="Y1218" s="74"/>
      <c r="Z1218" s="74"/>
      <c r="AA1218" s="74"/>
      <c r="AB1218" s="74"/>
      <c r="AC1218" s="74"/>
      <c r="AD1218" s="74"/>
      <c r="AE1218" s="74"/>
      <c r="AF1218" s="74"/>
      <c r="AG1218" s="74"/>
      <c r="AH1218" s="74"/>
      <c r="AI1218" s="74"/>
    </row>
    <row r="1219" ht="22.5" customHeight="1">
      <c r="A1219" s="614">
        <v>45847.0</v>
      </c>
      <c r="B1219" s="675" t="s">
        <v>2218</v>
      </c>
      <c r="C1219" s="610">
        <v>420000.0</v>
      </c>
      <c r="D1219" s="609"/>
      <c r="E1219" s="606"/>
      <c r="F1219" s="627" t="s">
        <v>674</v>
      </c>
      <c r="G1219" s="597">
        <v>20.0</v>
      </c>
      <c r="H1219" s="689">
        <f t="shared" si="84"/>
        <v>70000</v>
      </c>
      <c r="I1219" s="599"/>
      <c r="J1219" s="599"/>
      <c r="K1219" s="615" t="s">
        <v>51</v>
      </c>
      <c r="L1219" s="616" t="s">
        <v>677</v>
      </c>
      <c r="M1219" s="612" t="s">
        <v>844</v>
      </c>
      <c r="N1219" s="612">
        <v>116.0</v>
      </c>
      <c r="O1219" s="662">
        <v>45757.0</v>
      </c>
      <c r="P1219" s="602">
        <f t="shared" si="85"/>
        <v>90</v>
      </c>
      <c r="Q1219" s="622"/>
      <c r="R1219" s="74"/>
      <c r="S1219" s="74"/>
      <c r="T1219" s="74"/>
      <c r="U1219" s="74"/>
      <c r="V1219" s="74"/>
      <c r="W1219" s="74"/>
      <c r="X1219" s="74"/>
      <c r="Y1219" s="74"/>
      <c r="Z1219" s="74"/>
      <c r="AA1219" s="74"/>
      <c r="AB1219" s="74"/>
      <c r="AC1219" s="74"/>
      <c r="AD1219" s="74"/>
      <c r="AE1219" s="74"/>
      <c r="AF1219" s="74"/>
      <c r="AG1219" s="74"/>
      <c r="AH1219" s="74"/>
      <c r="AI1219" s="74"/>
    </row>
    <row r="1220" ht="22.5" customHeight="1">
      <c r="A1220" s="614">
        <v>45847.0</v>
      </c>
      <c r="B1220" s="675" t="s">
        <v>2218</v>
      </c>
      <c r="C1220" s="610">
        <v>470400.0</v>
      </c>
      <c r="D1220" s="610"/>
      <c r="E1220" s="606"/>
      <c r="F1220" s="627" t="s">
        <v>722</v>
      </c>
      <c r="G1220" s="597">
        <v>20.0</v>
      </c>
      <c r="H1220" s="689">
        <f t="shared" si="84"/>
        <v>78400</v>
      </c>
      <c r="I1220" s="599"/>
      <c r="J1220" s="599"/>
      <c r="K1220" s="615" t="s">
        <v>51</v>
      </c>
      <c r="L1220" s="616" t="s">
        <v>878</v>
      </c>
      <c r="M1220" s="612" t="s">
        <v>984</v>
      </c>
      <c r="N1220" s="612">
        <v>158.0</v>
      </c>
      <c r="O1220" s="662">
        <v>45784.0</v>
      </c>
      <c r="P1220" s="602">
        <f t="shared" si="85"/>
        <v>63</v>
      </c>
      <c r="Q1220" s="622"/>
      <c r="R1220" s="74"/>
      <c r="S1220" s="74"/>
      <c r="T1220" s="74"/>
      <c r="U1220" s="74"/>
      <c r="V1220" s="74"/>
      <c r="W1220" s="74"/>
      <c r="X1220" s="74"/>
      <c r="Y1220" s="74"/>
      <c r="Z1220" s="74"/>
      <c r="AA1220" s="74"/>
      <c r="AB1220" s="74"/>
      <c r="AC1220" s="74"/>
      <c r="AD1220" s="74"/>
      <c r="AE1220" s="74"/>
      <c r="AF1220" s="74"/>
      <c r="AG1220" s="74"/>
      <c r="AH1220" s="74"/>
      <c r="AI1220" s="74"/>
    </row>
    <row r="1221" ht="22.5" customHeight="1">
      <c r="A1221" s="614">
        <v>45847.0</v>
      </c>
      <c r="B1221" s="675" t="s">
        <v>2218</v>
      </c>
      <c r="C1221" s="610">
        <v>470400.0</v>
      </c>
      <c r="D1221" s="610"/>
      <c r="E1221" s="606"/>
      <c r="F1221" s="627" t="s">
        <v>722</v>
      </c>
      <c r="G1221" s="597">
        <v>20.0</v>
      </c>
      <c r="H1221" s="689">
        <f t="shared" si="84"/>
        <v>78400</v>
      </c>
      <c r="I1221" s="599"/>
      <c r="J1221" s="599"/>
      <c r="K1221" s="672" t="s">
        <v>51</v>
      </c>
      <c r="L1221" s="616" t="s">
        <v>878</v>
      </c>
      <c r="M1221" s="612" t="s">
        <v>985</v>
      </c>
      <c r="N1221" s="612">
        <v>159.0</v>
      </c>
      <c r="O1221" s="662">
        <v>45784.0</v>
      </c>
      <c r="P1221" s="602">
        <f t="shared" si="85"/>
        <v>63</v>
      </c>
      <c r="Q1221" s="622"/>
      <c r="R1221" s="74"/>
      <c r="S1221" s="74"/>
      <c r="T1221" s="74"/>
      <c r="U1221" s="74"/>
      <c r="V1221" s="74"/>
      <c r="W1221" s="74"/>
      <c r="X1221" s="74"/>
      <c r="Y1221" s="74"/>
      <c r="Z1221" s="74"/>
      <c r="AA1221" s="74"/>
      <c r="AB1221" s="74"/>
      <c r="AC1221" s="74"/>
      <c r="AD1221" s="74"/>
      <c r="AE1221" s="74"/>
      <c r="AF1221" s="74"/>
      <c r="AG1221" s="74"/>
      <c r="AH1221" s="74"/>
      <c r="AI1221" s="74"/>
    </row>
    <row r="1222" ht="22.5" customHeight="1">
      <c r="A1222" s="614">
        <v>45848.0</v>
      </c>
      <c r="B1222" s="675" t="s">
        <v>2218</v>
      </c>
      <c r="C1222" s="609"/>
      <c r="D1222" s="610">
        <f>933388+24038+511.68</f>
        <v>957937.68</v>
      </c>
      <c r="E1222" s="606"/>
      <c r="F1222" s="627" t="s">
        <v>897</v>
      </c>
      <c r="G1222" s="597">
        <v>0.0</v>
      </c>
      <c r="H1222" s="689">
        <f t="shared" si="84"/>
        <v>0</v>
      </c>
      <c r="I1222" s="599"/>
      <c r="J1222" s="599"/>
      <c r="K1222" s="615" t="s">
        <v>203</v>
      </c>
      <c r="L1222" s="616" t="s">
        <v>986</v>
      </c>
      <c r="M1222" s="621"/>
      <c r="N1222" s="621"/>
      <c r="O1222" s="621"/>
      <c r="P1222" s="602">
        <f t="shared" si="85"/>
        <v>0</v>
      </c>
      <c r="Q1222" s="622"/>
      <c r="R1222" s="74"/>
      <c r="S1222" s="74"/>
      <c r="T1222" s="74"/>
      <c r="U1222" s="74"/>
      <c r="V1222" s="74"/>
      <c r="W1222" s="74"/>
      <c r="X1222" s="74"/>
      <c r="Y1222" s="74"/>
      <c r="Z1222" s="74"/>
      <c r="AA1222" s="74"/>
      <c r="AB1222" s="74"/>
      <c r="AC1222" s="74"/>
      <c r="AD1222" s="74"/>
      <c r="AE1222" s="74"/>
      <c r="AF1222" s="74"/>
      <c r="AG1222" s="74"/>
      <c r="AH1222" s="74"/>
      <c r="AI1222" s="74"/>
    </row>
    <row r="1223" ht="22.5" customHeight="1">
      <c r="A1223" s="614">
        <v>45849.0</v>
      </c>
      <c r="B1223" s="675" t="s">
        <v>2218</v>
      </c>
      <c r="C1223" s="609"/>
      <c r="D1223" s="609"/>
      <c r="E1223" s="604" t="s">
        <v>33</v>
      </c>
      <c r="F1223" s="627" t="s">
        <v>941</v>
      </c>
      <c r="G1223" s="597">
        <v>0.0</v>
      </c>
      <c r="H1223" s="689">
        <f t="shared" si="84"/>
        <v>0</v>
      </c>
      <c r="I1223" s="599"/>
      <c r="J1223" s="605">
        <v>10000.0</v>
      </c>
      <c r="K1223" s="615" t="s">
        <v>494</v>
      </c>
      <c r="L1223" s="616" t="s">
        <v>987</v>
      </c>
      <c r="M1223" s="621"/>
      <c r="N1223" s="621"/>
      <c r="O1223" s="621"/>
      <c r="P1223" s="602">
        <f t="shared" si="85"/>
        <v>0</v>
      </c>
      <c r="Q1223" s="622"/>
      <c r="R1223" s="74"/>
      <c r="S1223" s="74"/>
      <c r="T1223" s="74"/>
      <c r="U1223" s="74"/>
      <c r="V1223" s="74"/>
      <c r="W1223" s="74"/>
      <c r="X1223" s="74"/>
      <c r="Y1223" s="74"/>
      <c r="Z1223" s="74"/>
      <c r="AA1223" s="74"/>
      <c r="AB1223" s="74"/>
      <c r="AC1223" s="74"/>
      <c r="AD1223" s="74"/>
      <c r="AE1223" s="74"/>
      <c r="AF1223" s="74"/>
      <c r="AG1223" s="74"/>
      <c r="AH1223" s="74"/>
      <c r="AI1223" s="74"/>
    </row>
    <row r="1224" ht="22.5" customHeight="1">
      <c r="A1224" s="614">
        <v>45852.0</v>
      </c>
      <c r="B1224" s="675" t="s">
        <v>2218</v>
      </c>
      <c r="C1224" s="609"/>
      <c r="D1224" s="610">
        <v>20400.0</v>
      </c>
      <c r="E1224" s="606"/>
      <c r="F1224" s="627" t="s">
        <v>897</v>
      </c>
      <c r="G1224" s="597">
        <v>20.0</v>
      </c>
      <c r="H1224" s="689">
        <f t="shared" si="84"/>
        <v>3400</v>
      </c>
      <c r="I1224" s="599"/>
      <c r="J1224" s="599"/>
      <c r="K1224" s="615" t="s">
        <v>494</v>
      </c>
      <c r="L1224" s="615" t="s">
        <v>910</v>
      </c>
      <c r="M1224" s="621"/>
      <c r="N1224" s="621"/>
      <c r="O1224" s="621"/>
      <c r="P1224" s="602">
        <f t="shared" si="85"/>
        <v>0</v>
      </c>
      <c r="Q1224" s="682" t="s">
        <v>988</v>
      </c>
      <c r="R1224" s="74"/>
      <c r="S1224" s="74"/>
      <c r="T1224" s="74"/>
      <c r="U1224" s="74"/>
      <c r="V1224" s="74"/>
      <c r="W1224" s="74"/>
      <c r="X1224" s="74"/>
      <c r="Y1224" s="74"/>
      <c r="Z1224" s="74"/>
      <c r="AA1224" s="74"/>
      <c r="AB1224" s="74"/>
      <c r="AC1224" s="74"/>
      <c r="AD1224" s="74"/>
      <c r="AE1224" s="74"/>
      <c r="AF1224" s="74"/>
      <c r="AG1224" s="74"/>
      <c r="AH1224" s="74"/>
      <c r="AI1224" s="74"/>
    </row>
    <row r="1225" ht="22.5" customHeight="1">
      <c r="A1225" s="614">
        <v>45852.0</v>
      </c>
      <c r="B1225" s="675" t="s">
        <v>2218</v>
      </c>
      <c r="C1225" s="609"/>
      <c r="D1225" s="610">
        <v>20400.0</v>
      </c>
      <c r="E1225" s="606"/>
      <c r="F1225" s="627" t="s">
        <v>941</v>
      </c>
      <c r="G1225" s="597">
        <v>20.0</v>
      </c>
      <c r="H1225" s="689">
        <f t="shared" si="84"/>
        <v>3400</v>
      </c>
      <c r="I1225" s="599"/>
      <c r="J1225" s="599"/>
      <c r="K1225" s="615" t="s">
        <v>494</v>
      </c>
      <c r="L1225" s="615" t="s">
        <v>910</v>
      </c>
      <c r="M1225" s="621"/>
      <c r="N1225" s="621"/>
      <c r="O1225" s="621"/>
      <c r="P1225" s="602">
        <f t="shared" si="85"/>
        <v>0</v>
      </c>
      <c r="Q1225" s="682" t="s">
        <v>989</v>
      </c>
      <c r="R1225" s="74"/>
      <c r="S1225" s="74"/>
      <c r="T1225" s="74"/>
      <c r="U1225" s="74"/>
      <c r="V1225" s="74"/>
      <c r="W1225" s="74"/>
      <c r="X1225" s="74"/>
      <c r="Y1225" s="74"/>
      <c r="Z1225" s="74"/>
      <c r="AA1225" s="74"/>
      <c r="AB1225" s="74"/>
      <c r="AC1225" s="74"/>
      <c r="AD1225" s="74"/>
      <c r="AE1225" s="74"/>
      <c r="AF1225" s="74"/>
      <c r="AG1225" s="74"/>
      <c r="AH1225" s="74"/>
      <c r="AI1225" s="74"/>
    </row>
    <row r="1226" ht="22.5" customHeight="1">
      <c r="A1226" s="614">
        <v>45852.0</v>
      </c>
      <c r="B1226" s="675" t="s">
        <v>2218</v>
      </c>
      <c r="C1226" s="609"/>
      <c r="D1226" s="610">
        <v>550000.0</v>
      </c>
      <c r="E1226" s="604" t="s">
        <v>28</v>
      </c>
      <c r="F1226" s="627" t="s">
        <v>897</v>
      </c>
      <c r="G1226" s="597">
        <v>0.0</v>
      </c>
      <c r="H1226" s="689">
        <f t="shared" si="84"/>
        <v>0</v>
      </c>
      <c r="I1226" s="599"/>
      <c r="J1226" s="599"/>
      <c r="K1226" s="615" t="s">
        <v>2230</v>
      </c>
      <c r="L1226" s="616" t="s">
        <v>505</v>
      </c>
      <c r="M1226" s="621"/>
      <c r="N1226" s="621"/>
      <c r="O1226" s="621"/>
      <c r="P1226" s="602">
        <f t="shared" si="85"/>
        <v>0</v>
      </c>
      <c r="Q1226" s="622"/>
      <c r="R1226" s="74"/>
      <c r="S1226" s="74"/>
      <c r="T1226" s="74"/>
      <c r="U1226" s="74"/>
      <c r="V1226" s="74"/>
      <c r="W1226" s="74"/>
      <c r="X1226" s="74"/>
      <c r="Y1226" s="74"/>
      <c r="Z1226" s="74"/>
      <c r="AA1226" s="74"/>
      <c r="AB1226" s="74"/>
      <c r="AC1226" s="74"/>
      <c r="AD1226" s="74"/>
      <c r="AE1226" s="74"/>
      <c r="AF1226" s="74"/>
      <c r="AG1226" s="74"/>
      <c r="AH1226" s="74"/>
      <c r="AI1226" s="74"/>
    </row>
    <row r="1227" ht="22.5" customHeight="1">
      <c r="A1227" s="614">
        <v>45852.0</v>
      </c>
      <c r="B1227" s="675" t="s">
        <v>2218</v>
      </c>
      <c r="C1227" s="609"/>
      <c r="D1227" s="610">
        <v>217200.0</v>
      </c>
      <c r="E1227" s="604" t="s">
        <v>28</v>
      </c>
      <c r="F1227" s="627" t="s">
        <v>941</v>
      </c>
      <c r="G1227" s="597">
        <v>0.0</v>
      </c>
      <c r="H1227" s="689">
        <f t="shared" si="84"/>
        <v>0</v>
      </c>
      <c r="I1227" s="599"/>
      <c r="J1227" s="605"/>
      <c r="K1227" s="615" t="s">
        <v>494</v>
      </c>
      <c r="L1227" s="616" t="s">
        <v>691</v>
      </c>
      <c r="M1227" s="621"/>
      <c r="N1227" s="621"/>
      <c r="O1227" s="621"/>
      <c r="P1227" s="602">
        <f t="shared" si="85"/>
        <v>0</v>
      </c>
      <c r="Q1227" s="613" t="s">
        <v>990</v>
      </c>
      <c r="R1227" s="74"/>
      <c r="S1227" s="74"/>
      <c r="T1227" s="74"/>
      <c r="U1227" s="74"/>
      <c r="V1227" s="74"/>
      <c r="W1227" s="74"/>
      <c r="X1227" s="74"/>
      <c r="Y1227" s="74"/>
      <c r="Z1227" s="74"/>
      <c r="AA1227" s="74"/>
      <c r="AB1227" s="74"/>
      <c r="AC1227" s="74"/>
      <c r="AD1227" s="74"/>
      <c r="AE1227" s="74"/>
      <c r="AF1227" s="74"/>
      <c r="AG1227" s="74"/>
      <c r="AH1227" s="74"/>
      <c r="AI1227" s="74"/>
    </row>
    <row r="1228" ht="22.5" customHeight="1">
      <c r="A1228" s="614">
        <v>45852.0</v>
      </c>
      <c r="B1228" s="675" t="s">
        <v>2218</v>
      </c>
      <c r="C1228" s="609"/>
      <c r="D1228" s="610">
        <v>64200.0</v>
      </c>
      <c r="E1228" s="606"/>
      <c r="F1228" s="627" t="s">
        <v>941</v>
      </c>
      <c r="G1228" s="597">
        <v>20.0</v>
      </c>
      <c r="H1228" s="689">
        <f t="shared" si="84"/>
        <v>10700</v>
      </c>
      <c r="I1228" s="599"/>
      <c r="J1228" s="599"/>
      <c r="K1228" s="615" t="s">
        <v>213</v>
      </c>
      <c r="L1228" s="616" t="s">
        <v>991</v>
      </c>
      <c r="M1228" s="621"/>
      <c r="N1228" s="621"/>
      <c r="O1228" s="621"/>
      <c r="P1228" s="602">
        <f t="shared" si="85"/>
        <v>0</v>
      </c>
      <c r="Q1228" s="622"/>
      <c r="R1228" s="74"/>
      <c r="S1228" s="74"/>
      <c r="T1228" s="74"/>
      <c r="U1228" s="74"/>
      <c r="V1228" s="74"/>
      <c r="W1228" s="74"/>
      <c r="X1228" s="74"/>
      <c r="Y1228" s="74"/>
      <c r="Z1228" s="74"/>
      <c r="AA1228" s="74"/>
      <c r="AB1228" s="74"/>
      <c r="AC1228" s="74"/>
      <c r="AD1228" s="74"/>
      <c r="AE1228" s="74"/>
      <c r="AF1228" s="74"/>
      <c r="AG1228" s="74"/>
      <c r="AH1228" s="74"/>
      <c r="AI1228" s="74"/>
    </row>
    <row r="1229" ht="22.5" customHeight="1">
      <c r="A1229" s="614">
        <v>45852.0</v>
      </c>
      <c r="B1229" s="675" t="s">
        <v>2218</v>
      </c>
      <c r="C1229" s="609"/>
      <c r="D1229" s="610">
        <v>28000.0</v>
      </c>
      <c r="E1229" s="606"/>
      <c r="F1229" s="627" t="s">
        <v>941</v>
      </c>
      <c r="G1229" s="597">
        <v>5.0</v>
      </c>
      <c r="H1229" s="689">
        <f t="shared" si="84"/>
        <v>1333.333333</v>
      </c>
      <c r="I1229" s="599"/>
      <c r="J1229" s="599"/>
      <c r="K1229" s="615" t="s">
        <v>213</v>
      </c>
      <c r="L1229" s="616" t="s">
        <v>968</v>
      </c>
      <c r="M1229" s="621"/>
      <c r="N1229" s="621"/>
      <c r="O1229" s="621"/>
      <c r="P1229" s="602">
        <f t="shared" si="85"/>
        <v>0</v>
      </c>
      <c r="Q1229" s="682" t="s">
        <v>992</v>
      </c>
      <c r="R1229" s="74"/>
      <c r="S1229" s="74"/>
      <c r="T1229" s="74"/>
      <c r="U1229" s="74"/>
      <c r="V1229" s="74"/>
      <c r="W1229" s="74"/>
      <c r="X1229" s="74"/>
      <c r="Y1229" s="74"/>
      <c r="Z1229" s="74"/>
      <c r="AA1229" s="74"/>
      <c r="AB1229" s="74"/>
      <c r="AC1229" s="74"/>
      <c r="AD1229" s="74"/>
      <c r="AE1229" s="74"/>
      <c r="AF1229" s="74"/>
      <c r="AG1229" s="74"/>
      <c r="AH1229" s="74"/>
      <c r="AI1229" s="74"/>
    </row>
    <row r="1230" ht="22.5" customHeight="1">
      <c r="A1230" s="614">
        <v>45853.0</v>
      </c>
      <c r="B1230" s="675" t="s">
        <v>2218</v>
      </c>
      <c r="C1230" s="610">
        <v>720000.12</v>
      </c>
      <c r="D1230" s="610"/>
      <c r="E1230" s="606"/>
      <c r="F1230" s="627" t="s">
        <v>722</v>
      </c>
      <c r="G1230" s="597">
        <v>20.0</v>
      </c>
      <c r="H1230" s="689">
        <f t="shared" si="84"/>
        <v>120000.02</v>
      </c>
      <c r="I1230" s="599"/>
      <c r="J1230" s="599"/>
      <c r="K1230" s="673" t="s">
        <v>51</v>
      </c>
      <c r="L1230" s="616" t="s">
        <v>948</v>
      </c>
      <c r="M1230" s="612" t="s">
        <v>993</v>
      </c>
      <c r="N1230" s="612">
        <v>193.0</v>
      </c>
      <c r="O1230" s="662">
        <v>45791.0</v>
      </c>
      <c r="P1230" s="602">
        <f t="shared" si="85"/>
        <v>62</v>
      </c>
      <c r="Q1230" s="622"/>
      <c r="R1230" s="74"/>
      <c r="S1230" s="74"/>
      <c r="T1230" s="74"/>
      <c r="U1230" s="74"/>
      <c r="V1230" s="74"/>
      <c r="W1230" s="74"/>
      <c r="X1230" s="74"/>
      <c r="Y1230" s="74"/>
      <c r="Z1230" s="74"/>
      <c r="AA1230" s="74"/>
      <c r="AB1230" s="74"/>
      <c r="AC1230" s="74"/>
      <c r="AD1230" s="74"/>
      <c r="AE1230" s="74"/>
      <c r="AF1230" s="74"/>
      <c r="AG1230" s="74"/>
      <c r="AH1230" s="74"/>
      <c r="AI1230" s="74"/>
    </row>
    <row r="1231" ht="22.5" customHeight="1">
      <c r="A1231" s="614">
        <v>45853.0</v>
      </c>
      <c r="B1231" s="675" t="s">
        <v>2218</v>
      </c>
      <c r="C1231" s="610">
        <v>695652.78</v>
      </c>
      <c r="D1231" s="610"/>
      <c r="E1231" s="606"/>
      <c r="F1231" s="627" t="s">
        <v>722</v>
      </c>
      <c r="G1231" s="597">
        <v>20.0</v>
      </c>
      <c r="H1231" s="689">
        <f t="shared" si="84"/>
        <v>115942.13</v>
      </c>
      <c r="I1231" s="599"/>
      <c r="J1231" s="599"/>
      <c r="K1231" s="674" t="s">
        <v>51</v>
      </c>
      <c r="L1231" s="616" t="s">
        <v>948</v>
      </c>
      <c r="M1231" s="612" t="s">
        <v>805</v>
      </c>
      <c r="N1231" s="612">
        <v>194.0</v>
      </c>
      <c r="O1231" s="662">
        <v>45791.0</v>
      </c>
      <c r="P1231" s="602">
        <f t="shared" si="85"/>
        <v>62</v>
      </c>
      <c r="Q1231" s="622"/>
      <c r="R1231" s="74"/>
      <c r="S1231" s="74"/>
      <c r="T1231" s="74"/>
      <c r="U1231" s="74"/>
      <c r="V1231" s="74"/>
      <c r="W1231" s="74"/>
      <c r="X1231" s="74"/>
      <c r="Y1231" s="74"/>
      <c r="Z1231" s="74"/>
      <c r="AA1231" s="74"/>
      <c r="AB1231" s="74"/>
      <c r="AC1231" s="74"/>
      <c r="AD1231" s="74"/>
      <c r="AE1231" s="74"/>
      <c r="AF1231" s="74"/>
      <c r="AG1231" s="74"/>
      <c r="AH1231" s="74"/>
      <c r="AI1231" s="74"/>
    </row>
    <row r="1232" ht="22.5" customHeight="1">
      <c r="A1232" s="614">
        <v>45853.0</v>
      </c>
      <c r="B1232" s="675" t="s">
        <v>2218</v>
      </c>
      <c r="C1232" s="610">
        <v>720000.12</v>
      </c>
      <c r="D1232" s="610"/>
      <c r="E1232" s="606"/>
      <c r="F1232" s="627" t="s">
        <v>722</v>
      </c>
      <c r="G1232" s="597">
        <v>20.0</v>
      </c>
      <c r="H1232" s="689">
        <f t="shared" si="84"/>
        <v>120000.02</v>
      </c>
      <c r="I1232" s="599"/>
      <c r="J1232" s="599"/>
      <c r="K1232" s="615" t="s">
        <v>51</v>
      </c>
      <c r="L1232" s="616" t="s">
        <v>948</v>
      </c>
      <c r="M1232" s="612" t="s">
        <v>994</v>
      </c>
      <c r="N1232" s="612">
        <v>195.0</v>
      </c>
      <c r="O1232" s="662">
        <v>45791.0</v>
      </c>
      <c r="P1232" s="602">
        <f t="shared" si="85"/>
        <v>62</v>
      </c>
      <c r="Q1232" s="622"/>
      <c r="R1232" s="74"/>
      <c r="S1232" s="74"/>
      <c r="T1232" s="74"/>
      <c r="U1232" s="74"/>
      <c r="V1232" s="74"/>
      <c r="W1232" s="74"/>
      <c r="X1232" s="74"/>
      <c r="Y1232" s="74"/>
      <c r="Z1232" s="74"/>
      <c r="AA1232" s="74"/>
      <c r="AB1232" s="74"/>
      <c r="AC1232" s="74"/>
      <c r="AD1232" s="74"/>
      <c r="AE1232" s="74"/>
      <c r="AF1232" s="74"/>
      <c r="AG1232" s="74"/>
      <c r="AH1232" s="74"/>
      <c r="AI1232" s="74"/>
    </row>
    <row r="1233" ht="22.5" customHeight="1">
      <c r="A1233" s="614">
        <v>45853.0</v>
      </c>
      <c r="B1233" s="675" t="s">
        <v>2218</v>
      </c>
      <c r="C1233" s="610">
        <v>600000.24</v>
      </c>
      <c r="D1233" s="609"/>
      <c r="E1233" s="606"/>
      <c r="F1233" s="627" t="s">
        <v>897</v>
      </c>
      <c r="G1233" s="597">
        <v>20.0</v>
      </c>
      <c r="H1233" s="689">
        <f t="shared" si="84"/>
        <v>100000.04</v>
      </c>
      <c r="I1233" s="599"/>
      <c r="J1233" s="599"/>
      <c r="K1233" s="615" t="s">
        <v>51</v>
      </c>
      <c r="L1233" s="616" t="s">
        <v>995</v>
      </c>
      <c r="M1233" s="612" t="s">
        <v>808</v>
      </c>
      <c r="N1233" s="612">
        <v>249.0</v>
      </c>
      <c r="O1233" s="662">
        <v>45842.0</v>
      </c>
      <c r="P1233" s="602">
        <f t="shared" si="85"/>
        <v>11</v>
      </c>
      <c r="Q1233" s="622"/>
      <c r="R1233" s="74"/>
      <c r="S1233" s="74"/>
      <c r="T1233" s="74"/>
      <c r="U1233" s="74"/>
      <c r="V1233" s="74"/>
      <c r="W1233" s="74"/>
      <c r="X1233" s="74"/>
      <c r="Y1233" s="74"/>
      <c r="Z1233" s="74"/>
      <c r="AA1233" s="74"/>
      <c r="AB1233" s="74"/>
      <c r="AC1233" s="74"/>
      <c r="AD1233" s="74"/>
      <c r="AE1233" s="74"/>
      <c r="AF1233" s="74"/>
      <c r="AG1233" s="74"/>
      <c r="AH1233" s="74"/>
      <c r="AI1233" s="74"/>
    </row>
    <row r="1234" ht="22.5" customHeight="1">
      <c r="A1234" s="614">
        <v>45853.0</v>
      </c>
      <c r="B1234" s="675" t="s">
        <v>2218</v>
      </c>
      <c r="C1234" s="609"/>
      <c r="D1234" s="609"/>
      <c r="E1234" s="604" t="s">
        <v>33</v>
      </c>
      <c r="F1234" s="627" t="s">
        <v>941</v>
      </c>
      <c r="G1234" s="688">
        <v>0.0</v>
      </c>
      <c r="H1234" s="689">
        <f t="shared" si="84"/>
        <v>0</v>
      </c>
      <c r="I1234" s="599"/>
      <c r="J1234" s="605">
        <v>100000.0</v>
      </c>
      <c r="K1234" s="615" t="s">
        <v>93</v>
      </c>
      <c r="L1234" s="616" t="s">
        <v>996</v>
      </c>
      <c r="M1234" s="621"/>
      <c r="N1234" s="621"/>
      <c r="O1234" s="621"/>
      <c r="P1234" s="602">
        <f t="shared" si="85"/>
        <v>0</v>
      </c>
      <c r="Q1234" s="622"/>
      <c r="R1234" s="74"/>
      <c r="S1234" s="74"/>
      <c r="T1234" s="74"/>
      <c r="U1234" s="74"/>
      <c r="V1234" s="74"/>
      <c r="W1234" s="74"/>
      <c r="X1234" s="74"/>
      <c r="Y1234" s="74"/>
      <c r="Z1234" s="74"/>
      <c r="AA1234" s="74"/>
      <c r="AB1234" s="74"/>
      <c r="AC1234" s="74"/>
      <c r="AD1234" s="74"/>
      <c r="AE1234" s="74"/>
      <c r="AF1234" s="74"/>
      <c r="AG1234" s="74"/>
      <c r="AH1234" s="74"/>
      <c r="AI1234" s="74"/>
    </row>
    <row r="1235" ht="22.5" customHeight="1">
      <c r="A1235" s="614">
        <v>45855.0</v>
      </c>
      <c r="B1235" s="675" t="s">
        <v>2218</v>
      </c>
      <c r="C1235" s="609"/>
      <c r="D1235" s="609"/>
      <c r="E1235" s="604" t="s">
        <v>33</v>
      </c>
      <c r="F1235" s="627" t="s">
        <v>941</v>
      </c>
      <c r="G1235" s="597">
        <v>0.0</v>
      </c>
      <c r="H1235" s="689">
        <f t="shared" si="84"/>
        <v>0</v>
      </c>
      <c r="I1235" s="599"/>
      <c r="J1235" s="605">
        <v>7000.0</v>
      </c>
      <c r="K1235" s="615" t="s">
        <v>108</v>
      </c>
      <c r="L1235" s="616" t="s">
        <v>997</v>
      </c>
      <c r="M1235" s="621"/>
      <c r="N1235" s="621"/>
      <c r="O1235" s="621"/>
      <c r="P1235" s="602">
        <f t="shared" si="85"/>
        <v>0</v>
      </c>
      <c r="Q1235" s="622"/>
      <c r="R1235" s="74"/>
      <c r="S1235" s="74"/>
      <c r="T1235" s="74"/>
      <c r="U1235" s="74"/>
      <c r="V1235" s="74"/>
      <c r="W1235" s="74"/>
      <c r="X1235" s="74"/>
      <c r="Y1235" s="74"/>
      <c r="Z1235" s="74"/>
      <c r="AA1235" s="74"/>
      <c r="AB1235" s="74"/>
      <c r="AC1235" s="74"/>
      <c r="AD1235" s="74"/>
      <c r="AE1235" s="74"/>
      <c r="AF1235" s="74"/>
      <c r="AG1235" s="74"/>
      <c r="AH1235" s="74"/>
      <c r="AI1235" s="74"/>
    </row>
    <row r="1236" ht="22.5" customHeight="1">
      <c r="A1236" s="614">
        <v>45855.0</v>
      </c>
      <c r="B1236" s="675" t="s">
        <v>2218</v>
      </c>
      <c r="C1236" s="609"/>
      <c r="D1236" s="609"/>
      <c r="E1236" s="604" t="s">
        <v>33</v>
      </c>
      <c r="F1236" s="627" t="s">
        <v>941</v>
      </c>
      <c r="G1236" s="597">
        <v>0.0</v>
      </c>
      <c r="H1236" s="689">
        <f t="shared" si="84"/>
        <v>0</v>
      </c>
      <c r="I1236" s="599"/>
      <c r="J1236" s="605">
        <v>30000.0</v>
      </c>
      <c r="K1236" s="615" t="s">
        <v>108</v>
      </c>
      <c r="L1236" s="616" t="s">
        <v>998</v>
      </c>
      <c r="M1236" s="621"/>
      <c r="N1236" s="621"/>
      <c r="O1236" s="621"/>
      <c r="P1236" s="602">
        <f t="shared" si="85"/>
        <v>0</v>
      </c>
      <c r="Q1236" s="622"/>
      <c r="R1236" s="74"/>
      <c r="S1236" s="74"/>
      <c r="T1236" s="74"/>
      <c r="U1236" s="74"/>
      <c r="V1236" s="74"/>
      <c r="W1236" s="74"/>
      <c r="X1236" s="74"/>
      <c r="Y1236" s="74"/>
      <c r="Z1236" s="74"/>
      <c r="AA1236" s="74"/>
      <c r="AB1236" s="74"/>
      <c r="AC1236" s="74"/>
      <c r="AD1236" s="74"/>
      <c r="AE1236" s="74"/>
      <c r="AF1236" s="74"/>
      <c r="AG1236" s="74"/>
      <c r="AH1236" s="74"/>
      <c r="AI1236" s="74"/>
    </row>
    <row r="1237" ht="22.5" customHeight="1">
      <c r="A1237" s="614">
        <v>45856.0</v>
      </c>
      <c r="B1237" s="675" t="s">
        <v>2218</v>
      </c>
      <c r="C1237" s="609"/>
      <c r="D1237" s="610">
        <v>250000.0</v>
      </c>
      <c r="E1237" s="604" t="s">
        <v>28</v>
      </c>
      <c r="F1237" s="627" t="s">
        <v>941</v>
      </c>
      <c r="G1237" s="597">
        <v>20.0</v>
      </c>
      <c r="H1237" s="689">
        <f t="shared" si="84"/>
        <v>41666.66667</v>
      </c>
      <c r="I1237" s="599"/>
      <c r="J1237" s="599"/>
      <c r="K1237" s="615" t="s">
        <v>2240</v>
      </c>
      <c r="L1237" s="616" t="s">
        <v>2251</v>
      </c>
      <c r="M1237" s="621"/>
      <c r="N1237" s="621"/>
      <c r="O1237" s="621"/>
      <c r="P1237" s="602">
        <f t="shared" si="85"/>
        <v>0</v>
      </c>
      <c r="Q1237" s="613" t="s">
        <v>999</v>
      </c>
      <c r="R1237" s="74"/>
      <c r="S1237" s="74"/>
      <c r="T1237" s="74"/>
      <c r="U1237" s="74"/>
      <c r="V1237" s="74"/>
      <c r="W1237" s="74"/>
      <c r="X1237" s="74"/>
      <c r="Y1237" s="74"/>
      <c r="Z1237" s="74"/>
      <c r="AA1237" s="74"/>
      <c r="AB1237" s="74"/>
      <c r="AC1237" s="74"/>
      <c r="AD1237" s="74"/>
      <c r="AE1237" s="74"/>
      <c r="AF1237" s="74"/>
      <c r="AG1237" s="74"/>
      <c r="AH1237" s="74"/>
      <c r="AI1237" s="74"/>
    </row>
    <row r="1238" ht="22.5" customHeight="1">
      <c r="A1238" s="614">
        <v>45859.0</v>
      </c>
      <c r="B1238" s="675" t="s">
        <v>2218</v>
      </c>
      <c r="C1238" s="609"/>
      <c r="D1238" s="610">
        <v>37739.0</v>
      </c>
      <c r="E1238" s="606"/>
      <c r="F1238" s="627" t="s">
        <v>941</v>
      </c>
      <c r="G1238" s="597">
        <v>5.0</v>
      </c>
      <c r="H1238" s="689">
        <f t="shared" si="84"/>
        <v>1797.095238</v>
      </c>
      <c r="I1238" s="599"/>
      <c r="J1238" s="599"/>
      <c r="K1238" s="615" t="s">
        <v>213</v>
      </c>
      <c r="L1238" s="616" t="s">
        <v>968</v>
      </c>
      <c r="M1238" s="621"/>
      <c r="N1238" s="621"/>
      <c r="O1238" s="621"/>
      <c r="P1238" s="602">
        <f t="shared" si="85"/>
        <v>0</v>
      </c>
      <c r="Q1238" s="622"/>
      <c r="R1238" s="74"/>
      <c r="S1238" s="74"/>
      <c r="T1238" s="74"/>
      <c r="U1238" s="74"/>
      <c r="V1238" s="74"/>
      <c r="W1238" s="74"/>
      <c r="X1238" s="74"/>
      <c r="Y1238" s="74"/>
      <c r="Z1238" s="74"/>
      <c r="AA1238" s="74"/>
      <c r="AB1238" s="74"/>
      <c r="AC1238" s="74"/>
      <c r="AD1238" s="74"/>
      <c r="AE1238" s="74"/>
      <c r="AF1238" s="74"/>
      <c r="AG1238" s="74"/>
      <c r="AH1238" s="74"/>
      <c r="AI1238" s="74"/>
    </row>
    <row r="1239" ht="22.5" customHeight="1">
      <c r="A1239" s="614">
        <v>45859.0</v>
      </c>
      <c r="B1239" s="675" t="s">
        <v>2218</v>
      </c>
      <c r="C1239" s="609"/>
      <c r="D1239" s="609"/>
      <c r="E1239" s="604" t="s">
        <v>33</v>
      </c>
      <c r="F1239" s="627" t="s">
        <v>941</v>
      </c>
      <c r="G1239" s="597">
        <v>0.0</v>
      </c>
      <c r="H1239" s="689">
        <f t="shared" si="84"/>
        <v>0</v>
      </c>
      <c r="I1239" s="599"/>
      <c r="J1239" s="605">
        <v>20000.0</v>
      </c>
      <c r="K1239" s="615" t="s">
        <v>591</v>
      </c>
      <c r="L1239" s="616" t="s">
        <v>998</v>
      </c>
      <c r="M1239" s="621"/>
      <c r="N1239" s="621"/>
      <c r="O1239" s="621"/>
      <c r="P1239" s="602">
        <f t="shared" si="85"/>
        <v>0</v>
      </c>
      <c r="Q1239" s="622"/>
      <c r="R1239" s="74"/>
      <c r="S1239" s="74"/>
      <c r="T1239" s="74"/>
      <c r="U1239" s="74"/>
      <c r="V1239" s="74"/>
      <c r="W1239" s="74"/>
      <c r="X1239" s="74"/>
      <c r="Y1239" s="74"/>
      <c r="Z1239" s="74"/>
      <c r="AA1239" s="74"/>
      <c r="AB1239" s="74"/>
      <c r="AC1239" s="74"/>
      <c r="AD1239" s="74"/>
      <c r="AE1239" s="74"/>
      <c r="AF1239" s="74"/>
      <c r="AG1239" s="74"/>
      <c r="AH1239" s="74"/>
      <c r="AI1239" s="74"/>
    </row>
    <row r="1240" ht="22.5" customHeight="1">
      <c r="A1240" s="614">
        <v>45863.0</v>
      </c>
      <c r="B1240" s="675" t="s">
        <v>2218</v>
      </c>
      <c r="C1240" s="610">
        <v>906536.9</v>
      </c>
      <c r="D1240" s="610"/>
      <c r="E1240" s="606"/>
      <c r="F1240" s="627" t="s">
        <v>722</v>
      </c>
      <c r="G1240" s="597">
        <v>20.0</v>
      </c>
      <c r="H1240" s="689">
        <f t="shared" si="84"/>
        <v>151089.4833</v>
      </c>
      <c r="I1240" s="599"/>
      <c r="J1240" s="599"/>
      <c r="K1240" s="615" t="s">
        <v>51</v>
      </c>
      <c r="L1240" s="616" t="s">
        <v>440</v>
      </c>
      <c r="M1240" s="612" t="s">
        <v>852</v>
      </c>
      <c r="N1240" s="612">
        <v>176.0</v>
      </c>
      <c r="O1240" s="662">
        <v>45790.0</v>
      </c>
      <c r="P1240" s="602">
        <f t="shared" si="85"/>
        <v>73</v>
      </c>
      <c r="Q1240" s="622"/>
      <c r="R1240" s="74"/>
      <c r="S1240" s="74"/>
      <c r="T1240" s="74"/>
      <c r="U1240" s="74"/>
      <c r="V1240" s="74"/>
      <c r="W1240" s="74"/>
      <c r="X1240" s="74"/>
      <c r="Y1240" s="74"/>
      <c r="Z1240" s="74"/>
      <c r="AA1240" s="74"/>
      <c r="AB1240" s="74"/>
      <c r="AC1240" s="74"/>
      <c r="AD1240" s="74"/>
      <c r="AE1240" s="74"/>
      <c r="AF1240" s="74"/>
      <c r="AG1240" s="74"/>
      <c r="AH1240" s="74"/>
      <c r="AI1240" s="74"/>
    </row>
    <row r="1241" ht="22.5" customHeight="1">
      <c r="A1241" s="614">
        <v>45863.0</v>
      </c>
      <c r="B1241" s="675" t="s">
        <v>2218</v>
      </c>
      <c r="C1241" s="610">
        <v>750000.0</v>
      </c>
      <c r="D1241" s="610"/>
      <c r="E1241" s="606"/>
      <c r="F1241" s="627" t="s">
        <v>722</v>
      </c>
      <c r="G1241" s="597">
        <v>20.0</v>
      </c>
      <c r="H1241" s="689">
        <f t="shared" si="84"/>
        <v>125000</v>
      </c>
      <c r="I1241" s="599"/>
      <c r="J1241" s="599"/>
      <c r="K1241" s="615" t="s">
        <v>51</v>
      </c>
      <c r="L1241" s="616" t="s">
        <v>440</v>
      </c>
      <c r="M1241" s="612" t="s">
        <v>755</v>
      </c>
      <c r="N1241" s="612">
        <v>177.0</v>
      </c>
      <c r="O1241" s="662">
        <v>45790.0</v>
      </c>
      <c r="P1241" s="602">
        <f t="shared" si="85"/>
        <v>73</v>
      </c>
      <c r="Q1241" s="622"/>
      <c r="R1241" s="74"/>
      <c r="S1241" s="74"/>
      <c r="T1241" s="74"/>
      <c r="U1241" s="74"/>
      <c r="V1241" s="74"/>
      <c r="W1241" s="74"/>
      <c r="X1241" s="74"/>
      <c r="Y1241" s="74"/>
      <c r="Z1241" s="74"/>
      <c r="AA1241" s="74"/>
      <c r="AB1241" s="74"/>
      <c r="AC1241" s="74"/>
      <c r="AD1241" s="74"/>
      <c r="AE1241" s="74"/>
      <c r="AF1241" s="74"/>
      <c r="AG1241" s="74"/>
      <c r="AH1241" s="74"/>
      <c r="AI1241" s="74"/>
    </row>
    <row r="1242" ht="22.5" customHeight="1">
      <c r="A1242" s="614">
        <v>45863.0</v>
      </c>
      <c r="B1242" s="675" t="s">
        <v>2218</v>
      </c>
      <c r="C1242" s="610">
        <v>600000.24</v>
      </c>
      <c r="D1242" s="610"/>
      <c r="E1242" s="606"/>
      <c r="F1242" s="627" t="s">
        <v>722</v>
      </c>
      <c r="G1242" s="597">
        <v>20.0</v>
      </c>
      <c r="H1242" s="689">
        <f t="shared" si="84"/>
        <v>100000.04</v>
      </c>
      <c r="I1242" s="599"/>
      <c r="J1242" s="599"/>
      <c r="K1242" s="615" t="s">
        <v>51</v>
      </c>
      <c r="L1242" s="616" t="s">
        <v>440</v>
      </c>
      <c r="M1242" s="612" t="s">
        <v>756</v>
      </c>
      <c r="N1242" s="612">
        <v>178.0</v>
      </c>
      <c r="O1242" s="662">
        <v>45790.0</v>
      </c>
      <c r="P1242" s="602">
        <f t="shared" si="85"/>
        <v>73</v>
      </c>
      <c r="Q1242" s="622"/>
      <c r="R1242" s="74"/>
      <c r="S1242" s="74"/>
      <c r="T1242" s="74"/>
      <c r="U1242" s="74"/>
      <c r="V1242" s="74"/>
      <c r="W1242" s="74"/>
      <c r="X1242" s="74"/>
      <c r="Y1242" s="74"/>
      <c r="Z1242" s="74"/>
      <c r="AA1242" s="74"/>
      <c r="AB1242" s="74"/>
      <c r="AC1242" s="74"/>
      <c r="AD1242" s="74"/>
      <c r="AE1242" s="74"/>
      <c r="AF1242" s="74"/>
      <c r="AG1242" s="74"/>
      <c r="AH1242" s="74"/>
      <c r="AI1242" s="74"/>
    </row>
    <row r="1243" ht="22.5" customHeight="1">
      <c r="A1243" s="614">
        <v>45863.0</v>
      </c>
      <c r="B1243" s="675" t="s">
        <v>2218</v>
      </c>
      <c r="C1243" s="610">
        <v>600000.24</v>
      </c>
      <c r="D1243" s="610"/>
      <c r="E1243" s="606"/>
      <c r="F1243" s="627" t="s">
        <v>722</v>
      </c>
      <c r="G1243" s="597">
        <v>20.0</v>
      </c>
      <c r="H1243" s="689">
        <f t="shared" si="84"/>
        <v>100000.04</v>
      </c>
      <c r="I1243" s="599"/>
      <c r="J1243" s="599"/>
      <c r="K1243" s="615" t="s">
        <v>51</v>
      </c>
      <c r="L1243" s="616" t="s">
        <v>440</v>
      </c>
      <c r="M1243" s="612" t="s">
        <v>853</v>
      </c>
      <c r="N1243" s="612">
        <v>179.0</v>
      </c>
      <c r="O1243" s="662">
        <v>45790.0</v>
      </c>
      <c r="P1243" s="602">
        <f t="shared" si="85"/>
        <v>73</v>
      </c>
      <c r="Q1243" s="622"/>
      <c r="R1243" s="74"/>
      <c r="S1243" s="74"/>
      <c r="T1243" s="74"/>
      <c r="U1243" s="74"/>
      <c r="V1243" s="74"/>
      <c r="W1243" s="74"/>
      <c r="X1243" s="74"/>
      <c r="Y1243" s="74"/>
      <c r="Z1243" s="74"/>
      <c r="AA1243" s="74"/>
      <c r="AB1243" s="74"/>
      <c r="AC1243" s="74"/>
      <c r="AD1243" s="74"/>
      <c r="AE1243" s="74"/>
      <c r="AF1243" s="74"/>
      <c r="AG1243" s="74"/>
      <c r="AH1243" s="74"/>
      <c r="AI1243" s="74"/>
    </row>
    <row r="1244" ht="22.5" customHeight="1">
      <c r="A1244" s="614">
        <v>45863.0</v>
      </c>
      <c r="B1244" s="675" t="s">
        <v>2218</v>
      </c>
      <c r="C1244" s="610">
        <v>1000001.86</v>
      </c>
      <c r="D1244" s="609"/>
      <c r="E1244" s="606"/>
      <c r="F1244" s="627" t="s">
        <v>800</v>
      </c>
      <c r="G1244" s="597">
        <v>20.0</v>
      </c>
      <c r="H1244" s="689">
        <f t="shared" si="84"/>
        <v>166666.9767</v>
      </c>
      <c r="I1244" s="599"/>
      <c r="J1244" s="599"/>
      <c r="K1244" s="615" t="s">
        <v>51</v>
      </c>
      <c r="L1244" s="616" t="s">
        <v>1000</v>
      </c>
      <c r="M1244" s="612" t="s">
        <v>1001</v>
      </c>
      <c r="N1244" s="612">
        <v>207.0</v>
      </c>
      <c r="O1244" s="662">
        <v>45817.0</v>
      </c>
      <c r="P1244" s="602">
        <f t="shared" si="85"/>
        <v>46</v>
      </c>
      <c r="Q1244" s="622"/>
      <c r="R1244" s="74"/>
      <c r="S1244" s="74"/>
      <c r="T1244" s="74"/>
      <c r="U1244" s="74"/>
      <c r="V1244" s="74"/>
      <c r="W1244" s="74"/>
      <c r="X1244" s="74"/>
      <c r="Y1244" s="74"/>
      <c r="Z1244" s="74"/>
      <c r="AA1244" s="74"/>
      <c r="AB1244" s="74"/>
      <c r="AC1244" s="74"/>
      <c r="AD1244" s="74"/>
      <c r="AE1244" s="74"/>
      <c r="AF1244" s="74"/>
      <c r="AG1244" s="74"/>
      <c r="AH1244" s="74"/>
      <c r="AI1244" s="74"/>
    </row>
    <row r="1245" ht="22.5" customHeight="1">
      <c r="A1245" s="614">
        <v>45863.0</v>
      </c>
      <c r="B1245" s="675" t="s">
        <v>2218</v>
      </c>
      <c r="C1245" s="609"/>
      <c r="D1245" s="610">
        <v>622258.0</v>
      </c>
      <c r="E1245" s="606"/>
      <c r="F1245" s="607" t="s">
        <v>1002</v>
      </c>
      <c r="G1245" s="597">
        <v>0.0</v>
      </c>
      <c r="H1245" s="689">
        <f t="shared" si="84"/>
        <v>0</v>
      </c>
      <c r="I1245" s="599"/>
      <c r="J1245" s="599"/>
      <c r="K1245" s="615" t="s">
        <v>280</v>
      </c>
      <c r="L1245" s="616" t="s">
        <v>1003</v>
      </c>
      <c r="M1245" s="621"/>
      <c r="N1245" s="621"/>
      <c r="O1245" s="621"/>
      <c r="P1245" s="602">
        <f t="shared" si="85"/>
        <v>0</v>
      </c>
      <c r="Q1245" s="622"/>
      <c r="R1245" s="74"/>
      <c r="S1245" s="74"/>
      <c r="T1245" s="74"/>
      <c r="U1245" s="74"/>
      <c r="V1245" s="74"/>
      <c r="W1245" s="74"/>
      <c r="X1245" s="74"/>
      <c r="Y1245" s="74"/>
      <c r="Z1245" s="74"/>
      <c r="AA1245" s="74"/>
      <c r="AB1245" s="74"/>
      <c r="AC1245" s="74"/>
      <c r="AD1245" s="74"/>
      <c r="AE1245" s="74"/>
      <c r="AF1245" s="74"/>
      <c r="AG1245" s="74"/>
      <c r="AH1245" s="74"/>
      <c r="AI1245" s="74"/>
    </row>
    <row r="1246" ht="22.5" customHeight="1">
      <c r="A1246" s="614">
        <v>45863.0</v>
      </c>
      <c r="B1246" s="675" t="s">
        <v>2218</v>
      </c>
      <c r="C1246" s="609"/>
      <c r="D1246" s="610">
        <v>21000.0</v>
      </c>
      <c r="E1246" s="606"/>
      <c r="F1246" s="627" t="s">
        <v>941</v>
      </c>
      <c r="G1246" s="597">
        <v>20.0</v>
      </c>
      <c r="H1246" s="689">
        <f t="shared" si="84"/>
        <v>3500</v>
      </c>
      <c r="I1246" s="599"/>
      <c r="J1246" s="599"/>
      <c r="K1246" s="615" t="s">
        <v>2237</v>
      </c>
      <c r="L1246" s="616" t="s">
        <v>942</v>
      </c>
      <c r="M1246" s="621"/>
      <c r="N1246" s="621"/>
      <c r="O1246" s="621"/>
      <c r="P1246" s="602">
        <f t="shared" si="85"/>
        <v>0</v>
      </c>
      <c r="Q1246" s="613" t="s">
        <v>943</v>
      </c>
      <c r="R1246" s="74"/>
      <c r="S1246" s="74"/>
      <c r="T1246" s="74"/>
      <c r="U1246" s="74"/>
      <c r="V1246" s="74"/>
      <c r="W1246" s="74"/>
      <c r="X1246" s="74"/>
      <c r="Y1246" s="74"/>
      <c r="Z1246" s="74"/>
      <c r="AA1246" s="74"/>
      <c r="AB1246" s="74"/>
      <c r="AC1246" s="74"/>
      <c r="AD1246" s="74"/>
      <c r="AE1246" s="74"/>
      <c r="AF1246" s="74"/>
      <c r="AG1246" s="74"/>
      <c r="AH1246" s="74"/>
      <c r="AI1246" s="74"/>
    </row>
    <row r="1247" ht="22.5" customHeight="1">
      <c r="A1247" s="614">
        <v>45863.0</v>
      </c>
      <c r="B1247" s="675" t="s">
        <v>2218</v>
      </c>
      <c r="C1247" s="609"/>
      <c r="D1247" s="610">
        <v>60000.0</v>
      </c>
      <c r="E1247" s="606"/>
      <c r="F1247" s="627" t="s">
        <v>941</v>
      </c>
      <c r="G1247" s="597">
        <v>20.0</v>
      </c>
      <c r="H1247" s="689">
        <f t="shared" si="84"/>
        <v>10000</v>
      </c>
      <c r="I1247" s="599"/>
      <c r="J1247" s="599"/>
      <c r="K1247" s="615" t="s">
        <v>2237</v>
      </c>
      <c r="L1247" s="616" t="s">
        <v>942</v>
      </c>
      <c r="M1247" s="621"/>
      <c r="N1247" s="621"/>
      <c r="O1247" s="621"/>
      <c r="P1247" s="602">
        <f t="shared" si="85"/>
        <v>0</v>
      </c>
      <c r="Q1247" s="613" t="s">
        <v>943</v>
      </c>
      <c r="R1247" s="74"/>
      <c r="S1247" s="74"/>
      <c r="T1247" s="74"/>
      <c r="U1247" s="74"/>
      <c r="V1247" s="74"/>
      <c r="W1247" s="74"/>
      <c r="X1247" s="74"/>
      <c r="Y1247" s="74"/>
      <c r="Z1247" s="74"/>
      <c r="AA1247" s="74"/>
      <c r="AB1247" s="74"/>
      <c r="AC1247" s="74"/>
      <c r="AD1247" s="74"/>
      <c r="AE1247" s="74"/>
      <c r="AF1247" s="74"/>
      <c r="AG1247" s="74"/>
      <c r="AH1247" s="74"/>
      <c r="AI1247" s="74"/>
    </row>
    <row r="1248" ht="22.5" customHeight="1">
      <c r="A1248" s="614">
        <v>45863.0</v>
      </c>
      <c r="B1248" s="675" t="s">
        <v>2218</v>
      </c>
      <c r="C1248" s="609"/>
      <c r="D1248" s="610">
        <v>60000.0</v>
      </c>
      <c r="E1248" s="606"/>
      <c r="F1248" s="627" t="s">
        <v>941</v>
      </c>
      <c r="G1248" s="597">
        <v>20.0</v>
      </c>
      <c r="H1248" s="689">
        <f t="shared" si="84"/>
        <v>10000</v>
      </c>
      <c r="I1248" s="599"/>
      <c r="J1248" s="599"/>
      <c r="K1248" s="615" t="s">
        <v>2237</v>
      </c>
      <c r="L1248" s="616" t="s">
        <v>942</v>
      </c>
      <c r="M1248" s="621"/>
      <c r="N1248" s="621"/>
      <c r="O1248" s="621"/>
      <c r="P1248" s="602">
        <f t="shared" si="85"/>
        <v>0</v>
      </c>
      <c r="Q1248" s="613" t="s">
        <v>943</v>
      </c>
      <c r="R1248" s="74"/>
      <c r="S1248" s="74"/>
      <c r="T1248" s="74"/>
      <c r="U1248" s="74"/>
      <c r="V1248" s="74"/>
      <c r="W1248" s="74"/>
      <c r="X1248" s="74"/>
      <c r="Y1248" s="74"/>
      <c r="Z1248" s="74"/>
      <c r="AA1248" s="74"/>
      <c r="AB1248" s="74"/>
      <c r="AC1248" s="74"/>
      <c r="AD1248" s="74"/>
      <c r="AE1248" s="74"/>
      <c r="AF1248" s="74"/>
      <c r="AG1248" s="74"/>
      <c r="AH1248" s="74"/>
      <c r="AI1248" s="74"/>
    </row>
    <row r="1249" ht="22.5" customHeight="1">
      <c r="A1249" s="614">
        <v>45863.0</v>
      </c>
      <c r="B1249" s="675" t="s">
        <v>2218</v>
      </c>
      <c r="C1249" s="609"/>
      <c r="D1249" s="610">
        <v>68520.0</v>
      </c>
      <c r="E1249" s="606"/>
      <c r="F1249" s="627" t="s">
        <v>941</v>
      </c>
      <c r="G1249" s="597">
        <v>20.0</v>
      </c>
      <c r="H1249" s="689">
        <f t="shared" si="84"/>
        <v>11420</v>
      </c>
      <c r="I1249" s="599"/>
      <c r="J1249" s="599"/>
      <c r="K1249" s="615" t="s">
        <v>494</v>
      </c>
      <c r="L1249" s="616" t="s">
        <v>1004</v>
      </c>
      <c r="M1249" s="621"/>
      <c r="N1249" s="621"/>
      <c r="O1249" s="621"/>
      <c r="P1249" s="602">
        <f t="shared" si="85"/>
        <v>0</v>
      </c>
      <c r="Q1249" s="613" t="s">
        <v>1005</v>
      </c>
      <c r="R1249" s="74"/>
      <c r="S1249" s="74"/>
      <c r="T1249" s="74"/>
      <c r="U1249" s="74"/>
      <c r="V1249" s="74"/>
      <c r="W1249" s="74"/>
      <c r="X1249" s="74"/>
      <c r="Y1249" s="74"/>
      <c r="Z1249" s="74"/>
      <c r="AA1249" s="74"/>
      <c r="AB1249" s="74"/>
      <c r="AC1249" s="74"/>
      <c r="AD1249" s="74"/>
      <c r="AE1249" s="74"/>
      <c r="AF1249" s="74"/>
      <c r="AG1249" s="74"/>
      <c r="AH1249" s="74"/>
      <c r="AI1249" s="74"/>
    </row>
    <row r="1250" ht="22.5" customHeight="1">
      <c r="A1250" s="614">
        <v>45866.0</v>
      </c>
      <c r="B1250" s="675" t="s">
        <v>2218</v>
      </c>
      <c r="C1250" s="609"/>
      <c r="D1250" s="609"/>
      <c r="E1250" s="604" t="s">
        <v>33</v>
      </c>
      <c r="F1250" s="627" t="s">
        <v>941</v>
      </c>
      <c r="G1250" s="597">
        <v>0.0</v>
      </c>
      <c r="H1250" s="689">
        <f t="shared" si="84"/>
        <v>0</v>
      </c>
      <c r="I1250" s="599"/>
      <c r="J1250" s="605">
        <v>12000.0</v>
      </c>
      <c r="K1250" s="615" t="s">
        <v>213</v>
      </c>
      <c r="L1250" s="616" t="s">
        <v>1006</v>
      </c>
      <c r="M1250" s="621"/>
      <c r="N1250" s="621"/>
      <c r="O1250" s="621"/>
      <c r="P1250" s="602">
        <f t="shared" si="85"/>
        <v>0</v>
      </c>
      <c r="Q1250" s="622"/>
      <c r="R1250" s="74"/>
      <c r="S1250" s="74"/>
      <c r="T1250" s="74"/>
      <c r="U1250" s="74"/>
      <c r="V1250" s="74"/>
      <c r="W1250" s="74"/>
      <c r="X1250" s="74"/>
      <c r="Y1250" s="74"/>
      <c r="Z1250" s="74"/>
      <c r="AA1250" s="74"/>
      <c r="AB1250" s="74"/>
      <c r="AC1250" s="74"/>
      <c r="AD1250" s="74"/>
      <c r="AE1250" s="74"/>
      <c r="AF1250" s="74"/>
      <c r="AG1250" s="74"/>
      <c r="AH1250" s="74"/>
      <c r="AI1250" s="74"/>
    </row>
    <row r="1251" ht="22.5" customHeight="1">
      <c r="A1251" s="614">
        <v>45866.0</v>
      </c>
      <c r="B1251" s="675" t="s">
        <v>2218</v>
      </c>
      <c r="C1251" s="609"/>
      <c r="D1251" s="610">
        <v>8000.0</v>
      </c>
      <c r="E1251" s="604" t="s">
        <v>28</v>
      </c>
      <c r="F1251" s="627" t="s">
        <v>941</v>
      </c>
      <c r="G1251" s="597">
        <v>20.0</v>
      </c>
      <c r="H1251" s="689">
        <f t="shared" si="84"/>
        <v>1333.333333</v>
      </c>
      <c r="I1251" s="599"/>
      <c r="J1251" s="599"/>
      <c r="K1251" s="615" t="s">
        <v>494</v>
      </c>
      <c r="L1251" s="616" t="s">
        <v>1007</v>
      </c>
      <c r="M1251" s="621"/>
      <c r="N1251" s="621"/>
      <c r="O1251" s="621"/>
      <c r="P1251" s="602">
        <f t="shared" si="85"/>
        <v>0</v>
      </c>
      <c r="Q1251" s="622"/>
      <c r="R1251" s="74"/>
      <c r="S1251" s="74"/>
      <c r="T1251" s="74"/>
      <c r="U1251" s="74"/>
      <c r="V1251" s="74"/>
      <c r="W1251" s="74"/>
      <c r="X1251" s="74"/>
      <c r="Y1251" s="74"/>
      <c r="Z1251" s="74"/>
      <c r="AA1251" s="74"/>
      <c r="AB1251" s="74"/>
      <c r="AC1251" s="74"/>
      <c r="AD1251" s="74"/>
      <c r="AE1251" s="74"/>
      <c r="AF1251" s="74"/>
      <c r="AG1251" s="74"/>
      <c r="AH1251" s="74"/>
      <c r="AI1251" s="74"/>
    </row>
    <row r="1252" ht="22.5" customHeight="1">
      <c r="A1252" s="614">
        <v>45866.0</v>
      </c>
      <c r="B1252" s="675" t="s">
        <v>2218</v>
      </c>
      <c r="C1252" s="609"/>
      <c r="D1252" s="610">
        <v>30000.0</v>
      </c>
      <c r="E1252" s="604" t="s">
        <v>28</v>
      </c>
      <c r="F1252" s="627" t="s">
        <v>941</v>
      </c>
      <c r="G1252" s="597">
        <v>20.0</v>
      </c>
      <c r="H1252" s="689">
        <f t="shared" si="84"/>
        <v>5000</v>
      </c>
      <c r="I1252" s="599"/>
      <c r="J1252" s="599"/>
      <c r="K1252" s="615" t="s">
        <v>2237</v>
      </c>
      <c r="L1252" s="616" t="s">
        <v>942</v>
      </c>
      <c r="M1252" s="621"/>
      <c r="N1252" s="621"/>
      <c r="O1252" s="621"/>
      <c r="P1252" s="602">
        <f t="shared" si="85"/>
        <v>0</v>
      </c>
      <c r="Q1252" s="613" t="s">
        <v>943</v>
      </c>
      <c r="R1252" s="74"/>
      <c r="S1252" s="74"/>
      <c r="T1252" s="74"/>
      <c r="U1252" s="74"/>
      <c r="V1252" s="74"/>
      <c r="W1252" s="74"/>
      <c r="X1252" s="74"/>
      <c r="Y1252" s="74"/>
      <c r="Z1252" s="74"/>
      <c r="AA1252" s="74"/>
      <c r="AB1252" s="74"/>
      <c r="AC1252" s="74"/>
      <c r="AD1252" s="74"/>
      <c r="AE1252" s="74"/>
      <c r="AF1252" s="74"/>
      <c r="AG1252" s="74"/>
      <c r="AH1252" s="74"/>
      <c r="AI1252" s="74"/>
    </row>
    <row r="1253" ht="22.5" customHeight="1">
      <c r="A1253" s="614">
        <v>45866.0</v>
      </c>
      <c r="B1253" s="675" t="s">
        <v>2218</v>
      </c>
      <c r="C1253" s="609"/>
      <c r="D1253" s="610">
        <v>1211399.0</v>
      </c>
      <c r="E1253" s="604" t="s">
        <v>376</v>
      </c>
      <c r="F1253" s="627" t="s">
        <v>941</v>
      </c>
      <c r="G1253" s="597">
        <v>0.0</v>
      </c>
      <c r="H1253" s="689">
        <f t="shared" si="84"/>
        <v>0</v>
      </c>
      <c r="I1253" s="599"/>
      <c r="J1253" s="599"/>
      <c r="K1253" s="615" t="s">
        <v>236</v>
      </c>
      <c r="L1253" s="616" t="s">
        <v>72</v>
      </c>
      <c r="M1253" s="621"/>
      <c r="N1253" s="621"/>
      <c r="O1253" s="621"/>
      <c r="P1253" s="602">
        <f t="shared" si="85"/>
        <v>0</v>
      </c>
      <c r="Q1253" s="613" t="s">
        <v>1008</v>
      </c>
      <c r="R1253" s="74"/>
      <c r="S1253" s="74"/>
      <c r="T1253" s="74"/>
      <c r="U1253" s="74"/>
      <c r="V1253" s="74"/>
      <c r="W1253" s="74"/>
      <c r="X1253" s="74"/>
      <c r="Y1253" s="74"/>
      <c r="Z1253" s="74"/>
      <c r="AA1253" s="74"/>
      <c r="AB1253" s="74"/>
      <c r="AC1253" s="74"/>
      <c r="AD1253" s="74"/>
      <c r="AE1253" s="74"/>
      <c r="AF1253" s="74"/>
      <c r="AG1253" s="74"/>
      <c r="AH1253" s="74"/>
      <c r="AI1253" s="74"/>
    </row>
    <row r="1254" ht="22.5" customHeight="1">
      <c r="A1254" s="614">
        <v>45866.0</v>
      </c>
      <c r="B1254" s="675" t="s">
        <v>2218</v>
      </c>
      <c r="C1254" s="609"/>
      <c r="D1254" s="610">
        <v>3634199.0</v>
      </c>
      <c r="E1254" s="604" t="s">
        <v>376</v>
      </c>
      <c r="F1254" s="627" t="s">
        <v>941</v>
      </c>
      <c r="G1254" s="597">
        <v>0.0</v>
      </c>
      <c r="H1254" s="689">
        <f t="shared" si="84"/>
        <v>0</v>
      </c>
      <c r="I1254" s="599"/>
      <c r="J1254" s="599"/>
      <c r="K1254" s="615" t="s">
        <v>236</v>
      </c>
      <c r="L1254" s="616" t="s">
        <v>72</v>
      </c>
      <c r="M1254" s="621"/>
      <c r="N1254" s="621"/>
      <c r="O1254" s="621"/>
      <c r="P1254" s="602">
        <f t="shared" si="85"/>
        <v>0</v>
      </c>
      <c r="Q1254" s="613" t="s">
        <v>1009</v>
      </c>
      <c r="R1254" s="74"/>
      <c r="S1254" s="74"/>
      <c r="T1254" s="74"/>
      <c r="U1254" s="74"/>
      <c r="V1254" s="74"/>
      <c r="W1254" s="74"/>
      <c r="X1254" s="74"/>
      <c r="Y1254" s="74"/>
      <c r="Z1254" s="74"/>
      <c r="AA1254" s="74"/>
      <c r="AB1254" s="74"/>
      <c r="AC1254" s="74"/>
      <c r="AD1254" s="74"/>
      <c r="AE1254" s="74"/>
      <c r="AF1254" s="74"/>
      <c r="AG1254" s="74"/>
      <c r="AH1254" s="74"/>
      <c r="AI1254" s="74"/>
    </row>
    <row r="1255" ht="22.5" customHeight="1">
      <c r="A1255" s="614">
        <v>45866.0</v>
      </c>
      <c r="B1255" s="675" t="s">
        <v>2218</v>
      </c>
      <c r="C1255" s="609"/>
      <c r="D1255" s="610">
        <v>2355115.0</v>
      </c>
      <c r="E1255" s="604" t="s">
        <v>376</v>
      </c>
      <c r="F1255" s="627" t="s">
        <v>941</v>
      </c>
      <c r="G1255" s="597">
        <v>0.0</v>
      </c>
      <c r="H1255" s="689">
        <f t="shared" si="84"/>
        <v>0</v>
      </c>
      <c r="I1255" s="599"/>
      <c r="J1255" s="599"/>
      <c r="K1255" s="615" t="s">
        <v>236</v>
      </c>
      <c r="L1255" s="616" t="s">
        <v>72</v>
      </c>
      <c r="M1255" s="621"/>
      <c r="N1255" s="621"/>
      <c r="O1255" s="621"/>
      <c r="P1255" s="602">
        <f t="shared" si="85"/>
        <v>0</v>
      </c>
      <c r="Q1255" s="613" t="s">
        <v>18</v>
      </c>
      <c r="R1255" s="74"/>
      <c r="S1255" s="74"/>
      <c r="T1255" s="74"/>
      <c r="U1255" s="74"/>
      <c r="V1255" s="74"/>
      <c r="W1255" s="74"/>
      <c r="X1255" s="74"/>
      <c r="Y1255" s="74"/>
      <c r="Z1255" s="74"/>
      <c r="AA1255" s="74"/>
      <c r="AB1255" s="74"/>
      <c r="AC1255" s="74"/>
      <c r="AD1255" s="74"/>
      <c r="AE1255" s="74"/>
      <c r="AF1255" s="74"/>
      <c r="AG1255" s="74"/>
      <c r="AH1255" s="74"/>
      <c r="AI1255" s="74"/>
    </row>
    <row r="1256" ht="22.5" customHeight="1">
      <c r="A1256" s="614">
        <v>45866.0</v>
      </c>
      <c r="B1256" s="675" t="s">
        <v>2218</v>
      </c>
      <c r="C1256" s="609"/>
      <c r="D1256" s="610">
        <v>345808.5</v>
      </c>
      <c r="E1256" s="604" t="s">
        <v>376</v>
      </c>
      <c r="F1256" s="627" t="s">
        <v>941</v>
      </c>
      <c r="G1256" s="597">
        <v>0.0</v>
      </c>
      <c r="H1256" s="689">
        <f t="shared" si="84"/>
        <v>0</v>
      </c>
      <c r="I1256" s="599"/>
      <c r="J1256" s="599"/>
      <c r="K1256" s="615" t="s">
        <v>236</v>
      </c>
      <c r="L1256" s="616" t="s">
        <v>72</v>
      </c>
      <c r="M1256" s="621"/>
      <c r="N1256" s="621"/>
      <c r="O1256" s="621"/>
      <c r="P1256" s="602">
        <f t="shared" si="85"/>
        <v>0</v>
      </c>
      <c r="Q1256" s="613" t="s">
        <v>1010</v>
      </c>
      <c r="R1256" s="74"/>
      <c r="S1256" s="74"/>
      <c r="T1256" s="74"/>
      <c r="U1256" s="74"/>
      <c r="V1256" s="74"/>
      <c r="W1256" s="74"/>
      <c r="X1256" s="74"/>
      <c r="Y1256" s="74"/>
      <c r="Z1256" s="74"/>
      <c r="AA1256" s="74"/>
      <c r="AB1256" s="74"/>
      <c r="AC1256" s="74"/>
      <c r="AD1256" s="74"/>
      <c r="AE1256" s="74"/>
      <c r="AF1256" s="74"/>
      <c r="AG1256" s="74"/>
      <c r="AH1256" s="74"/>
      <c r="AI1256" s="74"/>
    </row>
    <row r="1257" ht="22.5" customHeight="1">
      <c r="A1257" s="614">
        <v>45866.0</v>
      </c>
      <c r="B1257" s="675" t="s">
        <v>2218</v>
      </c>
      <c r="C1257" s="609"/>
      <c r="D1257" s="610">
        <v>143064.0</v>
      </c>
      <c r="E1257" s="604" t="s">
        <v>376</v>
      </c>
      <c r="F1257" s="627" t="s">
        <v>941</v>
      </c>
      <c r="G1257" s="597">
        <v>0.0</v>
      </c>
      <c r="H1257" s="689">
        <f t="shared" si="84"/>
        <v>0</v>
      </c>
      <c r="I1257" s="599"/>
      <c r="J1257" s="599"/>
      <c r="K1257" s="615" t="s">
        <v>236</v>
      </c>
      <c r="L1257" s="616" t="s">
        <v>72</v>
      </c>
      <c r="M1257" s="621"/>
      <c r="N1257" s="621"/>
      <c r="O1257" s="621"/>
      <c r="P1257" s="602">
        <f t="shared" si="85"/>
        <v>0</v>
      </c>
      <c r="Q1257" s="613" t="s">
        <v>1011</v>
      </c>
      <c r="R1257" s="74"/>
      <c r="S1257" s="74"/>
      <c r="T1257" s="74"/>
      <c r="U1257" s="74"/>
      <c r="V1257" s="74"/>
      <c r="W1257" s="74"/>
      <c r="X1257" s="74"/>
      <c r="Y1257" s="74"/>
      <c r="Z1257" s="74"/>
      <c r="AA1257" s="74"/>
      <c r="AB1257" s="74"/>
      <c r="AC1257" s="74"/>
      <c r="AD1257" s="74"/>
      <c r="AE1257" s="74"/>
      <c r="AF1257" s="74"/>
      <c r="AG1257" s="74"/>
      <c r="AH1257" s="74"/>
      <c r="AI1257" s="74"/>
    </row>
    <row r="1258" ht="22.5" customHeight="1">
      <c r="A1258" s="614">
        <v>45866.0</v>
      </c>
      <c r="B1258" s="675" t="s">
        <v>2218</v>
      </c>
      <c r="C1258" s="609"/>
      <c r="D1258" s="610">
        <v>3506.0</v>
      </c>
      <c r="E1258" s="604" t="s">
        <v>376</v>
      </c>
      <c r="F1258" s="627" t="s">
        <v>941</v>
      </c>
      <c r="G1258" s="597">
        <v>0.0</v>
      </c>
      <c r="H1258" s="689">
        <f t="shared" si="84"/>
        <v>0</v>
      </c>
      <c r="I1258" s="599"/>
      <c r="J1258" s="599"/>
      <c r="K1258" s="615" t="s">
        <v>236</v>
      </c>
      <c r="L1258" s="616" t="s">
        <v>72</v>
      </c>
      <c r="M1258" s="621"/>
      <c r="N1258" s="621"/>
      <c r="O1258" s="621"/>
      <c r="P1258" s="602">
        <f t="shared" si="85"/>
        <v>0</v>
      </c>
      <c r="Q1258" s="613" t="s">
        <v>1011</v>
      </c>
      <c r="R1258" s="74"/>
      <c r="S1258" s="74"/>
      <c r="T1258" s="74"/>
      <c r="U1258" s="74"/>
      <c r="V1258" s="74"/>
      <c r="W1258" s="74"/>
      <c r="X1258" s="74"/>
      <c r="Y1258" s="74"/>
      <c r="Z1258" s="74"/>
      <c r="AA1258" s="74"/>
      <c r="AB1258" s="74"/>
      <c r="AC1258" s="74"/>
      <c r="AD1258" s="74"/>
      <c r="AE1258" s="74"/>
      <c r="AF1258" s="74"/>
      <c r="AG1258" s="74"/>
      <c r="AH1258" s="74"/>
      <c r="AI1258" s="74"/>
    </row>
    <row r="1259" ht="22.5" customHeight="1">
      <c r="A1259" s="614">
        <v>45867.0</v>
      </c>
      <c r="B1259" s="675" t="s">
        <v>2218</v>
      </c>
      <c r="C1259" s="610">
        <v>695651.82</v>
      </c>
      <c r="D1259" s="609"/>
      <c r="E1259" s="606"/>
      <c r="F1259" s="627" t="s">
        <v>800</v>
      </c>
      <c r="G1259" s="597">
        <v>20.0</v>
      </c>
      <c r="H1259" s="689">
        <f t="shared" si="84"/>
        <v>115941.97</v>
      </c>
      <c r="I1259" s="599"/>
      <c r="J1259" s="599"/>
      <c r="K1259" s="615" t="s">
        <v>51</v>
      </c>
      <c r="L1259" s="616" t="s">
        <v>948</v>
      </c>
      <c r="M1259" s="612" t="s">
        <v>830</v>
      </c>
      <c r="N1259" s="612">
        <v>217.0</v>
      </c>
      <c r="O1259" s="662">
        <v>45817.0</v>
      </c>
      <c r="P1259" s="602">
        <f t="shared" si="85"/>
        <v>50</v>
      </c>
      <c r="Q1259" s="622"/>
      <c r="R1259" s="74"/>
      <c r="S1259" s="74"/>
      <c r="T1259" s="74"/>
      <c r="U1259" s="74"/>
      <c r="V1259" s="74"/>
      <c r="W1259" s="74"/>
      <c r="X1259" s="74"/>
      <c r="Y1259" s="74"/>
      <c r="Z1259" s="74"/>
      <c r="AA1259" s="74"/>
      <c r="AB1259" s="74"/>
      <c r="AC1259" s="74"/>
      <c r="AD1259" s="74"/>
      <c r="AE1259" s="74"/>
      <c r="AF1259" s="74"/>
      <c r="AG1259" s="74"/>
      <c r="AH1259" s="74"/>
      <c r="AI1259" s="74"/>
    </row>
    <row r="1260" ht="22.5" customHeight="1">
      <c r="A1260" s="614">
        <v>45867.0</v>
      </c>
      <c r="B1260" s="675" t="s">
        <v>2218</v>
      </c>
      <c r="C1260" s="610">
        <v>695652.3</v>
      </c>
      <c r="D1260" s="609"/>
      <c r="E1260" s="606"/>
      <c r="F1260" s="627" t="s">
        <v>800</v>
      </c>
      <c r="G1260" s="597">
        <v>20.0</v>
      </c>
      <c r="H1260" s="689">
        <f t="shared" si="84"/>
        <v>115942.05</v>
      </c>
      <c r="I1260" s="599"/>
      <c r="J1260" s="599"/>
      <c r="K1260" s="615" t="s">
        <v>51</v>
      </c>
      <c r="L1260" s="616" t="s">
        <v>948</v>
      </c>
      <c r="M1260" s="612" t="s">
        <v>829</v>
      </c>
      <c r="N1260" s="612">
        <v>205.0</v>
      </c>
      <c r="O1260" s="662">
        <v>45806.0</v>
      </c>
      <c r="P1260" s="602">
        <f t="shared" si="85"/>
        <v>61</v>
      </c>
      <c r="Q1260" s="622"/>
      <c r="R1260" s="74"/>
      <c r="S1260" s="74"/>
      <c r="T1260" s="74"/>
      <c r="U1260" s="74"/>
      <c r="V1260" s="74"/>
      <c r="W1260" s="74"/>
      <c r="X1260" s="74"/>
      <c r="Y1260" s="74"/>
      <c r="Z1260" s="74"/>
      <c r="AA1260" s="74"/>
      <c r="AB1260" s="74"/>
      <c r="AC1260" s="74"/>
      <c r="AD1260" s="74"/>
      <c r="AE1260" s="74"/>
      <c r="AF1260" s="74"/>
      <c r="AG1260" s="74"/>
      <c r="AH1260" s="74"/>
      <c r="AI1260" s="74"/>
    </row>
    <row r="1261" ht="22.5" customHeight="1">
      <c r="A1261" s="614">
        <v>45868.0</v>
      </c>
      <c r="B1261" s="675" t="s">
        <v>2218</v>
      </c>
      <c r="C1261" s="610">
        <v>330330.0</v>
      </c>
      <c r="D1261" s="609"/>
      <c r="E1261" s="606"/>
      <c r="F1261" s="627" t="s">
        <v>674</v>
      </c>
      <c r="G1261" s="597">
        <v>20.0</v>
      </c>
      <c r="H1261" s="689">
        <f t="shared" si="84"/>
        <v>55055</v>
      </c>
      <c r="I1261" s="599"/>
      <c r="J1261" s="599"/>
      <c r="K1261" s="615" t="s">
        <v>51</v>
      </c>
      <c r="L1261" s="616" t="s">
        <v>944</v>
      </c>
      <c r="M1261" s="612" t="s">
        <v>1012</v>
      </c>
      <c r="N1261" s="612">
        <v>120.0</v>
      </c>
      <c r="O1261" s="662">
        <v>45757.0</v>
      </c>
      <c r="P1261" s="602">
        <f t="shared" si="85"/>
        <v>111</v>
      </c>
      <c r="Q1261" s="622"/>
      <c r="R1261" s="74"/>
      <c r="S1261" s="74"/>
      <c r="T1261" s="74"/>
      <c r="U1261" s="74"/>
      <c r="V1261" s="74"/>
      <c r="W1261" s="74"/>
      <c r="X1261" s="74"/>
      <c r="Y1261" s="74"/>
      <c r="Z1261" s="74"/>
      <c r="AA1261" s="74"/>
      <c r="AB1261" s="74"/>
      <c r="AC1261" s="74"/>
      <c r="AD1261" s="74"/>
      <c r="AE1261" s="74"/>
      <c r="AF1261" s="74"/>
      <c r="AG1261" s="74"/>
      <c r="AH1261" s="74"/>
      <c r="AI1261" s="74"/>
    </row>
    <row r="1262" ht="22.5" customHeight="1">
      <c r="A1262" s="614">
        <v>45868.0</v>
      </c>
      <c r="B1262" s="675" t="s">
        <v>2218</v>
      </c>
      <c r="C1262" s="610">
        <v>792000.02</v>
      </c>
      <c r="D1262" s="609"/>
      <c r="E1262" s="606"/>
      <c r="F1262" s="627" t="s">
        <v>674</v>
      </c>
      <c r="G1262" s="597">
        <v>20.0</v>
      </c>
      <c r="H1262" s="689">
        <f t="shared" si="84"/>
        <v>132000.0033</v>
      </c>
      <c r="I1262" s="599"/>
      <c r="J1262" s="599"/>
      <c r="K1262" s="615" t="s">
        <v>51</v>
      </c>
      <c r="L1262" s="616" t="s">
        <v>944</v>
      </c>
      <c r="M1262" s="612" t="s">
        <v>1012</v>
      </c>
      <c r="N1262" s="612">
        <v>121.0</v>
      </c>
      <c r="O1262" s="662">
        <v>45757.0</v>
      </c>
      <c r="P1262" s="602">
        <f t="shared" si="85"/>
        <v>111</v>
      </c>
      <c r="Q1262" s="622"/>
      <c r="R1262" s="74"/>
      <c r="S1262" s="74"/>
      <c r="T1262" s="74"/>
      <c r="U1262" s="74"/>
      <c r="V1262" s="74"/>
      <c r="W1262" s="74"/>
      <c r="X1262" s="74"/>
      <c r="Y1262" s="74"/>
      <c r="Z1262" s="74"/>
      <c r="AA1262" s="74"/>
      <c r="AB1262" s="74"/>
      <c r="AC1262" s="74"/>
      <c r="AD1262" s="74"/>
      <c r="AE1262" s="74"/>
      <c r="AF1262" s="74"/>
      <c r="AG1262" s="74"/>
      <c r="AH1262" s="74"/>
      <c r="AI1262" s="74"/>
    </row>
    <row r="1263" ht="22.5" customHeight="1">
      <c r="A1263" s="614">
        <v>45868.0</v>
      </c>
      <c r="B1263" s="675" t="s">
        <v>2218</v>
      </c>
      <c r="C1263" s="610">
        <v>330330.0</v>
      </c>
      <c r="D1263" s="609"/>
      <c r="E1263" s="606"/>
      <c r="F1263" s="627" t="s">
        <v>674</v>
      </c>
      <c r="G1263" s="597">
        <v>20.0</v>
      </c>
      <c r="H1263" s="689">
        <f t="shared" si="84"/>
        <v>55055</v>
      </c>
      <c r="I1263" s="599"/>
      <c r="J1263" s="599"/>
      <c r="K1263" s="615" t="s">
        <v>51</v>
      </c>
      <c r="L1263" s="616" t="s">
        <v>944</v>
      </c>
      <c r="M1263" s="612" t="s">
        <v>1012</v>
      </c>
      <c r="N1263" s="612">
        <v>122.0</v>
      </c>
      <c r="O1263" s="662">
        <v>45757.0</v>
      </c>
      <c r="P1263" s="602">
        <f t="shared" si="85"/>
        <v>111</v>
      </c>
      <c r="Q1263" s="622"/>
      <c r="R1263" s="74"/>
      <c r="S1263" s="74"/>
      <c r="T1263" s="74"/>
      <c r="U1263" s="74"/>
      <c r="V1263" s="74"/>
      <c r="W1263" s="74"/>
      <c r="X1263" s="74"/>
      <c r="Y1263" s="74"/>
      <c r="Z1263" s="74"/>
      <c r="AA1263" s="74"/>
      <c r="AB1263" s="74"/>
      <c r="AC1263" s="74"/>
      <c r="AD1263" s="74"/>
      <c r="AE1263" s="74"/>
      <c r="AF1263" s="74"/>
      <c r="AG1263" s="74"/>
      <c r="AH1263" s="74"/>
      <c r="AI1263" s="74"/>
    </row>
    <row r="1264" ht="22.5" customHeight="1">
      <c r="A1264" s="614">
        <v>45868.0</v>
      </c>
      <c r="B1264" s="675" t="s">
        <v>2218</v>
      </c>
      <c r="C1264" s="610">
        <v>189040.5</v>
      </c>
      <c r="D1264" s="609"/>
      <c r="E1264" s="606"/>
      <c r="F1264" s="627" t="s">
        <v>674</v>
      </c>
      <c r="G1264" s="597">
        <v>20.0</v>
      </c>
      <c r="H1264" s="689">
        <f t="shared" si="84"/>
        <v>31506.75</v>
      </c>
      <c r="I1264" s="599"/>
      <c r="J1264" s="599"/>
      <c r="K1264" s="615" t="s">
        <v>51</v>
      </c>
      <c r="L1264" s="616" t="s">
        <v>944</v>
      </c>
      <c r="M1264" s="612" t="s">
        <v>1012</v>
      </c>
      <c r="N1264" s="612">
        <v>123.0</v>
      </c>
      <c r="O1264" s="662">
        <v>45757.0</v>
      </c>
      <c r="P1264" s="602">
        <f t="shared" si="85"/>
        <v>111</v>
      </c>
      <c r="Q1264" s="622"/>
      <c r="R1264" s="74"/>
      <c r="S1264" s="74"/>
      <c r="T1264" s="74"/>
      <c r="U1264" s="74"/>
      <c r="V1264" s="74"/>
      <c r="W1264" s="74"/>
      <c r="X1264" s="74"/>
      <c r="Y1264" s="74"/>
      <c r="Z1264" s="74"/>
      <c r="AA1264" s="74"/>
      <c r="AB1264" s="74"/>
      <c r="AC1264" s="74"/>
      <c r="AD1264" s="74"/>
      <c r="AE1264" s="74"/>
      <c r="AF1264" s="74"/>
      <c r="AG1264" s="74"/>
      <c r="AH1264" s="74"/>
      <c r="AI1264" s="74"/>
    </row>
    <row r="1265" ht="22.5" customHeight="1">
      <c r="A1265" s="614">
        <v>45868.0</v>
      </c>
      <c r="B1265" s="675" t="s">
        <v>2218</v>
      </c>
      <c r="C1265" s="610">
        <v>103403.85</v>
      </c>
      <c r="D1265" s="609"/>
      <c r="E1265" s="606"/>
      <c r="F1265" s="627" t="s">
        <v>674</v>
      </c>
      <c r="G1265" s="597">
        <v>20.0</v>
      </c>
      <c r="H1265" s="689">
        <f t="shared" si="84"/>
        <v>17233.975</v>
      </c>
      <c r="I1265" s="599"/>
      <c r="J1265" s="599"/>
      <c r="K1265" s="615" t="s">
        <v>51</v>
      </c>
      <c r="L1265" s="616" t="s">
        <v>944</v>
      </c>
      <c r="M1265" s="612" t="s">
        <v>1012</v>
      </c>
      <c r="N1265" s="612">
        <v>124.0</v>
      </c>
      <c r="O1265" s="662">
        <v>45757.0</v>
      </c>
      <c r="P1265" s="602">
        <f t="shared" si="85"/>
        <v>111</v>
      </c>
      <c r="Q1265" s="622"/>
      <c r="R1265" s="74"/>
      <c r="S1265" s="74"/>
      <c r="T1265" s="74"/>
      <c r="U1265" s="74"/>
      <c r="V1265" s="74"/>
      <c r="W1265" s="74"/>
      <c r="X1265" s="74"/>
      <c r="Y1265" s="74"/>
      <c r="Z1265" s="74"/>
      <c r="AA1265" s="74"/>
      <c r="AB1265" s="74"/>
      <c r="AC1265" s="74"/>
      <c r="AD1265" s="74"/>
      <c r="AE1265" s="74"/>
      <c r="AF1265" s="74"/>
      <c r="AG1265" s="74"/>
      <c r="AH1265" s="74"/>
      <c r="AI1265" s="74"/>
    </row>
    <row r="1266" ht="22.5" customHeight="1">
      <c r="A1266" s="614">
        <v>45868.0</v>
      </c>
      <c r="B1266" s="675" t="s">
        <v>2218</v>
      </c>
      <c r="C1266" s="610">
        <v>543778.8</v>
      </c>
      <c r="D1266" s="609"/>
      <c r="E1266" s="606"/>
      <c r="F1266" s="627" t="s">
        <v>897</v>
      </c>
      <c r="G1266" s="597">
        <v>20.0</v>
      </c>
      <c r="H1266" s="689">
        <f t="shared" si="84"/>
        <v>90629.8</v>
      </c>
      <c r="I1266" s="599"/>
      <c r="J1266" s="599"/>
      <c r="K1266" s="615" t="s">
        <v>51</v>
      </c>
      <c r="L1266" s="616" t="s">
        <v>641</v>
      </c>
      <c r="M1266" s="612" t="s">
        <v>1013</v>
      </c>
      <c r="N1266" s="612">
        <v>247.0</v>
      </c>
      <c r="O1266" s="662">
        <v>45842.0</v>
      </c>
      <c r="P1266" s="602">
        <f t="shared" si="85"/>
        <v>26</v>
      </c>
      <c r="Q1266" s="622"/>
      <c r="R1266" s="74"/>
      <c r="S1266" s="74"/>
      <c r="T1266" s="74"/>
      <c r="U1266" s="74"/>
      <c r="V1266" s="74"/>
      <c r="W1266" s="74"/>
      <c r="X1266" s="74"/>
      <c r="Y1266" s="74"/>
      <c r="Z1266" s="74"/>
      <c r="AA1266" s="74"/>
      <c r="AB1266" s="74"/>
      <c r="AC1266" s="74"/>
      <c r="AD1266" s="74"/>
      <c r="AE1266" s="74"/>
      <c r="AF1266" s="74"/>
      <c r="AG1266" s="74"/>
      <c r="AH1266" s="74"/>
      <c r="AI1266" s="74"/>
    </row>
    <row r="1267" ht="22.5" customHeight="1">
      <c r="A1267" s="614">
        <v>45869.0</v>
      </c>
      <c r="B1267" s="675" t="s">
        <v>2218</v>
      </c>
      <c r="C1267" s="610">
        <v>608160.0</v>
      </c>
      <c r="D1267" s="610"/>
      <c r="E1267" s="606"/>
      <c r="F1267" s="627" t="s">
        <v>722</v>
      </c>
      <c r="G1267" s="597">
        <v>20.0</v>
      </c>
      <c r="H1267" s="689">
        <f t="shared" si="84"/>
        <v>101360</v>
      </c>
      <c r="I1267" s="599"/>
      <c r="J1267" s="599"/>
      <c r="K1267" s="615" t="s">
        <v>51</v>
      </c>
      <c r="L1267" s="616" t="s">
        <v>1014</v>
      </c>
      <c r="M1267" s="612" t="s">
        <v>993</v>
      </c>
      <c r="N1267" s="612">
        <v>181.0</v>
      </c>
      <c r="O1267" s="662">
        <v>45790.0</v>
      </c>
      <c r="P1267" s="602">
        <f t="shared" si="85"/>
        <v>79</v>
      </c>
      <c r="Q1267" s="622"/>
      <c r="R1267" s="74"/>
      <c r="S1267" s="74"/>
      <c r="T1267" s="74"/>
      <c r="U1267" s="74"/>
      <c r="V1267" s="74"/>
      <c r="W1267" s="74"/>
      <c r="X1267" s="74"/>
      <c r="Y1267" s="74"/>
      <c r="Z1267" s="74"/>
      <c r="AA1267" s="74"/>
      <c r="AB1267" s="74"/>
      <c r="AC1267" s="74"/>
      <c r="AD1267" s="74"/>
      <c r="AE1267" s="74"/>
      <c r="AF1267" s="74"/>
      <c r="AG1267" s="74"/>
      <c r="AH1267" s="74"/>
      <c r="AI1267" s="74"/>
    </row>
    <row r="1268" ht="22.5" customHeight="1">
      <c r="A1268" s="614">
        <v>45869.0</v>
      </c>
      <c r="B1268" s="675" t="s">
        <v>2218</v>
      </c>
      <c r="C1268" s="610">
        <v>840000.0</v>
      </c>
      <c r="D1268" s="610"/>
      <c r="E1268" s="606"/>
      <c r="F1268" s="627" t="s">
        <v>722</v>
      </c>
      <c r="G1268" s="597">
        <v>20.0</v>
      </c>
      <c r="H1268" s="689">
        <f t="shared" si="84"/>
        <v>140000</v>
      </c>
      <c r="I1268" s="599"/>
      <c r="J1268" s="599"/>
      <c r="K1268" s="615" t="s">
        <v>51</v>
      </c>
      <c r="L1268" s="616" t="s">
        <v>1014</v>
      </c>
      <c r="M1268" s="612" t="s">
        <v>754</v>
      </c>
      <c r="N1268" s="612">
        <v>182.0</v>
      </c>
      <c r="O1268" s="662">
        <v>45790.0</v>
      </c>
      <c r="P1268" s="602">
        <f t="shared" si="85"/>
        <v>79</v>
      </c>
      <c r="Q1268" s="622"/>
      <c r="R1268" s="74"/>
      <c r="S1268" s="74"/>
      <c r="T1268" s="74"/>
      <c r="U1268" s="74"/>
      <c r="V1268" s="74"/>
      <c r="W1268" s="74"/>
      <c r="X1268" s="74"/>
      <c r="Y1268" s="74"/>
      <c r="Z1268" s="74"/>
      <c r="AA1268" s="74"/>
      <c r="AB1268" s="74"/>
      <c r="AC1268" s="74"/>
      <c r="AD1268" s="74"/>
      <c r="AE1268" s="74"/>
      <c r="AF1268" s="74"/>
      <c r="AG1268" s="74"/>
      <c r="AH1268" s="74"/>
      <c r="AI1268" s="74"/>
    </row>
    <row r="1269" ht="22.5" customHeight="1">
      <c r="A1269" s="614">
        <v>45869.0</v>
      </c>
      <c r="B1269" s="675" t="s">
        <v>2218</v>
      </c>
      <c r="C1269" s="609"/>
      <c r="D1269" s="610">
        <v>289302.2</v>
      </c>
      <c r="E1269" s="606"/>
      <c r="F1269" s="627" t="s">
        <v>800</v>
      </c>
      <c r="G1269" s="597">
        <v>20.0</v>
      </c>
      <c r="H1269" s="689">
        <f t="shared" si="84"/>
        <v>48217.03333</v>
      </c>
      <c r="I1269" s="599"/>
      <c r="J1269" s="599"/>
      <c r="K1269" s="615" t="s">
        <v>2237</v>
      </c>
      <c r="L1269" s="615" t="s">
        <v>509</v>
      </c>
      <c r="M1269" s="621"/>
      <c r="N1269" s="621"/>
      <c r="O1269" s="621"/>
      <c r="P1269" s="602">
        <f t="shared" si="85"/>
        <v>0</v>
      </c>
      <c r="Q1269" s="682" t="s">
        <v>1015</v>
      </c>
      <c r="R1269" s="74"/>
      <c r="S1269" s="74"/>
      <c r="T1269" s="74"/>
      <c r="U1269" s="74"/>
      <c r="V1269" s="74"/>
      <c r="W1269" s="74"/>
      <c r="X1269" s="74"/>
      <c r="Y1269" s="74"/>
      <c r="Z1269" s="74"/>
      <c r="AA1269" s="74"/>
      <c r="AB1269" s="74"/>
      <c r="AC1269" s="74"/>
      <c r="AD1269" s="74"/>
      <c r="AE1269" s="74"/>
      <c r="AF1269" s="74"/>
      <c r="AG1269" s="74"/>
      <c r="AH1269" s="74"/>
      <c r="AI1269" s="74"/>
    </row>
    <row r="1270" ht="22.5" customHeight="1">
      <c r="A1270" s="614">
        <v>45870.0</v>
      </c>
      <c r="B1270" s="675" t="s">
        <v>2218</v>
      </c>
      <c r="C1270" s="610"/>
      <c r="D1270" s="610">
        <v>314435.84</v>
      </c>
      <c r="E1270" s="606"/>
      <c r="F1270" s="627" t="s">
        <v>722</v>
      </c>
      <c r="G1270" s="597">
        <v>20.0</v>
      </c>
      <c r="H1270" s="689">
        <f t="shared" si="84"/>
        <v>52405.97333</v>
      </c>
      <c r="I1270" s="599"/>
      <c r="J1270" s="599"/>
      <c r="K1270" s="615" t="s">
        <v>44</v>
      </c>
      <c r="L1270" s="700" t="s">
        <v>2247</v>
      </c>
      <c r="M1270" s="621"/>
      <c r="N1270" s="621"/>
      <c r="O1270" s="621"/>
      <c r="P1270" s="602">
        <f t="shared" si="85"/>
        <v>0</v>
      </c>
      <c r="Q1270" s="682" t="s">
        <v>1016</v>
      </c>
      <c r="R1270" s="74"/>
      <c r="S1270" s="74"/>
      <c r="T1270" s="74"/>
      <c r="U1270" s="74"/>
      <c r="V1270" s="74"/>
      <c r="W1270" s="74"/>
      <c r="X1270" s="74"/>
      <c r="Y1270" s="74"/>
      <c r="Z1270" s="74"/>
      <c r="AA1270" s="74"/>
      <c r="AB1270" s="74"/>
      <c r="AC1270" s="74"/>
      <c r="AD1270" s="74"/>
      <c r="AE1270" s="74"/>
      <c r="AF1270" s="74"/>
      <c r="AG1270" s="74"/>
      <c r="AH1270" s="74"/>
      <c r="AI1270" s="74"/>
    </row>
    <row r="1271" ht="22.5" customHeight="1">
      <c r="A1271" s="614">
        <v>45870.0</v>
      </c>
      <c r="B1271" s="675" t="s">
        <v>2218</v>
      </c>
      <c r="C1271" s="609"/>
      <c r="D1271" s="610">
        <v>60000.0</v>
      </c>
      <c r="E1271" s="604" t="s">
        <v>28</v>
      </c>
      <c r="F1271" s="607" t="s">
        <v>1002</v>
      </c>
      <c r="G1271" s="597">
        <v>20.0</v>
      </c>
      <c r="H1271" s="689">
        <f t="shared" si="84"/>
        <v>10000</v>
      </c>
      <c r="I1271" s="599"/>
      <c r="J1271" s="599"/>
      <c r="K1271" s="615" t="s">
        <v>2237</v>
      </c>
      <c r="L1271" s="616" t="s">
        <v>942</v>
      </c>
      <c r="M1271" s="621"/>
      <c r="N1271" s="621"/>
      <c r="O1271" s="621"/>
      <c r="P1271" s="602">
        <f t="shared" si="85"/>
        <v>0</v>
      </c>
      <c r="Q1271" s="613" t="s">
        <v>943</v>
      </c>
      <c r="R1271" s="74"/>
      <c r="S1271" s="74"/>
      <c r="T1271" s="74"/>
      <c r="U1271" s="74"/>
      <c r="V1271" s="74"/>
      <c r="W1271" s="74"/>
      <c r="X1271" s="74"/>
      <c r="Y1271" s="74"/>
      <c r="Z1271" s="74"/>
      <c r="AA1271" s="74"/>
      <c r="AB1271" s="74"/>
      <c r="AC1271" s="74"/>
      <c r="AD1271" s="74"/>
      <c r="AE1271" s="74"/>
      <c r="AF1271" s="74"/>
      <c r="AG1271" s="74"/>
      <c r="AH1271" s="74"/>
      <c r="AI1271" s="74"/>
    </row>
    <row r="1272" ht="22.5" customHeight="1">
      <c r="A1272" s="614">
        <v>45873.0</v>
      </c>
      <c r="B1272" s="675" t="s">
        <v>2218</v>
      </c>
      <c r="C1272" s="609"/>
      <c r="D1272" s="610">
        <v>56000.0</v>
      </c>
      <c r="E1272" s="606"/>
      <c r="F1272" s="607" t="s">
        <v>1002</v>
      </c>
      <c r="G1272" s="597">
        <v>5.0</v>
      </c>
      <c r="H1272" s="689">
        <f t="shared" si="84"/>
        <v>2666.666667</v>
      </c>
      <c r="I1272" s="599"/>
      <c r="J1272" s="599"/>
      <c r="K1272" s="615" t="s">
        <v>2240</v>
      </c>
      <c r="L1272" s="616" t="s">
        <v>968</v>
      </c>
      <c r="M1272" s="621"/>
      <c r="N1272" s="621"/>
      <c r="O1272" s="621"/>
      <c r="P1272" s="602"/>
      <c r="Q1272" s="613" t="s">
        <v>1017</v>
      </c>
      <c r="R1272" s="74"/>
      <c r="S1272" s="74"/>
      <c r="T1272" s="74"/>
      <c r="U1272" s="74"/>
      <c r="V1272" s="74"/>
      <c r="W1272" s="74"/>
      <c r="X1272" s="74"/>
      <c r="Y1272" s="74"/>
      <c r="Z1272" s="74"/>
      <c r="AA1272" s="74"/>
      <c r="AB1272" s="74"/>
      <c r="AC1272" s="74"/>
      <c r="AD1272" s="74"/>
      <c r="AE1272" s="74"/>
      <c r="AF1272" s="74"/>
      <c r="AG1272" s="74"/>
      <c r="AH1272" s="74"/>
      <c r="AI1272" s="74"/>
    </row>
    <row r="1273" ht="22.5" customHeight="1">
      <c r="A1273" s="614">
        <v>45873.0</v>
      </c>
      <c r="B1273" s="675" t="s">
        <v>2218</v>
      </c>
      <c r="C1273" s="609"/>
      <c r="D1273" s="610">
        <v>200000.0</v>
      </c>
      <c r="E1273" s="606"/>
      <c r="F1273" s="607" t="s">
        <v>1002</v>
      </c>
      <c r="G1273" s="597">
        <v>20.0</v>
      </c>
      <c r="H1273" s="689">
        <f t="shared" si="84"/>
        <v>33333.33333</v>
      </c>
      <c r="I1273" s="599"/>
      <c r="J1273" s="599"/>
      <c r="K1273" s="615" t="s">
        <v>616</v>
      </c>
      <c r="L1273" s="616" t="s">
        <v>523</v>
      </c>
      <c r="M1273" s="621"/>
      <c r="N1273" s="621"/>
      <c r="O1273" s="621"/>
      <c r="P1273" s="602"/>
      <c r="Q1273" s="613" t="s">
        <v>1018</v>
      </c>
      <c r="R1273" s="74"/>
      <c r="S1273" s="74"/>
      <c r="T1273" s="74"/>
      <c r="U1273" s="74"/>
      <c r="V1273" s="74"/>
      <c r="W1273" s="74"/>
      <c r="X1273" s="74"/>
      <c r="Y1273" s="74"/>
      <c r="Z1273" s="74"/>
      <c r="AA1273" s="74"/>
      <c r="AB1273" s="74"/>
      <c r="AC1273" s="74"/>
      <c r="AD1273" s="74"/>
      <c r="AE1273" s="74"/>
      <c r="AF1273" s="74"/>
      <c r="AG1273" s="74"/>
      <c r="AH1273" s="74"/>
      <c r="AI1273" s="74"/>
    </row>
    <row r="1274" ht="22.5" customHeight="1">
      <c r="A1274" s="614">
        <v>45873.0</v>
      </c>
      <c r="B1274" s="675" t="s">
        <v>2218</v>
      </c>
      <c r="C1274" s="609"/>
      <c r="D1274" s="609"/>
      <c r="E1274" s="604" t="s">
        <v>33</v>
      </c>
      <c r="F1274" s="607" t="s">
        <v>1002</v>
      </c>
      <c r="G1274" s="688">
        <v>0.0</v>
      </c>
      <c r="H1274" s="689">
        <f t="shared" si="84"/>
        <v>0</v>
      </c>
      <c r="I1274" s="599"/>
      <c r="J1274" s="605">
        <v>10000.0</v>
      </c>
      <c r="K1274" s="615" t="s">
        <v>494</v>
      </c>
      <c r="L1274" s="616" t="s">
        <v>1019</v>
      </c>
      <c r="M1274" s="621"/>
      <c r="N1274" s="621"/>
      <c r="O1274" s="621"/>
      <c r="P1274" s="602">
        <f t="shared" ref="P1274:P1317" si="86">A1274-IF(O1274&gt;0,O1274,A1274)</f>
        <v>0</v>
      </c>
      <c r="Q1274" s="622"/>
      <c r="R1274" s="74"/>
      <c r="S1274" s="74"/>
      <c r="T1274" s="74"/>
      <c r="U1274" s="74"/>
      <c r="V1274" s="74"/>
      <c r="W1274" s="74"/>
      <c r="X1274" s="74"/>
      <c r="Y1274" s="74"/>
      <c r="Z1274" s="74"/>
      <c r="AA1274" s="74"/>
      <c r="AB1274" s="74"/>
      <c r="AC1274" s="74"/>
      <c r="AD1274" s="74"/>
      <c r="AE1274" s="74"/>
      <c r="AF1274" s="74"/>
      <c r="AG1274" s="74"/>
      <c r="AH1274" s="74"/>
      <c r="AI1274" s="74"/>
    </row>
    <row r="1275" ht="22.5" customHeight="1">
      <c r="A1275" s="614">
        <v>45875.0</v>
      </c>
      <c r="B1275" s="675" t="s">
        <v>2218</v>
      </c>
      <c r="C1275" s="609"/>
      <c r="D1275" s="610">
        <v>7095.0</v>
      </c>
      <c r="E1275" s="606"/>
      <c r="F1275" s="607" t="s">
        <v>1002</v>
      </c>
      <c r="G1275" s="597">
        <v>0.0</v>
      </c>
      <c r="H1275" s="689">
        <f t="shared" si="84"/>
        <v>0</v>
      </c>
      <c r="I1275" s="599"/>
      <c r="J1275" s="599"/>
      <c r="K1275" s="615" t="s">
        <v>2240</v>
      </c>
      <c r="L1275" s="616" t="s">
        <v>1020</v>
      </c>
      <c r="M1275" s="621"/>
      <c r="N1275" s="621"/>
      <c r="O1275" s="621"/>
      <c r="P1275" s="602">
        <f t="shared" si="86"/>
        <v>0</v>
      </c>
      <c r="Q1275" s="622"/>
      <c r="R1275" s="74"/>
      <c r="S1275" s="74"/>
      <c r="T1275" s="74"/>
      <c r="U1275" s="74"/>
      <c r="V1275" s="74"/>
      <c r="W1275" s="74"/>
      <c r="X1275" s="74"/>
      <c r="Y1275" s="74"/>
      <c r="Z1275" s="74"/>
      <c r="AA1275" s="74"/>
      <c r="AB1275" s="74"/>
      <c r="AC1275" s="74"/>
      <c r="AD1275" s="74"/>
      <c r="AE1275" s="74"/>
      <c r="AF1275" s="74"/>
      <c r="AG1275" s="74"/>
      <c r="AH1275" s="74"/>
      <c r="AI1275" s="74"/>
    </row>
    <row r="1276" ht="22.5" customHeight="1">
      <c r="A1276" s="614">
        <v>45876.0</v>
      </c>
      <c r="B1276" s="675" t="s">
        <v>2218</v>
      </c>
      <c r="C1276" s="609"/>
      <c r="D1276" s="610">
        <v>203731.96</v>
      </c>
      <c r="E1276" s="606"/>
      <c r="F1276" s="627" t="s">
        <v>800</v>
      </c>
      <c r="G1276" s="597">
        <v>20.0</v>
      </c>
      <c r="H1276" s="689">
        <f t="shared" si="84"/>
        <v>33955.32667</v>
      </c>
      <c r="I1276" s="599"/>
      <c r="J1276" s="599"/>
      <c r="K1276" s="615" t="s">
        <v>101</v>
      </c>
      <c r="L1276" s="698" t="s">
        <v>632</v>
      </c>
      <c r="M1276" s="621"/>
      <c r="N1276" s="621"/>
      <c r="O1276" s="621"/>
      <c r="P1276" s="602">
        <f t="shared" si="86"/>
        <v>0</v>
      </c>
      <c r="Q1276" s="682" t="s">
        <v>1021</v>
      </c>
      <c r="R1276" s="74"/>
      <c r="S1276" s="74"/>
      <c r="T1276" s="74"/>
      <c r="U1276" s="74"/>
      <c r="V1276" s="74"/>
      <c r="W1276" s="74"/>
      <c r="X1276" s="74"/>
      <c r="Y1276" s="74"/>
      <c r="Z1276" s="74"/>
      <c r="AA1276" s="74"/>
      <c r="AB1276" s="74"/>
      <c r="AC1276" s="74"/>
      <c r="AD1276" s="74"/>
      <c r="AE1276" s="74"/>
      <c r="AF1276" s="74"/>
      <c r="AG1276" s="74"/>
      <c r="AH1276" s="74"/>
      <c r="AI1276" s="74"/>
    </row>
    <row r="1277" ht="22.5" customHeight="1">
      <c r="A1277" s="614">
        <v>45876.0</v>
      </c>
      <c r="B1277" s="675" t="s">
        <v>2218</v>
      </c>
      <c r="C1277" s="609"/>
      <c r="D1277" s="610">
        <v>9053.643</v>
      </c>
      <c r="E1277" s="606"/>
      <c r="F1277" s="627" t="s">
        <v>800</v>
      </c>
      <c r="G1277" s="597">
        <v>20.0</v>
      </c>
      <c r="H1277" s="689">
        <f t="shared" si="84"/>
        <v>1508.9405</v>
      </c>
      <c r="I1277" s="599"/>
      <c r="J1277" s="599"/>
      <c r="K1277" s="615" t="s">
        <v>101</v>
      </c>
      <c r="L1277" s="698" t="s">
        <v>973</v>
      </c>
      <c r="M1277" s="621"/>
      <c r="N1277" s="621"/>
      <c r="O1277" s="621"/>
      <c r="P1277" s="602">
        <f t="shared" si="86"/>
        <v>0</v>
      </c>
      <c r="Q1277" s="682" t="s">
        <v>1022</v>
      </c>
      <c r="R1277" s="74"/>
      <c r="S1277" s="74"/>
      <c r="T1277" s="74"/>
      <c r="U1277" s="74"/>
      <c r="V1277" s="74"/>
      <c r="W1277" s="74"/>
      <c r="X1277" s="74"/>
      <c r="Y1277" s="74"/>
      <c r="Z1277" s="74"/>
      <c r="AA1277" s="74"/>
      <c r="AB1277" s="74"/>
      <c r="AC1277" s="74"/>
      <c r="AD1277" s="74"/>
      <c r="AE1277" s="74"/>
      <c r="AF1277" s="74"/>
      <c r="AG1277" s="74"/>
      <c r="AH1277" s="74"/>
      <c r="AI1277" s="74"/>
    </row>
    <row r="1278" ht="22.5" customHeight="1">
      <c r="A1278" s="614">
        <v>45876.0</v>
      </c>
      <c r="B1278" s="675" t="s">
        <v>2218</v>
      </c>
      <c r="C1278" s="609"/>
      <c r="D1278" s="610">
        <v>6885.36</v>
      </c>
      <c r="E1278" s="606"/>
      <c r="F1278" s="627" t="s">
        <v>800</v>
      </c>
      <c r="G1278" s="597">
        <v>20.0</v>
      </c>
      <c r="H1278" s="689">
        <f t="shared" si="84"/>
        <v>1147.56</v>
      </c>
      <c r="I1278" s="599"/>
      <c r="J1278" s="599"/>
      <c r="K1278" s="615" t="s">
        <v>101</v>
      </c>
      <c r="L1278" s="698" t="s">
        <v>976</v>
      </c>
      <c r="M1278" s="621"/>
      <c r="N1278" s="621"/>
      <c r="O1278" s="621"/>
      <c r="P1278" s="602">
        <f t="shared" si="86"/>
        <v>0</v>
      </c>
      <c r="Q1278" s="682" t="s">
        <v>1023</v>
      </c>
      <c r="R1278" s="74"/>
      <c r="S1278" s="74"/>
      <c r="T1278" s="74"/>
      <c r="U1278" s="74"/>
      <c r="V1278" s="74"/>
      <c r="W1278" s="74"/>
      <c r="X1278" s="74"/>
      <c r="Y1278" s="74"/>
      <c r="Z1278" s="74"/>
      <c r="AA1278" s="74"/>
      <c r="AB1278" s="74"/>
      <c r="AC1278" s="74"/>
      <c r="AD1278" s="74"/>
      <c r="AE1278" s="74"/>
      <c r="AF1278" s="74"/>
      <c r="AG1278" s="74"/>
      <c r="AH1278" s="74"/>
      <c r="AI1278" s="74"/>
    </row>
    <row r="1279" ht="22.5" customHeight="1">
      <c r="A1279" s="614">
        <v>45876.0</v>
      </c>
      <c r="B1279" s="675" t="s">
        <v>2218</v>
      </c>
      <c r="C1279" s="609"/>
      <c r="D1279" s="610">
        <v>182281.0</v>
      </c>
      <c r="E1279" s="604" t="s">
        <v>28</v>
      </c>
      <c r="F1279" s="627" t="s">
        <v>800</v>
      </c>
      <c r="G1279" s="597">
        <v>20.0</v>
      </c>
      <c r="H1279" s="689">
        <f t="shared" si="84"/>
        <v>30380.16667</v>
      </c>
      <c r="I1279" s="599"/>
      <c r="J1279" s="599"/>
      <c r="K1279" s="615" t="s">
        <v>101</v>
      </c>
      <c r="L1279" s="698" t="s">
        <v>631</v>
      </c>
      <c r="M1279" s="621"/>
      <c r="N1279" s="621"/>
      <c r="O1279" s="621"/>
      <c r="P1279" s="602">
        <f t="shared" si="86"/>
        <v>0</v>
      </c>
      <c r="Q1279" s="682" t="s">
        <v>1024</v>
      </c>
      <c r="R1279" s="74"/>
      <c r="S1279" s="74"/>
      <c r="T1279" s="74"/>
      <c r="U1279" s="74"/>
      <c r="V1279" s="74"/>
      <c r="W1279" s="74"/>
      <c r="X1279" s="74"/>
      <c r="Y1279" s="74"/>
      <c r="Z1279" s="74"/>
      <c r="AA1279" s="74"/>
      <c r="AB1279" s="74"/>
      <c r="AC1279" s="74"/>
      <c r="AD1279" s="74"/>
      <c r="AE1279" s="74"/>
      <c r="AF1279" s="74"/>
      <c r="AG1279" s="74"/>
      <c r="AH1279" s="74"/>
      <c r="AI1279" s="74"/>
    </row>
    <row r="1280" ht="22.5" customHeight="1">
      <c r="A1280" s="614">
        <v>45876.0</v>
      </c>
      <c r="B1280" s="675" t="s">
        <v>2218</v>
      </c>
      <c r="C1280" s="609"/>
      <c r="D1280" s="610">
        <v>343837.36</v>
      </c>
      <c r="E1280" s="606"/>
      <c r="F1280" s="627" t="s">
        <v>800</v>
      </c>
      <c r="G1280" s="597">
        <v>20.0</v>
      </c>
      <c r="H1280" s="689">
        <f t="shared" si="84"/>
        <v>57306.22667</v>
      </c>
      <c r="I1280" s="599"/>
      <c r="J1280" s="599"/>
      <c r="K1280" s="615" t="s">
        <v>101</v>
      </c>
      <c r="L1280" s="698" t="s">
        <v>670</v>
      </c>
      <c r="M1280" s="621"/>
      <c r="N1280" s="621"/>
      <c r="O1280" s="621"/>
      <c r="P1280" s="602">
        <f t="shared" si="86"/>
        <v>0</v>
      </c>
      <c r="Q1280" s="682" t="s">
        <v>1025</v>
      </c>
      <c r="R1280" s="74"/>
      <c r="S1280" s="74"/>
      <c r="T1280" s="74"/>
      <c r="U1280" s="74"/>
      <c r="V1280" s="74"/>
      <c r="W1280" s="74"/>
      <c r="X1280" s="74"/>
      <c r="Y1280" s="74"/>
      <c r="Z1280" s="74"/>
      <c r="AA1280" s="74"/>
      <c r="AB1280" s="74"/>
      <c r="AC1280" s="74"/>
      <c r="AD1280" s="74"/>
      <c r="AE1280" s="74"/>
      <c r="AF1280" s="74"/>
      <c r="AG1280" s="74"/>
      <c r="AH1280" s="74"/>
      <c r="AI1280" s="74"/>
    </row>
    <row r="1281" ht="22.5" customHeight="1">
      <c r="A1281" s="614">
        <v>45876.0</v>
      </c>
      <c r="B1281" s="675" t="s">
        <v>2218</v>
      </c>
      <c r="C1281" s="609"/>
      <c r="D1281" s="610">
        <v>30536.25</v>
      </c>
      <c r="E1281" s="606"/>
      <c r="F1281" s="627" t="s">
        <v>800</v>
      </c>
      <c r="G1281" s="597">
        <v>5.0</v>
      </c>
      <c r="H1281" s="689">
        <f t="shared" si="84"/>
        <v>1454.107143</v>
      </c>
      <c r="I1281" s="599"/>
      <c r="J1281" s="599"/>
      <c r="K1281" s="615" t="s">
        <v>101</v>
      </c>
      <c r="L1281" s="698" t="s">
        <v>671</v>
      </c>
      <c r="M1281" s="621"/>
      <c r="N1281" s="621"/>
      <c r="O1281" s="621"/>
      <c r="P1281" s="602">
        <f t="shared" si="86"/>
        <v>0</v>
      </c>
      <c r="Q1281" s="682" t="s">
        <v>1026</v>
      </c>
      <c r="R1281" s="74"/>
      <c r="S1281" s="74"/>
      <c r="T1281" s="74"/>
      <c r="U1281" s="74"/>
      <c r="V1281" s="74"/>
      <c r="W1281" s="74"/>
      <c r="X1281" s="74"/>
      <c r="Y1281" s="74"/>
      <c r="Z1281" s="74"/>
      <c r="AA1281" s="74"/>
      <c r="AB1281" s="74"/>
      <c r="AC1281" s="74"/>
      <c r="AD1281" s="74"/>
      <c r="AE1281" s="74"/>
      <c r="AF1281" s="74"/>
      <c r="AG1281" s="74"/>
      <c r="AH1281" s="74"/>
      <c r="AI1281" s="74"/>
    </row>
    <row r="1282" ht="22.5" customHeight="1">
      <c r="A1282" s="614">
        <v>45876.0</v>
      </c>
      <c r="B1282" s="675" t="s">
        <v>2218</v>
      </c>
      <c r="C1282" s="609"/>
      <c r="D1282" s="610">
        <v>558279.0</v>
      </c>
      <c r="E1282" s="606"/>
      <c r="F1282" s="627" t="s">
        <v>800</v>
      </c>
      <c r="G1282" s="597">
        <v>20.0</v>
      </c>
      <c r="H1282" s="689">
        <f t="shared" si="84"/>
        <v>93046.5</v>
      </c>
      <c r="I1282" s="599"/>
      <c r="J1282" s="599"/>
      <c r="K1282" s="615" t="s">
        <v>101</v>
      </c>
      <c r="L1282" s="698" t="s">
        <v>597</v>
      </c>
      <c r="M1282" s="621"/>
      <c r="N1282" s="621"/>
      <c r="O1282" s="621"/>
      <c r="P1282" s="602">
        <f t="shared" si="86"/>
        <v>0</v>
      </c>
      <c r="Q1282" s="682" t="s">
        <v>1027</v>
      </c>
      <c r="R1282" s="74"/>
      <c r="S1282" s="74"/>
      <c r="T1282" s="74"/>
      <c r="U1282" s="74"/>
      <c r="V1282" s="74"/>
      <c r="W1282" s="74"/>
      <c r="X1282" s="74"/>
      <c r="Y1282" s="74"/>
      <c r="Z1282" s="74"/>
      <c r="AA1282" s="74"/>
      <c r="AB1282" s="74"/>
      <c r="AC1282" s="74"/>
      <c r="AD1282" s="74"/>
      <c r="AE1282" s="74"/>
      <c r="AF1282" s="74"/>
      <c r="AG1282" s="74"/>
      <c r="AH1282" s="74"/>
      <c r="AI1282" s="74"/>
    </row>
    <row r="1283" ht="22.5" customHeight="1">
      <c r="A1283" s="614">
        <v>45876.0</v>
      </c>
      <c r="B1283" s="675" t="s">
        <v>2218</v>
      </c>
      <c r="C1283" s="609"/>
      <c r="D1283" s="610">
        <v>172419.3</v>
      </c>
      <c r="E1283" s="606"/>
      <c r="F1283" s="627" t="s">
        <v>800</v>
      </c>
      <c r="G1283" s="597">
        <v>20.0</v>
      </c>
      <c r="H1283" s="689">
        <f t="shared" si="84"/>
        <v>28736.55</v>
      </c>
      <c r="I1283" s="599"/>
      <c r="J1283" s="599"/>
      <c r="K1283" s="615" t="s">
        <v>101</v>
      </c>
      <c r="L1283" s="698" t="s">
        <v>643</v>
      </c>
      <c r="M1283" s="621"/>
      <c r="N1283" s="621"/>
      <c r="O1283" s="621"/>
      <c r="P1283" s="602">
        <f t="shared" si="86"/>
        <v>0</v>
      </c>
      <c r="Q1283" s="682" t="s">
        <v>1028</v>
      </c>
      <c r="R1283" s="74"/>
      <c r="S1283" s="74"/>
      <c r="T1283" s="74"/>
      <c r="U1283" s="74"/>
      <c r="V1283" s="74"/>
      <c r="W1283" s="74"/>
      <c r="X1283" s="74"/>
      <c r="Y1283" s="74"/>
      <c r="Z1283" s="74"/>
      <c r="AA1283" s="74"/>
      <c r="AB1283" s="74"/>
      <c r="AC1283" s="74"/>
      <c r="AD1283" s="74"/>
      <c r="AE1283" s="74"/>
      <c r="AF1283" s="74"/>
      <c r="AG1283" s="74"/>
      <c r="AH1283" s="74"/>
      <c r="AI1283" s="74"/>
    </row>
    <row r="1284" ht="22.5" customHeight="1">
      <c r="A1284" s="614">
        <v>45876.0</v>
      </c>
      <c r="B1284" s="675" t="s">
        <v>2218</v>
      </c>
      <c r="C1284" s="609"/>
      <c r="D1284" s="610">
        <v>296695.8</v>
      </c>
      <c r="E1284" s="606"/>
      <c r="F1284" s="627" t="s">
        <v>800</v>
      </c>
      <c r="G1284" s="597">
        <v>20.0</v>
      </c>
      <c r="H1284" s="689">
        <f t="shared" si="84"/>
        <v>49449.3</v>
      </c>
      <c r="I1284" s="599"/>
      <c r="J1284" s="599"/>
      <c r="K1284" s="615" t="s">
        <v>101</v>
      </c>
      <c r="L1284" s="698" t="s">
        <v>820</v>
      </c>
      <c r="M1284" s="621"/>
      <c r="N1284" s="621"/>
      <c r="O1284" s="621"/>
      <c r="P1284" s="602">
        <f t="shared" si="86"/>
        <v>0</v>
      </c>
      <c r="Q1284" s="682" t="s">
        <v>1029</v>
      </c>
      <c r="R1284" s="74"/>
      <c r="S1284" s="74"/>
      <c r="T1284" s="74"/>
      <c r="U1284" s="74"/>
      <c r="V1284" s="74"/>
      <c r="W1284" s="74"/>
      <c r="X1284" s="74"/>
      <c r="Y1284" s="74"/>
      <c r="Z1284" s="74"/>
      <c r="AA1284" s="74"/>
      <c r="AB1284" s="74"/>
      <c r="AC1284" s="74"/>
      <c r="AD1284" s="74"/>
      <c r="AE1284" s="74"/>
      <c r="AF1284" s="74"/>
      <c r="AG1284" s="74"/>
      <c r="AH1284" s="74"/>
      <c r="AI1284" s="74"/>
    </row>
    <row r="1285" ht="22.5" customHeight="1">
      <c r="A1285" s="614">
        <v>45876.0</v>
      </c>
      <c r="B1285" s="675" t="s">
        <v>2218</v>
      </c>
      <c r="C1285" s="609"/>
      <c r="D1285" s="610">
        <v>44105.4</v>
      </c>
      <c r="E1285" s="606"/>
      <c r="F1285" s="627" t="s">
        <v>800</v>
      </c>
      <c r="G1285" s="597">
        <v>20.0</v>
      </c>
      <c r="H1285" s="689">
        <f t="shared" si="84"/>
        <v>7350.9</v>
      </c>
      <c r="I1285" s="599"/>
      <c r="J1285" s="599"/>
      <c r="K1285" s="615" t="s">
        <v>101</v>
      </c>
      <c r="L1285" s="698" t="s">
        <v>1030</v>
      </c>
      <c r="M1285" s="621"/>
      <c r="N1285" s="621"/>
      <c r="O1285" s="621"/>
      <c r="P1285" s="602">
        <f t="shared" si="86"/>
        <v>0</v>
      </c>
      <c r="Q1285" s="682" t="s">
        <v>1031</v>
      </c>
      <c r="R1285" s="74"/>
      <c r="S1285" s="74"/>
      <c r="T1285" s="74"/>
      <c r="U1285" s="74"/>
      <c r="V1285" s="74"/>
      <c r="W1285" s="74"/>
      <c r="X1285" s="74"/>
      <c r="Y1285" s="74"/>
      <c r="Z1285" s="74"/>
      <c r="AA1285" s="74"/>
      <c r="AB1285" s="74"/>
      <c r="AC1285" s="74"/>
      <c r="AD1285" s="74"/>
      <c r="AE1285" s="74"/>
      <c r="AF1285" s="74"/>
      <c r="AG1285" s="74"/>
      <c r="AH1285" s="74"/>
      <c r="AI1285" s="74"/>
    </row>
    <row r="1286" ht="22.5" customHeight="1">
      <c r="A1286" s="614">
        <v>45876.0</v>
      </c>
      <c r="B1286" s="675" t="s">
        <v>2218</v>
      </c>
      <c r="C1286" s="609"/>
      <c r="D1286" s="610">
        <v>53078.24</v>
      </c>
      <c r="E1286" s="606"/>
      <c r="F1286" s="627" t="s">
        <v>800</v>
      </c>
      <c r="G1286" s="597">
        <v>5.0</v>
      </c>
      <c r="H1286" s="689">
        <f t="shared" si="84"/>
        <v>2527.535238</v>
      </c>
      <c r="I1286" s="599"/>
      <c r="J1286" s="599"/>
      <c r="K1286" s="615" t="s">
        <v>101</v>
      </c>
      <c r="L1286" s="698" t="s">
        <v>1032</v>
      </c>
      <c r="M1286" s="621"/>
      <c r="N1286" s="621"/>
      <c r="O1286" s="621"/>
      <c r="P1286" s="602">
        <f t="shared" si="86"/>
        <v>0</v>
      </c>
      <c r="Q1286" s="682" t="s">
        <v>1033</v>
      </c>
      <c r="R1286" s="74"/>
      <c r="S1286" s="74"/>
      <c r="T1286" s="74"/>
      <c r="U1286" s="74"/>
      <c r="V1286" s="74"/>
      <c r="W1286" s="74"/>
      <c r="X1286" s="74"/>
      <c r="Y1286" s="74"/>
      <c r="Z1286" s="74"/>
      <c r="AA1286" s="74"/>
      <c r="AB1286" s="74"/>
      <c r="AC1286" s="74"/>
      <c r="AD1286" s="74"/>
      <c r="AE1286" s="74"/>
      <c r="AF1286" s="74"/>
      <c r="AG1286" s="74"/>
      <c r="AH1286" s="74"/>
      <c r="AI1286" s="74"/>
    </row>
    <row r="1287" ht="22.5" customHeight="1">
      <c r="A1287" s="614">
        <v>45876.0</v>
      </c>
      <c r="B1287" s="675" t="s">
        <v>2218</v>
      </c>
      <c r="C1287" s="609"/>
      <c r="D1287" s="610">
        <v>77438.1</v>
      </c>
      <c r="E1287" s="606"/>
      <c r="F1287" s="627" t="s">
        <v>800</v>
      </c>
      <c r="G1287" s="597">
        <v>5.0</v>
      </c>
      <c r="H1287" s="689">
        <f t="shared" si="84"/>
        <v>3687.528571</v>
      </c>
      <c r="I1287" s="599"/>
      <c r="J1287" s="599"/>
      <c r="K1287" s="615" t="s">
        <v>101</v>
      </c>
      <c r="L1287" s="698" t="s">
        <v>818</v>
      </c>
      <c r="M1287" s="621"/>
      <c r="N1287" s="621"/>
      <c r="O1287" s="621"/>
      <c r="P1287" s="602">
        <f t="shared" si="86"/>
        <v>0</v>
      </c>
      <c r="Q1287" s="682" t="s">
        <v>1034</v>
      </c>
      <c r="R1287" s="74"/>
      <c r="S1287" s="74"/>
      <c r="T1287" s="74"/>
      <c r="U1287" s="74"/>
      <c r="V1287" s="74"/>
      <c r="W1287" s="74"/>
      <c r="X1287" s="74"/>
      <c r="Y1287" s="74"/>
      <c r="Z1287" s="74"/>
      <c r="AA1287" s="74"/>
      <c r="AB1287" s="74"/>
      <c r="AC1287" s="74"/>
      <c r="AD1287" s="74"/>
      <c r="AE1287" s="74"/>
      <c r="AF1287" s="74"/>
      <c r="AG1287" s="74"/>
      <c r="AH1287" s="74"/>
      <c r="AI1287" s="74"/>
    </row>
    <row r="1288" ht="22.5" customHeight="1">
      <c r="A1288" s="614">
        <v>45876.0</v>
      </c>
      <c r="B1288" s="675" t="s">
        <v>2218</v>
      </c>
      <c r="C1288" s="609"/>
      <c r="D1288" s="610">
        <v>134000.0</v>
      </c>
      <c r="E1288" s="606"/>
      <c r="F1288" s="627" t="s">
        <v>800</v>
      </c>
      <c r="G1288" s="688">
        <v>0.0</v>
      </c>
      <c r="H1288" s="689">
        <f t="shared" si="84"/>
        <v>0</v>
      </c>
      <c r="I1288" s="599"/>
      <c r="J1288" s="599"/>
      <c r="K1288" s="615" t="s">
        <v>286</v>
      </c>
      <c r="L1288" s="700" t="s">
        <v>454</v>
      </c>
      <c r="M1288" s="621"/>
      <c r="N1288" s="621"/>
      <c r="O1288" s="621"/>
      <c r="P1288" s="602">
        <f t="shared" si="86"/>
        <v>0</v>
      </c>
      <c r="Q1288" s="682" t="s">
        <v>1035</v>
      </c>
      <c r="R1288" s="74"/>
      <c r="S1288" s="74"/>
      <c r="T1288" s="74"/>
      <c r="U1288" s="74"/>
      <c r="V1288" s="74"/>
      <c r="W1288" s="74"/>
      <c r="X1288" s="74"/>
      <c r="Y1288" s="74"/>
      <c r="Z1288" s="74"/>
      <c r="AA1288" s="74"/>
      <c r="AB1288" s="74"/>
      <c r="AC1288" s="74"/>
      <c r="AD1288" s="74"/>
      <c r="AE1288" s="74"/>
      <c r="AF1288" s="74"/>
      <c r="AG1288" s="74"/>
      <c r="AH1288" s="74"/>
      <c r="AI1288" s="74"/>
    </row>
    <row r="1289" ht="22.5" customHeight="1">
      <c r="A1289" s="614">
        <v>45876.0</v>
      </c>
      <c r="B1289" s="675" t="s">
        <v>2218</v>
      </c>
      <c r="C1289" s="609"/>
      <c r="D1289" s="610">
        <v>319713.64</v>
      </c>
      <c r="E1289" s="606"/>
      <c r="F1289" s="627" t="s">
        <v>800</v>
      </c>
      <c r="G1289" s="597">
        <v>20.0</v>
      </c>
      <c r="H1289" s="689">
        <f t="shared" si="84"/>
        <v>53285.60667</v>
      </c>
      <c r="I1289" s="599"/>
      <c r="J1289" s="599"/>
      <c r="K1289" s="615" t="s">
        <v>44</v>
      </c>
      <c r="L1289" s="700" t="s">
        <v>2247</v>
      </c>
      <c r="M1289" s="621"/>
      <c r="N1289" s="621"/>
      <c r="O1289" s="621"/>
      <c r="P1289" s="602">
        <f t="shared" si="86"/>
        <v>0</v>
      </c>
      <c r="Q1289" s="682" t="s">
        <v>1036</v>
      </c>
      <c r="R1289" s="74"/>
      <c r="S1289" s="74"/>
      <c r="T1289" s="74"/>
      <c r="U1289" s="74"/>
      <c r="V1289" s="74"/>
      <c r="W1289" s="74"/>
      <c r="X1289" s="74"/>
      <c r="Y1289" s="74"/>
      <c r="Z1289" s="74"/>
      <c r="AA1289" s="74"/>
      <c r="AB1289" s="74"/>
      <c r="AC1289" s="74"/>
      <c r="AD1289" s="74"/>
      <c r="AE1289" s="74"/>
      <c r="AF1289" s="74"/>
      <c r="AG1289" s="74"/>
      <c r="AH1289" s="74"/>
      <c r="AI1289" s="74"/>
    </row>
    <row r="1290" ht="22.5" customHeight="1">
      <c r="A1290" s="614">
        <v>45876.0</v>
      </c>
      <c r="B1290" s="675" t="s">
        <v>2218</v>
      </c>
      <c r="C1290" s="609"/>
      <c r="D1290" s="610">
        <v>550000.0</v>
      </c>
      <c r="E1290" s="604" t="s">
        <v>28</v>
      </c>
      <c r="F1290" s="627" t="s">
        <v>941</v>
      </c>
      <c r="G1290" s="597">
        <v>0.0</v>
      </c>
      <c r="H1290" s="689">
        <f t="shared" si="84"/>
        <v>0</v>
      </c>
      <c r="I1290" s="599"/>
      <c r="J1290" s="599"/>
      <c r="K1290" s="615" t="s">
        <v>2230</v>
      </c>
      <c r="L1290" s="616" t="s">
        <v>505</v>
      </c>
      <c r="M1290" s="621"/>
      <c r="N1290" s="621"/>
      <c r="O1290" s="621"/>
      <c r="P1290" s="602">
        <f t="shared" si="86"/>
        <v>0</v>
      </c>
      <c r="Q1290" s="622"/>
      <c r="R1290" s="74"/>
      <c r="S1290" s="74"/>
      <c r="T1290" s="74"/>
      <c r="U1290" s="74"/>
      <c r="V1290" s="74"/>
      <c r="W1290" s="74"/>
      <c r="X1290" s="74"/>
      <c r="Y1290" s="74"/>
      <c r="Z1290" s="74"/>
      <c r="AA1290" s="74"/>
      <c r="AB1290" s="74"/>
      <c r="AC1290" s="74"/>
      <c r="AD1290" s="74"/>
      <c r="AE1290" s="74"/>
      <c r="AF1290" s="74"/>
      <c r="AG1290" s="74"/>
      <c r="AH1290" s="74"/>
      <c r="AI1290" s="74"/>
    </row>
    <row r="1291" ht="22.5" customHeight="1">
      <c r="A1291" s="614">
        <v>45877.0</v>
      </c>
      <c r="B1291" s="675" t="s">
        <v>2218</v>
      </c>
      <c r="C1291" s="610">
        <v>388500.0</v>
      </c>
      <c r="D1291" s="609"/>
      <c r="E1291" s="604" t="s">
        <v>28</v>
      </c>
      <c r="F1291" s="627" t="s">
        <v>674</v>
      </c>
      <c r="G1291" s="597">
        <v>20.0</v>
      </c>
      <c r="H1291" s="689">
        <f t="shared" si="84"/>
        <v>64750</v>
      </c>
      <c r="I1291" s="599"/>
      <c r="J1291" s="599"/>
      <c r="K1291" s="672" t="s">
        <v>51</v>
      </c>
      <c r="L1291" s="616" t="s">
        <v>539</v>
      </c>
      <c r="M1291" s="612" t="s">
        <v>801</v>
      </c>
      <c r="N1291" s="612">
        <v>136.0</v>
      </c>
      <c r="O1291" s="662">
        <v>45758.0</v>
      </c>
      <c r="P1291" s="602">
        <f t="shared" si="86"/>
        <v>119</v>
      </c>
      <c r="Q1291" s="622"/>
      <c r="R1291" s="74"/>
      <c r="S1291" s="74"/>
      <c r="T1291" s="74"/>
      <c r="U1291" s="74"/>
      <c r="V1291" s="74"/>
      <c r="W1291" s="74"/>
      <c r="X1291" s="74"/>
      <c r="Y1291" s="74"/>
      <c r="Z1291" s="74"/>
      <c r="AA1291" s="74"/>
      <c r="AB1291" s="74"/>
      <c r="AC1291" s="74"/>
      <c r="AD1291" s="74"/>
      <c r="AE1291" s="74"/>
      <c r="AF1291" s="74"/>
      <c r="AG1291" s="74"/>
      <c r="AH1291" s="74"/>
      <c r="AI1291" s="74"/>
    </row>
    <row r="1292" ht="22.5" customHeight="1">
      <c r="A1292" s="614">
        <v>45877.0</v>
      </c>
      <c r="B1292" s="675" t="s">
        <v>2218</v>
      </c>
      <c r="C1292" s="609"/>
      <c r="D1292" s="610">
        <f>933388+511.68+24038</f>
        <v>957937.68</v>
      </c>
      <c r="E1292" s="606"/>
      <c r="F1292" s="627" t="s">
        <v>941</v>
      </c>
      <c r="G1292" s="597">
        <v>0.0</v>
      </c>
      <c r="H1292" s="689">
        <f t="shared" si="84"/>
        <v>0</v>
      </c>
      <c r="I1292" s="599"/>
      <c r="J1292" s="599"/>
      <c r="K1292" s="615" t="s">
        <v>203</v>
      </c>
      <c r="L1292" s="616" t="s">
        <v>1037</v>
      </c>
      <c r="M1292" s="621"/>
      <c r="N1292" s="621"/>
      <c r="O1292" s="621"/>
      <c r="P1292" s="602">
        <f t="shared" si="86"/>
        <v>0</v>
      </c>
      <c r="Q1292" s="622"/>
      <c r="R1292" s="74"/>
      <c r="S1292" s="74"/>
      <c r="T1292" s="74"/>
      <c r="U1292" s="74"/>
      <c r="V1292" s="74"/>
      <c r="W1292" s="74"/>
      <c r="X1292" s="74"/>
      <c r="Y1292" s="74"/>
      <c r="Z1292" s="74"/>
      <c r="AA1292" s="74"/>
      <c r="AB1292" s="74"/>
      <c r="AC1292" s="74"/>
      <c r="AD1292" s="74"/>
      <c r="AE1292" s="74"/>
      <c r="AF1292" s="74"/>
      <c r="AG1292" s="74"/>
      <c r="AH1292" s="74"/>
      <c r="AI1292" s="74"/>
    </row>
    <row r="1293" ht="22.5" customHeight="1">
      <c r="A1293" s="614">
        <v>45880.0</v>
      </c>
      <c r="B1293" s="675" t="s">
        <v>2218</v>
      </c>
      <c r="C1293" s="609"/>
      <c r="D1293" s="610">
        <v>369843.0</v>
      </c>
      <c r="E1293" s="606"/>
      <c r="F1293" s="627" t="s">
        <v>941</v>
      </c>
      <c r="G1293" s="597">
        <v>0.0</v>
      </c>
      <c r="H1293" s="689">
        <f t="shared" si="84"/>
        <v>0</v>
      </c>
      <c r="I1293" s="599"/>
      <c r="J1293" s="599"/>
      <c r="K1293" s="615" t="s">
        <v>203</v>
      </c>
      <c r="L1293" s="616" t="s">
        <v>954</v>
      </c>
      <c r="M1293" s="621"/>
      <c r="N1293" s="621"/>
      <c r="O1293" s="621"/>
      <c r="P1293" s="602">
        <f t="shared" si="86"/>
        <v>0</v>
      </c>
      <c r="Q1293" s="682" t="s">
        <v>1038</v>
      </c>
      <c r="R1293" s="74"/>
      <c r="S1293" s="74"/>
      <c r="T1293" s="74"/>
      <c r="U1293" s="74"/>
      <c r="V1293" s="74"/>
      <c r="W1293" s="74"/>
      <c r="X1293" s="74"/>
      <c r="Y1293" s="74"/>
      <c r="Z1293" s="74"/>
      <c r="AA1293" s="74"/>
      <c r="AB1293" s="74"/>
      <c r="AC1293" s="74"/>
      <c r="AD1293" s="74"/>
      <c r="AE1293" s="74"/>
      <c r="AF1293" s="74"/>
      <c r="AG1293" s="74"/>
      <c r="AH1293" s="74"/>
      <c r="AI1293" s="74"/>
    </row>
    <row r="1294" ht="22.5" customHeight="1">
      <c r="A1294" s="614">
        <v>45880.0</v>
      </c>
      <c r="B1294" s="675" t="s">
        <v>2218</v>
      </c>
      <c r="C1294" s="609"/>
      <c r="D1294" s="610">
        <v>95745.0</v>
      </c>
      <c r="E1294" s="606"/>
      <c r="F1294" s="627" t="s">
        <v>941</v>
      </c>
      <c r="G1294" s="597">
        <v>0.0</v>
      </c>
      <c r="H1294" s="689">
        <f t="shared" si="84"/>
        <v>0</v>
      </c>
      <c r="I1294" s="599"/>
      <c r="J1294" s="599"/>
      <c r="K1294" s="615" t="s">
        <v>2237</v>
      </c>
      <c r="L1294" s="616" t="s">
        <v>901</v>
      </c>
      <c r="M1294" s="621"/>
      <c r="N1294" s="621"/>
      <c r="O1294" s="621"/>
      <c r="P1294" s="602">
        <f t="shared" si="86"/>
        <v>0</v>
      </c>
      <c r="Q1294" s="613" t="s">
        <v>1039</v>
      </c>
      <c r="R1294" s="74"/>
      <c r="S1294" s="74"/>
      <c r="T1294" s="74"/>
      <c r="U1294" s="74"/>
      <c r="V1294" s="74"/>
      <c r="W1294" s="74"/>
      <c r="X1294" s="74"/>
      <c r="Y1294" s="74"/>
      <c r="Z1294" s="74"/>
      <c r="AA1294" s="74"/>
      <c r="AB1294" s="74"/>
      <c r="AC1294" s="74"/>
      <c r="AD1294" s="74"/>
      <c r="AE1294" s="74"/>
      <c r="AF1294" s="74"/>
      <c r="AG1294" s="74"/>
      <c r="AH1294" s="74"/>
      <c r="AI1294" s="74"/>
    </row>
    <row r="1295" ht="22.5" customHeight="1">
      <c r="A1295" s="614">
        <v>45880.0</v>
      </c>
      <c r="B1295" s="675" t="s">
        <v>2218</v>
      </c>
      <c r="C1295" s="609"/>
      <c r="D1295" s="610">
        <v>53191.0</v>
      </c>
      <c r="E1295" s="606"/>
      <c r="F1295" s="627" t="s">
        <v>941</v>
      </c>
      <c r="G1295" s="597">
        <v>0.0</v>
      </c>
      <c r="H1295" s="689">
        <f t="shared" si="84"/>
        <v>0</v>
      </c>
      <c r="I1295" s="599"/>
      <c r="J1295" s="599"/>
      <c r="K1295" s="615" t="s">
        <v>2237</v>
      </c>
      <c r="L1295" s="616" t="s">
        <v>901</v>
      </c>
      <c r="M1295" s="621"/>
      <c r="N1295" s="621"/>
      <c r="O1295" s="621"/>
      <c r="P1295" s="602">
        <f t="shared" si="86"/>
        <v>0</v>
      </c>
      <c r="Q1295" s="613" t="s">
        <v>1040</v>
      </c>
      <c r="R1295" s="74"/>
      <c r="S1295" s="74"/>
      <c r="T1295" s="74"/>
      <c r="U1295" s="74"/>
      <c r="V1295" s="74"/>
      <c r="W1295" s="74"/>
      <c r="X1295" s="74"/>
      <c r="Y1295" s="74"/>
      <c r="Z1295" s="74"/>
      <c r="AA1295" s="74"/>
      <c r="AB1295" s="74"/>
      <c r="AC1295" s="74"/>
      <c r="AD1295" s="74"/>
      <c r="AE1295" s="74"/>
      <c r="AF1295" s="74"/>
      <c r="AG1295" s="74"/>
      <c r="AH1295" s="74"/>
      <c r="AI1295" s="74"/>
    </row>
    <row r="1296" ht="22.5" customHeight="1">
      <c r="A1296" s="614">
        <v>45880.0</v>
      </c>
      <c r="B1296" s="675" t="s">
        <v>2218</v>
      </c>
      <c r="C1296" s="609"/>
      <c r="D1296" s="610">
        <v>22516.4</v>
      </c>
      <c r="E1296" s="606"/>
      <c r="F1296" s="627" t="s">
        <v>941</v>
      </c>
      <c r="G1296" s="597">
        <v>0.0</v>
      </c>
      <c r="H1296" s="689">
        <f t="shared" si="84"/>
        <v>0</v>
      </c>
      <c r="I1296" s="599"/>
      <c r="J1296" s="599"/>
      <c r="K1296" s="615" t="s">
        <v>494</v>
      </c>
      <c r="L1296" s="616" t="s">
        <v>745</v>
      </c>
      <c r="M1296" s="621"/>
      <c r="N1296" s="621"/>
      <c r="O1296" s="621"/>
      <c r="P1296" s="602">
        <f t="shared" si="86"/>
        <v>0</v>
      </c>
      <c r="Q1296" s="682" t="s">
        <v>1041</v>
      </c>
      <c r="R1296" s="74"/>
      <c r="S1296" s="74"/>
      <c r="T1296" s="74"/>
      <c r="U1296" s="74"/>
      <c r="V1296" s="74"/>
      <c r="W1296" s="74"/>
      <c r="X1296" s="74"/>
      <c r="Y1296" s="74"/>
      <c r="Z1296" s="74"/>
      <c r="AA1296" s="74"/>
      <c r="AB1296" s="74"/>
      <c r="AC1296" s="74"/>
      <c r="AD1296" s="74"/>
      <c r="AE1296" s="74"/>
      <c r="AF1296" s="74"/>
      <c r="AG1296" s="74"/>
      <c r="AH1296" s="74"/>
      <c r="AI1296" s="74"/>
    </row>
    <row r="1297" ht="22.5" customHeight="1">
      <c r="A1297" s="614">
        <v>45880.0</v>
      </c>
      <c r="B1297" s="675" t="s">
        <v>2218</v>
      </c>
      <c r="C1297" s="609"/>
      <c r="D1297" s="610">
        <v>8513.03</v>
      </c>
      <c r="E1297" s="606"/>
      <c r="F1297" s="627" t="s">
        <v>941</v>
      </c>
      <c r="G1297" s="597">
        <v>0.0</v>
      </c>
      <c r="H1297" s="689">
        <f t="shared" si="84"/>
        <v>0</v>
      </c>
      <c r="I1297" s="599"/>
      <c r="J1297" s="599"/>
      <c r="K1297" s="615" t="s">
        <v>494</v>
      </c>
      <c r="L1297" s="616" t="s">
        <v>745</v>
      </c>
      <c r="M1297" s="621"/>
      <c r="N1297" s="621"/>
      <c r="O1297" s="621"/>
      <c r="P1297" s="602">
        <f t="shared" si="86"/>
        <v>0</v>
      </c>
      <c r="Q1297" s="682" t="s">
        <v>1042</v>
      </c>
      <c r="R1297" s="74"/>
      <c r="S1297" s="74"/>
      <c r="T1297" s="74"/>
      <c r="U1297" s="74"/>
      <c r="V1297" s="74"/>
      <c r="W1297" s="74"/>
      <c r="X1297" s="74"/>
      <c r="Y1297" s="74"/>
      <c r="Z1297" s="74"/>
      <c r="AA1297" s="74"/>
      <c r="AB1297" s="74"/>
      <c r="AC1297" s="74"/>
      <c r="AD1297" s="74"/>
      <c r="AE1297" s="74"/>
      <c r="AF1297" s="74"/>
      <c r="AG1297" s="74"/>
      <c r="AH1297" s="74"/>
      <c r="AI1297" s="74"/>
    </row>
    <row r="1298" ht="22.5" customHeight="1">
      <c r="A1298" s="614">
        <v>45880.0</v>
      </c>
      <c r="B1298" s="675" t="s">
        <v>2218</v>
      </c>
      <c r="C1298" s="609"/>
      <c r="D1298" s="610">
        <v>217200.0</v>
      </c>
      <c r="E1298" s="604" t="s">
        <v>28</v>
      </c>
      <c r="F1298" s="627" t="s">
        <v>941</v>
      </c>
      <c r="G1298" s="597">
        <v>0.0</v>
      </c>
      <c r="H1298" s="689">
        <f t="shared" si="84"/>
        <v>0</v>
      </c>
      <c r="I1298" s="599"/>
      <c r="J1298" s="599"/>
      <c r="K1298" s="615" t="s">
        <v>494</v>
      </c>
      <c r="L1298" s="616" t="s">
        <v>691</v>
      </c>
      <c r="M1298" s="621"/>
      <c r="N1298" s="621"/>
      <c r="O1298" s="621"/>
      <c r="P1298" s="602">
        <f t="shared" si="86"/>
        <v>0</v>
      </c>
      <c r="Q1298" s="622"/>
      <c r="R1298" s="74"/>
      <c r="S1298" s="74"/>
      <c r="T1298" s="74"/>
      <c r="U1298" s="74"/>
      <c r="V1298" s="74"/>
      <c r="W1298" s="74"/>
      <c r="X1298" s="74"/>
      <c r="Y1298" s="74"/>
      <c r="Z1298" s="74"/>
      <c r="AA1298" s="74"/>
      <c r="AB1298" s="74"/>
      <c r="AC1298" s="74"/>
      <c r="AD1298" s="74"/>
      <c r="AE1298" s="74"/>
      <c r="AF1298" s="74"/>
      <c r="AG1298" s="74"/>
      <c r="AH1298" s="74"/>
      <c r="AI1298" s="74"/>
    </row>
    <row r="1299" ht="22.5" customHeight="1">
      <c r="A1299" s="614">
        <v>45880.0</v>
      </c>
      <c r="B1299" s="675" t="s">
        <v>2218</v>
      </c>
      <c r="C1299" s="609"/>
      <c r="D1299" s="609">
        <f>1802.41+1036.44</f>
        <v>2838.85</v>
      </c>
      <c r="E1299" s="606"/>
      <c r="F1299" s="627" t="s">
        <v>941</v>
      </c>
      <c r="G1299" s="597">
        <v>0.0</v>
      </c>
      <c r="H1299" s="689">
        <f t="shared" si="84"/>
        <v>0</v>
      </c>
      <c r="I1299" s="599"/>
      <c r="J1299" s="599"/>
      <c r="K1299" s="615" t="s">
        <v>2237</v>
      </c>
      <c r="L1299" s="616" t="s">
        <v>901</v>
      </c>
      <c r="M1299" s="621"/>
      <c r="N1299" s="621"/>
      <c r="O1299" s="621"/>
      <c r="P1299" s="602">
        <f t="shared" si="86"/>
        <v>0</v>
      </c>
      <c r="Q1299" s="613" t="s">
        <v>1043</v>
      </c>
      <c r="R1299" s="74"/>
      <c r="S1299" s="74"/>
      <c r="T1299" s="74"/>
      <c r="U1299" s="74"/>
      <c r="V1299" s="74"/>
      <c r="W1299" s="74"/>
      <c r="X1299" s="74"/>
      <c r="Y1299" s="74"/>
      <c r="Z1299" s="74"/>
      <c r="AA1299" s="74"/>
      <c r="AB1299" s="74"/>
      <c r="AC1299" s="74"/>
      <c r="AD1299" s="74"/>
      <c r="AE1299" s="74"/>
      <c r="AF1299" s="74"/>
      <c r="AG1299" s="74"/>
      <c r="AH1299" s="74"/>
      <c r="AI1299" s="74"/>
    </row>
    <row r="1300" ht="22.5" customHeight="1">
      <c r="A1300" s="614">
        <v>45880.0</v>
      </c>
      <c r="B1300" s="675" t="s">
        <v>2218</v>
      </c>
      <c r="C1300" s="610">
        <v>210185.22</v>
      </c>
      <c r="D1300" s="609"/>
      <c r="E1300" s="604" t="s">
        <v>28</v>
      </c>
      <c r="F1300" s="627" t="s">
        <v>674</v>
      </c>
      <c r="G1300" s="597">
        <v>20.0</v>
      </c>
      <c r="H1300" s="689">
        <f t="shared" si="84"/>
        <v>35030.87</v>
      </c>
      <c r="I1300" s="599"/>
      <c r="J1300" s="599"/>
      <c r="K1300" s="673" t="s">
        <v>51</v>
      </c>
      <c r="L1300" s="616" t="s">
        <v>539</v>
      </c>
      <c r="M1300" s="612" t="s">
        <v>858</v>
      </c>
      <c r="N1300" s="612">
        <v>137.0</v>
      </c>
      <c r="O1300" s="662">
        <v>45758.0</v>
      </c>
      <c r="P1300" s="602">
        <f t="shared" si="86"/>
        <v>122</v>
      </c>
      <c r="Q1300" s="622"/>
      <c r="R1300" s="74"/>
      <c r="S1300" s="74"/>
      <c r="T1300" s="74"/>
      <c r="U1300" s="74"/>
      <c r="V1300" s="74"/>
      <c r="W1300" s="74"/>
      <c r="X1300" s="74"/>
      <c r="Y1300" s="74"/>
      <c r="Z1300" s="74"/>
      <c r="AA1300" s="74"/>
      <c r="AB1300" s="74"/>
      <c r="AC1300" s="74"/>
      <c r="AD1300" s="74"/>
      <c r="AE1300" s="74"/>
      <c r="AF1300" s="74"/>
      <c r="AG1300" s="74"/>
      <c r="AH1300" s="74"/>
      <c r="AI1300" s="74"/>
    </row>
    <row r="1301" ht="22.5" customHeight="1">
      <c r="A1301" s="614">
        <v>45880.0</v>
      </c>
      <c r="B1301" s="675" t="s">
        <v>2218</v>
      </c>
      <c r="C1301" s="609"/>
      <c r="D1301" s="610">
        <v>4804.8</v>
      </c>
      <c r="E1301" s="606"/>
      <c r="F1301" s="627" t="s">
        <v>800</v>
      </c>
      <c r="G1301" s="597">
        <v>20.0</v>
      </c>
      <c r="H1301" s="689">
        <f t="shared" si="84"/>
        <v>800.8</v>
      </c>
      <c r="I1301" s="599"/>
      <c r="J1301" s="599"/>
      <c r="K1301" s="615" t="s">
        <v>101</v>
      </c>
      <c r="L1301" s="700" t="s">
        <v>1045</v>
      </c>
      <c r="M1301" s="621"/>
      <c r="N1301" s="621"/>
      <c r="O1301" s="621"/>
      <c r="P1301" s="602">
        <f t="shared" si="86"/>
        <v>0</v>
      </c>
      <c r="Q1301" s="682" t="s">
        <v>1046</v>
      </c>
      <c r="R1301" s="74"/>
      <c r="S1301" s="74"/>
      <c r="T1301" s="74"/>
      <c r="U1301" s="74"/>
      <c r="V1301" s="74"/>
      <c r="W1301" s="74"/>
      <c r="X1301" s="74"/>
      <c r="Y1301" s="74"/>
      <c r="Z1301" s="74"/>
      <c r="AA1301" s="74"/>
      <c r="AB1301" s="74"/>
      <c r="AC1301" s="74"/>
      <c r="AD1301" s="74"/>
      <c r="AE1301" s="74"/>
      <c r="AF1301" s="74"/>
      <c r="AG1301" s="74"/>
      <c r="AH1301" s="74"/>
      <c r="AI1301" s="74"/>
    </row>
    <row r="1302" ht="22.5" customHeight="1">
      <c r="A1302" s="614">
        <v>45880.0</v>
      </c>
      <c r="B1302" s="675" t="s">
        <v>2218</v>
      </c>
      <c r="C1302" s="609"/>
      <c r="D1302" s="610">
        <v>9744.0</v>
      </c>
      <c r="E1302" s="606"/>
      <c r="F1302" s="627" t="s">
        <v>800</v>
      </c>
      <c r="G1302" s="597">
        <v>20.0</v>
      </c>
      <c r="H1302" s="689">
        <f t="shared" si="84"/>
        <v>1624</v>
      </c>
      <c r="I1302" s="599"/>
      <c r="J1302" s="599"/>
      <c r="K1302" s="615" t="s">
        <v>101</v>
      </c>
      <c r="L1302" s="700" t="s">
        <v>1045</v>
      </c>
      <c r="M1302" s="621"/>
      <c r="N1302" s="621"/>
      <c r="O1302" s="621"/>
      <c r="P1302" s="602">
        <f t="shared" si="86"/>
        <v>0</v>
      </c>
      <c r="Q1302" s="682" t="s">
        <v>1047</v>
      </c>
      <c r="R1302" s="74"/>
      <c r="S1302" s="74"/>
      <c r="T1302" s="74"/>
      <c r="U1302" s="74"/>
      <c r="V1302" s="74"/>
      <c r="W1302" s="74"/>
      <c r="X1302" s="74"/>
      <c r="Y1302" s="74"/>
      <c r="Z1302" s="74"/>
      <c r="AA1302" s="74"/>
      <c r="AB1302" s="74"/>
      <c r="AC1302" s="74"/>
      <c r="AD1302" s="74"/>
      <c r="AE1302" s="74"/>
      <c r="AF1302" s="74"/>
      <c r="AG1302" s="74"/>
      <c r="AH1302" s="74"/>
      <c r="AI1302" s="74"/>
    </row>
    <row r="1303" ht="22.5" customHeight="1">
      <c r="A1303" s="614">
        <v>45880.0</v>
      </c>
      <c r="B1303" s="675" t="s">
        <v>2218</v>
      </c>
      <c r="C1303" s="609"/>
      <c r="D1303" s="610">
        <v>20160.0</v>
      </c>
      <c r="E1303" s="606"/>
      <c r="F1303" s="627" t="s">
        <v>800</v>
      </c>
      <c r="G1303" s="597">
        <v>20.0</v>
      </c>
      <c r="H1303" s="689">
        <f t="shared" si="84"/>
        <v>3360</v>
      </c>
      <c r="I1303" s="599"/>
      <c r="J1303" s="599"/>
      <c r="K1303" s="615" t="s">
        <v>101</v>
      </c>
      <c r="L1303" s="700" t="s">
        <v>1045</v>
      </c>
      <c r="M1303" s="621"/>
      <c r="N1303" s="621"/>
      <c r="O1303" s="621"/>
      <c r="P1303" s="602">
        <f t="shared" si="86"/>
        <v>0</v>
      </c>
      <c r="Q1303" s="682" t="s">
        <v>1048</v>
      </c>
      <c r="R1303" s="74"/>
      <c r="S1303" s="74"/>
      <c r="T1303" s="74"/>
      <c r="U1303" s="74"/>
      <c r="V1303" s="74"/>
      <c r="W1303" s="74"/>
      <c r="X1303" s="74"/>
      <c r="Y1303" s="74"/>
      <c r="Z1303" s="74"/>
      <c r="AA1303" s="74"/>
      <c r="AB1303" s="74"/>
      <c r="AC1303" s="74"/>
      <c r="AD1303" s="74"/>
      <c r="AE1303" s="74"/>
      <c r="AF1303" s="74"/>
      <c r="AG1303" s="74"/>
      <c r="AH1303" s="74"/>
      <c r="AI1303" s="74"/>
    </row>
    <row r="1304" ht="22.5" customHeight="1">
      <c r="A1304" s="614">
        <v>45880.0</v>
      </c>
      <c r="B1304" s="675" t="s">
        <v>2218</v>
      </c>
      <c r="C1304" s="609"/>
      <c r="D1304" s="610">
        <v>9744.0</v>
      </c>
      <c r="E1304" s="606"/>
      <c r="F1304" s="627" t="s">
        <v>800</v>
      </c>
      <c r="G1304" s="597">
        <v>20.0</v>
      </c>
      <c r="H1304" s="689">
        <f t="shared" si="84"/>
        <v>1624</v>
      </c>
      <c r="I1304" s="599"/>
      <c r="J1304" s="599"/>
      <c r="K1304" s="615" t="s">
        <v>101</v>
      </c>
      <c r="L1304" s="700" t="s">
        <v>1045</v>
      </c>
      <c r="M1304" s="621"/>
      <c r="N1304" s="621"/>
      <c r="O1304" s="621"/>
      <c r="P1304" s="602">
        <f t="shared" si="86"/>
        <v>0</v>
      </c>
      <c r="Q1304" s="682" t="s">
        <v>1049</v>
      </c>
      <c r="R1304" s="74"/>
      <c r="S1304" s="74"/>
      <c r="T1304" s="74"/>
      <c r="U1304" s="74"/>
      <c r="V1304" s="74"/>
      <c r="W1304" s="74"/>
      <c r="X1304" s="74"/>
      <c r="Y1304" s="74"/>
      <c r="Z1304" s="74"/>
      <c r="AA1304" s="74"/>
      <c r="AB1304" s="74"/>
      <c r="AC1304" s="74"/>
      <c r="AD1304" s="74"/>
      <c r="AE1304" s="74"/>
      <c r="AF1304" s="74"/>
      <c r="AG1304" s="74"/>
      <c r="AH1304" s="74"/>
      <c r="AI1304" s="74"/>
    </row>
    <row r="1305" ht="22.5" customHeight="1">
      <c r="A1305" s="614">
        <v>45880.0</v>
      </c>
      <c r="B1305" s="675" t="s">
        <v>2218</v>
      </c>
      <c r="C1305" s="609"/>
      <c r="D1305" s="610">
        <v>10167.36</v>
      </c>
      <c r="E1305" s="606"/>
      <c r="F1305" s="627" t="s">
        <v>800</v>
      </c>
      <c r="G1305" s="597">
        <v>20.0</v>
      </c>
      <c r="H1305" s="689">
        <f t="shared" si="84"/>
        <v>1694.56</v>
      </c>
      <c r="I1305" s="599"/>
      <c r="J1305" s="599"/>
      <c r="K1305" s="615" t="s">
        <v>101</v>
      </c>
      <c r="L1305" s="700" t="s">
        <v>1045</v>
      </c>
      <c r="M1305" s="621"/>
      <c r="N1305" s="621"/>
      <c r="O1305" s="621"/>
      <c r="P1305" s="602">
        <f t="shared" si="86"/>
        <v>0</v>
      </c>
      <c r="Q1305" s="682" t="s">
        <v>1050</v>
      </c>
      <c r="R1305" s="74"/>
      <c r="S1305" s="74"/>
      <c r="T1305" s="74"/>
      <c r="U1305" s="74"/>
      <c r="V1305" s="74"/>
      <c r="W1305" s="74"/>
      <c r="X1305" s="74"/>
      <c r="Y1305" s="74"/>
      <c r="Z1305" s="74"/>
      <c r="AA1305" s="74"/>
      <c r="AB1305" s="74"/>
      <c r="AC1305" s="74"/>
      <c r="AD1305" s="74"/>
      <c r="AE1305" s="74"/>
      <c r="AF1305" s="74"/>
      <c r="AG1305" s="74"/>
      <c r="AH1305" s="74"/>
      <c r="AI1305" s="74"/>
    </row>
    <row r="1306" ht="22.5" customHeight="1">
      <c r="A1306" s="614">
        <v>45880.0</v>
      </c>
      <c r="B1306" s="675" t="s">
        <v>2218</v>
      </c>
      <c r="C1306" s="609"/>
      <c r="D1306" s="610">
        <v>19200.05</v>
      </c>
      <c r="E1306" s="606"/>
      <c r="F1306" s="627" t="s">
        <v>800</v>
      </c>
      <c r="G1306" s="597">
        <v>20.0</v>
      </c>
      <c r="H1306" s="689">
        <f t="shared" si="84"/>
        <v>3200.008333</v>
      </c>
      <c r="I1306" s="599"/>
      <c r="J1306" s="599"/>
      <c r="K1306" s="615" t="s">
        <v>101</v>
      </c>
      <c r="L1306" s="700" t="s">
        <v>1045</v>
      </c>
      <c r="M1306" s="621"/>
      <c r="N1306" s="621"/>
      <c r="O1306" s="621"/>
      <c r="P1306" s="602">
        <f t="shared" si="86"/>
        <v>0</v>
      </c>
      <c r="Q1306" s="682" t="s">
        <v>1051</v>
      </c>
      <c r="R1306" s="74"/>
      <c r="S1306" s="74"/>
      <c r="T1306" s="74"/>
      <c r="U1306" s="74"/>
      <c r="V1306" s="74"/>
      <c r="W1306" s="74"/>
      <c r="X1306" s="74"/>
      <c r="Y1306" s="74"/>
      <c r="Z1306" s="74"/>
      <c r="AA1306" s="74"/>
      <c r="AB1306" s="74"/>
      <c r="AC1306" s="74"/>
      <c r="AD1306" s="74"/>
      <c r="AE1306" s="74"/>
      <c r="AF1306" s="74"/>
      <c r="AG1306" s="74"/>
      <c r="AH1306" s="74"/>
      <c r="AI1306" s="74"/>
    </row>
    <row r="1307" ht="22.5" customHeight="1">
      <c r="A1307" s="614">
        <v>45880.0</v>
      </c>
      <c r="B1307" s="675" t="s">
        <v>2218</v>
      </c>
      <c r="C1307" s="609"/>
      <c r="D1307" s="610">
        <v>33600.0</v>
      </c>
      <c r="E1307" s="606"/>
      <c r="F1307" s="627" t="s">
        <v>800</v>
      </c>
      <c r="G1307" s="597">
        <v>20.0</v>
      </c>
      <c r="H1307" s="689">
        <f t="shared" si="84"/>
        <v>5600</v>
      </c>
      <c r="I1307" s="599"/>
      <c r="J1307" s="599"/>
      <c r="K1307" s="615" t="s">
        <v>101</v>
      </c>
      <c r="L1307" s="700" t="s">
        <v>1045</v>
      </c>
      <c r="M1307" s="621"/>
      <c r="N1307" s="621"/>
      <c r="O1307" s="621"/>
      <c r="P1307" s="602">
        <f t="shared" si="86"/>
        <v>0</v>
      </c>
      <c r="Q1307" s="682" t="s">
        <v>1052</v>
      </c>
      <c r="R1307" s="74"/>
      <c r="S1307" s="74"/>
      <c r="T1307" s="74"/>
      <c r="U1307" s="74"/>
      <c r="V1307" s="74"/>
      <c r="W1307" s="74"/>
      <c r="X1307" s="74"/>
      <c r="Y1307" s="74"/>
      <c r="Z1307" s="74"/>
      <c r="AA1307" s="74"/>
      <c r="AB1307" s="74"/>
      <c r="AC1307" s="74"/>
      <c r="AD1307" s="74"/>
      <c r="AE1307" s="74"/>
      <c r="AF1307" s="74"/>
      <c r="AG1307" s="74"/>
      <c r="AH1307" s="74"/>
      <c r="AI1307" s="74"/>
    </row>
    <row r="1308" ht="22.5" customHeight="1">
      <c r="A1308" s="614">
        <v>45880.0</v>
      </c>
      <c r="B1308" s="675" t="s">
        <v>2218</v>
      </c>
      <c r="C1308" s="609"/>
      <c r="D1308" s="610">
        <v>6720.0</v>
      </c>
      <c r="E1308" s="606"/>
      <c r="F1308" s="627" t="s">
        <v>800</v>
      </c>
      <c r="G1308" s="597">
        <v>20.0</v>
      </c>
      <c r="H1308" s="689">
        <f t="shared" si="84"/>
        <v>1120</v>
      </c>
      <c r="I1308" s="599"/>
      <c r="J1308" s="599"/>
      <c r="K1308" s="615" t="s">
        <v>101</v>
      </c>
      <c r="L1308" s="700" t="s">
        <v>1045</v>
      </c>
      <c r="M1308" s="621"/>
      <c r="N1308" s="621"/>
      <c r="O1308" s="621"/>
      <c r="P1308" s="602">
        <f t="shared" si="86"/>
        <v>0</v>
      </c>
      <c r="Q1308" s="682" t="s">
        <v>1053</v>
      </c>
      <c r="R1308" s="74"/>
      <c r="S1308" s="74"/>
      <c r="T1308" s="74"/>
      <c r="U1308" s="74"/>
      <c r="V1308" s="74"/>
      <c r="W1308" s="74"/>
      <c r="X1308" s="74"/>
      <c r="Y1308" s="74"/>
      <c r="Z1308" s="74"/>
      <c r="AA1308" s="74"/>
      <c r="AB1308" s="74"/>
      <c r="AC1308" s="74"/>
      <c r="AD1308" s="74"/>
      <c r="AE1308" s="74"/>
      <c r="AF1308" s="74"/>
      <c r="AG1308" s="74"/>
      <c r="AH1308" s="74"/>
      <c r="AI1308" s="74"/>
    </row>
    <row r="1309" ht="22.5" customHeight="1">
      <c r="A1309" s="614">
        <v>45880.0</v>
      </c>
      <c r="B1309" s="675" t="s">
        <v>2218</v>
      </c>
      <c r="C1309" s="609"/>
      <c r="D1309" s="610">
        <v>23690.69</v>
      </c>
      <c r="E1309" s="606"/>
      <c r="F1309" s="627" t="s">
        <v>800</v>
      </c>
      <c r="G1309" s="597">
        <v>20.0</v>
      </c>
      <c r="H1309" s="689">
        <f t="shared" si="84"/>
        <v>3948.448333</v>
      </c>
      <c r="I1309" s="599"/>
      <c r="J1309" s="599"/>
      <c r="K1309" s="615" t="s">
        <v>101</v>
      </c>
      <c r="L1309" s="700" t="s">
        <v>1045</v>
      </c>
      <c r="M1309" s="621"/>
      <c r="N1309" s="621"/>
      <c r="O1309" s="621"/>
      <c r="P1309" s="602">
        <f t="shared" si="86"/>
        <v>0</v>
      </c>
      <c r="Q1309" s="682" t="s">
        <v>1054</v>
      </c>
      <c r="R1309" s="74"/>
      <c r="S1309" s="74"/>
      <c r="T1309" s="74"/>
      <c r="U1309" s="74"/>
      <c r="V1309" s="74"/>
      <c r="W1309" s="74"/>
      <c r="X1309" s="74"/>
      <c r="Y1309" s="74"/>
      <c r="Z1309" s="74"/>
      <c r="AA1309" s="74"/>
      <c r="AB1309" s="74"/>
      <c r="AC1309" s="74"/>
      <c r="AD1309" s="74"/>
      <c r="AE1309" s="74"/>
      <c r="AF1309" s="74"/>
      <c r="AG1309" s="74"/>
      <c r="AH1309" s="74"/>
      <c r="AI1309" s="74"/>
    </row>
    <row r="1310" ht="22.5" customHeight="1">
      <c r="A1310" s="614">
        <v>45880.0</v>
      </c>
      <c r="B1310" s="675" t="s">
        <v>2218</v>
      </c>
      <c r="C1310" s="609"/>
      <c r="D1310" s="610">
        <v>8601.6</v>
      </c>
      <c r="E1310" s="606"/>
      <c r="F1310" s="627" t="s">
        <v>800</v>
      </c>
      <c r="G1310" s="597">
        <v>20.0</v>
      </c>
      <c r="H1310" s="689">
        <f t="shared" si="84"/>
        <v>1433.6</v>
      </c>
      <c r="I1310" s="599"/>
      <c r="J1310" s="599"/>
      <c r="K1310" s="615" t="s">
        <v>101</v>
      </c>
      <c r="L1310" s="700" t="s">
        <v>1045</v>
      </c>
      <c r="M1310" s="621"/>
      <c r="N1310" s="621"/>
      <c r="O1310" s="621"/>
      <c r="P1310" s="602">
        <f t="shared" si="86"/>
        <v>0</v>
      </c>
      <c r="Q1310" s="682" t="s">
        <v>1055</v>
      </c>
      <c r="R1310" s="74"/>
      <c r="S1310" s="74"/>
      <c r="T1310" s="74"/>
      <c r="U1310" s="74"/>
      <c r="V1310" s="74"/>
      <c r="W1310" s="74"/>
      <c r="X1310" s="74"/>
      <c r="Y1310" s="74"/>
      <c r="Z1310" s="74"/>
      <c r="AA1310" s="74"/>
      <c r="AB1310" s="74"/>
      <c r="AC1310" s="74"/>
      <c r="AD1310" s="74"/>
      <c r="AE1310" s="74"/>
      <c r="AF1310" s="74"/>
      <c r="AG1310" s="74"/>
      <c r="AH1310" s="74"/>
      <c r="AI1310" s="74"/>
    </row>
    <row r="1311" ht="22.5" customHeight="1">
      <c r="A1311" s="614">
        <v>45880.0</v>
      </c>
      <c r="B1311" s="675" t="s">
        <v>2218</v>
      </c>
      <c r="C1311" s="609"/>
      <c r="D1311" s="610"/>
      <c r="E1311" s="604" t="s">
        <v>33</v>
      </c>
      <c r="F1311" s="627" t="s">
        <v>941</v>
      </c>
      <c r="G1311" s="597">
        <v>0.0</v>
      </c>
      <c r="H1311" s="689">
        <f t="shared" si="84"/>
        <v>0</v>
      </c>
      <c r="I1311" s="599"/>
      <c r="J1311" s="701">
        <v>1070000.0</v>
      </c>
      <c r="K1311" s="680" t="s">
        <v>203</v>
      </c>
      <c r="L1311" s="616" t="s">
        <v>628</v>
      </c>
      <c r="M1311" s="621"/>
      <c r="N1311" s="621"/>
      <c r="O1311" s="621"/>
      <c r="P1311" s="602">
        <f t="shared" si="86"/>
        <v>0</v>
      </c>
      <c r="Q1311" s="622"/>
      <c r="R1311" s="74"/>
      <c r="S1311" s="74"/>
      <c r="T1311" s="74"/>
      <c r="U1311" s="74"/>
      <c r="V1311" s="74"/>
      <c r="W1311" s="74"/>
      <c r="X1311" s="74"/>
      <c r="Y1311" s="74"/>
      <c r="Z1311" s="74"/>
      <c r="AA1311" s="74"/>
      <c r="AB1311" s="74"/>
      <c r="AC1311" s="74"/>
      <c r="AD1311" s="74"/>
      <c r="AE1311" s="74"/>
      <c r="AF1311" s="74"/>
      <c r="AG1311" s="74"/>
      <c r="AH1311" s="74"/>
      <c r="AI1311" s="74"/>
    </row>
    <row r="1312" ht="22.5" customHeight="1">
      <c r="A1312" s="614">
        <v>45880.0</v>
      </c>
      <c r="B1312" s="675" t="s">
        <v>2218</v>
      </c>
      <c r="C1312" s="609"/>
      <c r="D1312" s="609"/>
      <c r="E1312" s="604" t="s">
        <v>33</v>
      </c>
      <c r="F1312" s="627" t="s">
        <v>941</v>
      </c>
      <c r="G1312" s="597">
        <v>0.0</v>
      </c>
      <c r="H1312" s="689">
        <f t="shared" si="84"/>
        <v>0</v>
      </c>
      <c r="I1312" s="599"/>
      <c r="J1312" s="605">
        <v>17000.0</v>
      </c>
      <c r="K1312" s="615" t="s">
        <v>1181</v>
      </c>
      <c r="L1312" s="616" t="s">
        <v>1056</v>
      </c>
      <c r="M1312" s="621"/>
      <c r="N1312" s="621"/>
      <c r="O1312" s="621"/>
      <c r="P1312" s="602">
        <f t="shared" si="86"/>
        <v>0</v>
      </c>
      <c r="Q1312" s="622"/>
      <c r="R1312" s="74"/>
      <c r="S1312" s="74"/>
      <c r="T1312" s="74"/>
      <c r="U1312" s="74"/>
      <c r="V1312" s="74"/>
      <c r="W1312" s="74"/>
      <c r="X1312" s="74"/>
      <c r="Y1312" s="74"/>
      <c r="Z1312" s="74"/>
      <c r="AA1312" s="74"/>
      <c r="AB1312" s="74"/>
      <c r="AC1312" s="74"/>
      <c r="AD1312" s="74"/>
      <c r="AE1312" s="74"/>
      <c r="AF1312" s="74"/>
      <c r="AG1312" s="74"/>
      <c r="AH1312" s="74"/>
      <c r="AI1312" s="74"/>
    </row>
    <row r="1313" ht="22.5" customHeight="1">
      <c r="A1313" s="614">
        <v>45880.0</v>
      </c>
      <c r="B1313" s="675" t="s">
        <v>2218</v>
      </c>
      <c r="C1313" s="609"/>
      <c r="D1313" s="609"/>
      <c r="E1313" s="604" t="s">
        <v>33</v>
      </c>
      <c r="F1313" s="607" t="s">
        <v>1002</v>
      </c>
      <c r="G1313" s="597">
        <v>0.0</v>
      </c>
      <c r="H1313" s="689">
        <f t="shared" si="84"/>
        <v>0</v>
      </c>
      <c r="I1313" s="599"/>
      <c r="J1313" s="605">
        <v>60000.0</v>
      </c>
      <c r="K1313" s="615" t="s">
        <v>1181</v>
      </c>
      <c r="L1313" s="616" t="s">
        <v>1057</v>
      </c>
      <c r="M1313" s="621"/>
      <c r="N1313" s="621"/>
      <c r="O1313" s="621"/>
      <c r="P1313" s="602">
        <f t="shared" si="86"/>
        <v>0</v>
      </c>
      <c r="Q1313" s="622"/>
      <c r="R1313" s="74"/>
      <c r="S1313" s="74"/>
      <c r="T1313" s="74"/>
      <c r="U1313" s="74"/>
      <c r="V1313" s="74"/>
      <c r="W1313" s="74"/>
      <c r="X1313" s="74"/>
      <c r="Y1313" s="74"/>
      <c r="Z1313" s="74"/>
      <c r="AA1313" s="74"/>
      <c r="AB1313" s="74"/>
      <c r="AC1313" s="74"/>
      <c r="AD1313" s="74"/>
      <c r="AE1313" s="74"/>
      <c r="AF1313" s="74"/>
      <c r="AG1313" s="74"/>
      <c r="AH1313" s="74"/>
      <c r="AI1313" s="74"/>
    </row>
    <row r="1314" ht="22.5" customHeight="1">
      <c r="A1314" s="614">
        <v>45880.0</v>
      </c>
      <c r="B1314" s="675" t="s">
        <v>2218</v>
      </c>
      <c r="C1314" s="609"/>
      <c r="D1314" s="610">
        <v>1476510.0</v>
      </c>
      <c r="E1314" s="604" t="s">
        <v>28</v>
      </c>
      <c r="F1314" s="607" t="s">
        <v>1002</v>
      </c>
      <c r="G1314" s="597">
        <v>20.0</v>
      </c>
      <c r="H1314" s="689">
        <f t="shared" si="84"/>
        <v>246085</v>
      </c>
      <c r="I1314" s="605"/>
      <c r="J1314" s="599"/>
      <c r="K1314" s="680" t="s">
        <v>48</v>
      </c>
      <c r="L1314" s="611"/>
      <c r="M1314" s="621"/>
      <c r="N1314" s="621"/>
      <c r="O1314" s="621"/>
      <c r="P1314" s="602">
        <f t="shared" si="86"/>
        <v>0</v>
      </c>
      <c r="Q1314" s="622"/>
      <c r="R1314" s="74"/>
      <c r="S1314" s="74"/>
      <c r="T1314" s="74"/>
      <c r="U1314" s="74"/>
      <c r="V1314" s="74"/>
      <c r="W1314" s="74"/>
      <c r="X1314" s="74"/>
      <c r="Y1314" s="74"/>
      <c r="Z1314" s="74"/>
      <c r="AA1314" s="74"/>
      <c r="AB1314" s="74"/>
      <c r="AC1314" s="74"/>
      <c r="AD1314" s="74"/>
      <c r="AE1314" s="74"/>
      <c r="AF1314" s="74"/>
      <c r="AG1314" s="74"/>
      <c r="AH1314" s="74"/>
      <c r="AI1314" s="74"/>
    </row>
    <row r="1315" ht="22.5" customHeight="1">
      <c r="A1315" s="614">
        <v>45880.0</v>
      </c>
      <c r="B1315" s="675" t="s">
        <v>2218</v>
      </c>
      <c r="C1315" s="609"/>
      <c r="D1315" s="610">
        <v>95377.0</v>
      </c>
      <c r="E1315" s="604" t="s">
        <v>376</v>
      </c>
      <c r="F1315" s="607" t="s">
        <v>1002</v>
      </c>
      <c r="G1315" s="597">
        <v>0.0</v>
      </c>
      <c r="H1315" s="689">
        <f t="shared" si="84"/>
        <v>0</v>
      </c>
      <c r="I1315" s="599"/>
      <c r="J1315" s="599"/>
      <c r="K1315" s="680" t="s">
        <v>236</v>
      </c>
      <c r="L1315" s="616" t="s">
        <v>72</v>
      </c>
      <c r="M1315" s="621"/>
      <c r="N1315" s="621"/>
      <c r="O1315" s="621"/>
      <c r="P1315" s="602">
        <f t="shared" si="86"/>
        <v>0</v>
      </c>
      <c r="Q1315" s="613" t="s">
        <v>748</v>
      </c>
      <c r="R1315" s="74"/>
      <c r="S1315" s="74"/>
      <c r="T1315" s="74"/>
      <c r="U1315" s="74"/>
      <c r="V1315" s="74"/>
      <c r="W1315" s="74"/>
      <c r="X1315" s="74"/>
      <c r="Y1315" s="74"/>
      <c r="Z1315" s="74"/>
      <c r="AA1315" s="74"/>
      <c r="AB1315" s="74"/>
      <c r="AC1315" s="74"/>
      <c r="AD1315" s="74"/>
      <c r="AE1315" s="74"/>
      <c r="AF1315" s="74"/>
      <c r="AG1315" s="74"/>
      <c r="AH1315" s="74"/>
      <c r="AI1315" s="74"/>
    </row>
    <row r="1316" ht="22.5" customHeight="1">
      <c r="A1316" s="614">
        <v>45880.0</v>
      </c>
      <c r="B1316" s="675" t="s">
        <v>2218</v>
      </c>
      <c r="C1316" s="609"/>
      <c r="D1316" s="609"/>
      <c r="E1316" s="604" t="s">
        <v>33</v>
      </c>
      <c r="F1316" s="607" t="s">
        <v>1002</v>
      </c>
      <c r="G1316" s="597">
        <v>0.0</v>
      </c>
      <c r="H1316" s="689">
        <f t="shared" si="84"/>
        <v>0</v>
      </c>
      <c r="I1316" s="599"/>
      <c r="J1316" s="605">
        <v>15000.0</v>
      </c>
      <c r="K1316" s="680" t="s">
        <v>108</v>
      </c>
      <c r="L1316" s="616" t="s">
        <v>1058</v>
      </c>
      <c r="M1316" s="621"/>
      <c r="N1316" s="621"/>
      <c r="O1316" s="621"/>
      <c r="P1316" s="602">
        <f t="shared" si="86"/>
        <v>0</v>
      </c>
      <c r="Q1316" s="622"/>
      <c r="R1316" s="74"/>
      <c r="S1316" s="74"/>
      <c r="T1316" s="74"/>
      <c r="U1316" s="74"/>
      <c r="V1316" s="74"/>
      <c r="W1316" s="74"/>
      <c r="X1316" s="74"/>
      <c r="Y1316" s="74"/>
      <c r="Z1316" s="74"/>
      <c r="AA1316" s="74"/>
      <c r="AB1316" s="74"/>
      <c r="AC1316" s="74"/>
      <c r="AD1316" s="74"/>
      <c r="AE1316" s="74"/>
      <c r="AF1316" s="74"/>
      <c r="AG1316" s="74"/>
      <c r="AH1316" s="74"/>
      <c r="AI1316" s="74"/>
    </row>
    <row r="1317" ht="22.5" customHeight="1">
      <c r="A1317" s="614">
        <v>45880.0</v>
      </c>
      <c r="B1317" s="675" t="s">
        <v>2218</v>
      </c>
      <c r="C1317" s="609"/>
      <c r="D1317" s="609"/>
      <c r="E1317" s="604" t="s">
        <v>33</v>
      </c>
      <c r="F1317" s="627" t="s">
        <v>941</v>
      </c>
      <c r="G1317" s="597">
        <v>0.0</v>
      </c>
      <c r="H1317" s="689">
        <f t="shared" si="84"/>
        <v>0</v>
      </c>
      <c r="I1317" s="599"/>
      <c r="J1317" s="605">
        <v>20000.0</v>
      </c>
      <c r="K1317" s="615" t="s">
        <v>494</v>
      </c>
      <c r="L1317" s="616" t="s">
        <v>1059</v>
      </c>
      <c r="M1317" s="621"/>
      <c r="N1317" s="621"/>
      <c r="O1317" s="621"/>
      <c r="P1317" s="602">
        <f t="shared" si="86"/>
        <v>0</v>
      </c>
      <c r="Q1317" s="622"/>
      <c r="R1317" s="74"/>
      <c r="S1317" s="74"/>
      <c r="T1317" s="74"/>
      <c r="U1317" s="74"/>
      <c r="V1317" s="74"/>
      <c r="W1317" s="74"/>
      <c r="X1317" s="74"/>
      <c r="Y1317" s="74"/>
      <c r="Z1317" s="74"/>
      <c r="AA1317" s="74"/>
      <c r="AB1317" s="74"/>
      <c r="AC1317" s="74"/>
      <c r="AD1317" s="74"/>
      <c r="AE1317" s="74"/>
      <c r="AF1317" s="74"/>
      <c r="AG1317" s="74"/>
      <c r="AH1317" s="74"/>
      <c r="AI1317" s="74"/>
    </row>
    <row r="1318" ht="22.5" customHeight="1">
      <c r="A1318" s="614">
        <v>45880.0</v>
      </c>
      <c r="B1318" s="137" t="s">
        <v>2218</v>
      </c>
      <c r="C1318" s="609"/>
      <c r="D1318" s="609"/>
      <c r="E1318" s="604" t="s">
        <v>33</v>
      </c>
      <c r="F1318" s="607" t="s">
        <v>1002</v>
      </c>
      <c r="G1318" s="597">
        <v>0.0</v>
      </c>
      <c r="H1318" s="689">
        <f t="shared" si="84"/>
        <v>0</v>
      </c>
      <c r="I1318" s="605">
        <v>1100000.0</v>
      </c>
      <c r="J1318" s="605"/>
      <c r="K1318" s="680" t="s">
        <v>48</v>
      </c>
      <c r="L1318" s="615"/>
      <c r="M1318" s="621"/>
      <c r="N1318" s="621"/>
      <c r="O1318" s="621"/>
      <c r="P1318" s="602"/>
      <c r="Q1318" s="622"/>
      <c r="R1318" s="74"/>
      <c r="S1318" s="74"/>
      <c r="T1318" s="74"/>
      <c r="U1318" s="74"/>
      <c r="V1318" s="74"/>
      <c r="W1318" s="74"/>
      <c r="X1318" s="74"/>
      <c r="Y1318" s="74"/>
      <c r="Z1318" s="74"/>
      <c r="AA1318" s="74"/>
      <c r="AB1318" s="74"/>
      <c r="AC1318" s="74"/>
      <c r="AD1318" s="74"/>
      <c r="AE1318" s="74"/>
      <c r="AF1318" s="74"/>
      <c r="AG1318" s="74"/>
      <c r="AH1318" s="74"/>
      <c r="AI1318" s="74"/>
    </row>
    <row r="1319" ht="22.5" customHeight="1">
      <c r="A1319" s="614">
        <v>45883.0</v>
      </c>
      <c r="B1319" s="675" t="s">
        <v>2218</v>
      </c>
      <c r="C1319" s="610">
        <v>977099.34</v>
      </c>
      <c r="D1319" s="610"/>
      <c r="E1319" s="604" t="s">
        <v>28</v>
      </c>
      <c r="F1319" s="627" t="s">
        <v>722</v>
      </c>
      <c r="G1319" s="597">
        <v>20.0</v>
      </c>
      <c r="H1319" s="689">
        <f t="shared" si="84"/>
        <v>162849.89</v>
      </c>
      <c r="I1319" s="599"/>
      <c r="J1319" s="599"/>
      <c r="K1319" s="674" t="s">
        <v>51</v>
      </c>
      <c r="L1319" s="616" t="s">
        <v>539</v>
      </c>
      <c r="M1319" s="612" t="s">
        <v>803</v>
      </c>
      <c r="N1319" s="612">
        <v>175.0</v>
      </c>
      <c r="O1319" s="662">
        <v>45790.0</v>
      </c>
      <c r="P1319" s="602">
        <f t="shared" ref="P1319:P1322" si="87">A1319-IF(O1319&gt;0,O1319,A1319)</f>
        <v>93</v>
      </c>
      <c r="Q1319" s="622"/>
      <c r="R1319" s="74"/>
      <c r="S1319" s="74"/>
      <c r="T1319" s="74"/>
      <c r="U1319" s="74"/>
      <c r="V1319" s="74"/>
      <c r="W1319" s="74"/>
      <c r="X1319" s="74"/>
      <c r="Y1319" s="74"/>
      <c r="Z1319" s="74"/>
      <c r="AA1319" s="74"/>
      <c r="AB1319" s="74"/>
      <c r="AC1319" s="74"/>
      <c r="AD1319" s="74"/>
      <c r="AE1319" s="74"/>
      <c r="AF1319" s="74"/>
      <c r="AG1319" s="74"/>
      <c r="AH1319" s="74"/>
      <c r="AI1319" s="74"/>
    </row>
    <row r="1320" ht="22.5" customHeight="1">
      <c r="A1320" s="614">
        <v>45884.0</v>
      </c>
      <c r="B1320" s="675" t="s">
        <v>2218</v>
      </c>
      <c r="C1320" s="609"/>
      <c r="D1320" s="610">
        <v>20400.0</v>
      </c>
      <c r="E1320" s="604" t="s">
        <v>28</v>
      </c>
      <c r="F1320" s="607" t="s">
        <v>1002</v>
      </c>
      <c r="G1320" s="597">
        <v>20.0</v>
      </c>
      <c r="H1320" s="689">
        <f t="shared" si="84"/>
        <v>3400</v>
      </c>
      <c r="I1320" s="599"/>
      <c r="J1320" s="599"/>
      <c r="K1320" s="615" t="s">
        <v>494</v>
      </c>
      <c r="L1320" s="615" t="s">
        <v>910</v>
      </c>
      <c r="M1320" s="621"/>
      <c r="N1320" s="621"/>
      <c r="O1320" s="621"/>
      <c r="P1320" s="602">
        <f t="shared" si="87"/>
        <v>0</v>
      </c>
      <c r="Q1320" s="622"/>
      <c r="R1320" s="74"/>
      <c r="S1320" s="74"/>
      <c r="T1320" s="74"/>
      <c r="U1320" s="74"/>
      <c r="V1320" s="74"/>
      <c r="W1320" s="74"/>
      <c r="X1320" s="74"/>
      <c r="Y1320" s="74"/>
      <c r="Z1320" s="74"/>
      <c r="AA1320" s="74"/>
      <c r="AB1320" s="74"/>
      <c r="AC1320" s="74"/>
      <c r="AD1320" s="74"/>
      <c r="AE1320" s="74"/>
      <c r="AF1320" s="74"/>
      <c r="AG1320" s="74"/>
      <c r="AH1320" s="74"/>
      <c r="AI1320" s="74"/>
    </row>
    <row r="1321" ht="22.5" customHeight="1">
      <c r="A1321" s="614">
        <v>45884.0</v>
      </c>
      <c r="B1321" s="675" t="s">
        <v>2218</v>
      </c>
      <c r="C1321" s="609"/>
      <c r="D1321" s="610">
        <v>20000.0</v>
      </c>
      <c r="E1321" s="604" t="s">
        <v>28</v>
      </c>
      <c r="F1321" s="607" t="s">
        <v>1002</v>
      </c>
      <c r="G1321" s="597">
        <v>20.0</v>
      </c>
      <c r="H1321" s="689">
        <f t="shared" si="84"/>
        <v>3333.333333</v>
      </c>
      <c r="I1321" s="599"/>
      <c r="J1321" s="599"/>
      <c r="K1321" s="615" t="s">
        <v>494</v>
      </c>
      <c r="L1321" s="616" t="s">
        <v>1060</v>
      </c>
      <c r="M1321" s="621"/>
      <c r="N1321" s="621"/>
      <c r="O1321" s="621"/>
      <c r="P1321" s="602">
        <f t="shared" si="87"/>
        <v>0</v>
      </c>
      <c r="Q1321" s="622"/>
      <c r="R1321" s="74"/>
      <c r="S1321" s="74"/>
      <c r="T1321" s="74"/>
      <c r="U1321" s="74"/>
      <c r="V1321" s="74"/>
      <c r="W1321" s="74"/>
      <c r="X1321" s="74"/>
      <c r="Y1321" s="74"/>
      <c r="Z1321" s="74"/>
      <c r="AA1321" s="74"/>
      <c r="AB1321" s="74"/>
      <c r="AC1321" s="74"/>
      <c r="AD1321" s="74"/>
      <c r="AE1321" s="74"/>
      <c r="AF1321" s="74"/>
      <c r="AG1321" s="74"/>
      <c r="AH1321" s="74"/>
      <c r="AI1321" s="74"/>
    </row>
    <row r="1322" ht="22.5" customHeight="1">
      <c r="A1322" s="614">
        <v>45884.0</v>
      </c>
      <c r="B1322" s="675" t="s">
        <v>2218</v>
      </c>
      <c r="C1322" s="609"/>
      <c r="D1322" s="610">
        <v>96000.0</v>
      </c>
      <c r="E1322" s="604" t="s">
        <v>28</v>
      </c>
      <c r="F1322" s="607" t="s">
        <v>1002</v>
      </c>
      <c r="G1322" s="597">
        <v>20.0</v>
      </c>
      <c r="H1322" s="689">
        <f t="shared" si="84"/>
        <v>16000</v>
      </c>
      <c r="I1322" s="599"/>
      <c r="J1322" s="599"/>
      <c r="K1322" s="615" t="s">
        <v>2237</v>
      </c>
      <c r="L1322" s="616" t="s">
        <v>942</v>
      </c>
      <c r="M1322" s="621"/>
      <c r="N1322" s="621"/>
      <c r="O1322" s="621"/>
      <c r="P1322" s="602">
        <f t="shared" si="87"/>
        <v>0</v>
      </c>
      <c r="Q1322" s="613" t="s">
        <v>943</v>
      </c>
      <c r="R1322" s="74"/>
      <c r="S1322" s="74"/>
      <c r="T1322" s="74"/>
      <c r="U1322" s="74"/>
      <c r="V1322" s="74"/>
      <c r="W1322" s="74"/>
      <c r="X1322" s="74"/>
      <c r="Y1322" s="74"/>
      <c r="Z1322" s="74"/>
      <c r="AA1322" s="74"/>
      <c r="AB1322" s="74"/>
      <c r="AC1322" s="74"/>
      <c r="AD1322" s="74"/>
      <c r="AE1322" s="74"/>
      <c r="AF1322" s="74"/>
      <c r="AG1322" s="74"/>
      <c r="AH1322" s="74"/>
      <c r="AI1322" s="74"/>
    </row>
    <row r="1323" ht="22.5" customHeight="1">
      <c r="A1323" s="614">
        <v>45884.0</v>
      </c>
      <c r="B1323" s="157" t="s">
        <v>2218</v>
      </c>
      <c r="C1323" s="610">
        <v>955575.32</v>
      </c>
      <c r="D1323" s="609"/>
      <c r="E1323" s="604" t="s">
        <v>28</v>
      </c>
      <c r="F1323" s="627" t="s">
        <v>897</v>
      </c>
      <c r="G1323" s="597">
        <v>20.0</v>
      </c>
      <c r="H1323" s="689">
        <f t="shared" si="84"/>
        <v>159262.5533</v>
      </c>
      <c r="I1323" s="599"/>
      <c r="J1323" s="599"/>
      <c r="K1323" s="615" t="s">
        <v>51</v>
      </c>
      <c r="L1323" s="616" t="s">
        <v>539</v>
      </c>
      <c r="M1323" s="612" t="s">
        <v>1061</v>
      </c>
      <c r="N1323" s="612">
        <v>270.0</v>
      </c>
      <c r="O1323" s="662">
        <v>45846.0</v>
      </c>
      <c r="P1323" s="602">
        <f>TODAY()-O1323-60</f>
        <v>282</v>
      </c>
      <c r="Q1323" s="622"/>
      <c r="R1323" s="74"/>
      <c r="S1323" s="74"/>
      <c r="T1323" s="74"/>
      <c r="U1323" s="74"/>
      <c r="V1323" s="74"/>
      <c r="W1323" s="74"/>
      <c r="X1323" s="74"/>
      <c r="Y1323" s="74"/>
      <c r="Z1323" s="74"/>
      <c r="AA1323" s="74"/>
      <c r="AB1323" s="74"/>
      <c r="AC1323" s="74"/>
      <c r="AD1323" s="74"/>
      <c r="AE1323" s="74"/>
      <c r="AF1323" s="74"/>
      <c r="AG1323" s="74"/>
      <c r="AH1323" s="74"/>
      <c r="AI1323" s="74"/>
    </row>
    <row r="1324" ht="22.5" customHeight="1">
      <c r="A1324" s="614">
        <v>45887.0</v>
      </c>
      <c r="B1324" s="675" t="s">
        <v>2218</v>
      </c>
      <c r="C1324" s="609"/>
      <c r="D1324" s="610">
        <v>5771.1</v>
      </c>
      <c r="E1324" s="604" t="s">
        <v>28</v>
      </c>
      <c r="F1324" s="627" t="s">
        <v>800</v>
      </c>
      <c r="G1324" s="688">
        <v>0.0</v>
      </c>
      <c r="H1324" s="689">
        <f t="shared" si="84"/>
        <v>0</v>
      </c>
      <c r="I1324" s="599"/>
      <c r="J1324" s="599"/>
      <c r="K1324" s="615" t="s">
        <v>101</v>
      </c>
      <c r="L1324" s="692" t="s">
        <v>1062</v>
      </c>
      <c r="M1324" s="621"/>
      <c r="N1324" s="621"/>
      <c r="O1324" s="621"/>
      <c r="P1324" s="602">
        <f t="shared" ref="P1324:P1332" si="88">A1324-IF(O1324&gt;0,O1324,A1324)</f>
        <v>0</v>
      </c>
      <c r="Q1324" s="682" t="s">
        <v>1063</v>
      </c>
      <c r="R1324" s="74"/>
      <c r="S1324" s="74"/>
      <c r="T1324" s="74"/>
      <c r="U1324" s="74"/>
      <c r="V1324" s="74"/>
      <c r="W1324" s="74"/>
      <c r="X1324" s="74"/>
      <c r="Y1324" s="74"/>
      <c r="Z1324" s="74"/>
      <c r="AA1324" s="74"/>
      <c r="AB1324" s="74"/>
      <c r="AC1324" s="74"/>
      <c r="AD1324" s="74"/>
      <c r="AE1324" s="74"/>
      <c r="AF1324" s="74"/>
      <c r="AG1324" s="74"/>
      <c r="AH1324" s="74"/>
      <c r="AI1324" s="74"/>
    </row>
    <row r="1325" ht="22.5" customHeight="1">
      <c r="A1325" s="614">
        <v>45887.0</v>
      </c>
      <c r="B1325" s="675" t="s">
        <v>2218</v>
      </c>
      <c r="C1325" s="609"/>
      <c r="D1325" s="610">
        <v>200000.0</v>
      </c>
      <c r="E1325" s="604" t="s">
        <v>28</v>
      </c>
      <c r="F1325" s="607" t="s">
        <v>1002</v>
      </c>
      <c r="G1325" s="597">
        <v>20.0</v>
      </c>
      <c r="H1325" s="689">
        <f t="shared" si="84"/>
        <v>33333.33333</v>
      </c>
      <c r="I1325" s="599"/>
      <c r="J1325" s="599"/>
      <c r="K1325" s="615" t="s">
        <v>2240</v>
      </c>
      <c r="L1325" s="616" t="s">
        <v>2251</v>
      </c>
      <c r="M1325" s="621"/>
      <c r="N1325" s="621"/>
      <c r="O1325" s="621"/>
      <c r="P1325" s="602">
        <f t="shared" si="88"/>
        <v>0</v>
      </c>
      <c r="Q1325" s="613" t="s">
        <v>1064</v>
      </c>
      <c r="R1325" s="74"/>
      <c r="S1325" s="74"/>
      <c r="T1325" s="74"/>
      <c r="U1325" s="74"/>
      <c r="V1325" s="74"/>
      <c r="W1325" s="74"/>
      <c r="X1325" s="74"/>
      <c r="Y1325" s="74"/>
      <c r="Z1325" s="74"/>
      <c r="AA1325" s="74"/>
      <c r="AB1325" s="74"/>
      <c r="AC1325" s="74"/>
      <c r="AD1325" s="74"/>
      <c r="AE1325" s="74"/>
      <c r="AF1325" s="74"/>
      <c r="AG1325" s="74"/>
      <c r="AH1325" s="74"/>
      <c r="AI1325" s="74"/>
    </row>
    <row r="1326" ht="22.5" customHeight="1">
      <c r="A1326" s="614">
        <v>45887.0</v>
      </c>
      <c r="B1326" s="675" t="s">
        <v>2218</v>
      </c>
      <c r="C1326" s="609"/>
      <c r="D1326" s="610">
        <v>300000.0</v>
      </c>
      <c r="E1326" s="604" t="s">
        <v>28</v>
      </c>
      <c r="F1326" s="607" t="s">
        <v>1002</v>
      </c>
      <c r="G1326" s="688">
        <v>0.0</v>
      </c>
      <c r="H1326" s="689">
        <f t="shared" si="84"/>
        <v>0</v>
      </c>
      <c r="I1326" s="599"/>
      <c r="J1326" s="599"/>
      <c r="K1326" s="615" t="s">
        <v>2240</v>
      </c>
      <c r="L1326" s="616" t="s">
        <v>1065</v>
      </c>
      <c r="M1326" s="621"/>
      <c r="N1326" s="621"/>
      <c r="O1326" s="621"/>
      <c r="P1326" s="602">
        <f t="shared" si="88"/>
        <v>0</v>
      </c>
      <c r="Q1326" s="613" t="s">
        <v>1066</v>
      </c>
      <c r="R1326" s="74"/>
      <c r="S1326" s="74"/>
      <c r="T1326" s="74"/>
      <c r="U1326" s="74"/>
      <c r="V1326" s="74"/>
      <c r="W1326" s="74"/>
      <c r="X1326" s="74"/>
      <c r="Y1326" s="74"/>
      <c r="Z1326" s="74"/>
      <c r="AA1326" s="74"/>
      <c r="AB1326" s="74"/>
      <c r="AC1326" s="74"/>
      <c r="AD1326" s="74"/>
      <c r="AE1326" s="74"/>
      <c r="AF1326" s="74"/>
      <c r="AG1326" s="74"/>
      <c r="AH1326" s="74"/>
      <c r="AI1326" s="74"/>
    </row>
    <row r="1327" ht="22.5" customHeight="1">
      <c r="A1327" s="614">
        <v>45887.0</v>
      </c>
      <c r="B1327" s="675" t="s">
        <v>2218</v>
      </c>
      <c r="C1327" s="609"/>
      <c r="D1327" s="610">
        <v>186879.0</v>
      </c>
      <c r="E1327" s="604" t="s">
        <v>28</v>
      </c>
      <c r="F1327" s="607" t="s">
        <v>1002</v>
      </c>
      <c r="G1327" s="690">
        <v>5.0</v>
      </c>
      <c r="H1327" s="689">
        <f t="shared" si="84"/>
        <v>8899</v>
      </c>
      <c r="I1327" s="599"/>
      <c r="J1327" s="599"/>
      <c r="K1327" s="680" t="s">
        <v>213</v>
      </c>
      <c r="L1327" s="616" t="s">
        <v>968</v>
      </c>
      <c r="M1327" s="621"/>
      <c r="N1327" s="621"/>
      <c r="O1327" s="621"/>
      <c r="P1327" s="602">
        <f t="shared" si="88"/>
        <v>0</v>
      </c>
      <c r="Q1327" s="622"/>
      <c r="R1327" s="74"/>
      <c r="S1327" s="74"/>
      <c r="T1327" s="74"/>
      <c r="U1327" s="74"/>
      <c r="V1327" s="74"/>
      <c r="W1327" s="74"/>
      <c r="X1327" s="74"/>
      <c r="Y1327" s="74"/>
      <c r="Z1327" s="74"/>
      <c r="AA1327" s="74"/>
      <c r="AB1327" s="74"/>
      <c r="AC1327" s="74"/>
      <c r="AD1327" s="74"/>
      <c r="AE1327" s="74"/>
      <c r="AF1327" s="74"/>
      <c r="AG1327" s="74"/>
      <c r="AH1327" s="74"/>
      <c r="AI1327" s="74"/>
    </row>
    <row r="1328" ht="22.5" customHeight="1">
      <c r="A1328" s="614">
        <v>45888.0</v>
      </c>
      <c r="B1328" s="675" t="s">
        <v>2218</v>
      </c>
      <c r="C1328" s="609"/>
      <c r="D1328" s="609"/>
      <c r="E1328" s="604" t="s">
        <v>33</v>
      </c>
      <c r="F1328" s="607" t="s">
        <v>1002</v>
      </c>
      <c r="G1328" s="688">
        <v>0.0</v>
      </c>
      <c r="H1328" s="689">
        <f t="shared" si="84"/>
        <v>0</v>
      </c>
      <c r="I1328" s="599"/>
      <c r="J1328" s="605">
        <v>7000.0</v>
      </c>
      <c r="K1328" s="615" t="s">
        <v>108</v>
      </c>
      <c r="L1328" s="616" t="s">
        <v>1067</v>
      </c>
      <c r="M1328" s="621"/>
      <c r="N1328" s="621"/>
      <c r="O1328" s="621"/>
      <c r="P1328" s="602">
        <f t="shared" si="88"/>
        <v>0</v>
      </c>
      <c r="Q1328" s="622"/>
      <c r="R1328" s="74"/>
      <c r="S1328" s="74"/>
      <c r="T1328" s="74"/>
      <c r="U1328" s="74"/>
      <c r="V1328" s="74"/>
      <c r="W1328" s="74"/>
      <c r="X1328" s="74"/>
      <c r="Y1328" s="74"/>
      <c r="Z1328" s="74"/>
      <c r="AA1328" s="74"/>
      <c r="AB1328" s="74"/>
      <c r="AC1328" s="74"/>
      <c r="AD1328" s="74"/>
      <c r="AE1328" s="74"/>
      <c r="AF1328" s="74"/>
      <c r="AG1328" s="74"/>
      <c r="AH1328" s="74"/>
      <c r="AI1328" s="74"/>
    </row>
    <row r="1329" ht="22.5" customHeight="1">
      <c r="A1329" s="614">
        <v>45888.0</v>
      </c>
      <c r="B1329" s="675" t="s">
        <v>2218</v>
      </c>
      <c r="C1329" s="609"/>
      <c r="D1329" s="610">
        <v>50400.0</v>
      </c>
      <c r="E1329" s="604" t="s">
        <v>28</v>
      </c>
      <c r="F1329" s="607" t="s">
        <v>1002</v>
      </c>
      <c r="G1329" s="597">
        <v>20.0</v>
      </c>
      <c r="H1329" s="689">
        <f t="shared" si="84"/>
        <v>8400</v>
      </c>
      <c r="I1329" s="599"/>
      <c r="J1329" s="599"/>
      <c r="K1329" s="615" t="s">
        <v>2237</v>
      </c>
      <c r="L1329" s="616" t="s">
        <v>942</v>
      </c>
      <c r="M1329" s="621"/>
      <c r="N1329" s="621"/>
      <c r="O1329" s="621"/>
      <c r="P1329" s="602">
        <f t="shared" si="88"/>
        <v>0</v>
      </c>
      <c r="Q1329" s="613" t="s">
        <v>943</v>
      </c>
      <c r="R1329" s="74"/>
      <c r="S1329" s="74"/>
      <c r="T1329" s="74"/>
      <c r="U1329" s="74"/>
      <c r="V1329" s="74"/>
      <c r="W1329" s="74"/>
      <c r="X1329" s="74"/>
      <c r="Y1329" s="74"/>
      <c r="Z1329" s="74"/>
      <c r="AA1329" s="74"/>
      <c r="AB1329" s="74"/>
      <c r="AC1329" s="74"/>
      <c r="AD1329" s="74"/>
      <c r="AE1329" s="74"/>
      <c r="AF1329" s="74"/>
      <c r="AG1329" s="74"/>
      <c r="AH1329" s="74"/>
      <c r="AI1329" s="74"/>
    </row>
    <row r="1330" ht="22.5" customHeight="1">
      <c r="A1330" s="614">
        <v>45888.0</v>
      </c>
      <c r="B1330" s="675" t="s">
        <v>2218</v>
      </c>
      <c r="C1330" s="609"/>
      <c r="D1330" s="609"/>
      <c r="E1330" s="604" t="s">
        <v>33</v>
      </c>
      <c r="F1330" s="607" t="s">
        <v>1002</v>
      </c>
      <c r="G1330" s="688">
        <v>0.0</v>
      </c>
      <c r="H1330" s="689">
        <f t="shared" si="84"/>
        <v>0</v>
      </c>
      <c r="I1330" s="599"/>
      <c r="J1330" s="605">
        <v>22000.0</v>
      </c>
      <c r="K1330" s="680" t="s">
        <v>213</v>
      </c>
      <c r="L1330" s="616" t="s">
        <v>1068</v>
      </c>
      <c r="M1330" s="621"/>
      <c r="N1330" s="621"/>
      <c r="O1330" s="621"/>
      <c r="P1330" s="602">
        <f t="shared" si="88"/>
        <v>0</v>
      </c>
      <c r="Q1330" s="622"/>
      <c r="R1330" s="74"/>
      <c r="S1330" s="74"/>
      <c r="T1330" s="74"/>
      <c r="U1330" s="74"/>
      <c r="V1330" s="74"/>
      <c r="W1330" s="74"/>
      <c r="X1330" s="74"/>
      <c r="Y1330" s="74"/>
      <c r="Z1330" s="74"/>
      <c r="AA1330" s="74"/>
      <c r="AB1330" s="74"/>
      <c r="AC1330" s="74"/>
      <c r="AD1330" s="74"/>
      <c r="AE1330" s="74"/>
      <c r="AF1330" s="74"/>
      <c r="AG1330" s="74"/>
      <c r="AH1330" s="74"/>
      <c r="AI1330" s="74"/>
    </row>
    <row r="1331" ht="22.5" customHeight="1">
      <c r="A1331" s="614">
        <v>45888.0</v>
      </c>
      <c r="B1331" s="675" t="s">
        <v>2218</v>
      </c>
      <c r="C1331" s="609"/>
      <c r="D1331" s="609"/>
      <c r="E1331" s="604" t="s">
        <v>33</v>
      </c>
      <c r="F1331" s="607" t="s">
        <v>1002</v>
      </c>
      <c r="G1331" s="688">
        <v>0.0</v>
      </c>
      <c r="H1331" s="689">
        <f t="shared" si="84"/>
        <v>0</v>
      </c>
      <c r="I1331" s="599"/>
      <c r="J1331" s="605">
        <v>28000.0</v>
      </c>
      <c r="K1331" s="680" t="s">
        <v>108</v>
      </c>
      <c r="L1331" s="616" t="s">
        <v>1069</v>
      </c>
      <c r="M1331" s="621"/>
      <c r="N1331" s="621"/>
      <c r="O1331" s="621"/>
      <c r="P1331" s="602">
        <f t="shared" si="88"/>
        <v>0</v>
      </c>
      <c r="Q1331" s="622"/>
      <c r="R1331" s="74"/>
      <c r="S1331" s="74"/>
      <c r="T1331" s="74"/>
      <c r="U1331" s="74"/>
      <c r="V1331" s="74"/>
      <c r="W1331" s="74"/>
      <c r="X1331" s="74"/>
      <c r="Y1331" s="74"/>
      <c r="Z1331" s="74"/>
      <c r="AA1331" s="74"/>
      <c r="AB1331" s="74"/>
      <c r="AC1331" s="74"/>
      <c r="AD1331" s="74"/>
      <c r="AE1331" s="74"/>
      <c r="AF1331" s="74"/>
      <c r="AG1331" s="74"/>
      <c r="AH1331" s="74"/>
      <c r="AI1331" s="74"/>
    </row>
    <row r="1332" ht="22.5" customHeight="1">
      <c r="A1332" s="614">
        <v>45888.0</v>
      </c>
      <c r="B1332" s="675" t="s">
        <v>2218</v>
      </c>
      <c r="C1332" s="609"/>
      <c r="D1332" s="609"/>
      <c r="E1332" s="604" t="s">
        <v>33</v>
      </c>
      <c r="F1332" s="607" t="s">
        <v>1002</v>
      </c>
      <c r="G1332" s="688">
        <v>0.0</v>
      </c>
      <c r="H1332" s="689">
        <f t="shared" si="84"/>
        <v>0</v>
      </c>
      <c r="I1332" s="599"/>
      <c r="J1332" s="605">
        <v>152000.0</v>
      </c>
      <c r="K1332" s="680" t="s">
        <v>203</v>
      </c>
      <c r="L1332" s="616" t="s">
        <v>1070</v>
      </c>
      <c r="M1332" s="621"/>
      <c r="N1332" s="621"/>
      <c r="O1332" s="621"/>
      <c r="P1332" s="602">
        <f t="shared" si="88"/>
        <v>0</v>
      </c>
      <c r="Q1332" s="622"/>
      <c r="R1332" s="74"/>
      <c r="S1332" s="74"/>
      <c r="T1332" s="74"/>
      <c r="U1332" s="74"/>
      <c r="V1332" s="74"/>
      <c r="W1332" s="74"/>
      <c r="X1332" s="74"/>
      <c r="Y1332" s="74"/>
      <c r="Z1332" s="74"/>
      <c r="AA1332" s="74"/>
      <c r="AB1332" s="74"/>
      <c r="AC1332" s="74"/>
      <c r="AD1332" s="74"/>
      <c r="AE1332" s="74"/>
      <c r="AF1332" s="74"/>
      <c r="AG1332" s="74"/>
      <c r="AH1332" s="74"/>
      <c r="AI1332" s="74"/>
    </row>
    <row r="1333" ht="22.5" customHeight="1">
      <c r="A1333" s="614">
        <v>45889.0</v>
      </c>
      <c r="B1333" s="137" t="s">
        <v>2218</v>
      </c>
      <c r="C1333" s="609"/>
      <c r="D1333" s="610">
        <v>1755.0</v>
      </c>
      <c r="E1333" s="604" t="s">
        <v>28</v>
      </c>
      <c r="F1333" s="607" t="s">
        <v>1002</v>
      </c>
      <c r="G1333" s="597">
        <v>20.0</v>
      </c>
      <c r="H1333" s="689">
        <f t="shared" si="84"/>
        <v>292.5</v>
      </c>
      <c r="I1333" s="599"/>
      <c r="J1333" s="599"/>
      <c r="K1333" s="615" t="s">
        <v>108</v>
      </c>
      <c r="L1333" s="616" t="s">
        <v>500</v>
      </c>
      <c r="M1333" s="621"/>
      <c r="N1333" s="621"/>
      <c r="O1333" s="621"/>
      <c r="P1333" s="602"/>
      <c r="Q1333" s="622"/>
      <c r="R1333" s="74"/>
      <c r="S1333" s="74"/>
      <c r="T1333" s="74"/>
      <c r="U1333" s="74"/>
      <c r="V1333" s="74"/>
      <c r="W1333" s="74"/>
      <c r="X1333" s="74"/>
      <c r="Y1333" s="74"/>
      <c r="Z1333" s="74"/>
      <c r="AA1333" s="74"/>
      <c r="AB1333" s="74"/>
      <c r="AC1333" s="74"/>
      <c r="AD1333" s="74"/>
      <c r="AE1333" s="74"/>
      <c r="AF1333" s="74"/>
      <c r="AG1333" s="74"/>
      <c r="AH1333" s="74"/>
      <c r="AI1333" s="74"/>
    </row>
    <row r="1334" ht="22.5" customHeight="1">
      <c r="A1334" s="614">
        <v>45894.0</v>
      </c>
      <c r="B1334" s="675" t="s">
        <v>2218</v>
      </c>
      <c r="C1334" s="609"/>
      <c r="D1334" s="610">
        <f>806246+16026+367</f>
        <v>822639</v>
      </c>
      <c r="E1334" s="604" t="s">
        <v>28</v>
      </c>
      <c r="F1334" s="607" t="s">
        <v>1002</v>
      </c>
      <c r="G1334" s="688">
        <v>0.0</v>
      </c>
      <c r="H1334" s="689">
        <f t="shared" si="84"/>
        <v>0</v>
      </c>
      <c r="I1334" s="599"/>
      <c r="J1334" s="599"/>
      <c r="K1334" s="615" t="s">
        <v>280</v>
      </c>
      <c r="L1334" s="615" t="s">
        <v>1071</v>
      </c>
      <c r="M1334" s="621"/>
      <c r="N1334" s="621"/>
      <c r="O1334" s="621"/>
      <c r="P1334" s="602">
        <f t="shared" ref="P1334:P1395" si="89">A1334-IF(O1334&gt;0,O1334,A1334)</f>
        <v>0</v>
      </c>
      <c r="Q1334" s="622"/>
      <c r="R1334" s="74"/>
      <c r="S1334" s="74"/>
      <c r="T1334" s="74"/>
      <c r="U1334" s="74"/>
      <c r="V1334" s="74"/>
      <c r="W1334" s="74"/>
      <c r="X1334" s="74"/>
      <c r="Y1334" s="74"/>
      <c r="Z1334" s="74"/>
      <c r="AA1334" s="74"/>
      <c r="AB1334" s="74"/>
      <c r="AC1334" s="74"/>
      <c r="AD1334" s="74"/>
      <c r="AE1334" s="74"/>
      <c r="AF1334" s="74"/>
      <c r="AG1334" s="74"/>
      <c r="AH1334" s="74"/>
      <c r="AI1334" s="74"/>
    </row>
    <row r="1335" ht="22.5" customHeight="1">
      <c r="A1335" s="614">
        <v>45895.0</v>
      </c>
      <c r="B1335" s="675" t="s">
        <v>2218</v>
      </c>
      <c r="C1335" s="610">
        <v>750000.0</v>
      </c>
      <c r="D1335" s="609"/>
      <c r="E1335" s="606"/>
      <c r="F1335" s="627" t="s">
        <v>800</v>
      </c>
      <c r="G1335" s="597">
        <v>20.0</v>
      </c>
      <c r="H1335" s="689">
        <f t="shared" si="84"/>
        <v>125000</v>
      </c>
      <c r="I1335" s="599"/>
      <c r="J1335" s="599"/>
      <c r="K1335" s="615" t="s">
        <v>51</v>
      </c>
      <c r="L1335" s="616" t="s">
        <v>440</v>
      </c>
      <c r="M1335" s="612" t="s">
        <v>804</v>
      </c>
      <c r="N1335" s="612">
        <v>227.0</v>
      </c>
      <c r="O1335" s="662">
        <v>45818.0</v>
      </c>
      <c r="P1335" s="602">
        <f t="shared" si="89"/>
        <v>77</v>
      </c>
      <c r="Q1335" s="622"/>
      <c r="R1335" s="74"/>
      <c r="S1335" s="74"/>
      <c r="T1335" s="74"/>
      <c r="U1335" s="74"/>
      <c r="V1335" s="74"/>
      <c r="W1335" s="74"/>
      <c r="X1335" s="74"/>
      <c r="Y1335" s="74"/>
      <c r="Z1335" s="74"/>
      <c r="AA1335" s="74"/>
      <c r="AB1335" s="74"/>
      <c r="AC1335" s="74"/>
      <c r="AD1335" s="74"/>
      <c r="AE1335" s="74"/>
      <c r="AF1335" s="74"/>
      <c r="AG1335" s="74"/>
      <c r="AH1335" s="74"/>
      <c r="AI1335" s="74"/>
    </row>
    <row r="1336" ht="22.5" customHeight="1">
      <c r="A1336" s="614">
        <v>45895.0</v>
      </c>
      <c r="B1336" s="675" t="s">
        <v>2218</v>
      </c>
      <c r="C1336" s="610">
        <v>1600000.08</v>
      </c>
      <c r="D1336" s="610"/>
      <c r="E1336" s="606"/>
      <c r="F1336" s="627" t="s">
        <v>722</v>
      </c>
      <c r="G1336" s="597">
        <v>20.0</v>
      </c>
      <c r="H1336" s="689">
        <f t="shared" si="84"/>
        <v>266666.68</v>
      </c>
      <c r="I1336" s="599"/>
      <c r="J1336" s="599"/>
      <c r="K1336" s="615" t="s">
        <v>51</v>
      </c>
      <c r="L1336" s="616" t="s">
        <v>474</v>
      </c>
      <c r="M1336" s="612" t="s">
        <v>758</v>
      </c>
      <c r="N1336" s="612">
        <v>161.0</v>
      </c>
      <c r="O1336" s="662">
        <v>45789.0</v>
      </c>
      <c r="P1336" s="602">
        <f t="shared" si="89"/>
        <v>106</v>
      </c>
      <c r="Q1336" s="622"/>
      <c r="R1336" s="74"/>
      <c r="S1336" s="74"/>
      <c r="T1336" s="74"/>
      <c r="U1336" s="74"/>
      <c r="V1336" s="74"/>
      <c r="W1336" s="74"/>
      <c r="X1336" s="74"/>
      <c r="Y1336" s="74"/>
      <c r="Z1336" s="74"/>
      <c r="AA1336" s="74"/>
      <c r="AB1336" s="74"/>
      <c r="AC1336" s="74"/>
      <c r="AD1336" s="74"/>
      <c r="AE1336" s="74"/>
      <c r="AF1336" s="74"/>
      <c r="AG1336" s="74"/>
      <c r="AH1336" s="74"/>
      <c r="AI1336" s="74"/>
    </row>
    <row r="1337" ht="22.5" customHeight="1">
      <c r="A1337" s="614">
        <v>45895.0</v>
      </c>
      <c r="B1337" s="675" t="s">
        <v>2218</v>
      </c>
      <c r="C1337" s="610">
        <v>80000.0</v>
      </c>
      <c r="D1337" s="610"/>
      <c r="E1337" s="606"/>
      <c r="F1337" s="627" t="s">
        <v>722</v>
      </c>
      <c r="G1337" s="597">
        <v>20.0</v>
      </c>
      <c r="H1337" s="689">
        <f t="shared" si="84"/>
        <v>13333.33333</v>
      </c>
      <c r="I1337" s="599"/>
      <c r="J1337" s="599"/>
      <c r="K1337" s="615" t="s">
        <v>51</v>
      </c>
      <c r="L1337" s="616" t="s">
        <v>474</v>
      </c>
      <c r="M1337" s="612" t="s">
        <v>1072</v>
      </c>
      <c r="N1337" s="612">
        <v>162.0</v>
      </c>
      <c r="O1337" s="662">
        <v>45789.0</v>
      </c>
      <c r="P1337" s="602">
        <f t="shared" si="89"/>
        <v>106</v>
      </c>
      <c r="Q1337" s="622"/>
      <c r="R1337" s="74"/>
      <c r="S1337" s="74"/>
      <c r="T1337" s="74"/>
      <c r="U1337" s="74"/>
      <c r="V1337" s="74"/>
      <c r="W1337" s="74"/>
      <c r="X1337" s="74"/>
      <c r="Y1337" s="74"/>
      <c r="Z1337" s="74"/>
      <c r="AA1337" s="74"/>
      <c r="AB1337" s="74"/>
      <c r="AC1337" s="74"/>
      <c r="AD1337" s="74"/>
      <c r="AE1337" s="74"/>
      <c r="AF1337" s="74"/>
      <c r="AG1337" s="74"/>
      <c r="AH1337" s="74"/>
      <c r="AI1337" s="74"/>
    </row>
    <row r="1338" ht="22.5" customHeight="1">
      <c r="A1338" s="614">
        <v>45895.0</v>
      </c>
      <c r="B1338" s="675" t="s">
        <v>2218</v>
      </c>
      <c r="C1338" s="610">
        <v>1200000.06</v>
      </c>
      <c r="D1338" s="610"/>
      <c r="E1338" s="606"/>
      <c r="F1338" s="627" t="s">
        <v>722</v>
      </c>
      <c r="G1338" s="597">
        <v>20.0</v>
      </c>
      <c r="H1338" s="689">
        <f t="shared" si="84"/>
        <v>200000.01</v>
      </c>
      <c r="I1338" s="599"/>
      <c r="J1338" s="599"/>
      <c r="K1338" s="615" t="s">
        <v>51</v>
      </c>
      <c r="L1338" s="616" t="s">
        <v>474</v>
      </c>
      <c r="M1338" s="612" t="s">
        <v>801</v>
      </c>
      <c r="N1338" s="612">
        <v>163.0</v>
      </c>
      <c r="O1338" s="662">
        <v>45789.0</v>
      </c>
      <c r="P1338" s="602">
        <f t="shared" si="89"/>
        <v>106</v>
      </c>
      <c r="Q1338" s="622"/>
      <c r="R1338" s="74"/>
      <c r="S1338" s="74"/>
      <c r="T1338" s="74"/>
      <c r="U1338" s="74"/>
      <c r="V1338" s="74"/>
      <c r="W1338" s="74"/>
      <c r="X1338" s="74"/>
      <c r="Y1338" s="74"/>
      <c r="Z1338" s="74"/>
      <c r="AA1338" s="74"/>
      <c r="AB1338" s="74"/>
      <c r="AC1338" s="74"/>
      <c r="AD1338" s="74"/>
      <c r="AE1338" s="74"/>
      <c r="AF1338" s="74"/>
      <c r="AG1338" s="74"/>
      <c r="AH1338" s="74"/>
      <c r="AI1338" s="74"/>
    </row>
    <row r="1339" ht="22.5" customHeight="1">
      <c r="A1339" s="614">
        <v>45895.0</v>
      </c>
      <c r="B1339" s="675" t="s">
        <v>2218</v>
      </c>
      <c r="C1339" s="610">
        <v>60000.0</v>
      </c>
      <c r="D1339" s="610"/>
      <c r="E1339" s="606"/>
      <c r="F1339" s="627" t="s">
        <v>722</v>
      </c>
      <c r="G1339" s="597">
        <v>20.0</v>
      </c>
      <c r="H1339" s="689">
        <f t="shared" si="84"/>
        <v>10000</v>
      </c>
      <c r="I1339" s="599"/>
      <c r="J1339" s="599"/>
      <c r="K1339" s="615" t="s">
        <v>51</v>
      </c>
      <c r="L1339" s="616" t="s">
        <v>474</v>
      </c>
      <c r="M1339" s="612" t="s">
        <v>1073</v>
      </c>
      <c r="N1339" s="612">
        <v>164.0</v>
      </c>
      <c r="O1339" s="662">
        <v>45789.0</v>
      </c>
      <c r="P1339" s="602">
        <f t="shared" si="89"/>
        <v>106</v>
      </c>
      <c r="Q1339" s="622"/>
      <c r="R1339" s="74"/>
      <c r="S1339" s="74"/>
      <c r="T1339" s="74"/>
      <c r="U1339" s="74"/>
      <c r="V1339" s="74"/>
      <c r="W1339" s="74"/>
      <c r="X1339" s="74"/>
      <c r="Y1339" s="74"/>
      <c r="Z1339" s="74"/>
      <c r="AA1339" s="74"/>
      <c r="AB1339" s="74"/>
      <c r="AC1339" s="74"/>
      <c r="AD1339" s="74"/>
      <c r="AE1339" s="74"/>
      <c r="AF1339" s="74"/>
      <c r="AG1339" s="74"/>
      <c r="AH1339" s="74"/>
      <c r="AI1339" s="74"/>
    </row>
    <row r="1340" ht="22.5" customHeight="1">
      <c r="A1340" s="614">
        <v>45895.0</v>
      </c>
      <c r="B1340" s="675" t="s">
        <v>2218</v>
      </c>
      <c r="C1340" s="610">
        <v>1200000.06</v>
      </c>
      <c r="D1340" s="610"/>
      <c r="E1340" s="606"/>
      <c r="F1340" s="627" t="s">
        <v>722</v>
      </c>
      <c r="G1340" s="597">
        <v>20.0</v>
      </c>
      <c r="H1340" s="689">
        <f t="shared" si="84"/>
        <v>200000.01</v>
      </c>
      <c r="I1340" s="599"/>
      <c r="J1340" s="599"/>
      <c r="K1340" s="615" t="s">
        <v>51</v>
      </c>
      <c r="L1340" s="616" t="s">
        <v>474</v>
      </c>
      <c r="M1340" s="612" t="s">
        <v>804</v>
      </c>
      <c r="N1340" s="612">
        <v>165.0</v>
      </c>
      <c r="O1340" s="662">
        <v>45789.0</v>
      </c>
      <c r="P1340" s="602">
        <f t="shared" si="89"/>
        <v>106</v>
      </c>
      <c r="Q1340" s="622"/>
      <c r="R1340" s="74"/>
      <c r="S1340" s="74"/>
      <c r="T1340" s="74"/>
      <c r="U1340" s="74"/>
      <c r="V1340" s="74"/>
      <c r="W1340" s="74"/>
      <c r="X1340" s="74"/>
      <c r="Y1340" s="74"/>
      <c r="Z1340" s="74"/>
      <c r="AA1340" s="74"/>
      <c r="AB1340" s="74"/>
      <c r="AC1340" s="74"/>
      <c r="AD1340" s="74"/>
      <c r="AE1340" s="74"/>
      <c r="AF1340" s="74"/>
      <c r="AG1340" s="74"/>
      <c r="AH1340" s="74"/>
      <c r="AI1340" s="74"/>
    </row>
    <row r="1341" ht="22.5" customHeight="1">
      <c r="A1341" s="614">
        <v>45895.0</v>
      </c>
      <c r="B1341" s="675" t="s">
        <v>2218</v>
      </c>
      <c r="C1341" s="610">
        <v>60000.0</v>
      </c>
      <c r="D1341" s="610"/>
      <c r="E1341" s="606"/>
      <c r="F1341" s="627" t="s">
        <v>722</v>
      </c>
      <c r="G1341" s="597">
        <v>20.0</v>
      </c>
      <c r="H1341" s="689">
        <f t="shared" si="84"/>
        <v>10000</v>
      </c>
      <c r="I1341" s="599"/>
      <c r="J1341" s="599"/>
      <c r="K1341" s="615" t="s">
        <v>51</v>
      </c>
      <c r="L1341" s="616" t="s">
        <v>474</v>
      </c>
      <c r="M1341" s="612" t="s">
        <v>1074</v>
      </c>
      <c r="N1341" s="612">
        <v>166.0</v>
      </c>
      <c r="O1341" s="662">
        <v>45789.0</v>
      </c>
      <c r="P1341" s="602">
        <f t="shared" si="89"/>
        <v>106</v>
      </c>
      <c r="Q1341" s="622"/>
      <c r="R1341" s="74"/>
      <c r="S1341" s="74"/>
      <c r="T1341" s="74"/>
      <c r="U1341" s="74"/>
      <c r="V1341" s="74"/>
      <c r="W1341" s="74"/>
      <c r="X1341" s="74"/>
      <c r="Y1341" s="74"/>
      <c r="Z1341" s="74"/>
      <c r="AA1341" s="74"/>
      <c r="AB1341" s="74"/>
      <c r="AC1341" s="74"/>
      <c r="AD1341" s="74"/>
      <c r="AE1341" s="74"/>
      <c r="AF1341" s="74"/>
      <c r="AG1341" s="74"/>
      <c r="AH1341" s="74"/>
      <c r="AI1341" s="74"/>
    </row>
    <row r="1342" ht="22.5" customHeight="1">
      <c r="A1342" s="614">
        <v>45895.0</v>
      </c>
      <c r="B1342" s="675" t="s">
        <v>2218</v>
      </c>
      <c r="C1342" s="610">
        <v>1200420.06</v>
      </c>
      <c r="D1342" s="610"/>
      <c r="E1342" s="606"/>
      <c r="F1342" s="627" t="s">
        <v>722</v>
      </c>
      <c r="G1342" s="597">
        <v>20.0</v>
      </c>
      <c r="H1342" s="689">
        <f t="shared" si="84"/>
        <v>200070.01</v>
      </c>
      <c r="I1342" s="599"/>
      <c r="J1342" s="599"/>
      <c r="K1342" s="615" t="s">
        <v>51</v>
      </c>
      <c r="L1342" s="616" t="s">
        <v>474</v>
      </c>
      <c r="M1342" s="612" t="s">
        <v>858</v>
      </c>
      <c r="N1342" s="612">
        <v>169.0</v>
      </c>
      <c r="O1342" s="662">
        <v>45789.0</v>
      </c>
      <c r="P1342" s="602">
        <f t="shared" si="89"/>
        <v>106</v>
      </c>
      <c r="Q1342" s="622"/>
      <c r="R1342" s="74"/>
      <c r="S1342" s="74"/>
      <c r="T1342" s="74"/>
      <c r="U1342" s="74"/>
      <c r="V1342" s="74"/>
      <c r="W1342" s="74"/>
      <c r="X1342" s="74"/>
      <c r="Y1342" s="74"/>
      <c r="Z1342" s="74"/>
      <c r="AA1342" s="74"/>
      <c r="AB1342" s="74"/>
      <c r="AC1342" s="74"/>
      <c r="AD1342" s="74"/>
      <c r="AE1342" s="74"/>
      <c r="AF1342" s="74"/>
      <c r="AG1342" s="74"/>
      <c r="AH1342" s="74"/>
      <c r="AI1342" s="74"/>
    </row>
    <row r="1343" ht="22.5" customHeight="1">
      <c r="A1343" s="614">
        <v>45895.0</v>
      </c>
      <c r="B1343" s="675" t="s">
        <v>2218</v>
      </c>
      <c r="C1343" s="610">
        <v>600000.24</v>
      </c>
      <c r="D1343" s="610"/>
      <c r="E1343" s="606"/>
      <c r="F1343" s="627" t="s">
        <v>722</v>
      </c>
      <c r="G1343" s="597">
        <v>20.0</v>
      </c>
      <c r="H1343" s="689">
        <f t="shared" si="84"/>
        <v>100000.04</v>
      </c>
      <c r="I1343" s="599"/>
      <c r="J1343" s="599"/>
      <c r="K1343" s="615" t="s">
        <v>51</v>
      </c>
      <c r="L1343" s="616" t="s">
        <v>474</v>
      </c>
      <c r="M1343" s="612" t="s">
        <v>803</v>
      </c>
      <c r="N1343" s="612">
        <v>170.0</v>
      </c>
      <c r="O1343" s="662">
        <v>45789.0</v>
      </c>
      <c r="P1343" s="602">
        <f t="shared" si="89"/>
        <v>106</v>
      </c>
      <c r="Q1343" s="622"/>
      <c r="R1343" s="74"/>
      <c r="S1343" s="74"/>
      <c r="T1343" s="74"/>
      <c r="U1343" s="74"/>
      <c r="V1343" s="74"/>
      <c r="W1343" s="74"/>
      <c r="X1343" s="74"/>
      <c r="Y1343" s="74"/>
      <c r="Z1343" s="74"/>
      <c r="AA1343" s="74"/>
      <c r="AB1343" s="74"/>
      <c r="AC1343" s="74"/>
      <c r="AD1343" s="74"/>
      <c r="AE1343" s="74"/>
      <c r="AF1343" s="74"/>
      <c r="AG1343" s="74"/>
      <c r="AH1343" s="74"/>
      <c r="AI1343" s="74"/>
    </row>
    <row r="1344" ht="22.5" customHeight="1">
      <c r="A1344" s="614">
        <v>45895.0</v>
      </c>
      <c r="B1344" s="675" t="s">
        <v>2218</v>
      </c>
      <c r="C1344" s="610">
        <v>1200420.06</v>
      </c>
      <c r="D1344" s="610"/>
      <c r="E1344" s="606"/>
      <c r="F1344" s="627" t="s">
        <v>722</v>
      </c>
      <c r="G1344" s="597">
        <v>20.0</v>
      </c>
      <c r="H1344" s="689">
        <f t="shared" si="84"/>
        <v>200070.01</v>
      </c>
      <c r="I1344" s="599"/>
      <c r="J1344" s="599"/>
      <c r="K1344" s="672" t="s">
        <v>51</v>
      </c>
      <c r="L1344" s="616" t="s">
        <v>474</v>
      </c>
      <c r="M1344" s="612" t="s">
        <v>802</v>
      </c>
      <c r="N1344" s="612">
        <v>171.0</v>
      </c>
      <c r="O1344" s="662">
        <v>45790.0</v>
      </c>
      <c r="P1344" s="602">
        <f t="shared" si="89"/>
        <v>105</v>
      </c>
      <c r="Q1344" s="622"/>
      <c r="R1344" s="74"/>
      <c r="S1344" s="74"/>
      <c r="T1344" s="74"/>
      <c r="U1344" s="74"/>
      <c r="V1344" s="74"/>
      <c r="W1344" s="74"/>
      <c r="X1344" s="74"/>
      <c r="Y1344" s="74"/>
      <c r="Z1344" s="74"/>
      <c r="AA1344" s="74"/>
      <c r="AB1344" s="74"/>
      <c r="AC1344" s="74"/>
      <c r="AD1344" s="74"/>
      <c r="AE1344" s="74"/>
      <c r="AF1344" s="74"/>
      <c r="AG1344" s="74"/>
      <c r="AH1344" s="74"/>
      <c r="AI1344" s="74"/>
    </row>
    <row r="1345" ht="22.5" customHeight="1">
      <c r="A1345" s="614">
        <v>45895.0</v>
      </c>
      <c r="B1345" s="675" t="s">
        <v>2218</v>
      </c>
      <c r="C1345" s="609"/>
      <c r="D1345" s="610">
        <v>6897134.93</v>
      </c>
      <c r="E1345" s="606"/>
      <c r="F1345" s="627" t="s">
        <v>722</v>
      </c>
      <c r="G1345" s="597">
        <v>20.0</v>
      </c>
      <c r="H1345" s="689">
        <f t="shared" si="84"/>
        <v>1149522.488</v>
      </c>
      <c r="I1345" s="599"/>
      <c r="J1345" s="599"/>
      <c r="K1345" s="615" t="s">
        <v>101</v>
      </c>
      <c r="L1345" s="700" t="s">
        <v>2252</v>
      </c>
      <c r="M1345" s="621"/>
      <c r="N1345" s="621"/>
      <c r="O1345" s="621"/>
      <c r="P1345" s="602">
        <f t="shared" si="89"/>
        <v>0</v>
      </c>
      <c r="Q1345" s="682" t="s">
        <v>1075</v>
      </c>
      <c r="R1345" s="74"/>
      <c r="S1345" s="74"/>
      <c r="T1345" s="74"/>
      <c r="U1345" s="74"/>
      <c r="V1345" s="74"/>
      <c r="W1345" s="74"/>
      <c r="X1345" s="74"/>
      <c r="Y1345" s="74"/>
      <c r="Z1345" s="74"/>
      <c r="AA1345" s="74"/>
      <c r="AB1345" s="74"/>
      <c r="AC1345" s="74"/>
      <c r="AD1345" s="74"/>
      <c r="AE1345" s="74"/>
      <c r="AF1345" s="74"/>
      <c r="AG1345" s="74"/>
      <c r="AH1345" s="74"/>
      <c r="AI1345" s="74"/>
    </row>
    <row r="1346" ht="22.5" customHeight="1">
      <c r="A1346" s="614">
        <v>45895.0</v>
      </c>
      <c r="B1346" s="675" t="s">
        <v>2218</v>
      </c>
      <c r="C1346" s="610">
        <v>1372800.24</v>
      </c>
      <c r="D1346" s="609"/>
      <c r="E1346" s="606"/>
      <c r="F1346" s="627" t="s">
        <v>800</v>
      </c>
      <c r="G1346" s="597">
        <v>20.0</v>
      </c>
      <c r="H1346" s="689">
        <f t="shared" si="84"/>
        <v>228800.04</v>
      </c>
      <c r="I1346" s="599"/>
      <c r="J1346" s="599"/>
      <c r="K1346" s="673" t="s">
        <v>51</v>
      </c>
      <c r="L1346" s="616" t="s">
        <v>474</v>
      </c>
      <c r="M1346" s="612" t="s">
        <v>1076</v>
      </c>
      <c r="N1346" s="612">
        <v>211.0</v>
      </c>
      <c r="O1346" s="662">
        <v>45817.0</v>
      </c>
      <c r="P1346" s="602">
        <f t="shared" si="89"/>
        <v>78</v>
      </c>
      <c r="Q1346" s="622"/>
      <c r="R1346" s="74"/>
      <c r="S1346" s="74"/>
      <c r="T1346" s="74"/>
      <c r="U1346" s="74"/>
      <c r="V1346" s="74"/>
      <c r="W1346" s="74"/>
      <c r="X1346" s="74"/>
      <c r="Y1346" s="74"/>
      <c r="Z1346" s="74"/>
      <c r="AA1346" s="74"/>
      <c r="AB1346" s="74"/>
      <c r="AC1346" s="74"/>
      <c r="AD1346" s="74"/>
      <c r="AE1346" s="74"/>
      <c r="AF1346" s="74"/>
      <c r="AG1346" s="74"/>
      <c r="AH1346" s="74"/>
      <c r="AI1346" s="74"/>
    </row>
    <row r="1347" ht="22.5" customHeight="1">
      <c r="A1347" s="614">
        <v>45895.0</v>
      </c>
      <c r="B1347" s="675" t="s">
        <v>2218</v>
      </c>
      <c r="C1347" s="610">
        <v>600000.24</v>
      </c>
      <c r="D1347" s="609"/>
      <c r="E1347" s="606"/>
      <c r="F1347" s="627" t="s">
        <v>800</v>
      </c>
      <c r="G1347" s="597">
        <v>20.0</v>
      </c>
      <c r="H1347" s="689">
        <f t="shared" si="84"/>
        <v>100000.04</v>
      </c>
      <c r="I1347" s="599"/>
      <c r="J1347" s="599"/>
      <c r="K1347" s="674" t="s">
        <v>51</v>
      </c>
      <c r="L1347" s="616" t="s">
        <v>474</v>
      </c>
      <c r="M1347" s="612" t="s">
        <v>1077</v>
      </c>
      <c r="N1347" s="612">
        <v>212.0</v>
      </c>
      <c r="O1347" s="662">
        <v>45817.0</v>
      </c>
      <c r="P1347" s="602">
        <f t="shared" si="89"/>
        <v>78</v>
      </c>
      <c r="Q1347" s="622"/>
      <c r="R1347" s="74"/>
      <c r="S1347" s="74"/>
      <c r="T1347" s="74"/>
      <c r="U1347" s="74"/>
      <c r="V1347" s="74"/>
      <c r="W1347" s="74"/>
      <c r="X1347" s="74"/>
      <c r="Y1347" s="74"/>
      <c r="Z1347" s="74"/>
      <c r="AA1347" s="74"/>
      <c r="AB1347" s="74"/>
      <c r="AC1347" s="74"/>
      <c r="AD1347" s="74"/>
      <c r="AE1347" s="74"/>
      <c r="AF1347" s="74"/>
      <c r="AG1347" s="74"/>
      <c r="AH1347" s="74"/>
      <c r="AI1347" s="74"/>
    </row>
    <row r="1348" ht="22.5" customHeight="1">
      <c r="A1348" s="614">
        <v>45895.0</v>
      </c>
      <c r="B1348" s="675" t="s">
        <v>2218</v>
      </c>
      <c r="C1348" s="610">
        <v>600000.24</v>
      </c>
      <c r="D1348" s="609"/>
      <c r="E1348" s="606"/>
      <c r="F1348" s="627" t="s">
        <v>800</v>
      </c>
      <c r="G1348" s="597">
        <v>20.0</v>
      </c>
      <c r="H1348" s="689">
        <f t="shared" si="84"/>
        <v>100000.04</v>
      </c>
      <c r="I1348" s="599"/>
      <c r="J1348" s="599"/>
      <c r="K1348" s="615" t="s">
        <v>51</v>
      </c>
      <c r="L1348" s="616" t="s">
        <v>474</v>
      </c>
      <c r="M1348" s="612" t="s">
        <v>1013</v>
      </c>
      <c r="N1348" s="612">
        <v>213.0</v>
      </c>
      <c r="O1348" s="662">
        <v>45817.0</v>
      </c>
      <c r="P1348" s="602">
        <f t="shared" si="89"/>
        <v>78</v>
      </c>
      <c r="Q1348" s="622"/>
      <c r="R1348" s="74"/>
      <c r="S1348" s="74"/>
      <c r="T1348" s="74"/>
      <c r="U1348" s="74"/>
      <c r="V1348" s="74"/>
      <c r="W1348" s="74"/>
      <c r="X1348" s="74"/>
      <c r="Y1348" s="74"/>
      <c r="Z1348" s="74"/>
      <c r="AA1348" s="74"/>
      <c r="AB1348" s="74"/>
      <c r="AC1348" s="74"/>
      <c r="AD1348" s="74"/>
      <c r="AE1348" s="74"/>
      <c r="AF1348" s="74"/>
      <c r="AG1348" s="74"/>
      <c r="AH1348" s="74"/>
      <c r="AI1348" s="74"/>
    </row>
    <row r="1349" ht="22.5" customHeight="1">
      <c r="A1349" s="614">
        <v>45895.0</v>
      </c>
      <c r="B1349" s="675" t="s">
        <v>2218</v>
      </c>
      <c r="C1349" s="610">
        <v>840000.0</v>
      </c>
      <c r="D1349" s="609"/>
      <c r="E1349" s="606"/>
      <c r="F1349" s="627" t="s">
        <v>800</v>
      </c>
      <c r="G1349" s="597">
        <v>20.0</v>
      </c>
      <c r="H1349" s="689">
        <f t="shared" si="84"/>
        <v>140000</v>
      </c>
      <c r="I1349" s="599"/>
      <c r="J1349" s="599"/>
      <c r="K1349" s="615" t="s">
        <v>51</v>
      </c>
      <c r="L1349" s="616" t="s">
        <v>474</v>
      </c>
      <c r="M1349" s="612" t="s">
        <v>1078</v>
      </c>
      <c r="N1349" s="612">
        <v>218.0</v>
      </c>
      <c r="O1349" s="662">
        <v>45818.0</v>
      </c>
      <c r="P1349" s="602">
        <f t="shared" si="89"/>
        <v>77</v>
      </c>
      <c r="Q1349" s="622"/>
      <c r="R1349" s="74"/>
      <c r="S1349" s="74"/>
      <c r="T1349" s="74"/>
      <c r="U1349" s="74"/>
      <c r="V1349" s="74"/>
      <c r="W1349" s="74"/>
      <c r="X1349" s="74"/>
      <c r="Y1349" s="74"/>
      <c r="Z1349" s="74"/>
      <c r="AA1349" s="74"/>
      <c r="AB1349" s="74"/>
      <c r="AC1349" s="74"/>
      <c r="AD1349" s="74"/>
      <c r="AE1349" s="74"/>
      <c r="AF1349" s="74"/>
      <c r="AG1349" s="74"/>
      <c r="AH1349" s="74"/>
      <c r="AI1349" s="74"/>
    </row>
    <row r="1350" ht="22.5" customHeight="1">
      <c r="A1350" s="614">
        <v>45895.0</v>
      </c>
      <c r="B1350" s="675" t="s">
        <v>2218</v>
      </c>
      <c r="C1350" s="610">
        <v>60000.0</v>
      </c>
      <c r="D1350" s="609"/>
      <c r="E1350" s="606"/>
      <c r="F1350" s="627" t="s">
        <v>800</v>
      </c>
      <c r="G1350" s="597">
        <v>20.0</v>
      </c>
      <c r="H1350" s="689">
        <f t="shared" si="84"/>
        <v>10000</v>
      </c>
      <c r="I1350" s="599"/>
      <c r="J1350" s="599"/>
      <c r="K1350" s="615" t="s">
        <v>51</v>
      </c>
      <c r="L1350" s="616" t="s">
        <v>474</v>
      </c>
      <c r="M1350" s="612" t="s">
        <v>1079</v>
      </c>
      <c r="N1350" s="612">
        <v>231.0</v>
      </c>
      <c r="O1350" s="662">
        <v>45824.0</v>
      </c>
      <c r="P1350" s="602">
        <f t="shared" si="89"/>
        <v>71</v>
      </c>
      <c r="Q1350" s="622"/>
      <c r="R1350" s="74"/>
      <c r="S1350" s="74"/>
      <c r="T1350" s="74"/>
      <c r="U1350" s="74"/>
      <c r="V1350" s="74"/>
      <c r="W1350" s="74"/>
      <c r="X1350" s="74"/>
      <c r="Y1350" s="74"/>
      <c r="Z1350" s="74"/>
      <c r="AA1350" s="74"/>
      <c r="AB1350" s="74"/>
      <c r="AC1350" s="74"/>
      <c r="AD1350" s="74"/>
      <c r="AE1350" s="74"/>
      <c r="AF1350" s="74"/>
      <c r="AG1350" s="74"/>
      <c r="AH1350" s="74"/>
      <c r="AI1350" s="74"/>
    </row>
    <row r="1351" ht="22.5" customHeight="1">
      <c r="A1351" s="614">
        <v>45895.0</v>
      </c>
      <c r="B1351" s="675" t="s">
        <v>2218</v>
      </c>
      <c r="C1351" s="610">
        <v>1200000.06</v>
      </c>
      <c r="D1351" s="609"/>
      <c r="E1351" s="606"/>
      <c r="F1351" s="627" t="s">
        <v>800</v>
      </c>
      <c r="G1351" s="597">
        <v>20.0</v>
      </c>
      <c r="H1351" s="689">
        <f t="shared" si="84"/>
        <v>200000.01</v>
      </c>
      <c r="I1351" s="599"/>
      <c r="J1351" s="599"/>
      <c r="K1351" s="615" t="s">
        <v>51</v>
      </c>
      <c r="L1351" s="616" t="s">
        <v>474</v>
      </c>
      <c r="M1351" s="612" t="s">
        <v>950</v>
      </c>
      <c r="N1351" s="612">
        <v>232.0</v>
      </c>
      <c r="O1351" s="662">
        <v>45824.0</v>
      </c>
      <c r="P1351" s="602">
        <f t="shared" si="89"/>
        <v>71</v>
      </c>
      <c r="Q1351" s="622"/>
      <c r="R1351" s="74"/>
      <c r="S1351" s="74"/>
      <c r="T1351" s="74"/>
      <c r="U1351" s="74"/>
      <c r="V1351" s="74"/>
      <c r="W1351" s="74"/>
      <c r="X1351" s="74"/>
      <c r="Y1351" s="74"/>
      <c r="Z1351" s="74"/>
      <c r="AA1351" s="74"/>
      <c r="AB1351" s="74"/>
      <c r="AC1351" s="74"/>
      <c r="AD1351" s="74"/>
      <c r="AE1351" s="74"/>
      <c r="AF1351" s="74"/>
      <c r="AG1351" s="74"/>
      <c r="AH1351" s="74"/>
      <c r="AI1351" s="74"/>
    </row>
    <row r="1352" ht="22.5" customHeight="1">
      <c r="A1352" s="614">
        <v>45895.0</v>
      </c>
      <c r="B1352" s="675" t="s">
        <v>2218</v>
      </c>
      <c r="C1352" s="610">
        <v>1200000.06</v>
      </c>
      <c r="D1352" s="609"/>
      <c r="E1352" s="606"/>
      <c r="F1352" s="627" t="s">
        <v>800</v>
      </c>
      <c r="G1352" s="597">
        <v>20.0</v>
      </c>
      <c r="H1352" s="689">
        <f t="shared" si="84"/>
        <v>200000.01</v>
      </c>
      <c r="I1352" s="599"/>
      <c r="J1352" s="599"/>
      <c r="K1352" s="615" t="s">
        <v>51</v>
      </c>
      <c r="L1352" s="616" t="s">
        <v>474</v>
      </c>
      <c r="M1352" s="612" t="s">
        <v>856</v>
      </c>
      <c r="N1352" s="612">
        <v>233.0</v>
      </c>
      <c r="O1352" s="662">
        <v>45824.0</v>
      </c>
      <c r="P1352" s="602">
        <f t="shared" si="89"/>
        <v>71</v>
      </c>
      <c r="Q1352" s="622"/>
      <c r="R1352" s="74"/>
      <c r="S1352" s="74"/>
      <c r="T1352" s="74"/>
      <c r="U1352" s="74"/>
      <c r="V1352" s="74"/>
      <c r="W1352" s="74"/>
      <c r="X1352" s="74"/>
      <c r="Y1352" s="74"/>
      <c r="Z1352" s="74"/>
      <c r="AA1352" s="74"/>
      <c r="AB1352" s="74"/>
      <c r="AC1352" s="74"/>
      <c r="AD1352" s="74"/>
      <c r="AE1352" s="74"/>
      <c r="AF1352" s="74"/>
      <c r="AG1352" s="74"/>
      <c r="AH1352" s="74"/>
      <c r="AI1352" s="74"/>
    </row>
    <row r="1353" ht="22.5" customHeight="1">
      <c r="A1353" s="614">
        <v>45895.0</v>
      </c>
      <c r="B1353" s="675" t="s">
        <v>2218</v>
      </c>
      <c r="C1353" s="610">
        <v>60000.0</v>
      </c>
      <c r="D1353" s="609"/>
      <c r="E1353" s="606"/>
      <c r="F1353" s="627" t="s">
        <v>800</v>
      </c>
      <c r="G1353" s="597">
        <v>20.0</v>
      </c>
      <c r="H1353" s="689">
        <f t="shared" si="84"/>
        <v>10000</v>
      </c>
      <c r="I1353" s="599"/>
      <c r="J1353" s="599"/>
      <c r="K1353" s="615" t="s">
        <v>51</v>
      </c>
      <c r="L1353" s="616" t="s">
        <v>474</v>
      </c>
      <c r="M1353" s="612" t="s">
        <v>1080</v>
      </c>
      <c r="N1353" s="612">
        <v>234.0</v>
      </c>
      <c r="O1353" s="662">
        <v>45824.0</v>
      </c>
      <c r="P1353" s="602">
        <f t="shared" si="89"/>
        <v>71</v>
      </c>
      <c r="Q1353" s="622"/>
      <c r="R1353" s="74"/>
      <c r="S1353" s="74"/>
      <c r="T1353" s="74"/>
      <c r="U1353" s="74"/>
      <c r="V1353" s="74"/>
      <c r="W1353" s="74"/>
      <c r="X1353" s="74"/>
      <c r="Y1353" s="74"/>
      <c r="Z1353" s="74"/>
      <c r="AA1353" s="74"/>
      <c r="AB1353" s="74"/>
      <c r="AC1353" s="74"/>
      <c r="AD1353" s="74"/>
      <c r="AE1353" s="74"/>
      <c r="AF1353" s="74"/>
      <c r="AG1353" s="74"/>
      <c r="AH1353" s="74"/>
      <c r="AI1353" s="74"/>
    </row>
    <row r="1354" ht="22.5" customHeight="1">
      <c r="A1354" s="614">
        <v>45895.0</v>
      </c>
      <c r="B1354" s="675" t="s">
        <v>2218</v>
      </c>
      <c r="C1354" s="610">
        <v>1600000.08</v>
      </c>
      <c r="D1354" s="609"/>
      <c r="E1354" s="606"/>
      <c r="F1354" s="627" t="s">
        <v>800</v>
      </c>
      <c r="G1354" s="597">
        <v>20.0</v>
      </c>
      <c r="H1354" s="689">
        <f t="shared" si="84"/>
        <v>266666.68</v>
      </c>
      <c r="I1354" s="599"/>
      <c r="J1354" s="599"/>
      <c r="K1354" s="615" t="s">
        <v>51</v>
      </c>
      <c r="L1354" s="616" t="s">
        <v>474</v>
      </c>
      <c r="M1354" s="612" t="s">
        <v>857</v>
      </c>
      <c r="N1354" s="612">
        <v>235.0</v>
      </c>
      <c r="O1354" s="662">
        <v>45824.0</v>
      </c>
      <c r="P1354" s="602">
        <f t="shared" si="89"/>
        <v>71</v>
      </c>
      <c r="Q1354" s="622"/>
      <c r="R1354" s="74"/>
      <c r="S1354" s="74"/>
      <c r="T1354" s="74"/>
      <c r="U1354" s="74"/>
      <c r="V1354" s="74"/>
      <c r="W1354" s="74"/>
      <c r="X1354" s="74"/>
      <c r="Y1354" s="74"/>
      <c r="Z1354" s="74"/>
      <c r="AA1354" s="74"/>
      <c r="AB1354" s="74"/>
      <c r="AC1354" s="74"/>
      <c r="AD1354" s="74"/>
      <c r="AE1354" s="74"/>
      <c r="AF1354" s="74"/>
      <c r="AG1354" s="74"/>
      <c r="AH1354" s="74"/>
      <c r="AI1354" s="74"/>
    </row>
    <row r="1355" ht="22.5" customHeight="1">
      <c r="A1355" s="614">
        <v>45895.0</v>
      </c>
      <c r="B1355" s="675" t="s">
        <v>2218</v>
      </c>
      <c r="C1355" s="610">
        <v>80000.0</v>
      </c>
      <c r="D1355" s="609"/>
      <c r="E1355" s="606"/>
      <c r="F1355" s="627" t="s">
        <v>800</v>
      </c>
      <c r="G1355" s="597">
        <v>20.0</v>
      </c>
      <c r="H1355" s="689">
        <f t="shared" si="84"/>
        <v>13333.33333</v>
      </c>
      <c r="I1355" s="599"/>
      <c r="J1355" s="599"/>
      <c r="K1355" s="615" t="s">
        <v>51</v>
      </c>
      <c r="L1355" s="616" t="s">
        <v>474</v>
      </c>
      <c r="M1355" s="612" t="s">
        <v>1081</v>
      </c>
      <c r="N1355" s="612">
        <v>236.0</v>
      </c>
      <c r="O1355" s="662">
        <v>45824.0</v>
      </c>
      <c r="P1355" s="602">
        <f t="shared" si="89"/>
        <v>71</v>
      </c>
      <c r="Q1355" s="622"/>
      <c r="R1355" s="74"/>
      <c r="S1355" s="74"/>
      <c r="T1355" s="74"/>
      <c r="U1355" s="74"/>
      <c r="V1355" s="74"/>
      <c r="W1355" s="74"/>
      <c r="X1355" s="74"/>
      <c r="Y1355" s="74"/>
      <c r="Z1355" s="74"/>
      <c r="AA1355" s="74"/>
      <c r="AB1355" s="74"/>
      <c r="AC1355" s="74"/>
      <c r="AD1355" s="74"/>
      <c r="AE1355" s="74"/>
      <c r="AF1355" s="74"/>
      <c r="AG1355" s="74"/>
      <c r="AH1355" s="74"/>
      <c r="AI1355" s="74"/>
    </row>
    <row r="1356" ht="22.5" customHeight="1">
      <c r="A1356" s="614">
        <v>45895.0</v>
      </c>
      <c r="B1356" s="675" t="s">
        <v>2218</v>
      </c>
      <c r="C1356" s="609"/>
      <c r="D1356" s="610">
        <v>20383.56</v>
      </c>
      <c r="E1356" s="606"/>
      <c r="F1356" s="627" t="s">
        <v>1002</v>
      </c>
      <c r="G1356" s="688">
        <v>0.0</v>
      </c>
      <c r="H1356" s="689">
        <f t="shared" si="84"/>
        <v>0</v>
      </c>
      <c r="I1356" s="599"/>
      <c r="J1356" s="599"/>
      <c r="K1356" s="615" t="s">
        <v>294</v>
      </c>
      <c r="L1356" s="616" t="s">
        <v>719</v>
      </c>
      <c r="M1356" s="621"/>
      <c r="N1356" s="621"/>
      <c r="O1356" s="621"/>
      <c r="P1356" s="602">
        <f t="shared" si="89"/>
        <v>0</v>
      </c>
      <c r="Q1356" s="613" t="s">
        <v>1082</v>
      </c>
      <c r="R1356" s="74"/>
      <c r="S1356" s="74"/>
      <c r="T1356" s="74"/>
      <c r="U1356" s="74"/>
      <c r="V1356" s="74"/>
      <c r="W1356" s="74"/>
      <c r="X1356" s="74"/>
      <c r="Y1356" s="74"/>
      <c r="Z1356" s="74"/>
      <c r="AA1356" s="74"/>
      <c r="AB1356" s="74"/>
      <c r="AC1356" s="74"/>
      <c r="AD1356" s="74"/>
      <c r="AE1356" s="74"/>
      <c r="AF1356" s="74"/>
      <c r="AG1356" s="74"/>
      <c r="AH1356" s="74"/>
      <c r="AI1356" s="74"/>
    </row>
    <row r="1357" ht="22.5" customHeight="1">
      <c r="A1357" s="614">
        <v>45895.0</v>
      </c>
      <c r="B1357" s="675" t="s">
        <v>2218</v>
      </c>
      <c r="C1357" s="609"/>
      <c r="D1357" s="610">
        <v>641928.0</v>
      </c>
      <c r="E1357" s="604" t="s">
        <v>28</v>
      </c>
      <c r="F1357" s="627" t="s">
        <v>722</v>
      </c>
      <c r="G1357" s="688">
        <v>0.0</v>
      </c>
      <c r="H1357" s="689">
        <f t="shared" si="84"/>
        <v>0</v>
      </c>
      <c r="I1357" s="599"/>
      <c r="J1357" s="599"/>
      <c r="K1357" s="615" t="s">
        <v>93</v>
      </c>
      <c r="L1357" s="679" t="s">
        <v>516</v>
      </c>
      <c r="M1357" s="621"/>
      <c r="N1357" s="621"/>
      <c r="O1357" s="621"/>
      <c r="P1357" s="602">
        <f t="shared" si="89"/>
        <v>0</v>
      </c>
      <c r="Q1357" s="682" t="s">
        <v>1083</v>
      </c>
      <c r="R1357" s="74"/>
      <c r="S1357" s="74"/>
      <c r="T1357" s="74"/>
      <c r="U1357" s="74"/>
      <c r="V1357" s="74"/>
      <c r="W1357" s="74"/>
      <c r="X1357" s="74"/>
      <c r="Y1357" s="74"/>
      <c r="Z1357" s="74"/>
      <c r="AA1357" s="74"/>
      <c r="AB1357" s="74"/>
      <c r="AC1357" s="74"/>
      <c r="AD1357" s="74"/>
      <c r="AE1357" s="74"/>
      <c r="AF1357" s="74"/>
      <c r="AG1357" s="74"/>
      <c r="AH1357" s="74"/>
      <c r="AI1357" s="74"/>
    </row>
    <row r="1358" ht="22.5" customHeight="1">
      <c r="A1358" s="614">
        <v>45895.0</v>
      </c>
      <c r="B1358" s="675" t="s">
        <v>2218</v>
      </c>
      <c r="C1358" s="609"/>
      <c r="D1358" s="610">
        <v>693073.64</v>
      </c>
      <c r="E1358" s="604" t="s">
        <v>28</v>
      </c>
      <c r="F1358" s="627" t="s">
        <v>800</v>
      </c>
      <c r="G1358" s="597">
        <v>20.0</v>
      </c>
      <c r="H1358" s="689">
        <f t="shared" si="84"/>
        <v>115512.2733</v>
      </c>
      <c r="I1358" s="599"/>
      <c r="J1358" s="599"/>
      <c r="K1358" s="615" t="s">
        <v>2237</v>
      </c>
      <c r="L1358" s="671" t="s">
        <v>228</v>
      </c>
      <c r="M1358" s="621"/>
      <c r="N1358" s="621"/>
      <c r="O1358" s="621"/>
      <c r="P1358" s="602">
        <f t="shared" si="89"/>
        <v>0</v>
      </c>
      <c r="Q1358" s="682" t="s">
        <v>1084</v>
      </c>
      <c r="R1358" s="74"/>
      <c r="S1358" s="74"/>
      <c r="T1358" s="74"/>
      <c r="U1358" s="74"/>
      <c r="V1358" s="74"/>
      <c r="W1358" s="74"/>
      <c r="X1358" s="74"/>
      <c r="Y1358" s="74"/>
      <c r="Z1358" s="74"/>
      <c r="AA1358" s="74"/>
      <c r="AB1358" s="74"/>
      <c r="AC1358" s="74"/>
      <c r="AD1358" s="74"/>
      <c r="AE1358" s="74"/>
      <c r="AF1358" s="74"/>
      <c r="AG1358" s="74"/>
      <c r="AH1358" s="74"/>
      <c r="AI1358" s="74"/>
    </row>
    <row r="1359" ht="22.5" customHeight="1">
      <c r="A1359" s="614">
        <v>45895.0</v>
      </c>
      <c r="B1359" s="675" t="s">
        <v>2218</v>
      </c>
      <c r="C1359" s="609"/>
      <c r="D1359" s="610">
        <v>89590.0</v>
      </c>
      <c r="E1359" s="606"/>
      <c r="F1359" s="627" t="s">
        <v>897</v>
      </c>
      <c r="G1359" s="597">
        <v>20.0</v>
      </c>
      <c r="H1359" s="689">
        <f t="shared" si="84"/>
        <v>14931.66667</v>
      </c>
      <c r="I1359" s="599"/>
      <c r="J1359" s="599"/>
      <c r="K1359" s="615" t="s">
        <v>2237</v>
      </c>
      <c r="L1359" s="615" t="s">
        <v>509</v>
      </c>
      <c r="M1359" s="621"/>
      <c r="N1359" s="621"/>
      <c r="O1359" s="621"/>
      <c r="P1359" s="602">
        <f t="shared" si="89"/>
        <v>0</v>
      </c>
      <c r="Q1359" s="682" t="s">
        <v>1085</v>
      </c>
      <c r="R1359" s="74"/>
      <c r="S1359" s="74"/>
      <c r="T1359" s="74"/>
      <c r="U1359" s="74"/>
      <c r="V1359" s="74"/>
      <c r="W1359" s="74"/>
      <c r="X1359" s="74"/>
      <c r="Y1359" s="74"/>
      <c r="Z1359" s="74"/>
      <c r="AA1359" s="74"/>
      <c r="AB1359" s="74"/>
      <c r="AC1359" s="74"/>
      <c r="AD1359" s="74"/>
      <c r="AE1359" s="74"/>
      <c r="AF1359" s="74"/>
      <c r="AG1359" s="74"/>
      <c r="AH1359" s="74"/>
      <c r="AI1359" s="74"/>
    </row>
    <row r="1360" ht="22.5" customHeight="1">
      <c r="A1360" s="614">
        <v>45895.0</v>
      </c>
      <c r="B1360" s="675" t="s">
        <v>2218</v>
      </c>
      <c r="C1360" s="610"/>
      <c r="D1360" s="610">
        <v>237913.9</v>
      </c>
      <c r="E1360" s="606"/>
      <c r="F1360" s="627" t="s">
        <v>897</v>
      </c>
      <c r="G1360" s="597">
        <v>20.0</v>
      </c>
      <c r="H1360" s="689">
        <f t="shared" si="84"/>
        <v>39652.31667</v>
      </c>
      <c r="I1360" s="599"/>
      <c r="J1360" s="599"/>
      <c r="K1360" s="615" t="s">
        <v>44</v>
      </c>
      <c r="L1360" s="700" t="s">
        <v>2247</v>
      </c>
      <c r="M1360" s="621"/>
      <c r="N1360" s="612"/>
      <c r="O1360" s="662"/>
      <c r="P1360" s="602">
        <f t="shared" si="89"/>
        <v>0</v>
      </c>
      <c r="Q1360" s="682" t="s">
        <v>1086</v>
      </c>
      <c r="R1360" s="74"/>
      <c r="S1360" s="74"/>
      <c r="T1360" s="74"/>
      <c r="U1360" s="74"/>
      <c r="V1360" s="74"/>
      <c r="W1360" s="74"/>
      <c r="X1360" s="74"/>
      <c r="Y1360" s="74"/>
      <c r="Z1360" s="74"/>
      <c r="AA1360" s="74"/>
      <c r="AB1360" s="74"/>
      <c r="AC1360" s="74"/>
      <c r="AD1360" s="74"/>
      <c r="AE1360" s="74"/>
      <c r="AF1360" s="74"/>
      <c r="AG1360" s="74"/>
      <c r="AH1360" s="74"/>
      <c r="AI1360" s="74"/>
    </row>
    <row r="1361" ht="22.5" customHeight="1">
      <c r="A1361" s="614">
        <v>45895.0</v>
      </c>
      <c r="B1361" s="675" t="s">
        <v>2218</v>
      </c>
      <c r="C1361" s="609"/>
      <c r="D1361" s="610">
        <v>319500.0</v>
      </c>
      <c r="E1361" s="604" t="s">
        <v>28</v>
      </c>
      <c r="F1361" s="627" t="s">
        <v>941</v>
      </c>
      <c r="G1361" s="597">
        <v>20.0</v>
      </c>
      <c r="H1361" s="689">
        <f t="shared" si="84"/>
        <v>53250</v>
      </c>
      <c r="I1361" s="599"/>
      <c r="J1361" s="599"/>
      <c r="K1361" s="615" t="s">
        <v>2237</v>
      </c>
      <c r="L1361" s="671" t="s">
        <v>228</v>
      </c>
      <c r="M1361" s="621"/>
      <c r="N1361" s="621"/>
      <c r="O1361" s="621"/>
      <c r="P1361" s="602">
        <f t="shared" si="89"/>
        <v>0</v>
      </c>
      <c r="Q1361" s="682" t="s">
        <v>1087</v>
      </c>
      <c r="R1361" s="74"/>
      <c r="S1361" s="74"/>
      <c r="T1361" s="74"/>
      <c r="U1361" s="74"/>
      <c r="V1361" s="74"/>
      <c r="W1361" s="74"/>
      <c r="X1361" s="74"/>
      <c r="Y1361" s="74"/>
      <c r="Z1361" s="74"/>
      <c r="AA1361" s="74"/>
      <c r="AB1361" s="74"/>
      <c r="AC1361" s="74"/>
      <c r="AD1361" s="74"/>
      <c r="AE1361" s="74"/>
      <c r="AF1361" s="74"/>
      <c r="AG1361" s="74"/>
      <c r="AH1361" s="74"/>
      <c r="AI1361" s="74"/>
    </row>
    <row r="1362" ht="22.5" customHeight="1">
      <c r="A1362" s="614">
        <v>45895.0</v>
      </c>
      <c r="B1362" s="675" t="s">
        <v>2218</v>
      </c>
      <c r="C1362" s="609"/>
      <c r="D1362" s="610">
        <v>72000.0</v>
      </c>
      <c r="E1362" s="604" t="s">
        <v>28</v>
      </c>
      <c r="F1362" s="607" t="s">
        <v>1002</v>
      </c>
      <c r="G1362" s="597">
        <v>20.0</v>
      </c>
      <c r="H1362" s="689">
        <f t="shared" si="84"/>
        <v>12000</v>
      </c>
      <c r="I1362" s="599"/>
      <c r="J1362" s="599"/>
      <c r="K1362" s="615" t="s">
        <v>2237</v>
      </c>
      <c r="L1362" s="616" t="s">
        <v>942</v>
      </c>
      <c r="M1362" s="621"/>
      <c r="N1362" s="621"/>
      <c r="O1362" s="621"/>
      <c r="P1362" s="602">
        <f t="shared" si="89"/>
        <v>0</v>
      </c>
      <c r="Q1362" s="613" t="s">
        <v>943</v>
      </c>
      <c r="R1362" s="74"/>
      <c r="S1362" s="74"/>
      <c r="T1362" s="74"/>
      <c r="U1362" s="74"/>
      <c r="V1362" s="74"/>
      <c r="W1362" s="74"/>
      <c r="X1362" s="74"/>
      <c r="Y1362" s="74"/>
      <c r="Z1362" s="74"/>
      <c r="AA1362" s="74"/>
      <c r="AB1362" s="74"/>
      <c r="AC1362" s="74"/>
      <c r="AD1362" s="74"/>
      <c r="AE1362" s="74"/>
      <c r="AF1362" s="74"/>
      <c r="AG1362" s="74"/>
      <c r="AH1362" s="74"/>
      <c r="AI1362" s="74"/>
    </row>
    <row r="1363" ht="22.5" customHeight="1">
      <c r="A1363" s="614">
        <v>45895.0</v>
      </c>
      <c r="B1363" s="675" t="s">
        <v>2218</v>
      </c>
      <c r="C1363" s="609"/>
      <c r="D1363" s="610">
        <v>31200.0</v>
      </c>
      <c r="E1363" s="604" t="s">
        <v>28</v>
      </c>
      <c r="F1363" s="607" t="s">
        <v>1002</v>
      </c>
      <c r="G1363" s="597">
        <v>20.0</v>
      </c>
      <c r="H1363" s="689">
        <f t="shared" si="84"/>
        <v>5200</v>
      </c>
      <c r="I1363" s="599"/>
      <c r="J1363" s="599"/>
      <c r="K1363" s="615" t="s">
        <v>2237</v>
      </c>
      <c r="L1363" s="616" t="s">
        <v>942</v>
      </c>
      <c r="M1363" s="621"/>
      <c r="N1363" s="621"/>
      <c r="O1363" s="621"/>
      <c r="P1363" s="602">
        <f t="shared" si="89"/>
        <v>0</v>
      </c>
      <c r="Q1363" s="613" t="s">
        <v>943</v>
      </c>
      <c r="R1363" s="74"/>
      <c r="S1363" s="74"/>
      <c r="T1363" s="74"/>
      <c r="U1363" s="74"/>
      <c r="V1363" s="74"/>
      <c r="W1363" s="74"/>
      <c r="X1363" s="74"/>
      <c r="Y1363" s="74"/>
      <c r="Z1363" s="74"/>
      <c r="AA1363" s="74"/>
      <c r="AB1363" s="74"/>
      <c r="AC1363" s="74"/>
      <c r="AD1363" s="74"/>
      <c r="AE1363" s="74"/>
      <c r="AF1363" s="74"/>
      <c r="AG1363" s="74"/>
      <c r="AH1363" s="74"/>
      <c r="AI1363" s="74"/>
    </row>
    <row r="1364" ht="22.5" customHeight="1">
      <c r="A1364" s="614">
        <v>45895.0</v>
      </c>
      <c r="B1364" s="675" t="s">
        <v>2218</v>
      </c>
      <c r="C1364" s="609"/>
      <c r="D1364" s="610">
        <v>351000.0</v>
      </c>
      <c r="E1364" s="604" t="s">
        <v>28</v>
      </c>
      <c r="F1364" s="607" t="s">
        <v>1002</v>
      </c>
      <c r="G1364" s="597">
        <v>20.0</v>
      </c>
      <c r="H1364" s="689">
        <f t="shared" si="84"/>
        <v>58500</v>
      </c>
      <c r="I1364" s="599"/>
      <c r="J1364" s="599"/>
      <c r="K1364" s="615" t="s">
        <v>2237</v>
      </c>
      <c r="L1364" s="616" t="s">
        <v>942</v>
      </c>
      <c r="M1364" s="621"/>
      <c r="N1364" s="621"/>
      <c r="O1364" s="621"/>
      <c r="P1364" s="602">
        <f t="shared" si="89"/>
        <v>0</v>
      </c>
      <c r="Q1364" s="613" t="s">
        <v>943</v>
      </c>
      <c r="R1364" s="74"/>
      <c r="S1364" s="74"/>
      <c r="T1364" s="74"/>
      <c r="U1364" s="74"/>
      <c r="V1364" s="74"/>
      <c r="W1364" s="74"/>
      <c r="X1364" s="74"/>
      <c r="Y1364" s="74"/>
      <c r="Z1364" s="74"/>
      <c r="AA1364" s="74"/>
      <c r="AB1364" s="74"/>
      <c r="AC1364" s="74"/>
      <c r="AD1364" s="74"/>
      <c r="AE1364" s="74"/>
      <c r="AF1364" s="74"/>
      <c r="AG1364" s="74"/>
      <c r="AH1364" s="74"/>
      <c r="AI1364" s="74"/>
    </row>
    <row r="1365" ht="22.5" customHeight="1">
      <c r="A1365" s="614">
        <v>45895.0</v>
      </c>
      <c r="B1365" s="675" t="s">
        <v>2218</v>
      </c>
      <c r="C1365" s="609"/>
      <c r="D1365" s="610">
        <v>600.0</v>
      </c>
      <c r="E1365" s="604" t="s">
        <v>28</v>
      </c>
      <c r="F1365" s="607" t="s">
        <v>1002</v>
      </c>
      <c r="G1365" s="597">
        <v>20.0</v>
      </c>
      <c r="H1365" s="689">
        <f t="shared" si="84"/>
        <v>100</v>
      </c>
      <c r="I1365" s="599"/>
      <c r="J1365" s="599"/>
      <c r="K1365" s="615" t="s">
        <v>2237</v>
      </c>
      <c r="L1365" s="616" t="s">
        <v>942</v>
      </c>
      <c r="M1365" s="621"/>
      <c r="N1365" s="621"/>
      <c r="O1365" s="621"/>
      <c r="P1365" s="602">
        <f t="shared" si="89"/>
        <v>0</v>
      </c>
      <c r="Q1365" s="613" t="s">
        <v>943</v>
      </c>
      <c r="R1365" s="74"/>
      <c r="S1365" s="74"/>
      <c r="T1365" s="74"/>
      <c r="U1365" s="74"/>
      <c r="V1365" s="74"/>
      <c r="W1365" s="74"/>
      <c r="X1365" s="74"/>
      <c r="Y1365" s="74"/>
      <c r="Z1365" s="74"/>
      <c r="AA1365" s="74"/>
      <c r="AB1365" s="74"/>
      <c r="AC1365" s="74"/>
      <c r="AD1365" s="74"/>
      <c r="AE1365" s="74"/>
      <c r="AF1365" s="74"/>
      <c r="AG1365" s="74"/>
      <c r="AH1365" s="74"/>
      <c r="AI1365" s="74"/>
    </row>
    <row r="1366" ht="22.5" customHeight="1">
      <c r="A1366" s="614">
        <v>45896.0</v>
      </c>
      <c r="B1366" s="675" t="s">
        <v>2218</v>
      </c>
      <c r="C1366" s="610">
        <v>276000.18</v>
      </c>
      <c r="D1366" s="609"/>
      <c r="E1366" s="606"/>
      <c r="F1366" s="627" t="s">
        <v>897</v>
      </c>
      <c r="G1366" s="597">
        <v>20.0</v>
      </c>
      <c r="H1366" s="689">
        <f t="shared" si="84"/>
        <v>46000.03</v>
      </c>
      <c r="I1366" s="599"/>
      <c r="J1366" s="599"/>
      <c r="K1366" s="672" t="s">
        <v>51</v>
      </c>
      <c r="L1366" s="616" t="s">
        <v>1088</v>
      </c>
      <c r="M1366" s="612" t="s">
        <v>1089</v>
      </c>
      <c r="N1366" s="612">
        <v>259.0</v>
      </c>
      <c r="O1366" s="662">
        <v>45842.0</v>
      </c>
      <c r="P1366" s="602">
        <f t="shared" si="89"/>
        <v>54</v>
      </c>
      <c r="Q1366" s="622"/>
      <c r="R1366" s="74"/>
      <c r="S1366" s="74"/>
      <c r="T1366" s="74"/>
      <c r="U1366" s="74"/>
      <c r="V1366" s="74"/>
      <c r="W1366" s="74"/>
      <c r="X1366" s="74"/>
      <c r="Y1366" s="74"/>
      <c r="Z1366" s="74"/>
      <c r="AA1366" s="74"/>
      <c r="AB1366" s="74"/>
      <c r="AC1366" s="74"/>
      <c r="AD1366" s="74"/>
      <c r="AE1366" s="74"/>
      <c r="AF1366" s="74"/>
      <c r="AG1366" s="74"/>
      <c r="AH1366" s="74"/>
      <c r="AI1366" s="74"/>
    </row>
    <row r="1367" ht="22.5" customHeight="1">
      <c r="A1367" s="614">
        <v>45896.0</v>
      </c>
      <c r="B1367" s="675" t="s">
        <v>2218</v>
      </c>
      <c r="C1367" s="610">
        <v>276000.18</v>
      </c>
      <c r="D1367" s="609"/>
      <c r="E1367" s="606"/>
      <c r="F1367" s="627" t="s">
        <v>897</v>
      </c>
      <c r="G1367" s="597">
        <v>20.0</v>
      </c>
      <c r="H1367" s="689">
        <f t="shared" si="84"/>
        <v>46000.03</v>
      </c>
      <c r="I1367" s="599"/>
      <c r="J1367" s="599"/>
      <c r="K1367" s="673" t="s">
        <v>51</v>
      </c>
      <c r="L1367" s="616" t="s">
        <v>1088</v>
      </c>
      <c r="M1367" s="612" t="s">
        <v>1090</v>
      </c>
      <c r="N1367" s="612">
        <v>260.0</v>
      </c>
      <c r="O1367" s="662">
        <v>45842.0</v>
      </c>
      <c r="P1367" s="602">
        <f t="shared" si="89"/>
        <v>54</v>
      </c>
      <c r="Q1367" s="622"/>
      <c r="R1367" s="74"/>
      <c r="S1367" s="74"/>
      <c r="T1367" s="74"/>
      <c r="U1367" s="74"/>
      <c r="V1367" s="74"/>
      <c r="W1367" s="74"/>
      <c r="X1367" s="74"/>
      <c r="Y1367" s="74"/>
      <c r="Z1367" s="74"/>
      <c r="AA1367" s="74"/>
      <c r="AB1367" s="74"/>
      <c r="AC1367" s="74"/>
      <c r="AD1367" s="74"/>
      <c r="AE1367" s="74"/>
      <c r="AF1367" s="74"/>
      <c r="AG1367" s="74"/>
      <c r="AH1367" s="74"/>
      <c r="AI1367" s="74"/>
    </row>
    <row r="1368" ht="22.5" customHeight="1">
      <c r="A1368" s="614">
        <v>45897.0</v>
      </c>
      <c r="B1368" s="675" t="s">
        <v>2218</v>
      </c>
      <c r="C1368" s="610">
        <v>1020000.0</v>
      </c>
      <c r="D1368" s="609"/>
      <c r="E1368" s="606"/>
      <c r="F1368" s="627" t="s">
        <v>722</v>
      </c>
      <c r="G1368" s="597">
        <v>20.0</v>
      </c>
      <c r="H1368" s="689">
        <f t="shared" si="84"/>
        <v>170000</v>
      </c>
      <c r="I1368" s="599"/>
      <c r="J1368" s="599"/>
      <c r="K1368" s="615" t="s">
        <v>51</v>
      </c>
      <c r="L1368" s="616" t="s">
        <v>944</v>
      </c>
      <c r="M1368" s="612" t="s">
        <v>1091</v>
      </c>
      <c r="N1368" s="612">
        <v>201.0</v>
      </c>
      <c r="O1368" s="662">
        <v>45796.0</v>
      </c>
      <c r="P1368" s="602">
        <f t="shared" si="89"/>
        <v>101</v>
      </c>
      <c r="Q1368" s="622"/>
      <c r="R1368" s="74"/>
      <c r="S1368" s="74"/>
      <c r="T1368" s="74"/>
      <c r="U1368" s="74"/>
      <c r="V1368" s="74"/>
      <c r="W1368" s="74"/>
      <c r="X1368" s="74"/>
      <c r="Y1368" s="74"/>
      <c r="Z1368" s="74"/>
      <c r="AA1368" s="74"/>
      <c r="AB1368" s="74"/>
      <c r="AC1368" s="74"/>
      <c r="AD1368" s="74"/>
      <c r="AE1368" s="74"/>
      <c r="AF1368" s="74"/>
      <c r="AG1368" s="74"/>
      <c r="AH1368" s="74"/>
      <c r="AI1368" s="74"/>
    </row>
    <row r="1369" ht="22.5" customHeight="1">
      <c r="A1369" s="614">
        <v>45897.0</v>
      </c>
      <c r="B1369" s="675" t="s">
        <v>2218</v>
      </c>
      <c r="C1369" s="609"/>
      <c r="D1369" s="610">
        <v>17500.0</v>
      </c>
      <c r="E1369" s="606"/>
      <c r="F1369" s="607" t="s">
        <v>1002</v>
      </c>
      <c r="G1369" s="597">
        <v>20.0</v>
      </c>
      <c r="H1369" s="689">
        <f t="shared" si="84"/>
        <v>2916.666667</v>
      </c>
      <c r="I1369" s="599"/>
      <c r="J1369" s="599"/>
      <c r="K1369" s="615" t="s">
        <v>108</v>
      </c>
      <c r="L1369" s="616" t="s">
        <v>266</v>
      </c>
      <c r="M1369" s="621"/>
      <c r="N1369" s="621"/>
      <c r="O1369" s="621"/>
      <c r="P1369" s="602">
        <f t="shared" si="89"/>
        <v>0</v>
      </c>
      <c r="Q1369" s="613" t="s">
        <v>1092</v>
      </c>
      <c r="R1369" s="74"/>
      <c r="S1369" s="74"/>
      <c r="T1369" s="74"/>
      <c r="U1369" s="74"/>
      <c r="V1369" s="74"/>
      <c r="W1369" s="74"/>
      <c r="X1369" s="74"/>
      <c r="Y1369" s="74"/>
      <c r="Z1369" s="74"/>
      <c r="AA1369" s="74"/>
      <c r="AB1369" s="74"/>
      <c r="AC1369" s="74"/>
      <c r="AD1369" s="74"/>
      <c r="AE1369" s="74"/>
      <c r="AF1369" s="74"/>
      <c r="AG1369" s="74"/>
      <c r="AH1369" s="74"/>
      <c r="AI1369" s="74"/>
    </row>
    <row r="1370" ht="22.5" customHeight="1">
      <c r="A1370" s="614">
        <v>45897.0</v>
      </c>
      <c r="B1370" s="675" t="s">
        <v>2218</v>
      </c>
      <c r="C1370" s="609"/>
      <c r="D1370" s="610">
        <v>2632127.0</v>
      </c>
      <c r="E1370" s="606"/>
      <c r="F1370" s="607" t="s">
        <v>1002</v>
      </c>
      <c r="G1370" s="597">
        <v>0.0</v>
      </c>
      <c r="H1370" s="689">
        <f t="shared" si="84"/>
        <v>0</v>
      </c>
      <c r="I1370" s="599"/>
      <c r="J1370" s="599"/>
      <c r="K1370" s="615" t="s">
        <v>236</v>
      </c>
      <c r="L1370" s="616" t="s">
        <v>72</v>
      </c>
      <c r="M1370" s="621"/>
      <c r="N1370" s="621"/>
      <c r="O1370" s="621"/>
      <c r="P1370" s="602">
        <f t="shared" si="89"/>
        <v>0</v>
      </c>
      <c r="Q1370" s="613" t="s">
        <v>221</v>
      </c>
      <c r="R1370" s="74"/>
      <c r="S1370" s="74"/>
      <c r="T1370" s="74"/>
      <c r="U1370" s="74"/>
      <c r="V1370" s="74"/>
      <c r="W1370" s="74"/>
      <c r="X1370" s="74"/>
      <c r="Y1370" s="74"/>
      <c r="Z1370" s="74"/>
      <c r="AA1370" s="74"/>
      <c r="AB1370" s="74"/>
      <c r="AC1370" s="74"/>
      <c r="AD1370" s="74"/>
      <c r="AE1370" s="74"/>
      <c r="AF1370" s="74"/>
      <c r="AG1370" s="74"/>
      <c r="AH1370" s="74"/>
      <c r="AI1370" s="74"/>
    </row>
    <row r="1371" ht="22.5" customHeight="1">
      <c r="A1371" s="614">
        <v>45897.0</v>
      </c>
      <c r="B1371" s="675" t="s">
        <v>2218</v>
      </c>
      <c r="C1371" s="609"/>
      <c r="D1371" s="610">
        <v>345808.0</v>
      </c>
      <c r="E1371" s="606"/>
      <c r="F1371" s="607" t="s">
        <v>1002</v>
      </c>
      <c r="G1371" s="597">
        <v>0.0</v>
      </c>
      <c r="H1371" s="689">
        <f t="shared" si="84"/>
        <v>0</v>
      </c>
      <c r="I1371" s="599"/>
      <c r="J1371" s="599"/>
      <c r="K1371" s="615" t="s">
        <v>236</v>
      </c>
      <c r="L1371" s="616" t="s">
        <v>72</v>
      </c>
      <c r="M1371" s="621"/>
      <c r="N1371" s="621"/>
      <c r="O1371" s="621"/>
      <c r="P1371" s="602">
        <f t="shared" si="89"/>
        <v>0</v>
      </c>
      <c r="Q1371" s="613" t="s">
        <v>798</v>
      </c>
      <c r="R1371" s="74"/>
      <c r="S1371" s="74"/>
      <c r="T1371" s="74"/>
      <c r="U1371" s="74"/>
      <c r="V1371" s="74"/>
      <c r="W1371" s="74"/>
      <c r="X1371" s="74"/>
      <c r="Y1371" s="74"/>
      <c r="Z1371" s="74"/>
      <c r="AA1371" s="74"/>
      <c r="AB1371" s="74"/>
      <c r="AC1371" s="74"/>
      <c r="AD1371" s="74"/>
      <c r="AE1371" s="74"/>
      <c r="AF1371" s="74"/>
      <c r="AG1371" s="74"/>
      <c r="AH1371" s="74"/>
      <c r="AI1371" s="74"/>
    </row>
    <row r="1372" ht="22.5" customHeight="1">
      <c r="A1372" s="614">
        <v>45897.0</v>
      </c>
      <c r="B1372" s="675" t="s">
        <v>2218</v>
      </c>
      <c r="C1372" s="609"/>
      <c r="D1372" s="610">
        <v>143064.0</v>
      </c>
      <c r="E1372" s="606"/>
      <c r="F1372" s="607" t="s">
        <v>1002</v>
      </c>
      <c r="G1372" s="597">
        <v>0.0</v>
      </c>
      <c r="H1372" s="689">
        <f t="shared" si="84"/>
        <v>0</v>
      </c>
      <c r="I1372" s="599"/>
      <c r="J1372" s="599"/>
      <c r="K1372" s="615" t="s">
        <v>236</v>
      </c>
      <c r="L1372" s="616" t="s">
        <v>72</v>
      </c>
      <c r="M1372" s="621"/>
      <c r="N1372" s="621"/>
      <c r="O1372" s="621"/>
      <c r="P1372" s="602">
        <f t="shared" si="89"/>
        <v>0</v>
      </c>
      <c r="Q1372" s="613" t="s">
        <v>1011</v>
      </c>
      <c r="R1372" s="74"/>
      <c r="S1372" s="74"/>
      <c r="T1372" s="74"/>
      <c r="U1372" s="74"/>
      <c r="V1372" s="74"/>
      <c r="W1372" s="74"/>
      <c r="X1372" s="74"/>
      <c r="Y1372" s="74"/>
      <c r="Z1372" s="74"/>
      <c r="AA1372" s="74"/>
      <c r="AB1372" s="74"/>
      <c r="AC1372" s="74"/>
      <c r="AD1372" s="74"/>
      <c r="AE1372" s="74"/>
      <c r="AF1372" s="74"/>
      <c r="AG1372" s="74"/>
      <c r="AH1372" s="74"/>
      <c r="AI1372" s="74"/>
    </row>
    <row r="1373" ht="22.5" customHeight="1">
      <c r="A1373" s="614">
        <v>45898.0</v>
      </c>
      <c r="B1373" s="675" t="s">
        <v>2218</v>
      </c>
      <c r="C1373" s="610">
        <v>420000.0</v>
      </c>
      <c r="D1373" s="610"/>
      <c r="E1373" s="606"/>
      <c r="F1373" s="627" t="s">
        <v>722</v>
      </c>
      <c r="G1373" s="597">
        <v>20.0</v>
      </c>
      <c r="H1373" s="689">
        <f t="shared" si="84"/>
        <v>70000</v>
      </c>
      <c r="I1373" s="599"/>
      <c r="J1373" s="599"/>
      <c r="K1373" s="674" t="s">
        <v>51</v>
      </c>
      <c r="L1373" s="616" t="s">
        <v>677</v>
      </c>
      <c r="M1373" s="612" t="s">
        <v>1093</v>
      </c>
      <c r="N1373" s="612">
        <v>157.0</v>
      </c>
      <c r="O1373" s="662">
        <v>45783.0</v>
      </c>
      <c r="P1373" s="602">
        <f t="shared" si="89"/>
        <v>115</v>
      </c>
      <c r="Q1373" s="622"/>
      <c r="R1373" s="74"/>
      <c r="S1373" s="74"/>
      <c r="T1373" s="74"/>
      <c r="U1373" s="74"/>
      <c r="V1373" s="74"/>
      <c r="W1373" s="74"/>
      <c r="X1373" s="74"/>
      <c r="Y1373" s="74"/>
      <c r="Z1373" s="74"/>
      <c r="AA1373" s="74"/>
      <c r="AB1373" s="74"/>
      <c r="AC1373" s="74"/>
      <c r="AD1373" s="74"/>
      <c r="AE1373" s="74"/>
      <c r="AF1373" s="74"/>
      <c r="AG1373" s="74"/>
      <c r="AH1373" s="74"/>
      <c r="AI1373" s="74"/>
    </row>
    <row r="1374" ht="22.5" customHeight="1">
      <c r="A1374" s="614">
        <v>45901.0</v>
      </c>
      <c r="B1374" s="675" t="s">
        <v>2218</v>
      </c>
      <c r="C1374" s="610">
        <v>1260000.0</v>
      </c>
      <c r="D1374" s="610"/>
      <c r="E1374" s="604" t="s">
        <v>28</v>
      </c>
      <c r="F1374" s="627" t="s">
        <v>674</v>
      </c>
      <c r="G1374" s="597">
        <v>20.0</v>
      </c>
      <c r="H1374" s="689">
        <f t="shared" si="84"/>
        <v>210000</v>
      </c>
      <c r="I1374" s="599"/>
      <c r="J1374" s="599"/>
      <c r="K1374" s="615" t="s">
        <v>51</v>
      </c>
      <c r="L1374" s="616" t="s">
        <v>1094</v>
      </c>
      <c r="M1374" s="612" t="s">
        <v>1095</v>
      </c>
      <c r="N1374" s="612">
        <v>155.0</v>
      </c>
      <c r="O1374" s="662">
        <v>45769.0</v>
      </c>
      <c r="P1374" s="602">
        <f t="shared" si="89"/>
        <v>132</v>
      </c>
      <c r="Q1374" s="622"/>
      <c r="R1374" s="74"/>
      <c r="S1374" s="74"/>
      <c r="T1374" s="74"/>
      <c r="U1374" s="74"/>
      <c r="V1374" s="74"/>
      <c r="W1374" s="74"/>
      <c r="X1374" s="74"/>
      <c r="Y1374" s="74"/>
      <c r="Z1374" s="74"/>
      <c r="AA1374" s="74"/>
      <c r="AB1374" s="74"/>
      <c r="AC1374" s="74"/>
      <c r="AD1374" s="74"/>
      <c r="AE1374" s="74"/>
      <c r="AF1374" s="74"/>
      <c r="AG1374" s="74"/>
      <c r="AH1374" s="74"/>
      <c r="AI1374" s="74"/>
    </row>
    <row r="1375" ht="22.5" customHeight="1">
      <c r="A1375" s="614">
        <v>45901.0</v>
      </c>
      <c r="B1375" s="675" t="s">
        <v>2218</v>
      </c>
      <c r="C1375" s="609"/>
      <c r="D1375" s="610">
        <v>137582.69</v>
      </c>
      <c r="E1375" s="604" t="s">
        <v>28</v>
      </c>
      <c r="F1375" s="627" t="s">
        <v>941</v>
      </c>
      <c r="G1375" s="597">
        <v>20.0</v>
      </c>
      <c r="H1375" s="689">
        <f t="shared" si="84"/>
        <v>22930.44833</v>
      </c>
      <c r="I1375" s="599"/>
      <c r="J1375" s="599"/>
      <c r="K1375" s="615" t="s">
        <v>2237</v>
      </c>
      <c r="L1375" s="616" t="s">
        <v>2253</v>
      </c>
      <c r="M1375" s="621"/>
      <c r="N1375" s="621"/>
      <c r="O1375" s="621"/>
      <c r="P1375" s="602">
        <f t="shared" si="89"/>
        <v>0</v>
      </c>
      <c r="Q1375" s="622"/>
      <c r="R1375" s="74"/>
      <c r="S1375" s="74"/>
      <c r="T1375" s="74"/>
      <c r="U1375" s="74"/>
      <c r="V1375" s="74"/>
      <c r="W1375" s="74"/>
      <c r="X1375" s="74"/>
      <c r="Y1375" s="74"/>
      <c r="Z1375" s="74"/>
      <c r="AA1375" s="74"/>
      <c r="AB1375" s="74"/>
      <c r="AC1375" s="74"/>
      <c r="AD1375" s="74"/>
      <c r="AE1375" s="74"/>
      <c r="AF1375" s="74"/>
      <c r="AG1375" s="74"/>
      <c r="AH1375" s="74"/>
      <c r="AI1375" s="74"/>
    </row>
    <row r="1376" ht="22.5" customHeight="1">
      <c r="A1376" s="614">
        <v>45902.0</v>
      </c>
      <c r="B1376" s="675" t="s">
        <v>2218</v>
      </c>
      <c r="C1376" s="610">
        <v>600000.0</v>
      </c>
      <c r="D1376" s="609"/>
      <c r="E1376" s="604" t="s">
        <v>28</v>
      </c>
      <c r="F1376" s="627" t="s">
        <v>800</v>
      </c>
      <c r="G1376" s="597">
        <v>20.0</v>
      </c>
      <c r="H1376" s="689">
        <f t="shared" si="84"/>
        <v>100000</v>
      </c>
      <c r="I1376" s="599"/>
      <c r="J1376" s="599"/>
      <c r="K1376" s="615" t="s">
        <v>51</v>
      </c>
      <c r="L1376" s="616" t="s">
        <v>440</v>
      </c>
      <c r="M1376" s="612" t="s">
        <v>757</v>
      </c>
      <c r="N1376" s="612">
        <v>226.0</v>
      </c>
      <c r="O1376" s="662">
        <v>45818.0</v>
      </c>
      <c r="P1376" s="602">
        <f t="shared" si="89"/>
        <v>84</v>
      </c>
      <c r="Q1376" s="622"/>
      <c r="R1376" s="74"/>
      <c r="S1376" s="74"/>
      <c r="T1376" s="74"/>
      <c r="U1376" s="74"/>
      <c r="V1376" s="74"/>
      <c r="W1376" s="74"/>
      <c r="X1376" s="74"/>
      <c r="Y1376" s="74"/>
      <c r="Z1376" s="74"/>
      <c r="AA1376" s="74"/>
      <c r="AB1376" s="74"/>
      <c r="AC1376" s="74"/>
      <c r="AD1376" s="74"/>
      <c r="AE1376" s="74"/>
      <c r="AF1376" s="74"/>
      <c r="AG1376" s="74"/>
      <c r="AH1376" s="74"/>
      <c r="AI1376" s="74"/>
    </row>
    <row r="1377" ht="22.5" customHeight="1">
      <c r="A1377" s="614">
        <v>45903.0</v>
      </c>
      <c r="B1377" s="675" t="s">
        <v>2218</v>
      </c>
      <c r="C1377" s="609"/>
      <c r="D1377" s="610">
        <v>1401269.77</v>
      </c>
      <c r="E1377" s="604" t="s">
        <v>28</v>
      </c>
      <c r="F1377" s="607" t="s">
        <v>1002</v>
      </c>
      <c r="G1377" s="597">
        <v>0.0</v>
      </c>
      <c r="H1377" s="689">
        <f t="shared" si="84"/>
        <v>0</v>
      </c>
      <c r="I1377" s="599"/>
      <c r="J1377" s="599"/>
      <c r="K1377" s="615" t="s">
        <v>236</v>
      </c>
      <c r="L1377" s="616" t="s">
        <v>1098</v>
      </c>
      <c r="M1377" s="621"/>
      <c r="N1377" s="621"/>
      <c r="O1377" s="621"/>
      <c r="P1377" s="602">
        <f t="shared" si="89"/>
        <v>0</v>
      </c>
      <c r="Q1377" s="620">
        <v>0.03</v>
      </c>
      <c r="R1377" s="74"/>
      <c r="S1377" s="74"/>
      <c r="T1377" s="74"/>
      <c r="U1377" s="74"/>
      <c r="V1377" s="74"/>
      <c r="W1377" s="74"/>
      <c r="X1377" s="74"/>
      <c r="Y1377" s="74"/>
      <c r="Z1377" s="74"/>
      <c r="AA1377" s="74"/>
      <c r="AB1377" s="74"/>
      <c r="AC1377" s="74"/>
      <c r="AD1377" s="74"/>
      <c r="AE1377" s="74"/>
      <c r="AF1377" s="74"/>
      <c r="AG1377" s="74"/>
      <c r="AH1377" s="74"/>
      <c r="AI1377" s="74"/>
    </row>
    <row r="1378" ht="22.5" customHeight="1">
      <c r="A1378" s="614">
        <v>45904.0</v>
      </c>
      <c r="B1378" s="675" t="s">
        <v>2218</v>
      </c>
      <c r="C1378" s="610">
        <v>1200000.0</v>
      </c>
      <c r="D1378" s="609"/>
      <c r="E1378" s="604" t="s">
        <v>28</v>
      </c>
      <c r="F1378" s="627" t="s">
        <v>800</v>
      </c>
      <c r="G1378" s="597">
        <v>20.0</v>
      </c>
      <c r="H1378" s="689">
        <f t="shared" si="84"/>
        <v>200000</v>
      </c>
      <c r="I1378" s="599"/>
      <c r="J1378" s="599"/>
      <c r="K1378" s="615" t="s">
        <v>51</v>
      </c>
      <c r="L1378" s="616" t="s">
        <v>675</v>
      </c>
      <c r="M1378" s="612" t="s">
        <v>851</v>
      </c>
      <c r="N1378" s="612">
        <v>216.0</v>
      </c>
      <c r="O1378" s="662">
        <v>45817.0</v>
      </c>
      <c r="P1378" s="602">
        <f t="shared" si="89"/>
        <v>87</v>
      </c>
      <c r="Q1378" s="622"/>
      <c r="R1378" s="74"/>
      <c r="S1378" s="74"/>
      <c r="T1378" s="74"/>
      <c r="U1378" s="74"/>
      <c r="V1378" s="74"/>
      <c r="W1378" s="74"/>
      <c r="X1378" s="74"/>
      <c r="Y1378" s="74"/>
      <c r="Z1378" s="74"/>
      <c r="AA1378" s="74"/>
      <c r="AB1378" s="74"/>
      <c r="AC1378" s="74"/>
      <c r="AD1378" s="74"/>
      <c r="AE1378" s="74"/>
      <c r="AF1378" s="74"/>
      <c r="AG1378" s="74"/>
      <c r="AH1378" s="74"/>
      <c r="AI1378" s="74"/>
    </row>
    <row r="1379" ht="22.5" customHeight="1">
      <c r="A1379" s="614">
        <v>45904.0</v>
      </c>
      <c r="B1379" s="675" t="s">
        <v>2218</v>
      </c>
      <c r="C1379" s="609"/>
      <c r="D1379" s="610">
        <v>50000.0</v>
      </c>
      <c r="E1379" s="604" t="s">
        <v>28</v>
      </c>
      <c r="F1379" s="607" t="s">
        <v>1099</v>
      </c>
      <c r="G1379" s="597">
        <v>0.0</v>
      </c>
      <c r="H1379" s="689">
        <f t="shared" si="84"/>
        <v>0</v>
      </c>
      <c r="I1379" s="599"/>
      <c r="J1379" s="599"/>
      <c r="K1379" s="615" t="s">
        <v>108</v>
      </c>
      <c r="L1379" s="616" t="s">
        <v>1100</v>
      </c>
      <c r="M1379" s="621"/>
      <c r="N1379" s="621"/>
      <c r="O1379" s="621"/>
      <c r="P1379" s="602">
        <f t="shared" si="89"/>
        <v>0</v>
      </c>
      <c r="Q1379" s="613" t="s">
        <v>1101</v>
      </c>
      <c r="R1379" s="74"/>
      <c r="S1379" s="74"/>
      <c r="T1379" s="74"/>
      <c r="U1379" s="74"/>
      <c r="V1379" s="74"/>
      <c r="W1379" s="74"/>
      <c r="X1379" s="74"/>
      <c r="Y1379" s="74"/>
      <c r="Z1379" s="74"/>
      <c r="AA1379" s="74"/>
      <c r="AB1379" s="74"/>
      <c r="AC1379" s="74"/>
      <c r="AD1379" s="74"/>
      <c r="AE1379" s="74"/>
      <c r="AF1379" s="74"/>
      <c r="AG1379" s="74"/>
      <c r="AH1379" s="74"/>
      <c r="AI1379" s="74"/>
    </row>
    <row r="1380" ht="22.5" customHeight="1">
      <c r="A1380" s="614">
        <v>45904.0</v>
      </c>
      <c r="B1380" s="675" t="s">
        <v>2218</v>
      </c>
      <c r="C1380" s="609"/>
      <c r="D1380" s="610">
        <v>7880.0</v>
      </c>
      <c r="E1380" s="604" t="s">
        <v>28</v>
      </c>
      <c r="F1380" s="607" t="s">
        <v>1099</v>
      </c>
      <c r="G1380" s="597">
        <v>20.0</v>
      </c>
      <c r="H1380" s="689">
        <f t="shared" si="84"/>
        <v>1313.333333</v>
      </c>
      <c r="I1380" s="599"/>
      <c r="J1380" s="599"/>
      <c r="K1380" s="680" t="s">
        <v>213</v>
      </c>
      <c r="L1380" s="616" t="s">
        <v>1102</v>
      </c>
      <c r="M1380" s="621"/>
      <c r="N1380" s="621"/>
      <c r="O1380" s="621"/>
      <c r="P1380" s="602">
        <f t="shared" si="89"/>
        <v>0</v>
      </c>
      <c r="Q1380" s="622"/>
      <c r="R1380" s="74"/>
      <c r="S1380" s="74"/>
      <c r="T1380" s="74"/>
      <c r="U1380" s="74"/>
      <c r="V1380" s="74"/>
      <c r="W1380" s="74"/>
      <c r="X1380" s="74"/>
      <c r="Y1380" s="74"/>
      <c r="Z1380" s="74"/>
      <c r="AA1380" s="74"/>
      <c r="AB1380" s="74"/>
      <c r="AC1380" s="74"/>
      <c r="AD1380" s="74"/>
      <c r="AE1380" s="74"/>
      <c r="AF1380" s="74"/>
      <c r="AG1380" s="74"/>
      <c r="AH1380" s="74"/>
      <c r="AI1380" s="74"/>
    </row>
    <row r="1381" ht="22.5" customHeight="1">
      <c r="A1381" s="614">
        <v>45904.0</v>
      </c>
      <c r="B1381" s="675" t="s">
        <v>2218</v>
      </c>
      <c r="C1381" s="609"/>
      <c r="D1381" s="610">
        <v>48000.0</v>
      </c>
      <c r="E1381" s="604" t="s">
        <v>28</v>
      </c>
      <c r="F1381" s="607" t="s">
        <v>1099</v>
      </c>
      <c r="G1381" s="597">
        <v>20.0</v>
      </c>
      <c r="H1381" s="689">
        <f t="shared" si="84"/>
        <v>8000</v>
      </c>
      <c r="I1381" s="599"/>
      <c r="J1381" s="599"/>
      <c r="K1381" s="615" t="s">
        <v>2237</v>
      </c>
      <c r="L1381" s="616" t="s">
        <v>942</v>
      </c>
      <c r="M1381" s="621"/>
      <c r="N1381" s="621"/>
      <c r="O1381" s="621"/>
      <c r="P1381" s="602">
        <f t="shared" si="89"/>
        <v>0</v>
      </c>
      <c r="Q1381" s="613" t="s">
        <v>943</v>
      </c>
      <c r="R1381" s="74"/>
      <c r="S1381" s="74"/>
      <c r="T1381" s="74"/>
      <c r="U1381" s="74"/>
      <c r="V1381" s="74"/>
      <c r="W1381" s="74"/>
      <c r="X1381" s="74"/>
      <c r="Y1381" s="74"/>
      <c r="Z1381" s="74"/>
      <c r="AA1381" s="74"/>
      <c r="AB1381" s="74"/>
      <c r="AC1381" s="74"/>
      <c r="AD1381" s="74"/>
      <c r="AE1381" s="74"/>
      <c r="AF1381" s="74"/>
      <c r="AG1381" s="74"/>
      <c r="AH1381" s="74"/>
      <c r="AI1381" s="74"/>
    </row>
    <row r="1382" ht="22.5" customHeight="1">
      <c r="A1382" s="614">
        <v>45904.0</v>
      </c>
      <c r="B1382" s="675" t="s">
        <v>2218</v>
      </c>
      <c r="C1382" s="609"/>
      <c r="D1382" s="610">
        <v>48000.0</v>
      </c>
      <c r="E1382" s="604" t="s">
        <v>28</v>
      </c>
      <c r="F1382" s="607" t="s">
        <v>1099</v>
      </c>
      <c r="G1382" s="597">
        <v>20.0</v>
      </c>
      <c r="H1382" s="689">
        <f t="shared" si="84"/>
        <v>8000</v>
      </c>
      <c r="I1382" s="599"/>
      <c r="J1382" s="599"/>
      <c r="K1382" s="615" t="s">
        <v>2237</v>
      </c>
      <c r="L1382" s="616" t="s">
        <v>942</v>
      </c>
      <c r="M1382" s="621"/>
      <c r="N1382" s="621"/>
      <c r="O1382" s="621"/>
      <c r="P1382" s="602">
        <f t="shared" si="89"/>
        <v>0</v>
      </c>
      <c r="Q1382" s="613" t="s">
        <v>943</v>
      </c>
      <c r="R1382" s="74"/>
      <c r="S1382" s="74"/>
      <c r="T1382" s="74"/>
      <c r="U1382" s="74"/>
      <c r="V1382" s="74"/>
      <c r="W1382" s="74"/>
      <c r="X1382" s="74"/>
      <c r="Y1382" s="74"/>
      <c r="Z1382" s="74"/>
      <c r="AA1382" s="74"/>
      <c r="AB1382" s="74"/>
      <c r="AC1382" s="74"/>
      <c r="AD1382" s="74"/>
      <c r="AE1382" s="74"/>
      <c r="AF1382" s="74"/>
      <c r="AG1382" s="74"/>
      <c r="AH1382" s="74"/>
      <c r="AI1382" s="74"/>
    </row>
    <row r="1383" ht="22.5" customHeight="1">
      <c r="A1383" s="614">
        <v>45904.0</v>
      </c>
      <c r="B1383" s="675" t="s">
        <v>2218</v>
      </c>
      <c r="C1383" s="609"/>
      <c r="D1383" s="610">
        <v>6500.0</v>
      </c>
      <c r="E1383" s="604" t="s">
        <v>28</v>
      </c>
      <c r="F1383" s="607" t="s">
        <v>1099</v>
      </c>
      <c r="G1383" s="597">
        <v>0.0</v>
      </c>
      <c r="H1383" s="689">
        <f t="shared" si="84"/>
        <v>0</v>
      </c>
      <c r="I1383" s="599"/>
      <c r="J1383" s="599"/>
      <c r="K1383" s="615" t="s">
        <v>2240</v>
      </c>
      <c r="L1383" s="616" t="s">
        <v>1020</v>
      </c>
      <c r="M1383" s="621"/>
      <c r="N1383" s="621"/>
      <c r="O1383" s="621"/>
      <c r="P1383" s="602">
        <f t="shared" si="89"/>
        <v>0</v>
      </c>
      <c r="Q1383" s="622"/>
      <c r="R1383" s="74"/>
      <c r="S1383" s="74"/>
      <c r="T1383" s="74"/>
      <c r="U1383" s="74"/>
      <c r="V1383" s="74"/>
      <c r="W1383" s="74"/>
      <c r="X1383" s="74"/>
      <c r="Y1383" s="74"/>
      <c r="Z1383" s="74"/>
      <c r="AA1383" s="74"/>
      <c r="AB1383" s="74"/>
      <c r="AC1383" s="74"/>
      <c r="AD1383" s="74"/>
      <c r="AE1383" s="74"/>
      <c r="AF1383" s="74"/>
      <c r="AG1383" s="74"/>
      <c r="AH1383" s="74"/>
      <c r="AI1383" s="74"/>
    </row>
    <row r="1384" ht="22.5" customHeight="1">
      <c r="A1384" s="614">
        <v>45905.0</v>
      </c>
      <c r="B1384" s="675" t="s">
        <v>2218</v>
      </c>
      <c r="C1384" s="610">
        <v>388500.0</v>
      </c>
      <c r="D1384" s="610"/>
      <c r="E1384" s="604" t="s">
        <v>28</v>
      </c>
      <c r="F1384" s="627" t="s">
        <v>722</v>
      </c>
      <c r="G1384" s="597">
        <v>20.0</v>
      </c>
      <c r="H1384" s="689">
        <f t="shared" si="84"/>
        <v>64750</v>
      </c>
      <c r="I1384" s="599"/>
      <c r="J1384" s="599"/>
      <c r="K1384" s="615" t="s">
        <v>51</v>
      </c>
      <c r="L1384" s="616" t="s">
        <v>539</v>
      </c>
      <c r="M1384" s="612" t="s">
        <v>802</v>
      </c>
      <c r="N1384" s="612">
        <v>172.0</v>
      </c>
      <c r="O1384" s="662">
        <v>45790.0</v>
      </c>
      <c r="P1384" s="602">
        <f t="shared" si="89"/>
        <v>115</v>
      </c>
      <c r="Q1384" s="622"/>
      <c r="R1384" s="74"/>
      <c r="S1384" s="74"/>
      <c r="T1384" s="74"/>
      <c r="U1384" s="74"/>
      <c r="V1384" s="74"/>
      <c r="W1384" s="74"/>
      <c r="X1384" s="74"/>
      <c r="Y1384" s="74"/>
      <c r="Z1384" s="74"/>
      <c r="AA1384" s="74"/>
      <c r="AB1384" s="74"/>
      <c r="AC1384" s="74"/>
      <c r="AD1384" s="74"/>
      <c r="AE1384" s="74"/>
      <c r="AF1384" s="74"/>
      <c r="AG1384" s="74"/>
      <c r="AH1384" s="74"/>
      <c r="AI1384" s="74"/>
    </row>
    <row r="1385" ht="22.5" customHeight="1">
      <c r="A1385" s="614">
        <v>45905.0</v>
      </c>
      <c r="B1385" s="675" t="s">
        <v>2218</v>
      </c>
      <c r="C1385" s="610">
        <v>336000.0</v>
      </c>
      <c r="D1385" s="610"/>
      <c r="E1385" s="604" t="s">
        <v>28</v>
      </c>
      <c r="F1385" s="627" t="s">
        <v>722</v>
      </c>
      <c r="G1385" s="597">
        <v>20.0</v>
      </c>
      <c r="H1385" s="689">
        <f t="shared" si="84"/>
        <v>56000</v>
      </c>
      <c r="I1385" s="599"/>
      <c r="J1385" s="599"/>
      <c r="K1385" s="615" t="s">
        <v>51</v>
      </c>
      <c r="L1385" s="616" t="s">
        <v>539</v>
      </c>
      <c r="M1385" s="612" t="s">
        <v>857</v>
      </c>
      <c r="N1385" s="612">
        <v>173.0</v>
      </c>
      <c r="O1385" s="662">
        <v>45790.0</v>
      </c>
      <c r="P1385" s="602">
        <f t="shared" si="89"/>
        <v>115</v>
      </c>
      <c r="Q1385" s="622"/>
      <c r="R1385" s="74"/>
      <c r="S1385" s="74"/>
      <c r="T1385" s="74"/>
      <c r="U1385" s="74"/>
      <c r="V1385" s="74"/>
      <c r="W1385" s="74"/>
      <c r="X1385" s="74"/>
      <c r="Y1385" s="74"/>
      <c r="Z1385" s="74"/>
      <c r="AA1385" s="74"/>
      <c r="AB1385" s="74"/>
      <c r="AC1385" s="74"/>
      <c r="AD1385" s="74"/>
      <c r="AE1385" s="74"/>
      <c r="AF1385" s="74"/>
      <c r="AG1385" s="74"/>
      <c r="AH1385" s="74"/>
      <c r="AI1385" s="74"/>
    </row>
    <row r="1386" ht="22.5" customHeight="1">
      <c r="A1386" s="614">
        <v>45905.0</v>
      </c>
      <c r="B1386" s="675" t="s">
        <v>2218</v>
      </c>
      <c r="C1386" s="610">
        <v>225120.0</v>
      </c>
      <c r="D1386" s="610"/>
      <c r="E1386" s="604" t="s">
        <v>28</v>
      </c>
      <c r="F1386" s="627" t="s">
        <v>722</v>
      </c>
      <c r="G1386" s="597">
        <v>20.0</v>
      </c>
      <c r="H1386" s="689">
        <f t="shared" si="84"/>
        <v>37520</v>
      </c>
      <c r="I1386" s="599"/>
      <c r="J1386" s="599"/>
      <c r="K1386" s="615" t="s">
        <v>51</v>
      </c>
      <c r="L1386" s="616" t="s">
        <v>539</v>
      </c>
      <c r="M1386" s="612" t="s">
        <v>856</v>
      </c>
      <c r="N1386" s="612">
        <v>174.0</v>
      </c>
      <c r="O1386" s="662">
        <v>45790.0</v>
      </c>
      <c r="P1386" s="602">
        <f t="shared" si="89"/>
        <v>115</v>
      </c>
      <c r="Q1386" s="622"/>
      <c r="R1386" s="74"/>
      <c r="S1386" s="74"/>
      <c r="T1386" s="74"/>
      <c r="U1386" s="74"/>
      <c r="V1386" s="74"/>
      <c r="W1386" s="74"/>
      <c r="X1386" s="74"/>
      <c r="Y1386" s="74"/>
      <c r="Z1386" s="74"/>
      <c r="AA1386" s="74"/>
      <c r="AB1386" s="74"/>
      <c r="AC1386" s="74"/>
      <c r="AD1386" s="74"/>
      <c r="AE1386" s="74"/>
      <c r="AF1386" s="74"/>
      <c r="AG1386" s="74"/>
      <c r="AH1386" s="74"/>
      <c r="AI1386" s="74"/>
    </row>
    <row r="1387" ht="22.5" customHeight="1">
      <c r="A1387" s="614">
        <v>45905.0</v>
      </c>
      <c r="B1387" s="675" t="s">
        <v>2218</v>
      </c>
      <c r="C1387" s="610">
        <v>600600.0</v>
      </c>
      <c r="D1387" s="610"/>
      <c r="E1387" s="604" t="s">
        <v>28</v>
      </c>
      <c r="F1387" s="627" t="s">
        <v>722</v>
      </c>
      <c r="G1387" s="597">
        <v>20.0</v>
      </c>
      <c r="H1387" s="689">
        <f t="shared" si="84"/>
        <v>100100</v>
      </c>
      <c r="I1387" s="599"/>
      <c r="J1387" s="599"/>
      <c r="K1387" s="615" t="s">
        <v>51</v>
      </c>
      <c r="L1387" s="616" t="s">
        <v>1014</v>
      </c>
      <c r="M1387" s="612" t="s">
        <v>808</v>
      </c>
      <c r="N1387" s="612">
        <v>183.0</v>
      </c>
      <c r="O1387" s="662">
        <v>45790.0</v>
      </c>
      <c r="P1387" s="602">
        <f t="shared" si="89"/>
        <v>115</v>
      </c>
      <c r="Q1387" s="622"/>
      <c r="R1387" s="74"/>
      <c r="S1387" s="74"/>
      <c r="T1387" s="74"/>
      <c r="U1387" s="74"/>
      <c r="V1387" s="74"/>
      <c r="W1387" s="74"/>
      <c r="X1387" s="74"/>
      <c r="Y1387" s="74"/>
      <c r="Z1387" s="74"/>
      <c r="AA1387" s="74"/>
      <c r="AB1387" s="74"/>
      <c r="AC1387" s="74"/>
      <c r="AD1387" s="74"/>
      <c r="AE1387" s="74"/>
      <c r="AF1387" s="74"/>
      <c r="AG1387" s="74"/>
      <c r="AH1387" s="74"/>
      <c r="AI1387" s="74"/>
    </row>
    <row r="1388" ht="22.5" customHeight="1">
      <c r="A1388" s="614">
        <v>45905.0</v>
      </c>
      <c r="B1388" s="675" t="s">
        <v>2218</v>
      </c>
      <c r="C1388" s="610">
        <v>600600.0</v>
      </c>
      <c r="D1388" s="610"/>
      <c r="E1388" s="604" t="s">
        <v>28</v>
      </c>
      <c r="F1388" s="627" t="s">
        <v>722</v>
      </c>
      <c r="G1388" s="597">
        <v>20.0</v>
      </c>
      <c r="H1388" s="689">
        <f t="shared" si="84"/>
        <v>100100</v>
      </c>
      <c r="I1388" s="599"/>
      <c r="J1388" s="599"/>
      <c r="K1388" s="615" t="s">
        <v>51</v>
      </c>
      <c r="L1388" s="616" t="s">
        <v>1014</v>
      </c>
      <c r="M1388" s="612" t="s">
        <v>1093</v>
      </c>
      <c r="N1388" s="612">
        <v>184.0</v>
      </c>
      <c r="O1388" s="662">
        <v>45790.0</v>
      </c>
      <c r="P1388" s="602">
        <f t="shared" si="89"/>
        <v>115</v>
      </c>
      <c r="Q1388" s="622"/>
      <c r="R1388" s="74"/>
      <c r="S1388" s="74"/>
      <c r="T1388" s="74"/>
      <c r="U1388" s="74"/>
      <c r="V1388" s="74"/>
      <c r="W1388" s="74"/>
      <c r="X1388" s="74"/>
      <c r="Y1388" s="74"/>
      <c r="Z1388" s="74"/>
      <c r="AA1388" s="74"/>
      <c r="AB1388" s="74"/>
      <c r="AC1388" s="74"/>
      <c r="AD1388" s="74"/>
      <c r="AE1388" s="74"/>
      <c r="AF1388" s="74"/>
      <c r="AG1388" s="74"/>
      <c r="AH1388" s="74"/>
      <c r="AI1388" s="74"/>
    </row>
    <row r="1389" ht="22.5" customHeight="1">
      <c r="A1389" s="614">
        <v>45905.0</v>
      </c>
      <c r="B1389" s="675" t="s">
        <v>2218</v>
      </c>
      <c r="C1389" s="610">
        <v>636048.0</v>
      </c>
      <c r="D1389" s="609"/>
      <c r="E1389" s="604" t="s">
        <v>28</v>
      </c>
      <c r="F1389" s="627" t="s">
        <v>800</v>
      </c>
      <c r="G1389" s="597">
        <v>20.0</v>
      </c>
      <c r="H1389" s="689">
        <f t="shared" si="84"/>
        <v>106008</v>
      </c>
      <c r="I1389" s="599"/>
      <c r="J1389" s="599"/>
      <c r="K1389" s="615" t="s">
        <v>51</v>
      </c>
      <c r="L1389" s="616" t="s">
        <v>539</v>
      </c>
      <c r="M1389" s="612" t="s">
        <v>1013</v>
      </c>
      <c r="N1389" s="612">
        <v>208.0</v>
      </c>
      <c r="O1389" s="662">
        <v>45817.0</v>
      </c>
      <c r="P1389" s="602">
        <f t="shared" si="89"/>
        <v>88</v>
      </c>
      <c r="Q1389" s="622"/>
      <c r="R1389" s="74"/>
      <c r="S1389" s="74"/>
      <c r="T1389" s="74"/>
      <c r="U1389" s="74"/>
      <c r="V1389" s="74"/>
      <c r="W1389" s="74"/>
      <c r="X1389" s="74"/>
      <c r="Y1389" s="74"/>
      <c r="Z1389" s="74"/>
      <c r="AA1389" s="74"/>
      <c r="AB1389" s="74"/>
      <c r="AC1389" s="74"/>
      <c r="AD1389" s="74"/>
      <c r="AE1389" s="74"/>
      <c r="AF1389" s="74"/>
      <c r="AG1389" s="74"/>
      <c r="AH1389" s="74"/>
      <c r="AI1389" s="74"/>
    </row>
    <row r="1390" ht="22.5" customHeight="1">
      <c r="A1390" s="614">
        <v>45905.0</v>
      </c>
      <c r="B1390" s="675" t="s">
        <v>2218</v>
      </c>
      <c r="C1390" s="610">
        <v>261660.0</v>
      </c>
      <c r="D1390" s="609"/>
      <c r="E1390" s="604" t="s">
        <v>28</v>
      </c>
      <c r="F1390" s="627" t="s">
        <v>800</v>
      </c>
      <c r="G1390" s="597">
        <v>20.0</v>
      </c>
      <c r="H1390" s="689">
        <f t="shared" si="84"/>
        <v>43610</v>
      </c>
      <c r="I1390" s="599"/>
      <c r="J1390" s="599"/>
      <c r="K1390" s="672" t="s">
        <v>51</v>
      </c>
      <c r="L1390" s="616" t="s">
        <v>539</v>
      </c>
      <c r="M1390" s="612" t="s">
        <v>950</v>
      </c>
      <c r="N1390" s="612">
        <v>209.0</v>
      </c>
      <c r="O1390" s="662">
        <v>45817.0</v>
      </c>
      <c r="P1390" s="602">
        <f t="shared" si="89"/>
        <v>88</v>
      </c>
      <c r="Q1390" s="622"/>
      <c r="R1390" s="74"/>
      <c r="S1390" s="74"/>
      <c r="T1390" s="74"/>
      <c r="U1390" s="74"/>
      <c r="V1390" s="74"/>
      <c r="W1390" s="74"/>
      <c r="X1390" s="74"/>
      <c r="Y1390" s="74"/>
      <c r="Z1390" s="74"/>
      <c r="AA1390" s="74"/>
      <c r="AB1390" s="74"/>
      <c r="AC1390" s="74"/>
      <c r="AD1390" s="74"/>
      <c r="AE1390" s="74"/>
      <c r="AF1390" s="74"/>
      <c r="AG1390" s="74"/>
      <c r="AH1390" s="74"/>
      <c r="AI1390" s="74"/>
    </row>
    <row r="1391" ht="22.5" customHeight="1">
      <c r="A1391" s="614">
        <v>45905.0</v>
      </c>
      <c r="B1391" s="675" t="s">
        <v>2218</v>
      </c>
      <c r="C1391" s="610">
        <v>336000.0</v>
      </c>
      <c r="D1391" s="609"/>
      <c r="E1391" s="604" t="s">
        <v>28</v>
      </c>
      <c r="F1391" s="627" t="s">
        <v>800</v>
      </c>
      <c r="G1391" s="597">
        <v>20.0</v>
      </c>
      <c r="H1391" s="689">
        <f t="shared" si="84"/>
        <v>56000</v>
      </c>
      <c r="I1391" s="599"/>
      <c r="J1391" s="599"/>
      <c r="K1391" s="673" t="s">
        <v>51</v>
      </c>
      <c r="L1391" s="616" t="s">
        <v>539</v>
      </c>
      <c r="M1391" s="612" t="s">
        <v>1076</v>
      </c>
      <c r="N1391" s="612">
        <v>219.0</v>
      </c>
      <c r="O1391" s="662">
        <v>45818.0</v>
      </c>
      <c r="P1391" s="602">
        <f t="shared" si="89"/>
        <v>87</v>
      </c>
      <c r="Q1391" s="622"/>
      <c r="R1391" s="74"/>
      <c r="S1391" s="74"/>
      <c r="T1391" s="74"/>
      <c r="U1391" s="74"/>
      <c r="V1391" s="74"/>
      <c r="W1391" s="74"/>
      <c r="X1391" s="74"/>
      <c r="Y1391" s="74"/>
      <c r="Z1391" s="74"/>
      <c r="AA1391" s="74"/>
      <c r="AB1391" s="74"/>
      <c r="AC1391" s="74"/>
      <c r="AD1391" s="74"/>
      <c r="AE1391" s="74"/>
      <c r="AF1391" s="74"/>
      <c r="AG1391" s="74"/>
      <c r="AH1391" s="74"/>
      <c r="AI1391" s="74"/>
    </row>
    <row r="1392" ht="22.5" customHeight="1">
      <c r="A1392" s="614">
        <v>45908.0</v>
      </c>
      <c r="B1392" s="675" t="s">
        <v>2218</v>
      </c>
      <c r="C1392" s="609"/>
      <c r="D1392" s="609"/>
      <c r="E1392" s="604" t="s">
        <v>33</v>
      </c>
      <c r="F1392" s="607" t="s">
        <v>1002</v>
      </c>
      <c r="G1392" s="597">
        <v>0.0</v>
      </c>
      <c r="H1392" s="689">
        <f t="shared" si="84"/>
        <v>0</v>
      </c>
      <c r="I1392" s="599"/>
      <c r="J1392" s="605">
        <v>20000.0</v>
      </c>
      <c r="K1392" s="615" t="s">
        <v>494</v>
      </c>
      <c r="L1392" s="616" t="s">
        <v>1103</v>
      </c>
      <c r="M1392" s="621"/>
      <c r="N1392" s="621"/>
      <c r="O1392" s="621"/>
      <c r="P1392" s="602">
        <f t="shared" si="89"/>
        <v>0</v>
      </c>
      <c r="Q1392" s="622"/>
      <c r="R1392" s="74"/>
      <c r="S1392" s="74"/>
      <c r="T1392" s="74"/>
      <c r="U1392" s="74"/>
      <c r="V1392" s="74"/>
      <c r="W1392" s="74"/>
      <c r="X1392" s="74"/>
      <c r="Y1392" s="74"/>
      <c r="Z1392" s="74"/>
      <c r="AA1392" s="74"/>
      <c r="AB1392" s="74"/>
      <c r="AC1392" s="74"/>
      <c r="AD1392" s="74"/>
      <c r="AE1392" s="74"/>
      <c r="AF1392" s="74"/>
      <c r="AG1392" s="74"/>
      <c r="AH1392" s="74"/>
      <c r="AI1392" s="74"/>
    </row>
    <row r="1393" ht="22.5" customHeight="1">
      <c r="A1393" s="614">
        <v>45908.0</v>
      </c>
      <c r="B1393" s="675" t="s">
        <v>2218</v>
      </c>
      <c r="C1393" s="609"/>
      <c r="D1393" s="609"/>
      <c r="E1393" s="604" t="s">
        <v>33</v>
      </c>
      <c r="F1393" s="607" t="s">
        <v>1099</v>
      </c>
      <c r="G1393" s="597">
        <v>0.0</v>
      </c>
      <c r="H1393" s="689">
        <f t="shared" si="84"/>
        <v>0</v>
      </c>
      <c r="I1393" s="599"/>
      <c r="J1393" s="599">
        <f>8000+6000+2000</f>
        <v>16000</v>
      </c>
      <c r="K1393" s="615" t="s">
        <v>213</v>
      </c>
      <c r="L1393" s="611"/>
      <c r="M1393" s="621"/>
      <c r="N1393" s="621"/>
      <c r="O1393" s="621"/>
      <c r="P1393" s="602">
        <f t="shared" si="89"/>
        <v>0</v>
      </c>
      <c r="Q1393" s="622"/>
      <c r="R1393" s="74"/>
      <c r="S1393" s="74"/>
      <c r="T1393" s="74"/>
      <c r="U1393" s="74"/>
      <c r="V1393" s="74"/>
      <c r="W1393" s="74"/>
      <c r="X1393" s="74"/>
      <c r="Y1393" s="74"/>
      <c r="Z1393" s="74"/>
      <c r="AA1393" s="74"/>
      <c r="AB1393" s="74"/>
      <c r="AC1393" s="74"/>
      <c r="AD1393" s="74"/>
      <c r="AE1393" s="74"/>
      <c r="AF1393" s="74"/>
      <c r="AG1393" s="74"/>
      <c r="AH1393" s="74"/>
      <c r="AI1393" s="74"/>
    </row>
    <row r="1394" ht="22.5" customHeight="1">
      <c r="A1394" s="614">
        <v>45908.0</v>
      </c>
      <c r="B1394" s="675" t="s">
        <v>2218</v>
      </c>
      <c r="C1394" s="609"/>
      <c r="D1394" s="610">
        <v>535910.0</v>
      </c>
      <c r="E1394" s="604" t="s">
        <v>28</v>
      </c>
      <c r="F1394" s="607" t="s">
        <v>1099</v>
      </c>
      <c r="G1394" s="597">
        <v>0.0</v>
      </c>
      <c r="H1394" s="689">
        <f t="shared" si="84"/>
        <v>0</v>
      </c>
      <c r="I1394" s="599"/>
      <c r="J1394" s="599"/>
      <c r="K1394" s="615" t="s">
        <v>93</v>
      </c>
      <c r="L1394" s="616" t="s">
        <v>1104</v>
      </c>
      <c r="M1394" s="621"/>
      <c r="N1394" s="621"/>
      <c r="O1394" s="621"/>
      <c r="P1394" s="602">
        <f t="shared" si="89"/>
        <v>0</v>
      </c>
      <c r="Q1394" s="622"/>
      <c r="R1394" s="74"/>
      <c r="S1394" s="74"/>
      <c r="T1394" s="74"/>
      <c r="U1394" s="74"/>
      <c r="V1394" s="74"/>
      <c r="W1394" s="74"/>
      <c r="X1394" s="74"/>
      <c r="Y1394" s="74"/>
      <c r="Z1394" s="74"/>
      <c r="AA1394" s="74"/>
      <c r="AB1394" s="74"/>
      <c r="AC1394" s="74"/>
      <c r="AD1394" s="74"/>
      <c r="AE1394" s="74"/>
      <c r="AF1394" s="74"/>
      <c r="AG1394" s="74"/>
      <c r="AH1394" s="74"/>
      <c r="AI1394" s="74"/>
    </row>
    <row r="1395" ht="22.5" customHeight="1">
      <c r="A1395" s="614">
        <v>45908.0</v>
      </c>
      <c r="B1395" s="675" t="s">
        <v>2218</v>
      </c>
      <c r="C1395" s="609"/>
      <c r="D1395" s="610">
        <v>23700.0</v>
      </c>
      <c r="E1395" s="604" t="s">
        <v>28</v>
      </c>
      <c r="F1395" s="607" t="s">
        <v>1099</v>
      </c>
      <c r="G1395" s="597">
        <v>0.0</v>
      </c>
      <c r="H1395" s="689">
        <f t="shared" si="84"/>
        <v>0</v>
      </c>
      <c r="I1395" s="599"/>
      <c r="J1395" s="599"/>
      <c r="K1395" s="615" t="s">
        <v>2240</v>
      </c>
      <c r="L1395" s="616" t="s">
        <v>1020</v>
      </c>
      <c r="M1395" s="621"/>
      <c r="N1395" s="621"/>
      <c r="O1395" s="621"/>
      <c r="P1395" s="602">
        <f t="shared" si="89"/>
        <v>0</v>
      </c>
      <c r="Q1395" s="622"/>
      <c r="R1395" s="74"/>
      <c r="S1395" s="74"/>
      <c r="T1395" s="74"/>
      <c r="U1395" s="74"/>
      <c r="V1395" s="74"/>
      <c r="W1395" s="74"/>
      <c r="X1395" s="74"/>
      <c r="Y1395" s="74"/>
      <c r="Z1395" s="74"/>
      <c r="AA1395" s="74"/>
      <c r="AB1395" s="74"/>
      <c r="AC1395" s="74"/>
      <c r="AD1395" s="74"/>
      <c r="AE1395" s="74"/>
      <c r="AF1395" s="74"/>
      <c r="AG1395" s="74"/>
      <c r="AH1395" s="74"/>
      <c r="AI1395" s="74"/>
    </row>
    <row r="1396" ht="22.5" customHeight="1">
      <c r="A1396" s="614">
        <v>45909.0</v>
      </c>
      <c r="B1396" s="675" t="s">
        <v>2218</v>
      </c>
      <c r="C1396" s="609"/>
      <c r="D1396" s="610">
        <v>114000.0</v>
      </c>
      <c r="E1396" s="604" t="s">
        <v>28</v>
      </c>
      <c r="F1396" s="627" t="s">
        <v>897</v>
      </c>
      <c r="G1396" s="688">
        <v>0.0</v>
      </c>
      <c r="H1396" s="689">
        <f t="shared" si="84"/>
        <v>0</v>
      </c>
      <c r="I1396" s="599"/>
      <c r="J1396" s="599"/>
      <c r="K1396" s="615" t="s">
        <v>286</v>
      </c>
      <c r="L1396" s="700" t="s">
        <v>454</v>
      </c>
      <c r="M1396" s="621"/>
      <c r="N1396" s="621"/>
      <c r="O1396" s="621"/>
      <c r="P1396" s="602"/>
      <c r="Q1396" s="682" t="s">
        <v>1105</v>
      </c>
      <c r="R1396" s="74"/>
      <c r="S1396" s="74"/>
      <c r="T1396" s="74"/>
      <c r="U1396" s="74"/>
      <c r="V1396" s="74"/>
      <c r="W1396" s="74"/>
      <c r="X1396" s="74"/>
      <c r="Y1396" s="74"/>
      <c r="Z1396" s="74"/>
      <c r="AA1396" s="74"/>
      <c r="AB1396" s="74"/>
      <c r="AC1396" s="74"/>
      <c r="AD1396" s="74"/>
      <c r="AE1396" s="74"/>
      <c r="AF1396" s="74"/>
      <c r="AG1396" s="74"/>
      <c r="AH1396" s="74"/>
      <c r="AI1396" s="74"/>
    </row>
    <row r="1397" ht="22.5" customHeight="1">
      <c r="A1397" s="614">
        <v>45909.0</v>
      </c>
      <c r="B1397" s="675" t="s">
        <v>2218</v>
      </c>
      <c r="C1397" s="609"/>
      <c r="D1397" s="610">
        <v>323583.3</v>
      </c>
      <c r="E1397" s="604" t="s">
        <v>28</v>
      </c>
      <c r="F1397" s="627" t="s">
        <v>897</v>
      </c>
      <c r="G1397" s="597">
        <v>20.0</v>
      </c>
      <c r="H1397" s="689">
        <f t="shared" si="84"/>
        <v>53930.55</v>
      </c>
      <c r="I1397" s="599"/>
      <c r="J1397" s="599"/>
      <c r="K1397" s="615" t="s">
        <v>101</v>
      </c>
      <c r="L1397" s="692" t="s">
        <v>670</v>
      </c>
      <c r="M1397" s="621"/>
      <c r="N1397" s="621"/>
      <c r="O1397" s="621"/>
      <c r="P1397" s="602"/>
      <c r="Q1397" s="682" t="s">
        <v>1106</v>
      </c>
      <c r="R1397" s="74"/>
      <c r="S1397" s="74"/>
      <c r="T1397" s="74"/>
      <c r="U1397" s="74"/>
      <c r="V1397" s="74"/>
      <c r="W1397" s="74"/>
      <c r="X1397" s="74"/>
      <c r="Y1397" s="74"/>
      <c r="Z1397" s="74"/>
      <c r="AA1397" s="74"/>
      <c r="AB1397" s="74"/>
      <c r="AC1397" s="74"/>
      <c r="AD1397" s="74"/>
      <c r="AE1397" s="74"/>
      <c r="AF1397" s="74"/>
      <c r="AG1397" s="74"/>
      <c r="AH1397" s="74"/>
      <c r="AI1397" s="74"/>
    </row>
    <row r="1398" ht="22.5" customHeight="1">
      <c r="A1398" s="614">
        <v>45909.0</v>
      </c>
      <c r="B1398" s="675" t="s">
        <v>2218</v>
      </c>
      <c r="C1398" s="609"/>
      <c r="D1398" s="610">
        <v>53506.74</v>
      </c>
      <c r="E1398" s="604" t="s">
        <v>28</v>
      </c>
      <c r="F1398" s="627" t="s">
        <v>897</v>
      </c>
      <c r="G1398" s="597">
        <v>5.0</v>
      </c>
      <c r="H1398" s="689">
        <f t="shared" si="84"/>
        <v>2547.94</v>
      </c>
      <c r="I1398" s="599"/>
      <c r="J1398" s="599"/>
      <c r="K1398" s="615" t="s">
        <v>101</v>
      </c>
      <c r="L1398" s="692" t="s">
        <v>1032</v>
      </c>
      <c r="M1398" s="621"/>
      <c r="N1398" s="621"/>
      <c r="O1398" s="621"/>
      <c r="P1398" s="602">
        <f t="shared" ref="P1398:P1408" si="90">A1398-IF(O1398&gt;0,O1398,A1398)</f>
        <v>0</v>
      </c>
      <c r="Q1398" s="682" t="s">
        <v>1107</v>
      </c>
      <c r="R1398" s="74"/>
      <c r="S1398" s="74"/>
      <c r="T1398" s="74"/>
      <c r="U1398" s="74"/>
      <c r="V1398" s="74"/>
      <c r="W1398" s="74"/>
      <c r="X1398" s="74"/>
      <c r="Y1398" s="74"/>
      <c r="Z1398" s="74"/>
      <c r="AA1398" s="74"/>
      <c r="AB1398" s="74"/>
      <c r="AC1398" s="74"/>
      <c r="AD1398" s="74"/>
      <c r="AE1398" s="74"/>
      <c r="AF1398" s="74"/>
      <c r="AG1398" s="74"/>
      <c r="AH1398" s="74"/>
      <c r="AI1398" s="74"/>
    </row>
    <row r="1399" ht="22.5" customHeight="1">
      <c r="A1399" s="614">
        <v>45909.0</v>
      </c>
      <c r="B1399" s="675" t="s">
        <v>2218</v>
      </c>
      <c r="C1399" s="609"/>
      <c r="D1399" s="610">
        <v>151042.9</v>
      </c>
      <c r="E1399" s="604" t="s">
        <v>28</v>
      </c>
      <c r="F1399" s="627" t="s">
        <v>897</v>
      </c>
      <c r="G1399" s="688">
        <v>0.0</v>
      </c>
      <c r="H1399" s="689">
        <f t="shared" si="84"/>
        <v>0</v>
      </c>
      <c r="I1399" s="599"/>
      <c r="J1399" s="599"/>
      <c r="K1399" s="615" t="s">
        <v>101</v>
      </c>
      <c r="L1399" s="698" t="s">
        <v>631</v>
      </c>
      <c r="M1399" s="621"/>
      <c r="N1399" s="621"/>
      <c r="O1399" s="621"/>
      <c r="P1399" s="602">
        <f t="shared" si="90"/>
        <v>0</v>
      </c>
      <c r="Q1399" s="682" t="s">
        <v>1108</v>
      </c>
      <c r="R1399" s="74"/>
      <c r="S1399" s="74"/>
      <c r="T1399" s="74"/>
      <c r="U1399" s="74"/>
      <c r="V1399" s="74"/>
      <c r="W1399" s="74"/>
      <c r="X1399" s="74"/>
      <c r="Y1399" s="74"/>
      <c r="Z1399" s="74"/>
      <c r="AA1399" s="74"/>
      <c r="AB1399" s="74"/>
      <c r="AC1399" s="74"/>
      <c r="AD1399" s="74"/>
      <c r="AE1399" s="74"/>
      <c r="AF1399" s="74"/>
      <c r="AG1399" s="74"/>
      <c r="AH1399" s="74"/>
      <c r="AI1399" s="74"/>
    </row>
    <row r="1400" ht="22.5" customHeight="1">
      <c r="A1400" s="614">
        <v>45909.0</v>
      </c>
      <c r="B1400" s="675" t="s">
        <v>2218</v>
      </c>
      <c r="C1400" s="609"/>
      <c r="D1400" s="610">
        <v>34605.84</v>
      </c>
      <c r="E1400" s="604" t="s">
        <v>28</v>
      </c>
      <c r="F1400" s="627" t="s">
        <v>897</v>
      </c>
      <c r="G1400" s="597">
        <v>20.0</v>
      </c>
      <c r="H1400" s="689">
        <f t="shared" si="84"/>
        <v>5767.64</v>
      </c>
      <c r="I1400" s="599"/>
      <c r="J1400" s="599"/>
      <c r="K1400" s="615" t="s">
        <v>101</v>
      </c>
      <c r="L1400" s="692" t="s">
        <v>1030</v>
      </c>
      <c r="M1400" s="621"/>
      <c r="N1400" s="621"/>
      <c r="O1400" s="621"/>
      <c r="P1400" s="602">
        <f t="shared" si="90"/>
        <v>0</v>
      </c>
      <c r="Q1400" s="682" t="s">
        <v>1109</v>
      </c>
      <c r="R1400" s="74"/>
      <c r="S1400" s="74"/>
      <c r="T1400" s="74"/>
      <c r="U1400" s="74"/>
      <c r="V1400" s="74"/>
      <c r="W1400" s="74"/>
      <c r="X1400" s="74"/>
      <c r="Y1400" s="74"/>
      <c r="Z1400" s="74"/>
      <c r="AA1400" s="74"/>
      <c r="AB1400" s="74"/>
      <c r="AC1400" s="74"/>
      <c r="AD1400" s="74"/>
      <c r="AE1400" s="74"/>
      <c r="AF1400" s="74"/>
      <c r="AG1400" s="74"/>
      <c r="AH1400" s="74"/>
      <c r="AI1400" s="74"/>
    </row>
    <row r="1401" ht="22.5" customHeight="1">
      <c r="A1401" s="614">
        <v>45909.0</v>
      </c>
      <c r="B1401" s="675" t="s">
        <v>2218</v>
      </c>
      <c r="C1401" s="609"/>
      <c r="D1401" s="610">
        <v>47627.9</v>
      </c>
      <c r="E1401" s="604" t="s">
        <v>28</v>
      </c>
      <c r="F1401" s="627" t="s">
        <v>897</v>
      </c>
      <c r="G1401" s="688">
        <v>0.0</v>
      </c>
      <c r="H1401" s="689">
        <f t="shared" si="84"/>
        <v>0</v>
      </c>
      <c r="I1401" s="599"/>
      <c r="J1401" s="599"/>
      <c r="K1401" s="615" t="s">
        <v>101</v>
      </c>
      <c r="L1401" s="692" t="s">
        <v>818</v>
      </c>
      <c r="M1401" s="621"/>
      <c r="N1401" s="621"/>
      <c r="O1401" s="621"/>
      <c r="P1401" s="602">
        <f t="shared" si="90"/>
        <v>0</v>
      </c>
      <c r="Q1401" s="682" t="s">
        <v>1110</v>
      </c>
      <c r="R1401" s="74"/>
      <c r="S1401" s="74"/>
      <c r="T1401" s="74"/>
      <c r="U1401" s="74"/>
      <c r="V1401" s="74"/>
      <c r="W1401" s="74"/>
      <c r="X1401" s="74"/>
      <c r="Y1401" s="74"/>
      <c r="Z1401" s="74"/>
      <c r="AA1401" s="74"/>
      <c r="AB1401" s="74"/>
      <c r="AC1401" s="74"/>
      <c r="AD1401" s="74"/>
      <c r="AE1401" s="74"/>
      <c r="AF1401" s="74"/>
      <c r="AG1401" s="74"/>
      <c r="AH1401" s="74"/>
      <c r="AI1401" s="74"/>
    </row>
    <row r="1402" ht="22.5" customHeight="1">
      <c r="A1402" s="614">
        <v>45909.0</v>
      </c>
      <c r="B1402" s="675" t="s">
        <v>2218</v>
      </c>
      <c r="C1402" s="609"/>
      <c r="D1402" s="610">
        <v>217515.9</v>
      </c>
      <c r="E1402" s="604" t="s">
        <v>28</v>
      </c>
      <c r="F1402" s="627" t="s">
        <v>897</v>
      </c>
      <c r="G1402" s="597">
        <v>20.0</v>
      </c>
      <c r="H1402" s="689">
        <f t="shared" si="84"/>
        <v>36252.65</v>
      </c>
      <c r="I1402" s="599"/>
      <c r="J1402" s="599"/>
      <c r="K1402" s="615" t="s">
        <v>101</v>
      </c>
      <c r="L1402" s="692" t="s">
        <v>820</v>
      </c>
      <c r="M1402" s="621"/>
      <c r="N1402" s="621"/>
      <c r="O1402" s="621"/>
      <c r="P1402" s="602">
        <f t="shared" si="90"/>
        <v>0</v>
      </c>
      <c r="Q1402" s="682" t="s">
        <v>1111</v>
      </c>
      <c r="R1402" s="74"/>
      <c r="S1402" s="74"/>
      <c r="T1402" s="74"/>
      <c r="U1402" s="74"/>
      <c r="V1402" s="74"/>
      <c r="W1402" s="74"/>
      <c r="X1402" s="74"/>
      <c r="Y1402" s="74"/>
      <c r="Z1402" s="74"/>
      <c r="AA1402" s="74"/>
      <c r="AB1402" s="74"/>
      <c r="AC1402" s="74"/>
      <c r="AD1402" s="74"/>
      <c r="AE1402" s="74"/>
      <c r="AF1402" s="74"/>
      <c r="AG1402" s="74"/>
      <c r="AH1402" s="74"/>
      <c r="AI1402" s="74"/>
    </row>
    <row r="1403" ht="22.5" customHeight="1">
      <c r="A1403" s="614">
        <v>45909.0</v>
      </c>
      <c r="B1403" s="675" t="s">
        <v>2218</v>
      </c>
      <c r="C1403" s="609"/>
      <c r="D1403" s="610">
        <v>98943.38</v>
      </c>
      <c r="E1403" s="604" t="s">
        <v>28</v>
      </c>
      <c r="F1403" s="627" t="s">
        <v>897</v>
      </c>
      <c r="G1403" s="597">
        <v>5.0</v>
      </c>
      <c r="H1403" s="689">
        <f t="shared" si="84"/>
        <v>4711.589524</v>
      </c>
      <c r="I1403" s="599"/>
      <c r="J1403" s="599"/>
      <c r="K1403" s="615" t="s">
        <v>101</v>
      </c>
      <c r="L1403" s="692" t="s">
        <v>671</v>
      </c>
      <c r="M1403" s="621"/>
      <c r="N1403" s="621"/>
      <c r="O1403" s="621"/>
      <c r="P1403" s="602">
        <f t="shared" si="90"/>
        <v>0</v>
      </c>
      <c r="Q1403" s="682" t="s">
        <v>1112</v>
      </c>
      <c r="R1403" s="74"/>
      <c r="S1403" s="74"/>
      <c r="T1403" s="74"/>
      <c r="U1403" s="74"/>
      <c r="V1403" s="74"/>
      <c r="W1403" s="74"/>
      <c r="X1403" s="74"/>
      <c r="Y1403" s="74"/>
      <c r="Z1403" s="74"/>
      <c r="AA1403" s="74"/>
      <c r="AB1403" s="74"/>
      <c r="AC1403" s="74"/>
      <c r="AD1403" s="74"/>
      <c r="AE1403" s="74"/>
      <c r="AF1403" s="74"/>
      <c r="AG1403" s="74"/>
      <c r="AH1403" s="74"/>
      <c r="AI1403" s="74"/>
    </row>
    <row r="1404" ht="22.5" customHeight="1">
      <c r="A1404" s="614">
        <v>45909.0</v>
      </c>
      <c r="B1404" s="675" t="s">
        <v>2218</v>
      </c>
      <c r="C1404" s="609"/>
      <c r="D1404" s="610">
        <v>33821.28</v>
      </c>
      <c r="E1404" s="604" t="s">
        <v>28</v>
      </c>
      <c r="F1404" s="627" t="s">
        <v>897</v>
      </c>
      <c r="G1404" s="597">
        <v>20.0</v>
      </c>
      <c r="H1404" s="689">
        <f t="shared" si="84"/>
        <v>5636.88</v>
      </c>
      <c r="I1404" s="599"/>
      <c r="J1404" s="599"/>
      <c r="K1404" s="615" t="s">
        <v>101</v>
      </c>
      <c r="L1404" s="698" t="s">
        <v>973</v>
      </c>
      <c r="M1404" s="621"/>
      <c r="N1404" s="621"/>
      <c r="O1404" s="621"/>
      <c r="P1404" s="602">
        <f t="shared" si="90"/>
        <v>0</v>
      </c>
      <c r="Q1404" s="682" t="s">
        <v>1113</v>
      </c>
      <c r="R1404" s="74"/>
      <c r="S1404" s="74"/>
      <c r="T1404" s="74"/>
      <c r="U1404" s="74"/>
      <c r="V1404" s="74"/>
      <c r="W1404" s="74"/>
      <c r="X1404" s="74"/>
      <c r="Y1404" s="74"/>
      <c r="Z1404" s="74"/>
      <c r="AA1404" s="74"/>
      <c r="AB1404" s="74"/>
      <c r="AC1404" s="74"/>
      <c r="AD1404" s="74"/>
      <c r="AE1404" s="74"/>
      <c r="AF1404" s="74"/>
      <c r="AG1404" s="74"/>
      <c r="AH1404" s="74"/>
      <c r="AI1404" s="74"/>
    </row>
    <row r="1405" ht="22.5" customHeight="1">
      <c r="A1405" s="614">
        <v>45909.0</v>
      </c>
      <c r="B1405" s="675" t="s">
        <v>2218</v>
      </c>
      <c r="C1405" s="609"/>
      <c r="D1405" s="610">
        <v>581992.66</v>
      </c>
      <c r="E1405" s="604" t="s">
        <v>28</v>
      </c>
      <c r="F1405" s="627" t="s">
        <v>897</v>
      </c>
      <c r="G1405" s="597">
        <v>20.0</v>
      </c>
      <c r="H1405" s="689">
        <f t="shared" si="84"/>
        <v>96998.77667</v>
      </c>
      <c r="I1405" s="599"/>
      <c r="J1405" s="599"/>
      <c r="K1405" s="615" t="s">
        <v>101</v>
      </c>
      <c r="L1405" s="692" t="s">
        <v>597</v>
      </c>
      <c r="M1405" s="621"/>
      <c r="N1405" s="621"/>
      <c r="O1405" s="621"/>
      <c r="P1405" s="602">
        <f t="shared" si="90"/>
        <v>0</v>
      </c>
      <c r="Q1405" s="682" t="s">
        <v>1114</v>
      </c>
      <c r="R1405" s="74"/>
      <c r="S1405" s="74"/>
      <c r="T1405" s="74"/>
      <c r="U1405" s="74"/>
      <c r="V1405" s="74"/>
      <c r="W1405" s="74"/>
      <c r="X1405" s="74"/>
      <c r="Y1405" s="74"/>
      <c r="Z1405" s="74"/>
      <c r="AA1405" s="74"/>
      <c r="AB1405" s="74"/>
      <c r="AC1405" s="74"/>
      <c r="AD1405" s="74"/>
      <c r="AE1405" s="74"/>
      <c r="AF1405" s="74"/>
      <c r="AG1405" s="74"/>
      <c r="AH1405" s="74"/>
      <c r="AI1405" s="74"/>
    </row>
    <row r="1406" ht="22.5" customHeight="1">
      <c r="A1406" s="614">
        <v>45909.0</v>
      </c>
      <c r="B1406" s="675" t="s">
        <v>2218</v>
      </c>
      <c r="C1406" s="609"/>
      <c r="D1406" s="610">
        <v>132943.36</v>
      </c>
      <c r="E1406" s="604" t="s">
        <v>28</v>
      </c>
      <c r="F1406" s="627" t="s">
        <v>897</v>
      </c>
      <c r="G1406" s="597">
        <v>20.0</v>
      </c>
      <c r="H1406" s="689">
        <f t="shared" si="84"/>
        <v>22157.22667</v>
      </c>
      <c r="I1406" s="599"/>
      <c r="J1406" s="599"/>
      <c r="K1406" s="615" t="s">
        <v>101</v>
      </c>
      <c r="L1406" s="692" t="s">
        <v>643</v>
      </c>
      <c r="M1406" s="621"/>
      <c r="N1406" s="621"/>
      <c r="O1406" s="621"/>
      <c r="P1406" s="602">
        <f t="shared" si="90"/>
        <v>0</v>
      </c>
      <c r="Q1406" s="682" t="s">
        <v>1115</v>
      </c>
      <c r="R1406" s="74"/>
      <c r="S1406" s="74"/>
      <c r="T1406" s="74"/>
      <c r="U1406" s="74"/>
      <c r="V1406" s="74"/>
      <c r="W1406" s="74"/>
      <c r="X1406" s="74"/>
      <c r="Y1406" s="74"/>
      <c r="Z1406" s="74"/>
      <c r="AA1406" s="74"/>
      <c r="AB1406" s="74"/>
      <c r="AC1406" s="74"/>
      <c r="AD1406" s="74"/>
      <c r="AE1406" s="74"/>
      <c r="AF1406" s="74"/>
      <c r="AG1406" s="74"/>
      <c r="AH1406" s="74"/>
      <c r="AI1406" s="74"/>
    </row>
    <row r="1407" ht="22.5" customHeight="1">
      <c r="A1407" s="614">
        <v>45909.0</v>
      </c>
      <c r="B1407" s="675" t="s">
        <v>2218</v>
      </c>
      <c r="C1407" s="609"/>
      <c r="D1407" s="610">
        <v>14506.92</v>
      </c>
      <c r="E1407" s="604" t="s">
        <v>28</v>
      </c>
      <c r="F1407" s="627" t="s">
        <v>897</v>
      </c>
      <c r="G1407" s="597">
        <v>20.0</v>
      </c>
      <c r="H1407" s="689">
        <f t="shared" si="84"/>
        <v>2417.82</v>
      </c>
      <c r="I1407" s="599"/>
      <c r="J1407" s="599"/>
      <c r="K1407" s="615" t="s">
        <v>101</v>
      </c>
      <c r="L1407" s="692" t="s">
        <v>976</v>
      </c>
      <c r="M1407" s="621"/>
      <c r="N1407" s="621"/>
      <c r="O1407" s="621"/>
      <c r="P1407" s="602">
        <f t="shared" si="90"/>
        <v>0</v>
      </c>
      <c r="Q1407" s="682" t="s">
        <v>1116</v>
      </c>
      <c r="R1407" s="74"/>
      <c r="S1407" s="74"/>
      <c r="T1407" s="74"/>
      <c r="U1407" s="74"/>
      <c r="V1407" s="74"/>
      <c r="W1407" s="74"/>
      <c r="X1407" s="74"/>
      <c r="Y1407" s="74"/>
      <c r="Z1407" s="74"/>
      <c r="AA1407" s="74"/>
      <c r="AB1407" s="74"/>
      <c r="AC1407" s="74"/>
      <c r="AD1407" s="74"/>
      <c r="AE1407" s="74"/>
      <c r="AF1407" s="74"/>
      <c r="AG1407" s="74"/>
      <c r="AH1407" s="74"/>
      <c r="AI1407" s="74"/>
    </row>
    <row r="1408" ht="22.5" customHeight="1">
      <c r="A1408" s="614">
        <v>45909.0</v>
      </c>
      <c r="B1408" s="675" t="s">
        <v>2218</v>
      </c>
      <c r="C1408" s="609"/>
      <c r="D1408" s="610">
        <v>14097.7</v>
      </c>
      <c r="E1408" s="604" t="s">
        <v>28</v>
      </c>
      <c r="F1408" s="627" t="s">
        <v>897</v>
      </c>
      <c r="G1408" s="688">
        <v>0.0</v>
      </c>
      <c r="H1408" s="689">
        <f t="shared" si="84"/>
        <v>0</v>
      </c>
      <c r="I1408" s="599"/>
      <c r="J1408" s="599"/>
      <c r="K1408" s="615" t="s">
        <v>101</v>
      </c>
      <c r="L1408" s="692" t="s">
        <v>1062</v>
      </c>
      <c r="M1408" s="621"/>
      <c r="N1408" s="621"/>
      <c r="O1408" s="621"/>
      <c r="P1408" s="602">
        <f t="shared" si="90"/>
        <v>0</v>
      </c>
      <c r="Q1408" s="682" t="s">
        <v>1117</v>
      </c>
      <c r="R1408" s="74"/>
      <c r="S1408" s="74"/>
      <c r="T1408" s="74"/>
      <c r="U1408" s="74"/>
      <c r="V1408" s="74"/>
      <c r="W1408" s="74"/>
      <c r="X1408" s="74"/>
      <c r="Y1408" s="74"/>
      <c r="Z1408" s="74"/>
      <c r="AA1408" s="74"/>
      <c r="AB1408" s="74"/>
      <c r="AC1408" s="74"/>
      <c r="AD1408" s="74"/>
      <c r="AE1408" s="74"/>
      <c r="AF1408" s="74"/>
      <c r="AG1408" s="74"/>
      <c r="AH1408" s="74"/>
      <c r="AI1408" s="74"/>
    </row>
    <row r="1409" ht="22.5" customHeight="1">
      <c r="A1409" s="614">
        <v>45909.0</v>
      </c>
      <c r="B1409" s="675" t="s">
        <v>2218</v>
      </c>
      <c r="C1409" s="609"/>
      <c r="D1409" s="610">
        <v>387650.38</v>
      </c>
      <c r="E1409" s="604" t="s">
        <v>28</v>
      </c>
      <c r="F1409" s="627" t="s">
        <v>674</v>
      </c>
      <c r="G1409" s="597">
        <v>20.0</v>
      </c>
      <c r="H1409" s="689">
        <f t="shared" si="84"/>
        <v>64608.39667</v>
      </c>
      <c r="I1409" s="599"/>
      <c r="J1409" s="599"/>
      <c r="K1409" s="615" t="s">
        <v>101</v>
      </c>
      <c r="L1409" s="702" t="s">
        <v>1548</v>
      </c>
      <c r="M1409" s="621"/>
      <c r="N1409" s="621"/>
      <c r="O1409" s="621"/>
      <c r="P1409" s="602"/>
      <c r="Q1409" s="682" t="s">
        <v>1119</v>
      </c>
      <c r="R1409" s="74"/>
      <c r="S1409" s="74"/>
      <c r="T1409" s="74"/>
      <c r="U1409" s="74"/>
      <c r="V1409" s="74"/>
      <c r="W1409" s="74"/>
      <c r="X1409" s="74"/>
      <c r="Y1409" s="74"/>
      <c r="Z1409" s="74"/>
      <c r="AA1409" s="74"/>
      <c r="AB1409" s="74"/>
      <c r="AC1409" s="74"/>
      <c r="AD1409" s="74"/>
      <c r="AE1409" s="74"/>
      <c r="AF1409" s="74"/>
      <c r="AG1409" s="74"/>
      <c r="AH1409" s="74"/>
      <c r="AI1409" s="74"/>
    </row>
    <row r="1410" ht="22.5" customHeight="1">
      <c r="A1410" s="614">
        <v>45909.0</v>
      </c>
      <c r="B1410" s="675" t="s">
        <v>2218</v>
      </c>
      <c r="C1410" s="609"/>
      <c r="D1410" s="610">
        <v>295802.38</v>
      </c>
      <c r="E1410" s="604" t="s">
        <v>28</v>
      </c>
      <c r="F1410" s="627" t="s">
        <v>722</v>
      </c>
      <c r="G1410" s="597">
        <v>20.0</v>
      </c>
      <c r="H1410" s="689">
        <f t="shared" si="84"/>
        <v>49300.39667</v>
      </c>
      <c r="I1410" s="599"/>
      <c r="J1410" s="599"/>
      <c r="K1410" s="615" t="s">
        <v>101</v>
      </c>
      <c r="L1410" s="702" t="s">
        <v>1548</v>
      </c>
      <c r="M1410" s="621"/>
      <c r="N1410" s="621"/>
      <c r="O1410" s="621"/>
      <c r="P1410" s="602"/>
      <c r="Q1410" s="682" t="s">
        <v>1120</v>
      </c>
      <c r="R1410" s="74"/>
      <c r="S1410" s="74"/>
      <c r="T1410" s="74"/>
      <c r="U1410" s="74"/>
      <c r="V1410" s="74"/>
      <c r="W1410" s="74"/>
      <c r="X1410" s="74"/>
      <c r="Y1410" s="74"/>
      <c r="Z1410" s="74"/>
      <c r="AA1410" s="74"/>
      <c r="AB1410" s="74"/>
      <c r="AC1410" s="74"/>
      <c r="AD1410" s="74"/>
      <c r="AE1410" s="74"/>
      <c r="AF1410" s="74"/>
      <c r="AG1410" s="74"/>
      <c r="AH1410" s="74"/>
      <c r="AI1410" s="74"/>
    </row>
    <row r="1411" ht="22.5" customHeight="1">
      <c r="A1411" s="614">
        <v>45909.0</v>
      </c>
      <c r="B1411" s="675" t="s">
        <v>2218</v>
      </c>
      <c r="C1411" s="609"/>
      <c r="D1411" s="610">
        <v>278103.75</v>
      </c>
      <c r="E1411" s="604" t="s">
        <v>28</v>
      </c>
      <c r="F1411" s="627" t="s">
        <v>800</v>
      </c>
      <c r="G1411" s="597">
        <v>20.0</v>
      </c>
      <c r="H1411" s="689">
        <f t="shared" si="84"/>
        <v>46350.625</v>
      </c>
      <c r="I1411" s="599"/>
      <c r="J1411" s="599"/>
      <c r="K1411" s="615" t="s">
        <v>101</v>
      </c>
      <c r="L1411" s="702" t="s">
        <v>1548</v>
      </c>
      <c r="M1411" s="621"/>
      <c r="N1411" s="621"/>
      <c r="O1411" s="621"/>
      <c r="P1411" s="602"/>
      <c r="Q1411" s="682" t="s">
        <v>1121</v>
      </c>
      <c r="R1411" s="74"/>
      <c r="S1411" s="74"/>
      <c r="T1411" s="74"/>
      <c r="U1411" s="74"/>
      <c r="V1411" s="74"/>
      <c r="W1411" s="74"/>
      <c r="X1411" s="74"/>
      <c r="Y1411" s="74"/>
      <c r="Z1411" s="74"/>
      <c r="AA1411" s="74"/>
      <c r="AB1411" s="74"/>
      <c r="AC1411" s="74"/>
      <c r="AD1411" s="74"/>
      <c r="AE1411" s="74"/>
      <c r="AF1411" s="74"/>
      <c r="AG1411" s="74"/>
      <c r="AH1411" s="74"/>
      <c r="AI1411" s="74"/>
    </row>
    <row r="1412" ht="22.5" customHeight="1">
      <c r="A1412" s="614">
        <v>45909.0</v>
      </c>
      <c r="B1412" s="675" t="s">
        <v>2218</v>
      </c>
      <c r="C1412" s="609"/>
      <c r="D1412" s="610">
        <v>36000.0</v>
      </c>
      <c r="E1412" s="604" t="s">
        <v>28</v>
      </c>
      <c r="F1412" s="607" t="s">
        <v>1099</v>
      </c>
      <c r="G1412" s="597">
        <v>20.0</v>
      </c>
      <c r="H1412" s="689">
        <f t="shared" si="84"/>
        <v>6000</v>
      </c>
      <c r="I1412" s="599"/>
      <c r="J1412" s="599"/>
      <c r="K1412" s="615" t="s">
        <v>2237</v>
      </c>
      <c r="L1412" s="616" t="s">
        <v>942</v>
      </c>
      <c r="M1412" s="621"/>
      <c r="N1412" s="621"/>
      <c r="O1412" s="621"/>
      <c r="P1412" s="602"/>
      <c r="Q1412" s="613" t="s">
        <v>943</v>
      </c>
      <c r="R1412" s="74"/>
      <c r="S1412" s="74"/>
      <c r="T1412" s="74"/>
      <c r="U1412" s="74"/>
      <c r="V1412" s="74"/>
      <c r="W1412" s="74"/>
      <c r="X1412" s="74"/>
      <c r="Y1412" s="74"/>
      <c r="Z1412" s="74"/>
      <c r="AA1412" s="74"/>
      <c r="AB1412" s="74"/>
      <c r="AC1412" s="74"/>
      <c r="AD1412" s="74"/>
      <c r="AE1412" s="74"/>
      <c r="AF1412" s="74"/>
      <c r="AG1412" s="74"/>
      <c r="AH1412" s="74"/>
      <c r="AI1412" s="74"/>
    </row>
    <row r="1413" ht="22.5" customHeight="1">
      <c r="A1413" s="614">
        <v>45909.0</v>
      </c>
      <c r="B1413" s="675" t="s">
        <v>2218</v>
      </c>
      <c r="C1413" s="609"/>
      <c r="D1413" s="610">
        <v>1930000.0</v>
      </c>
      <c r="E1413" s="604" t="s">
        <v>28</v>
      </c>
      <c r="F1413" s="607" t="s">
        <v>1099</v>
      </c>
      <c r="G1413" s="597">
        <v>0.0</v>
      </c>
      <c r="H1413" s="689">
        <f t="shared" si="84"/>
        <v>0</v>
      </c>
      <c r="I1413" s="599"/>
      <c r="J1413" s="599"/>
      <c r="K1413" s="615" t="s">
        <v>236</v>
      </c>
      <c r="L1413" s="616" t="s">
        <v>72</v>
      </c>
      <c r="M1413" s="621"/>
      <c r="N1413" s="621"/>
      <c r="O1413" s="621"/>
      <c r="P1413" s="602"/>
      <c r="Q1413" s="622"/>
      <c r="R1413" s="74"/>
      <c r="S1413" s="74"/>
      <c r="T1413" s="74"/>
      <c r="U1413" s="74"/>
      <c r="V1413" s="74"/>
      <c r="W1413" s="74"/>
      <c r="X1413" s="74"/>
      <c r="Y1413" s="74"/>
      <c r="Z1413" s="74"/>
      <c r="AA1413" s="74"/>
      <c r="AB1413" s="74"/>
      <c r="AC1413" s="74"/>
      <c r="AD1413" s="74"/>
      <c r="AE1413" s="74"/>
      <c r="AF1413" s="74"/>
      <c r="AG1413" s="74"/>
      <c r="AH1413" s="74"/>
      <c r="AI1413" s="74"/>
    </row>
    <row r="1414" ht="22.5" customHeight="1">
      <c r="A1414" s="614">
        <v>45909.0</v>
      </c>
      <c r="B1414" s="675" t="s">
        <v>2218</v>
      </c>
      <c r="C1414" s="609"/>
      <c r="D1414" s="610">
        <v>122868.0</v>
      </c>
      <c r="E1414" s="604" t="s">
        <v>28</v>
      </c>
      <c r="F1414" s="607" t="s">
        <v>1099</v>
      </c>
      <c r="G1414" s="597">
        <v>0.0</v>
      </c>
      <c r="H1414" s="689">
        <f t="shared" si="84"/>
        <v>0</v>
      </c>
      <c r="I1414" s="599"/>
      <c r="J1414" s="599"/>
      <c r="K1414" s="615" t="s">
        <v>236</v>
      </c>
      <c r="L1414" s="616" t="s">
        <v>72</v>
      </c>
      <c r="M1414" s="621"/>
      <c r="N1414" s="621"/>
      <c r="O1414" s="621"/>
      <c r="P1414" s="602"/>
      <c r="Q1414" s="613" t="s">
        <v>1122</v>
      </c>
      <c r="R1414" s="74"/>
      <c r="S1414" s="74"/>
      <c r="T1414" s="74"/>
      <c r="U1414" s="74"/>
      <c r="V1414" s="74"/>
      <c r="W1414" s="74"/>
      <c r="X1414" s="74"/>
      <c r="Y1414" s="74"/>
      <c r="Z1414" s="74"/>
      <c r="AA1414" s="74"/>
      <c r="AB1414" s="74"/>
      <c r="AC1414" s="74"/>
      <c r="AD1414" s="74"/>
      <c r="AE1414" s="74"/>
      <c r="AF1414" s="74"/>
      <c r="AG1414" s="74"/>
      <c r="AH1414" s="74"/>
      <c r="AI1414" s="74"/>
    </row>
    <row r="1415" ht="22.5" customHeight="1">
      <c r="A1415" s="614">
        <v>45909.0</v>
      </c>
      <c r="B1415" s="675" t="s">
        <v>2218</v>
      </c>
      <c r="C1415" s="609"/>
      <c r="D1415" s="610">
        <v>1200.0</v>
      </c>
      <c r="E1415" s="604" t="s">
        <v>28</v>
      </c>
      <c r="F1415" s="627" t="s">
        <v>594</v>
      </c>
      <c r="G1415" s="597">
        <v>20.0</v>
      </c>
      <c r="H1415" s="689">
        <f t="shared" si="84"/>
        <v>200</v>
      </c>
      <c r="I1415" s="599"/>
      <c r="J1415" s="599"/>
      <c r="K1415" s="615" t="s">
        <v>44</v>
      </c>
      <c r="L1415" s="616" t="s">
        <v>2247</v>
      </c>
      <c r="M1415" s="621"/>
      <c r="N1415" s="621"/>
      <c r="O1415" s="621"/>
      <c r="P1415" s="602"/>
      <c r="Q1415" s="622"/>
      <c r="R1415" s="74"/>
      <c r="S1415" s="74"/>
      <c r="T1415" s="74"/>
      <c r="U1415" s="74"/>
      <c r="V1415" s="74"/>
      <c r="W1415" s="74"/>
      <c r="X1415" s="74"/>
      <c r="Y1415" s="74"/>
      <c r="Z1415" s="74"/>
      <c r="AA1415" s="74"/>
      <c r="AB1415" s="74"/>
      <c r="AC1415" s="74"/>
      <c r="AD1415" s="74"/>
      <c r="AE1415" s="74"/>
      <c r="AF1415" s="74"/>
      <c r="AG1415" s="74"/>
      <c r="AH1415" s="74"/>
      <c r="AI1415" s="74"/>
    </row>
    <row r="1416" ht="22.5" customHeight="1">
      <c r="A1416" s="614">
        <v>45909.0</v>
      </c>
      <c r="B1416" s="675" t="s">
        <v>2218</v>
      </c>
      <c r="C1416" s="609"/>
      <c r="D1416" s="610">
        <v>8400.0</v>
      </c>
      <c r="E1416" s="604" t="s">
        <v>28</v>
      </c>
      <c r="F1416" s="627" t="s">
        <v>897</v>
      </c>
      <c r="G1416" s="597">
        <v>20.0</v>
      </c>
      <c r="H1416" s="689">
        <f t="shared" si="84"/>
        <v>1400</v>
      </c>
      <c r="I1416" s="599"/>
      <c r="J1416" s="599"/>
      <c r="K1416" s="615" t="s">
        <v>101</v>
      </c>
      <c r="L1416" s="616" t="s">
        <v>1045</v>
      </c>
      <c r="M1416" s="621"/>
      <c r="N1416" s="621"/>
      <c r="O1416" s="621"/>
      <c r="P1416" s="602"/>
      <c r="Q1416" s="682" t="s">
        <v>1123</v>
      </c>
      <c r="R1416" s="74"/>
      <c r="S1416" s="74"/>
      <c r="T1416" s="74"/>
      <c r="U1416" s="74"/>
      <c r="V1416" s="74"/>
      <c r="W1416" s="74"/>
      <c r="X1416" s="74"/>
      <c r="Y1416" s="74"/>
      <c r="Z1416" s="74"/>
      <c r="AA1416" s="74"/>
      <c r="AB1416" s="74"/>
      <c r="AC1416" s="74"/>
      <c r="AD1416" s="74"/>
      <c r="AE1416" s="74"/>
      <c r="AF1416" s="74"/>
      <c r="AG1416" s="74"/>
      <c r="AH1416" s="74"/>
      <c r="AI1416" s="74"/>
    </row>
    <row r="1417" ht="22.5" customHeight="1">
      <c r="A1417" s="614">
        <v>45909.0</v>
      </c>
      <c r="B1417" s="675" t="s">
        <v>2218</v>
      </c>
      <c r="C1417" s="609"/>
      <c r="D1417" s="610">
        <v>10167.36</v>
      </c>
      <c r="E1417" s="604" t="s">
        <v>28</v>
      </c>
      <c r="F1417" s="627" t="s">
        <v>897</v>
      </c>
      <c r="G1417" s="597">
        <v>20.0</v>
      </c>
      <c r="H1417" s="689">
        <f t="shared" si="84"/>
        <v>1694.56</v>
      </c>
      <c r="I1417" s="599"/>
      <c r="J1417" s="599"/>
      <c r="K1417" s="615" t="s">
        <v>101</v>
      </c>
      <c r="L1417" s="616" t="s">
        <v>1045</v>
      </c>
      <c r="M1417" s="621"/>
      <c r="N1417" s="621"/>
      <c r="O1417" s="621"/>
      <c r="P1417" s="602">
        <f t="shared" ref="P1417:P1422" si="91">A1417-IF(O1417&gt;0,O1417,A1417)</f>
        <v>0</v>
      </c>
      <c r="Q1417" s="682" t="s">
        <v>1124</v>
      </c>
      <c r="R1417" s="74"/>
      <c r="S1417" s="74"/>
      <c r="T1417" s="74"/>
      <c r="U1417" s="74"/>
      <c r="V1417" s="74"/>
      <c r="W1417" s="74"/>
      <c r="X1417" s="74"/>
      <c r="Y1417" s="74"/>
      <c r="Z1417" s="74"/>
      <c r="AA1417" s="74"/>
      <c r="AB1417" s="74"/>
      <c r="AC1417" s="74"/>
      <c r="AD1417" s="74"/>
      <c r="AE1417" s="74"/>
      <c r="AF1417" s="74"/>
      <c r="AG1417" s="74"/>
      <c r="AH1417" s="74"/>
      <c r="AI1417" s="74"/>
    </row>
    <row r="1418" ht="22.5" customHeight="1">
      <c r="A1418" s="614">
        <v>45909.0</v>
      </c>
      <c r="B1418" s="675" t="s">
        <v>2218</v>
      </c>
      <c r="C1418" s="609"/>
      <c r="D1418" s="610">
        <v>3360.0</v>
      </c>
      <c r="E1418" s="604" t="s">
        <v>28</v>
      </c>
      <c r="F1418" s="627" t="s">
        <v>897</v>
      </c>
      <c r="G1418" s="597">
        <v>20.0</v>
      </c>
      <c r="H1418" s="689">
        <f t="shared" si="84"/>
        <v>560</v>
      </c>
      <c r="I1418" s="599"/>
      <c r="J1418" s="599"/>
      <c r="K1418" s="615" t="s">
        <v>101</v>
      </c>
      <c r="L1418" s="616" t="s">
        <v>1045</v>
      </c>
      <c r="M1418" s="621"/>
      <c r="N1418" s="621"/>
      <c r="O1418" s="621"/>
      <c r="P1418" s="602">
        <f t="shared" si="91"/>
        <v>0</v>
      </c>
      <c r="Q1418" s="682" t="s">
        <v>1125</v>
      </c>
      <c r="R1418" s="74"/>
      <c r="S1418" s="74"/>
      <c r="T1418" s="74"/>
      <c r="U1418" s="74"/>
      <c r="V1418" s="74"/>
      <c r="W1418" s="74"/>
      <c r="X1418" s="74"/>
      <c r="Y1418" s="74"/>
      <c r="Z1418" s="74"/>
      <c r="AA1418" s="74"/>
      <c r="AB1418" s="74"/>
      <c r="AC1418" s="74"/>
      <c r="AD1418" s="74"/>
      <c r="AE1418" s="74"/>
      <c r="AF1418" s="74"/>
      <c r="AG1418" s="74"/>
      <c r="AH1418" s="74"/>
      <c r="AI1418" s="74"/>
    </row>
    <row r="1419" ht="22.5" customHeight="1">
      <c r="A1419" s="614">
        <v>45909.0</v>
      </c>
      <c r="B1419" s="675" t="s">
        <v>2218</v>
      </c>
      <c r="C1419" s="609"/>
      <c r="D1419" s="610">
        <v>3360.0</v>
      </c>
      <c r="E1419" s="604" t="s">
        <v>28</v>
      </c>
      <c r="F1419" s="627" t="s">
        <v>897</v>
      </c>
      <c r="G1419" s="597">
        <v>20.0</v>
      </c>
      <c r="H1419" s="689">
        <f t="shared" si="84"/>
        <v>560</v>
      </c>
      <c r="I1419" s="599"/>
      <c r="J1419" s="599"/>
      <c r="K1419" s="615" t="s">
        <v>101</v>
      </c>
      <c r="L1419" s="616" t="s">
        <v>1045</v>
      </c>
      <c r="M1419" s="621"/>
      <c r="N1419" s="621"/>
      <c r="O1419" s="621"/>
      <c r="P1419" s="602">
        <f t="shared" si="91"/>
        <v>0</v>
      </c>
      <c r="Q1419" s="682" t="s">
        <v>1126</v>
      </c>
      <c r="R1419" s="74"/>
      <c r="S1419" s="74"/>
      <c r="T1419" s="74"/>
      <c r="U1419" s="74"/>
      <c r="V1419" s="74"/>
      <c r="W1419" s="74"/>
      <c r="X1419" s="74"/>
      <c r="Y1419" s="74"/>
      <c r="Z1419" s="74"/>
      <c r="AA1419" s="74"/>
      <c r="AB1419" s="74"/>
      <c r="AC1419" s="74"/>
      <c r="AD1419" s="74"/>
      <c r="AE1419" s="74"/>
      <c r="AF1419" s="74"/>
      <c r="AG1419" s="74"/>
      <c r="AH1419" s="74"/>
      <c r="AI1419" s="74"/>
    </row>
    <row r="1420" ht="22.5" customHeight="1">
      <c r="A1420" s="614">
        <v>45909.0</v>
      </c>
      <c r="B1420" s="675" t="s">
        <v>2218</v>
      </c>
      <c r="C1420" s="609"/>
      <c r="D1420" s="610">
        <v>9744.0</v>
      </c>
      <c r="E1420" s="604" t="s">
        <v>28</v>
      </c>
      <c r="F1420" s="627" t="s">
        <v>897</v>
      </c>
      <c r="G1420" s="597">
        <v>20.0</v>
      </c>
      <c r="H1420" s="689">
        <f t="shared" si="84"/>
        <v>1624</v>
      </c>
      <c r="I1420" s="599"/>
      <c r="J1420" s="599"/>
      <c r="K1420" s="615" t="s">
        <v>101</v>
      </c>
      <c r="L1420" s="616" t="s">
        <v>1045</v>
      </c>
      <c r="M1420" s="621"/>
      <c r="N1420" s="621"/>
      <c r="O1420" s="621"/>
      <c r="P1420" s="602">
        <f t="shared" si="91"/>
        <v>0</v>
      </c>
      <c r="Q1420" s="682" t="s">
        <v>1127</v>
      </c>
      <c r="R1420" s="74"/>
      <c r="S1420" s="74"/>
      <c r="T1420" s="74"/>
      <c r="U1420" s="74"/>
      <c r="V1420" s="74"/>
      <c r="W1420" s="74"/>
      <c r="X1420" s="74"/>
      <c r="Y1420" s="74"/>
      <c r="Z1420" s="74"/>
      <c r="AA1420" s="74"/>
      <c r="AB1420" s="74"/>
      <c r="AC1420" s="74"/>
      <c r="AD1420" s="74"/>
      <c r="AE1420" s="74"/>
      <c r="AF1420" s="74"/>
      <c r="AG1420" s="74"/>
      <c r="AH1420" s="74"/>
      <c r="AI1420" s="74"/>
    </row>
    <row r="1421" ht="22.5" customHeight="1">
      <c r="A1421" s="614">
        <v>45909.0</v>
      </c>
      <c r="B1421" s="675" t="s">
        <v>2218</v>
      </c>
      <c r="C1421" s="609"/>
      <c r="D1421" s="610">
        <v>16800.0</v>
      </c>
      <c r="E1421" s="604" t="s">
        <v>28</v>
      </c>
      <c r="F1421" s="627" t="s">
        <v>897</v>
      </c>
      <c r="G1421" s="597">
        <v>20.0</v>
      </c>
      <c r="H1421" s="689">
        <f t="shared" si="84"/>
        <v>2800</v>
      </c>
      <c r="I1421" s="599"/>
      <c r="J1421" s="599"/>
      <c r="K1421" s="615" t="s">
        <v>101</v>
      </c>
      <c r="L1421" s="616" t="s">
        <v>1045</v>
      </c>
      <c r="M1421" s="621"/>
      <c r="N1421" s="621"/>
      <c r="O1421" s="621"/>
      <c r="P1421" s="602">
        <f t="shared" si="91"/>
        <v>0</v>
      </c>
      <c r="Q1421" s="682" t="s">
        <v>1128</v>
      </c>
      <c r="R1421" s="74"/>
      <c r="S1421" s="74"/>
      <c r="T1421" s="74"/>
      <c r="U1421" s="74"/>
      <c r="V1421" s="74"/>
      <c r="W1421" s="74"/>
      <c r="X1421" s="74"/>
      <c r="Y1421" s="74"/>
      <c r="Z1421" s="74"/>
      <c r="AA1421" s="74"/>
      <c r="AB1421" s="74"/>
      <c r="AC1421" s="74"/>
      <c r="AD1421" s="74"/>
      <c r="AE1421" s="74"/>
      <c r="AF1421" s="74"/>
      <c r="AG1421" s="74"/>
      <c r="AH1421" s="74"/>
      <c r="AI1421" s="74"/>
    </row>
    <row r="1422" ht="22.5" customHeight="1">
      <c r="A1422" s="614">
        <v>45909.0</v>
      </c>
      <c r="B1422" s="675" t="s">
        <v>2218</v>
      </c>
      <c r="C1422" s="609"/>
      <c r="D1422" s="610">
        <v>42000.0</v>
      </c>
      <c r="E1422" s="604" t="s">
        <v>28</v>
      </c>
      <c r="F1422" s="627" t="s">
        <v>897</v>
      </c>
      <c r="G1422" s="597">
        <v>20.0</v>
      </c>
      <c r="H1422" s="689">
        <f t="shared" si="84"/>
        <v>7000</v>
      </c>
      <c r="I1422" s="599"/>
      <c r="J1422" s="599"/>
      <c r="K1422" s="615" t="s">
        <v>2246</v>
      </c>
      <c r="L1422" s="616" t="s">
        <v>1045</v>
      </c>
      <c r="M1422" s="621"/>
      <c r="N1422" s="621"/>
      <c r="O1422" s="621"/>
      <c r="P1422" s="602">
        <f t="shared" si="91"/>
        <v>0</v>
      </c>
      <c r="Q1422" s="682" t="s">
        <v>1129</v>
      </c>
      <c r="R1422" s="74"/>
      <c r="S1422" s="74"/>
      <c r="T1422" s="74"/>
      <c r="U1422" s="74"/>
      <c r="V1422" s="74"/>
      <c r="W1422" s="74"/>
      <c r="X1422" s="74"/>
      <c r="Y1422" s="74"/>
      <c r="Z1422" s="74"/>
      <c r="AA1422" s="74"/>
      <c r="AB1422" s="74"/>
      <c r="AC1422" s="74"/>
      <c r="AD1422" s="74"/>
      <c r="AE1422" s="74"/>
      <c r="AF1422" s="74"/>
      <c r="AG1422" s="74"/>
      <c r="AH1422" s="74"/>
      <c r="AI1422" s="74"/>
    </row>
    <row r="1423" ht="22.5" customHeight="1">
      <c r="A1423" s="614">
        <v>45909.0</v>
      </c>
      <c r="B1423" s="675" t="s">
        <v>2218</v>
      </c>
      <c r="C1423" s="610">
        <v>600600.0</v>
      </c>
      <c r="D1423" s="610"/>
      <c r="E1423" s="604" t="s">
        <v>28</v>
      </c>
      <c r="F1423" s="627" t="s">
        <v>722</v>
      </c>
      <c r="G1423" s="597">
        <v>20.0</v>
      </c>
      <c r="H1423" s="689">
        <f t="shared" si="84"/>
        <v>100100</v>
      </c>
      <c r="I1423" s="599"/>
      <c r="J1423" s="599"/>
      <c r="K1423" s="674" t="s">
        <v>51</v>
      </c>
      <c r="L1423" s="616" t="s">
        <v>1014</v>
      </c>
      <c r="M1423" s="612" t="s">
        <v>844</v>
      </c>
      <c r="N1423" s="612">
        <v>185.0</v>
      </c>
      <c r="O1423" s="662">
        <v>45790.0</v>
      </c>
      <c r="P1423" s="602"/>
      <c r="Q1423" s="622"/>
      <c r="R1423" s="74"/>
      <c r="S1423" s="74"/>
      <c r="T1423" s="74"/>
      <c r="U1423" s="74"/>
      <c r="V1423" s="74"/>
      <c r="W1423" s="74"/>
      <c r="X1423" s="74"/>
      <c r="Y1423" s="74"/>
      <c r="Z1423" s="74"/>
      <c r="AA1423" s="74"/>
      <c r="AB1423" s="74"/>
      <c r="AC1423" s="74"/>
      <c r="AD1423" s="74"/>
      <c r="AE1423" s="74"/>
      <c r="AF1423" s="74"/>
      <c r="AG1423" s="74"/>
      <c r="AH1423" s="74"/>
      <c r="AI1423" s="74"/>
    </row>
    <row r="1424" ht="22.5" customHeight="1">
      <c r="A1424" s="614">
        <v>45909.0</v>
      </c>
      <c r="B1424" s="675" t="s">
        <v>2218</v>
      </c>
      <c r="C1424" s="610">
        <v>630000.0</v>
      </c>
      <c r="D1424" s="610"/>
      <c r="E1424" s="604" t="s">
        <v>28</v>
      </c>
      <c r="F1424" s="627" t="s">
        <v>722</v>
      </c>
      <c r="G1424" s="597">
        <v>20.0</v>
      </c>
      <c r="H1424" s="689">
        <f t="shared" si="84"/>
        <v>105000</v>
      </c>
      <c r="I1424" s="599"/>
      <c r="J1424" s="599"/>
      <c r="K1424" s="615" t="s">
        <v>51</v>
      </c>
      <c r="L1424" s="616" t="s">
        <v>1014</v>
      </c>
      <c r="M1424" s="612" t="s">
        <v>888</v>
      </c>
      <c r="N1424" s="612">
        <v>186.0</v>
      </c>
      <c r="O1424" s="662">
        <v>45790.0</v>
      </c>
      <c r="P1424" s="602"/>
      <c r="Q1424" s="622"/>
      <c r="R1424" s="74"/>
      <c r="S1424" s="74"/>
      <c r="T1424" s="74"/>
      <c r="U1424" s="74"/>
      <c r="V1424" s="74"/>
      <c r="W1424" s="74"/>
      <c r="X1424" s="74"/>
      <c r="Y1424" s="74"/>
      <c r="Z1424" s="74"/>
      <c r="AA1424" s="74"/>
      <c r="AB1424" s="74"/>
      <c r="AC1424" s="74"/>
      <c r="AD1424" s="74"/>
      <c r="AE1424" s="74"/>
      <c r="AF1424" s="74"/>
      <c r="AG1424" s="74"/>
      <c r="AH1424" s="74"/>
      <c r="AI1424" s="74"/>
    </row>
    <row r="1425" ht="22.5" customHeight="1">
      <c r="A1425" s="614">
        <v>45909.0</v>
      </c>
      <c r="B1425" s="675" t="s">
        <v>2218</v>
      </c>
      <c r="C1425" s="610">
        <v>588000.0</v>
      </c>
      <c r="D1425" s="610"/>
      <c r="E1425" s="604" t="s">
        <v>28</v>
      </c>
      <c r="F1425" s="627" t="s">
        <v>722</v>
      </c>
      <c r="G1425" s="597">
        <v>20.0</v>
      </c>
      <c r="H1425" s="689">
        <f t="shared" si="84"/>
        <v>98000</v>
      </c>
      <c r="I1425" s="599"/>
      <c r="J1425" s="599"/>
      <c r="K1425" s="615" t="s">
        <v>51</v>
      </c>
      <c r="L1425" s="616" t="s">
        <v>1014</v>
      </c>
      <c r="M1425" s="612" t="s">
        <v>1130</v>
      </c>
      <c r="N1425" s="612">
        <v>187.0</v>
      </c>
      <c r="O1425" s="662">
        <v>45790.0</v>
      </c>
      <c r="P1425" s="602"/>
      <c r="Q1425" s="622"/>
      <c r="R1425" s="74"/>
      <c r="S1425" s="74"/>
      <c r="T1425" s="74"/>
      <c r="U1425" s="74"/>
      <c r="V1425" s="74"/>
      <c r="W1425" s="74"/>
      <c r="X1425" s="74"/>
      <c r="Y1425" s="74"/>
      <c r="Z1425" s="74"/>
      <c r="AA1425" s="74"/>
      <c r="AB1425" s="74"/>
      <c r="AC1425" s="74"/>
      <c r="AD1425" s="74"/>
      <c r="AE1425" s="74"/>
      <c r="AF1425" s="74"/>
      <c r="AG1425" s="74"/>
      <c r="AH1425" s="74"/>
      <c r="AI1425" s="74"/>
    </row>
    <row r="1426" ht="22.5" customHeight="1">
      <c r="A1426" s="614">
        <v>45909.0</v>
      </c>
      <c r="B1426" s="675" t="s">
        <v>2218</v>
      </c>
      <c r="C1426" s="610">
        <v>600432.0</v>
      </c>
      <c r="D1426" s="610"/>
      <c r="E1426" s="604" t="s">
        <v>28</v>
      </c>
      <c r="F1426" s="627" t="s">
        <v>722</v>
      </c>
      <c r="G1426" s="597">
        <v>20.0</v>
      </c>
      <c r="H1426" s="689">
        <f t="shared" si="84"/>
        <v>100072</v>
      </c>
      <c r="I1426" s="599"/>
      <c r="J1426" s="599"/>
      <c r="K1426" s="615" t="s">
        <v>51</v>
      </c>
      <c r="L1426" s="616" t="s">
        <v>1014</v>
      </c>
      <c r="M1426" s="612" t="s">
        <v>1131</v>
      </c>
      <c r="N1426" s="612">
        <v>188.0</v>
      </c>
      <c r="O1426" s="662">
        <v>45790.0</v>
      </c>
      <c r="P1426" s="602"/>
      <c r="Q1426" s="622"/>
      <c r="R1426" s="74"/>
      <c r="S1426" s="74"/>
      <c r="T1426" s="74"/>
      <c r="U1426" s="74"/>
      <c r="V1426" s="74"/>
      <c r="W1426" s="74"/>
      <c r="X1426" s="74"/>
      <c r="Y1426" s="74"/>
      <c r="Z1426" s="74"/>
      <c r="AA1426" s="74"/>
      <c r="AB1426" s="74"/>
      <c r="AC1426" s="74"/>
      <c r="AD1426" s="74"/>
      <c r="AE1426" s="74"/>
      <c r="AF1426" s="74"/>
      <c r="AG1426" s="74"/>
      <c r="AH1426" s="74"/>
      <c r="AI1426" s="74"/>
    </row>
    <row r="1427" ht="22.5" customHeight="1">
      <c r="A1427" s="614">
        <v>45909.0</v>
      </c>
      <c r="B1427" s="675" t="s">
        <v>2218</v>
      </c>
      <c r="C1427" s="610">
        <v>907200.0</v>
      </c>
      <c r="D1427" s="610"/>
      <c r="E1427" s="604" t="s">
        <v>28</v>
      </c>
      <c r="F1427" s="627" t="s">
        <v>722</v>
      </c>
      <c r="G1427" s="597">
        <v>20.0</v>
      </c>
      <c r="H1427" s="689">
        <f t="shared" si="84"/>
        <v>151200</v>
      </c>
      <c r="I1427" s="599"/>
      <c r="J1427" s="599"/>
      <c r="K1427" s="615" t="s">
        <v>51</v>
      </c>
      <c r="L1427" s="616" t="s">
        <v>1014</v>
      </c>
      <c r="M1427" s="612" t="s">
        <v>889</v>
      </c>
      <c r="N1427" s="612">
        <v>189.0</v>
      </c>
      <c r="O1427" s="662">
        <v>45790.0</v>
      </c>
      <c r="P1427" s="602"/>
      <c r="Q1427" s="622"/>
      <c r="R1427" s="74"/>
      <c r="S1427" s="74"/>
      <c r="T1427" s="74"/>
      <c r="U1427" s="74"/>
      <c r="V1427" s="74"/>
      <c r="W1427" s="74"/>
      <c r="X1427" s="74"/>
      <c r="Y1427" s="74"/>
      <c r="Z1427" s="74"/>
      <c r="AA1427" s="74"/>
      <c r="AB1427" s="74"/>
      <c r="AC1427" s="74"/>
      <c r="AD1427" s="74"/>
      <c r="AE1427" s="74"/>
      <c r="AF1427" s="74"/>
      <c r="AG1427" s="74"/>
      <c r="AH1427" s="74"/>
      <c r="AI1427" s="74"/>
    </row>
    <row r="1428" ht="22.5" customHeight="1">
      <c r="A1428" s="614">
        <v>45909.0</v>
      </c>
      <c r="B1428" s="675" t="s">
        <v>2218</v>
      </c>
      <c r="C1428" s="610">
        <v>36000.0</v>
      </c>
      <c r="D1428" s="609"/>
      <c r="E1428" s="604" t="s">
        <v>28</v>
      </c>
      <c r="F1428" s="627" t="s">
        <v>722</v>
      </c>
      <c r="G1428" s="597">
        <v>20.0</v>
      </c>
      <c r="H1428" s="689">
        <f t="shared" si="84"/>
        <v>6000</v>
      </c>
      <c r="I1428" s="599"/>
      <c r="J1428" s="599"/>
      <c r="K1428" s="615" t="s">
        <v>51</v>
      </c>
      <c r="L1428" s="616" t="s">
        <v>1014</v>
      </c>
      <c r="M1428" s="612" t="s">
        <v>949</v>
      </c>
      <c r="N1428" s="612">
        <v>198.0</v>
      </c>
      <c r="O1428" s="662">
        <v>45792.0</v>
      </c>
      <c r="P1428" s="602"/>
      <c r="Q1428" s="622"/>
      <c r="R1428" s="74"/>
      <c r="S1428" s="74"/>
      <c r="T1428" s="74"/>
      <c r="U1428" s="74"/>
      <c r="V1428" s="74"/>
      <c r="W1428" s="74"/>
      <c r="X1428" s="74"/>
      <c r="Y1428" s="74"/>
      <c r="Z1428" s="74"/>
      <c r="AA1428" s="74"/>
      <c r="AB1428" s="74"/>
      <c r="AC1428" s="74"/>
      <c r="AD1428" s="74"/>
      <c r="AE1428" s="74"/>
      <c r="AF1428" s="74"/>
      <c r="AG1428" s="74"/>
      <c r="AH1428" s="74"/>
      <c r="AI1428" s="74"/>
    </row>
    <row r="1429" ht="22.5" customHeight="1">
      <c r="A1429" s="614">
        <v>45909.0</v>
      </c>
      <c r="B1429" s="675" t="s">
        <v>2218</v>
      </c>
      <c r="C1429" s="609"/>
      <c r="D1429" s="610">
        <v>550000.0</v>
      </c>
      <c r="E1429" s="604" t="s">
        <v>28</v>
      </c>
      <c r="F1429" s="607" t="s">
        <v>1002</v>
      </c>
      <c r="G1429" s="597">
        <v>0.0</v>
      </c>
      <c r="H1429" s="689">
        <f t="shared" si="84"/>
        <v>0</v>
      </c>
      <c r="I1429" s="599"/>
      <c r="J1429" s="599"/>
      <c r="K1429" s="615" t="s">
        <v>2230</v>
      </c>
      <c r="L1429" s="616" t="s">
        <v>1132</v>
      </c>
      <c r="M1429" s="621"/>
      <c r="N1429" s="621"/>
      <c r="O1429" s="621"/>
      <c r="P1429" s="602"/>
      <c r="Q1429" s="682" t="s">
        <v>1133</v>
      </c>
      <c r="R1429" s="74"/>
      <c r="S1429" s="74"/>
      <c r="T1429" s="74"/>
      <c r="U1429" s="74"/>
      <c r="V1429" s="74"/>
      <c r="W1429" s="74"/>
      <c r="X1429" s="74"/>
      <c r="Y1429" s="74"/>
      <c r="Z1429" s="74"/>
      <c r="AA1429" s="74"/>
      <c r="AB1429" s="74"/>
      <c r="AC1429" s="74"/>
      <c r="AD1429" s="74"/>
      <c r="AE1429" s="74"/>
      <c r="AF1429" s="74"/>
      <c r="AG1429" s="74"/>
      <c r="AH1429" s="74"/>
      <c r="AI1429" s="74"/>
    </row>
    <row r="1430" ht="22.5" customHeight="1">
      <c r="A1430" s="614">
        <v>45909.0</v>
      </c>
      <c r="B1430" s="675" t="s">
        <v>2218</v>
      </c>
      <c r="C1430" s="609"/>
      <c r="D1430" s="610">
        <f>273647+2951.8</f>
        <v>276598.8</v>
      </c>
      <c r="E1430" s="604" t="s">
        <v>28</v>
      </c>
      <c r="F1430" s="627" t="s">
        <v>1002</v>
      </c>
      <c r="G1430" s="597">
        <v>0.0</v>
      </c>
      <c r="H1430" s="689">
        <f t="shared" si="84"/>
        <v>0</v>
      </c>
      <c r="I1430" s="599"/>
      <c r="J1430" s="599"/>
      <c r="K1430" s="615" t="s">
        <v>203</v>
      </c>
      <c r="L1430" s="616" t="s">
        <v>954</v>
      </c>
      <c r="M1430" s="621"/>
      <c r="N1430" s="621"/>
      <c r="O1430" s="621"/>
      <c r="P1430" s="602"/>
      <c r="Q1430" s="682" t="s">
        <v>1134</v>
      </c>
      <c r="R1430" s="74"/>
      <c r="S1430" s="74"/>
      <c r="T1430" s="74"/>
      <c r="U1430" s="74"/>
      <c r="V1430" s="74"/>
      <c r="W1430" s="74"/>
      <c r="X1430" s="74"/>
      <c r="Y1430" s="74"/>
      <c r="Z1430" s="74"/>
      <c r="AA1430" s="74"/>
      <c r="AB1430" s="74"/>
      <c r="AC1430" s="74"/>
      <c r="AD1430" s="74"/>
      <c r="AE1430" s="74"/>
      <c r="AF1430" s="74"/>
      <c r="AG1430" s="74"/>
      <c r="AH1430" s="74"/>
      <c r="AI1430" s="74"/>
    </row>
    <row r="1431" ht="22.5" customHeight="1">
      <c r="A1431" s="614">
        <v>45909.0</v>
      </c>
      <c r="B1431" s="675" t="s">
        <v>2218</v>
      </c>
      <c r="C1431" s="609"/>
      <c r="D1431" s="610">
        <v>53192.0</v>
      </c>
      <c r="E1431" s="604" t="s">
        <v>28</v>
      </c>
      <c r="F1431" s="607" t="s">
        <v>1002</v>
      </c>
      <c r="G1431" s="688">
        <v>0.0</v>
      </c>
      <c r="H1431" s="689">
        <f t="shared" si="84"/>
        <v>0</v>
      </c>
      <c r="I1431" s="599"/>
      <c r="J1431" s="599"/>
      <c r="K1431" s="615" t="s">
        <v>2237</v>
      </c>
      <c r="L1431" s="616" t="s">
        <v>901</v>
      </c>
      <c r="M1431" s="621"/>
      <c r="N1431" s="621"/>
      <c r="O1431" s="621"/>
      <c r="P1431" s="602"/>
      <c r="Q1431" s="622"/>
      <c r="R1431" s="74"/>
      <c r="S1431" s="74"/>
      <c r="T1431" s="74"/>
      <c r="U1431" s="74"/>
      <c r="V1431" s="74"/>
      <c r="W1431" s="74"/>
      <c r="X1431" s="74"/>
      <c r="Y1431" s="74"/>
      <c r="Z1431" s="74"/>
      <c r="AA1431" s="74"/>
      <c r="AB1431" s="74"/>
      <c r="AC1431" s="74"/>
      <c r="AD1431" s="74"/>
      <c r="AE1431" s="74"/>
      <c r="AF1431" s="74"/>
      <c r="AG1431" s="74"/>
      <c r="AH1431" s="74"/>
      <c r="AI1431" s="74"/>
    </row>
    <row r="1432" ht="22.5" customHeight="1">
      <c r="A1432" s="614">
        <v>45909.0</v>
      </c>
      <c r="B1432" s="675" t="s">
        <v>2218</v>
      </c>
      <c r="C1432" s="609"/>
      <c r="D1432" s="610">
        <f>159600+1036.46</f>
        <v>160636.46</v>
      </c>
      <c r="E1432" s="604" t="s">
        <v>28</v>
      </c>
      <c r="F1432" s="607" t="s">
        <v>1002</v>
      </c>
      <c r="G1432" s="688">
        <v>0.0</v>
      </c>
      <c r="H1432" s="689">
        <f t="shared" si="84"/>
        <v>0</v>
      </c>
      <c r="I1432" s="599"/>
      <c r="J1432" s="599"/>
      <c r="K1432" s="615" t="s">
        <v>2237</v>
      </c>
      <c r="L1432" s="616" t="s">
        <v>901</v>
      </c>
      <c r="M1432" s="621"/>
      <c r="N1432" s="621"/>
      <c r="O1432" s="621"/>
      <c r="P1432" s="602"/>
      <c r="Q1432" s="613" t="s">
        <v>1135</v>
      </c>
      <c r="R1432" s="74"/>
      <c r="S1432" s="74"/>
      <c r="T1432" s="74"/>
      <c r="U1432" s="74"/>
      <c r="V1432" s="74"/>
      <c r="W1432" s="74"/>
      <c r="X1432" s="74"/>
      <c r="Y1432" s="74"/>
      <c r="Z1432" s="74"/>
      <c r="AA1432" s="74"/>
      <c r="AB1432" s="74"/>
      <c r="AC1432" s="74"/>
      <c r="AD1432" s="74"/>
      <c r="AE1432" s="74"/>
      <c r="AF1432" s="74"/>
      <c r="AG1432" s="74"/>
      <c r="AH1432" s="74"/>
      <c r="AI1432" s="74"/>
    </row>
    <row r="1433" ht="22.5" customHeight="1">
      <c r="A1433" s="614">
        <v>45910.0</v>
      </c>
      <c r="B1433" s="137" t="s">
        <v>2218</v>
      </c>
      <c r="C1433" s="609"/>
      <c r="D1433" s="610">
        <v>1278000.0</v>
      </c>
      <c r="E1433" s="604" t="s">
        <v>28</v>
      </c>
      <c r="F1433" s="607" t="s">
        <v>1099</v>
      </c>
      <c r="G1433" s="597">
        <v>20.0</v>
      </c>
      <c r="H1433" s="689">
        <f t="shared" si="84"/>
        <v>213000</v>
      </c>
      <c r="I1433" s="605"/>
      <c r="J1433" s="599"/>
      <c r="K1433" s="615" t="s">
        <v>48</v>
      </c>
      <c r="L1433" s="611"/>
      <c r="M1433" s="621"/>
      <c r="N1433" s="621"/>
      <c r="O1433" s="621"/>
      <c r="P1433" s="602"/>
      <c r="Q1433" s="622"/>
      <c r="R1433" s="74"/>
      <c r="S1433" s="74"/>
      <c r="T1433" s="74"/>
      <c r="U1433" s="74"/>
      <c r="V1433" s="74"/>
      <c r="W1433" s="74"/>
      <c r="X1433" s="74"/>
      <c r="Y1433" s="74"/>
      <c r="Z1433" s="74"/>
      <c r="AA1433" s="74"/>
      <c r="AB1433" s="74"/>
      <c r="AC1433" s="74"/>
      <c r="AD1433" s="74"/>
      <c r="AE1433" s="74"/>
      <c r="AF1433" s="74"/>
      <c r="AG1433" s="74"/>
      <c r="AH1433" s="74"/>
      <c r="AI1433" s="74"/>
    </row>
    <row r="1434" ht="22.5" customHeight="1">
      <c r="A1434" s="614">
        <v>45910.0</v>
      </c>
      <c r="B1434" s="137" t="s">
        <v>2218</v>
      </c>
      <c r="C1434" s="609"/>
      <c r="D1434" s="609"/>
      <c r="E1434" s="604" t="s">
        <v>33</v>
      </c>
      <c r="F1434" s="607" t="s">
        <v>1099</v>
      </c>
      <c r="G1434" s="597">
        <v>0.0</v>
      </c>
      <c r="H1434" s="689">
        <f t="shared" si="84"/>
        <v>0</v>
      </c>
      <c r="I1434" s="605">
        <v>600000.0</v>
      </c>
      <c r="J1434" s="605"/>
      <c r="K1434" s="615" t="s">
        <v>48</v>
      </c>
      <c r="L1434" s="615"/>
      <c r="M1434" s="621"/>
      <c r="N1434" s="621"/>
      <c r="O1434" s="621"/>
      <c r="P1434" s="602"/>
      <c r="Q1434" s="622"/>
      <c r="R1434" s="74"/>
      <c r="S1434" s="74"/>
      <c r="T1434" s="74"/>
      <c r="U1434" s="74"/>
      <c r="V1434" s="74"/>
      <c r="W1434" s="74"/>
      <c r="X1434" s="74"/>
      <c r="Y1434" s="74"/>
      <c r="Z1434" s="74"/>
      <c r="AA1434" s="74"/>
      <c r="AB1434" s="74"/>
      <c r="AC1434" s="74"/>
      <c r="AD1434" s="74"/>
      <c r="AE1434" s="74"/>
      <c r="AF1434" s="74"/>
      <c r="AG1434" s="74"/>
      <c r="AH1434" s="74"/>
      <c r="AI1434" s="74"/>
    </row>
    <row r="1435" ht="22.5" customHeight="1">
      <c r="A1435" s="614">
        <v>45910.0</v>
      </c>
      <c r="B1435" s="137" t="s">
        <v>2218</v>
      </c>
      <c r="C1435" s="609"/>
      <c r="D1435" s="609"/>
      <c r="E1435" s="604" t="s">
        <v>33</v>
      </c>
      <c r="F1435" s="607" t="s">
        <v>1002</v>
      </c>
      <c r="G1435" s="597">
        <v>0.0</v>
      </c>
      <c r="H1435" s="689">
        <f t="shared" si="84"/>
        <v>0</v>
      </c>
      <c r="I1435" s="599"/>
      <c r="J1435" s="605">
        <v>30000.0</v>
      </c>
      <c r="K1435" s="615" t="s">
        <v>591</v>
      </c>
      <c r="L1435" s="615" t="s">
        <v>1136</v>
      </c>
      <c r="M1435" s="621"/>
      <c r="N1435" s="621"/>
      <c r="O1435" s="621"/>
      <c r="P1435" s="602"/>
      <c r="Q1435" s="622"/>
      <c r="R1435" s="74"/>
      <c r="S1435" s="74"/>
      <c r="T1435" s="74"/>
      <c r="U1435" s="74"/>
      <c r="V1435" s="74"/>
      <c r="W1435" s="74"/>
      <c r="X1435" s="74"/>
      <c r="Y1435" s="74"/>
      <c r="Z1435" s="74"/>
      <c r="AA1435" s="74"/>
      <c r="AB1435" s="74"/>
      <c r="AC1435" s="74"/>
      <c r="AD1435" s="74"/>
      <c r="AE1435" s="74"/>
      <c r="AF1435" s="74"/>
      <c r="AG1435" s="74"/>
      <c r="AH1435" s="74"/>
      <c r="AI1435" s="74"/>
    </row>
    <row r="1436" ht="22.5" customHeight="1">
      <c r="A1436" s="614">
        <v>45910.0</v>
      </c>
      <c r="B1436" s="137" t="s">
        <v>2218</v>
      </c>
      <c r="C1436" s="609"/>
      <c r="D1436" s="609"/>
      <c r="E1436" s="604" t="s">
        <v>33</v>
      </c>
      <c r="F1436" s="607" t="s">
        <v>1002</v>
      </c>
      <c r="G1436" s="597">
        <v>0.0</v>
      </c>
      <c r="H1436" s="689">
        <f t="shared" si="84"/>
        <v>0</v>
      </c>
      <c r="I1436" s="599"/>
      <c r="J1436" s="605">
        <v>150000.0</v>
      </c>
      <c r="K1436" s="615" t="s">
        <v>591</v>
      </c>
      <c r="L1436" s="615" t="s">
        <v>1137</v>
      </c>
      <c r="M1436" s="621"/>
      <c r="N1436" s="621"/>
      <c r="O1436" s="621"/>
      <c r="P1436" s="602"/>
      <c r="Q1436" s="622"/>
      <c r="R1436" s="74"/>
      <c r="S1436" s="74"/>
      <c r="T1436" s="74"/>
      <c r="U1436" s="74"/>
      <c r="V1436" s="74"/>
      <c r="W1436" s="74"/>
      <c r="X1436" s="74"/>
      <c r="Y1436" s="74"/>
      <c r="Z1436" s="74"/>
      <c r="AA1436" s="74"/>
      <c r="AB1436" s="74"/>
      <c r="AC1436" s="74"/>
      <c r="AD1436" s="74"/>
      <c r="AE1436" s="74"/>
      <c r="AF1436" s="74"/>
      <c r="AG1436" s="74"/>
      <c r="AH1436" s="74"/>
      <c r="AI1436" s="74"/>
    </row>
    <row r="1437" ht="22.5" customHeight="1">
      <c r="A1437" s="614">
        <v>45910.0</v>
      </c>
      <c r="B1437" s="137" t="s">
        <v>2218</v>
      </c>
      <c r="C1437" s="609"/>
      <c r="D1437" s="610">
        <v>30000.0</v>
      </c>
      <c r="E1437" s="604" t="s">
        <v>28</v>
      </c>
      <c r="F1437" s="607" t="s">
        <v>1099</v>
      </c>
      <c r="G1437" s="597">
        <v>20.0</v>
      </c>
      <c r="H1437" s="689">
        <f t="shared" si="84"/>
        <v>5000</v>
      </c>
      <c r="I1437" s="599"/>
      <c r="J1437" s="599"/>
      <c r="K1437" s="615" t="s">
        <v>2237</v>
      </c>
      <c r="L1437" s="616" t="s">
        <v>942</v>
      </c>
      <c r="M1437" s="621"/>
      <c r="N1437" s="621"/>
      <c r="O1437" s="621"/>
      <c r="P1437" s="602"/>
      <c r="Q1437" s="613" t="s">
        <v>943</v>
      </c>
      <c r="R1437" s="74"/>
      <c r="S1437" s="74"/>
      <c r="T1437" s="74"/>
      <c r="U1437" s="74"/>
      <c r="V1437" s="74"/>
      <c r="W1437" s="74"/>
      <c r="X1437" s="74"/>
      <c r="Y1437" s="74"/>
      <c r="Z1437" s="74"/>
      <c r="AA1437" s="74"/>
      <c r="AB1437" s="74"/>
      <c r="AC1437" s="74"/>
      <c r="AD1437" s="74"/>
      <c r="AE1437" s="74"/>
      <c r="AF1437" s="74"/>
      <c r="AG1437" s="74"/>
      <c r="AH1437" s="74"/>
      <c r="AI1437" s="74"/>
    </row>
    <row r="1438" ht="22.5" customHeight="1">
      <c r="A1438" s="614">
        <v>45910.0</v>
      </c>
      <c r="B1438" s="137" t="s">
        <v>2218</v>
      </c>
      <c r="C1438" s="609"/>
      <c r="D1438" s="609">
        <f>867.74+43818.7+1156982.71</f>
        <v>1201669.15</v>
      </c>
      <c r="E1438" s="604" t="s">
        <v>28</v>
      </c>
      <c r="F1438" s="607" t="s">
        <v>203</v>
      </c>
      <c r="G1438" s="597">
        <v>0.0</v>
      </c>
      <c r="H1438" s="689">
        <f t="shared" si="84"/>
        <v>0</v>
      </c>
      <c r="I1438" s="599"/>
      <c r="J1438" s="599"/>
      <c r="K1438" s="615" t="s">
        <v>203</v>
      </c>
      <c r="L1438" s="615" t="s">
        <v>1138</v>
      </c>
      <c r="M1438" s="621"/>
      <c r="N1438" s="621"/>
      <c r="O1438" s="621"/>
      <c r="P1438" s="602"/>
      <c r="Q1438" s="622"/>
      <c r="R1438" s="74"/>
      <c r="S1438" s="74"/>
      <c r="T1438" s="74"/>
      <c r="U1438" s="74"/>
      <c r="V1438" s="74"/>
      <c r="W1438" s="74"/>
      <c r="X1438" s="74"/>
      <c r="Y1438" s="74"/>
      <c r="Z1438" s="74"/>
      <c r="AA1438" s="74"/>
      <c r="AB1438" s="74"/>
      <c r="AC1438" s="74"/>
      <c r="AD1438" s="74"/>
      <c r="AE1438" s="74"/>
      <c r="AF1438" s="74"/>
      <c r="AG1438" s="74"/>
      <c r="AH1438" s="74"/>
      <c r="AI1438" s="74"/>
    </row>
    <row r="1439" ht="22.5" customHeight="1">
      <c r="A1439" s="614">
        <v>45910.0</v>
      </c>
      <c r="B1439" s="157" t="s">
        <v>2218</v>
      </c>
      <c r="C1439" s="610">
        <v>103200.0</v>
      </c>
      <c r="D1439" s="609"/>
      <c r="E1439" s="604" t="s">
        <v>28</v>
      </c>
      <c r="F1439" s="627" t="s">
        <v>897</v>
      </c>
      <c r="G1439" s="597">
        <v>20.0</v>
      </c>
      <c r="H1439" s="689">
        <f t="shared" si="84"/>
        <v>17200</v>
      </c>
      <c r="I1439" s="599"/>
      <c r="J1439" s="599"/>
      <c r="K1439" s="615" t="s">
        <v>51</v>
      </c>
      <c r="L1439" s="616" t="s">
        <v>1139</v>
      </c>
      <c r="M1439" s="621"/>
      <c r="N1439" s="612">
        <v>246.0</v>
      </c>
      <c r="O1439" s="662">
        <v>45842.0</v>
      </c>
      <c r="P1439" s="602"/>
      <c r="Q1439" s="622"/>
      <c r="R1439" s="74"/>
      <c r="S1439" s="74"/>
      <c r="T1439" s="74"/>
      <c r="U1439" s="74"/>
      <c r="V1439" s="74"/>
      <c r="W1439" s="74"/>
      <c r="X1439" s="74"/>
      <c r="Y1439" s="74"/>
      <c r="Z1439" s="74"/>
      <c r="AA1439" s="74"/>
      <c r="AB1439" s="74"/>
      <c r="AC1439" s="74"/>
      <c r="AD1439" s="74"/>
      <c r="AE1439" s="74"/>
      <c r="AF1439" s="74"/>
      <c r="AG1439" s="74"/>
      <c r="AH1439" s="74"/>
      <c r="AI1439" s="74"/>
    </row>
    <row r="1440" ht="22.5" customHeight="1">
      <c r="A1440" s="614">
        <v>45912.0</v>
      </c>
      <c r="B1440" s="137" t="s">
        <v>2218</v>
      </c>
      <c r="C1440" s="609"/>
      <c r="D1440" s="609"/>
      <c r="E1440" s="604" t="s">
        <v>33</v>
      </c>
      <c r="F1440" s="607" t="s">
        <v>203</v>
      </c>
      <c r="G1440" s="597">
        <v>0.0</v>
      </c>
      <c r="H1440" s="689">
        <f t="shared" si="84"/>
        <v>0</v>
      </c>
      <c r="I1440" s="599"/>
      <c r="J1440" s="605">
        <v>50000.0</v>
      </c>
      <c r="K1440" s="615" t="s">
        <v>591</v>
      </c>
      <c r="L1440" s="615" t="s">
        <v>1140</v>
      </c>
      <c r="M1440" s="621"/>
      <c r="N1440" s="621"/>
      <c r="O1440" s="621"/>
      <c r="P1440" s="602"/>
      <c r="Q1440" s="622"/>
      <c r="R1440" s="74"/>
      <c r="S1440" s="74"/>
      <c r="T1440" s="74"/>
      <c r="U1440" s="74"/>
      <c r="V1440" s="74"/>
      <c r="W1440" s="74"/>
      <c r="X1440" s="74"/>
      <c r="Y1440" s="74"/>
      <c r="Z1440" s="74"/>
      <c r="AA1440" s="74"/>
      <c r="AB1440" s="74"/>
      <c r="AC1440" s="74"/>
      <c r="AD1440" s="74"/>
      <c r="AE1440" s="74"/>
      <c r="AF1440" s="74"/>
      <c r="AG1440" s="74"/>
      <c r="AH1440" s="74"/>
      <c r="AI1440" s="74"/>
    </row>
    <row r="1441" ht="22.5" customHeight="1">
      <c r="A1441" s="614">
        <v>45912.0</v>
      </c>
      <c r="B1441" s="137" t="s">
        <v>2218</v>
      </c>
      <c r="C1441" s="609"/>
      <c r="D1441" s="609"/>
      <c r="E1441" s="604" t="s">
        <v>33</v>
      </c>
      <c r="F1441" s="607" t="s">
        <v>203</v>
      </c>
      <c r="G1441" s="597">
        <v>0.0</v>
      </c>
      <c r="H1441" s="689">
        <f t="shared" si="84"/>
        <v>0</v>
      </c>
      <c r="I1441" s="599"/>
      <c r="J1441" s="605">
        <v>30000.0</v>
      </c>
      <c r="K1441" s="615" t="s">
        <v>591</v>
      </c>
      <c r="L1441" s="615" t="s">
        <v>1141</v>
      </c>
      <c r="M1441" s="621"/>
      <c r="N1441" s="621"/>
      <c r="O1441" s="621"/>
      <c r="P1441" s="602"/>
      <c r="Q1441" s="622"/>
      <c r="R1441" s="74"/>
      <c r="S1441" s="74"/>
      <c r="T1441" s="74"/>
      <c r="U1441" s="74"/>
      <c r="V1441" s="74"/>
      <c r="W1441" s="74"/>
      <c r="X1441" s="74"/>
      <c r="Y1441" s="74"/>
      <c r="Z1441" s="74"/>
      <c r="AA1441" s="74"/>
      <c r="AB1441" s="74"/>
      <c r="AC1441" s="74"/>
      <c r="AD1441" s="74"/>
      <c r="AE1441" s="74"/>
      <c r="AF1441" s="74"/>
      <c r="AG1441" s="74"/>
      <c r="AH1441" s="74"/>
      <c r="AI1441" s="74"/>
    </row>
    <row r="1442" ht="22.5" customHeight="1">
      <c r="A1442" s="614">
        <v>45912.0</v>
      </c>
      <c r="B1442" s="137" t="s">
        <v>2218</v>
      </c>
      <c r="C1442" s="609"/>
      <c r="D1442" s="609"/>
      <c r="E1442" s="604" t="s">
        <v>33</v>
      </c>
      <c r="F1442" s="607" t="s">
        <v>203</v>
      </c>
      <c r="G1442" s="597">
        <v>0.0</v>
      </c>
      <c r="H1442" s="689">
        <f t="shared" si="84"/>
        <v>0</v>
      </c>
      <c r="I1442" s="599"/>
      <c r="J1442" s="605">
        <v>15000.0</v>
      </c>
      <c r="K1442" s="615" t="s">
        <v>591</v>
      </c>
      <c r="L1442" s="615" t="s">
        <v>1142</v>
      </c>
      <c r="M1442" s="621"/>
      <c r="N1442" s="621"/>
      <c r="O1442" s="621"/>
      <c r="P1442" s="602"/>
      <c r="Q1442" s="622"/>
      <c r="R1442" s="74"/>
      <c r="S1442" s="74"/>
      <c r="T1442" s="74"/>
      <c r="U1442" s="74"/>
      <c r="V1442" s="74"/>
      <c r="W1442" s="74"/>
      <c r="X1442" s="74"/>
      <c r="Y1442" s="74"/>
      <c r="Z1442" s="74"/>
      <c r="AA1442" s="74"/>
      <c r="AB1442" s="74"/>
      <c r="AC1442" s="74"/>
      <c r="AD1442" s="74"/>
      <c r="AE1442" s="74"/>
      <c r="AF1442" s="74"/>
      <c r="AG1442" s="74"/>
      <c r="AH1442" s="74"/>
      <c r="AI1442" s="74"/>
    </row>
    <row r="1443" ht="22.5" customHeight="1">
      <c r="A1443" s="614">
        <v>45912.0</v>
      </c>
      <c r="B1443" s="137" t="s">
        <v>2218</v>
      </c>
      <c r="C1443" s="609"/>
      <c r="D1443" s="610">
        <v>30000.0</v>
      </c>
      <c r="E1443" s="604" t="s">
        <v>33</v>
      </c>
      <c r="F1443" s="607" t="s">
        <v>203</v>
      </c>
      <c r="G1443" s="597">
        <v>0.0</v>
      </c>
      <c r="H1443" s="689">
        <f t="shared" si="84"/>
        <v>0</v>
      </c>
      <c r="I1443" s="599"/>
      <c r="J1443" s="599"/>
      <c r="K1443" s="615" t="s">
        <v>591</v>
      </c>
      <c r="L1443" s="615" t="s">
        <v>1143</v>
      </c>
      <c r="M1443" s="621"/>
      <c r="N1443" s="621"/>
      <c r="O1443" s="621"/>
      <c r="P1443" s="602"/>
      <c r="Q1443" s="622"/>
      <c r="R1443" s="74"/>
      <c r="S1443" s="74"/>
      <c r="T1443" s="74"/>
      <c r="U1443" s="74"/>
      <c r="V1443" s="74"/>
      <c r="W1443" s="74"/>
      <c r="X1443" s="74"/>
      <c r="Y1443" s="74"/>
      <c r="Z1443" s="74"/>
      <c r="AA1443" s="74"/>
      <c r="AB1443" s="74"/>
      <c r="AC1443" s="74"/>
      <c r="AD1443" s="74"/>
      <c r="AE1443" s="74"/>
      <c r="AF1443" s="74"/>
      <c r="AG1443" s="74"/>
      <c r="AH1443" s="74"/>
      <c r="AI1443" s="74"/>
    </row>
    <row r="1444" ht="22.5" customHeight="1">
      <c r="A1444" s="614">
        <v>45912.0</v>
      </c>
      <c r="B1444" s="137" t="s">
        <v>2218</v>
      </c>
      <c r="C1444" s="609"/>
      <c r="D1444" s="610">
        <v>100768.06</v>
      </c>
      <c r="E1444" s="604" t="s">
        <v>28</v>
      </c>
      <c r="F1444" s="607" t="s">
        <v>1002</v>
      </c>
      <c r="G1444" s="597">
        <v>20.0</v>
      </c>
      <c r="H1444" s="689">
        <f t="shared" si="84"/>
        <v>16794.67667</v>
      </c>
      <c r="I1444" s="599"/>
      <c r="J1444" s="599"/>
      <c r="K1444" s="615" t="s">
        <v>30</v>
      </c>
      <c r="L1444" s="615" t="s">
        <v>2253</v>
      </c>
      <c r="M1444" s="621"/>
      <c r="N1444" s="621"/>
      <c r="O1444" s="621"/>
      <c r="P1444" s="602"/>
      <c r="Q1444" s="622"/>
      <c r="R1444" s="74"/>
      <c r="S1444" s="74"/>
      <c r="T1444" s="74"/>
      <c r="U1444" s="74"/>
      <c r="V1444" s="74"/>
      <c r="W1444" s="74"/>
      <c r="X1444" s="74"/>
      <c r="Y1444" s="74"/>
      <c r="Z1444" s="74"/>
      <c r="AA1444" s="74"/>
      <c r="AB1444" s="74"/>
      <c r="AC1444" s="74"/>
      <c r="AD1444" s="74"/>
      <c r="AE1444" s="74"/>
      <c r="AF1444" s="74"/>
      <c r="AG1444" s="74"/>
      <c r="AH1444" s="74"/>
      <c r="AI1444" s="74"/>
    </row>
    <row r="1445" ht="22.5" customHeight="1">
      <c r="A1445" s="614">
        <v>45912.0</v>
      </c>
      <c r="B1445" s="137" t="s">
        <v>2218</v>
      </c>
      <c r="C1445" s="609"/>
      <c r="D1445" s="610">
        <v>1221.0</v>
      </c>
      <c r="E1445" s="604" t="s">
        <v>28</v>
      </c>
      <c r="F1445" s="607" t="s">
        <v>1099</v>
      </c>
      <c r="G1445" s="597">
        <v>20.0</v>
      </c>
      <c r="H1445" s="689">
        <f t="shared" si="84"/>
        <v>203.5</v>
      </c>
      <c r="I1445" s="599"/>
      <c r="J1445" s="599"/>
      <c r="K1445" s="615" t="s">
        <v>30</v>
      </c>
      <c r="L1445" s="616" t="s">
        <v>500</v>
      </c>
      <c r="M1445" s="621"/>
      <c r="N1445" s="621"/>
      <c r="O1445" s="621"/>
      <c r="P1445" s="602"/>
      <c r="Q1445" s="622"/>
      <c r="R1445" s="74"/>
      <c r="S1445" s="74"/>
      <c r="T1445" s="74"/>
      <c r="U1445" s="74"/>
      <c r="V1445" s="74"/>
      <c r="W1445" s="74"/>
      <c r="X1445" s="74"/>
      <c r="Y1445" s="74"/>
      <c r="Z1445" s="74"/>
      <c r="AA1445" s="74"/>
      <c r="AB1445" s="74"/>
      <c r="AC1445" s="74"/>
      <c r="AD1445" s="74"/>
      <c r="AE1445" s="74"/>
      <c r="AF1445" s="74"/>
      <c r="AG1445" s="74"/>
      <c r="AH1445" s="74"/>
      <c r="AI1445" s="74"/>
    </row>
    <row r="1446" ht="22.5" customHeight="1">
      <c r="A1446" s="614">
        <v>45915.0</v>
      </c>
      <c r="B1446" s="139" t="s">
        <v>2218</v>
      </c>
      <c r="C1446" s="609"/>
      <c r="D1446" s="610">
        <v>569671.31</v>
      </c>
      <c r="E1446" s="703" t="s">
        <v>28</v>
      </c>
      <c r="F1446" s="627" t="s">
        <v>839</v>
      </c>
      <c r="G1446" s="597">
        <v>0.0</v>
      </c>
      <c r="H1446" s="689">
        <f t="shared" si="84"/>
        <v>0</v>
      </c>
      <c r="I1446" s="599"/>
      <c r="J1446" s="599"/>
      <c r="K1446" s="615" t="s">
        <v>322</v>
      </c>
      <c r="L1446" s="694" t="s">
        <v>317</v>
      </c>
      <c r="M1446" s="621"/>
      <c r="N1446" s="621"/>
      <c r="O1446" s="621"/>
      <c r="P1446" s="602"/>
      <c r="Q1446" s="682" t="s">
        <v>1144</v>
      </c>
      <c r="R1446" s="74"/>
      <c r="S1446" s="74"/>
      <c r="T1446" s="74"/>
      <c r="U1446" s="74"/>
      <c r="V1446" s="74"/>
      <c r="W1446" s="74"/>
      <c r="X1446" s="74"/>
      <c r="Y1446" s="74"/>
      <c r="Z1446" s="74"/>
      <c r="AA1446" s="74"/>
      <c r="AB1446" s="74"/>
      <c r="AC1446" s="74"/>
      <c r="AD1446" s="74"/>
      <c r="AE1446" s="74"/>
      <c r="AF1446" s="74"/>
      <c r="AG1446" s="74"/>
      <c r="AH1446" s="74"/>
      <c r="AI1446" s="74"/>
    </row>
    <row r="1447" ht="22.5" customHeight="1">
      <c r="A1447" s="614">
        <v>45915.0</v>
      </c>
      <c r="B1447" s="139" t="s">
        <v>2218</v>
      </c>
      <c r="C1447" s="609"/>
      <c r="D1447" s="610">
        <v>124560.0</v>
      </c>
      <c r="E1447" s="604" t="s">
        <v>28</v>
      </c>
      <c r="F1447" s="627" t="s">
        <v>951</v>
      </c>
      <c r="G1447" s="597">
        <v>0.0</v>
      </c>
      <c r="H1447" s="689">
        <f t="shared" si="84"/>
        <v>0</v>
      </c>
      <c r="I1447" s="599"/>
      <c r="J1447" s="599"/>
      <c r="K1447" s="615" t="s">
        <v>322</v>
      </c>
      <c r="L1447" s="704" t="s">
        <v>157</v>
      </c>
      <c r="M1447" s="621"/>
      <c r="N1447" s="621"/>
      <c r="O1447" s="621"/>
      <c r="P1447" s="602"/>
      <c r="Q1447" s="682" t="s">
        <v>1145</v>
      </c>
      <c r="R1447" s="74"/>
      <c r="S1447" s="74"/>
      <c r="T1447" s="74"/>
      <c r="U1447" s="74"/>
      <c r="V1447" s="74"/>
      <c r="W1447" s="74"/>
      <c r="X1447" s="74"/>
      <c r="Y1447" s="74"/>
      <c r="Z1447" s="74"/>
      <c r="AA1447" s="74"/>
      <c r="AB1447" s="74"/>
      <c r="AC1447" s="74"/>
      <c r="AD1447" s="74"/>
      <c r="AE1447" s="74"/>
      <c r="AF1447" s="74"/>
      <c r="AG1447" s="74"/>
      <c r="AH1447" s="74"/>
      <c r="AI1447" s="74"/>
    </row>
    <row r="1448" ht="22.5" customHeight="1">
      <c r="A1448" s="614">
        <v>45915.0</v>
      </c>
      <c r="B1448" s="139" t="s">
        <v>2218</v>
      </c>
      <c r="C1448" s="609"/>
      <c r="D1448" s="610">
        <v>217543.6</v>
      </c>
      <c r="E1448" s="604" t="s">
        <v>28</v>
      </c>
      <c r="F1448" s="627" t="s">
        <v>951</v>
      </c>
      <c r="G1448" s="597">
        <v>0.0</v>
      </c>
      <c r="H1448" s="689">
        <f t="shared" si="84"/>
        <v>0</v>
      </c>
      <c r="I1448" s="599"/>
      <c r="J1448" s="599"/>
      <c r="K1448" s="615" t="s">
        <v>322</v>
      </c>
      <c r="L1448" s="704" t="s">
        <v>2241</v>
      </c>
      <c r="M1448" s="621"/>
      <c r="N1448" s="621"/>
      <c r="O1448" s="621"/>
      <c r="P1448" s="602"/>
      <c r="Q1448" s="682" t="s">
        <v>1146</v>
      </c>
      <c r="R1448" s="74"/>
      <c r="S1448" s="74"/>
      <c r="T1448" s="74"/>
      <c r="U1448" s="74"/>
      <c r="V1448" s="74"/>
      <c r="W1448" s="74"/>
      <c r="X1448" s="74"/>
      <c r="Y1448" s="74"/>
      <c r="Z1448" s="74"/>
      <c r="AA1448" s="74"/>
      <c r="AB1448" s="74"/>
      <c r="AC1448" s="74"/>
      <c r="AD1448" s="74"/>
      <c r="AE1448" s="74"/>
      <c r="AF1448" s="74"/>
      <c r="AG1448" s="74"/>
      <c r="AH1448" s="74"/>
      <c r="AI1448" s="74"/>
    </row>
    <row r="1449" ht="22.5" customHeight="1">
      <c r="A1449" s="614">
        <v>45915.0</v>
      </c>
      <c r="B1449" s="139" t="s">
        <v>2218</v>
      </c>
      <c r="C1449" s="609"/>
      <c r="D1449" s="610">
        <v>320000.0</v>
      </c>
      <c r="E1449" s="604" t="s">
        <v>28</v>
      </c>
      <c r="F1449" s="627" t="s">
        <v>951</v>
      </c>
      <c r="G1449" s="597">
        <v>0.0</v>
      </c>
      <c r="H1449" s="689">
        <f t="shared" si="84"/>
        <v>0</v>
      </c>
      <c r="I1449" s="599"/>
      <c r="J1449" s="599"/>
      <c r="K1449" s="615" t="s">
        <v>322</v>
      </c>
      <c r="L1449" s="694" t="s">
        <v>624</v>
      </c>
      <c r="M1449" s="621"/>
      <c r="N1449" s="621"/>
      <c r="O1449" s="621"/>
      <c r="P1449" s="602"/>
      <c r="Q1449" s="682" t="s">
        <v>1147</v>
      </c>
      <c r="R1449" s="74"/>
      <c r="S1449" s="74"/>
      <c r="T1449" s="74"/>
      <c r="U1449" s="74"/>
      <c r="V1449" s="74"/>
      <c r="W1449" s="74"/>
      <c r="X1449" s="74"/>
      <c r="Y1449" s="74"/>
      <c r="Z1449" s="74"/>
      <c r="AA1449" s="74"/>
      <c r="AB1449" s="74"/>
      <c r="AC1449" s="74"/>
      <c r="AD1449" s="74"/>
      <c r="AE1449" s="74"/>
      <c r="AF1449" s="74"/>
      <c r="AG1449" s="74"/>
      <c r="AH1449" s="74"/>
      <c r="AI1449" s="74"/>
    </row>
    <row r="1450" ht="22.5" customHeight="1">
      <c r="A1450" s="614">
        <v>45915.0</v>
      </c>
      <c r="B1450" s="137" t="s">
        <v>2218</v>
      </c>
      <c r="C1450" s="609"/>
      <c r="D1450" s="610">
        <f>8703.97+59.46</f>
        <v>8763.43</v>
      </c>
      <c r="E1450" s="604" t="s">
        <v>28</v>
      </c>
      <c r="F1450" s="607" t="s">
        <v>1099</v>
      </c>
      <c r="G1450" s="664"/>
      <c r="H1450" s="689">
        <f t="shared" si="84"/>
        <v>0</v>
      </c>
      <c r="I1450" s="599"/>
      <c r="J1450" s="599"/>
      <c r="K1450" s="615" t="s">
        <v>236</v>
      </c>
      <c r="L1450" s="615" t="s">
        <v>309</v>
      </c>
      <c r="M1450" s="621"/>
      <c r="N1450" s="621"/>
      <c r="O1450" s="621"/>
      <c r="P1450" s="602"/>
      <c r="Q1450" s="622"/>
      <c r="R1450" s="74"/>
      <c r="S1450" s="74"/>
      <c r="T1450" s="74"/>
      <c r="U1450" s="74"/>
      <c r="V1450" s="74"/>
      <c r="W1450" s="74"/>
      <c r="X1450" s="74"/>
      <c r="Y1450" s="74"/>
      <c r="Z1450" s="74"/>
      <c r="AA1450" s="74"/>
      <c r="AB1450" s="74"/>
      <c r="AC1450" s="74"/>
      <c r="AD1450" s="74"/>
      <c r="AE1450" s="74"/>
      <c r="AF1450" s="74"/>
      <c r="AG1450" s="74"/>
      <c r="AH1450" s="74"/>
      <c r="AI1450" s="74"/>
    </row>
    <row r="1451" ht="22.5" customHeight="1">
      <c r="A1451" s="614">
        <v>45916.0</v>
      </c>
      <c r="B1451" s="137" t="s">
        <v>2218</v>
      </c>
      <c r="C1451" s="609"/>
      <c r="D1451" s="609"/>
      <c r="E1451" s="604" t="s">
        <v>33</v>
      </c>
      <c r="F1451" s="607" t="s">
        <v>203</v>
      </c>
      <c r="G1451" s="597">
        <v>0.0</v>
      </c>
      <c r="H1451" s="689">
        <f t="shared" si="84"/>
        <v>0</v>
      </c>
      <c r="I1451" s="599"/>
      <c r="J1451" s="605">
        <v>20000.0</v>
      </c>
      <c r="K1451" s="615" t="s">
        <v>591</v>
      </c>
      <c r="L1451" s="615" t="s">
        <v>1148</v>
      </c>
      <c r="M1451" s="621"/>
      <c r="N1451" s="621"/>
      <c r="O1451" s="621"/>
      <c r="P1451" s="602"/>
      <c r="Q1451" s="622"/>
      <c r="R1451" s="74"/>
      <c r="S1451" s="74"/>
      <c r="T1451" s="74"/>
      <c r="U1451" s="74"/>
      <c r="V1451" s="74"/>
      <c r="W1451" s="74"/>
      <c r="X1451" s="74"/>
      <c r="Y1451" s="74"/>
      <c r="Z1451" s="74"/>
      <c r="AA1451" s="74"/>
      <c r="AB1451" s="74"/>
      <c r="AC1451" s="74"/>
      <c r="AD1451" s="74"/>
      <c r="AE1451" s="74"/>
      <c r="AF1451" s="74"/>
      <c r="AG1451" s="74"/>
      <c r="AH1451" s="74"/>
      <c r="AI1451" s="74"/>
    </row>
    <row r="1452" ht="22.5" customHeight="1">
      <c r="A1452" s="614">
        <v>45916.0</v>
      </c>
      <c r="B1452" s="137" t="s">
        <v>2218</v>
      </c>
      <c r="C1452" s="609"/>
      <c r="D1452" s="609"/>
      <c r="E1452" s="604" t="s">
        <v>33</v>
      </c>
      <c r="F1452" s="607" t="s">
        <v>203</v>
      </c>
      <c r="G1452" s="597">
        <v>0.0</v>
      </c>
      <c r="H1452" s="689">
        <f t="shared" si="84"/>
        <v>0</v>
      </c>
      <c r="I1452" s="599"/>
      <c r="J1452" s="605">
        <v>30000.0</v>
      </c>
      <c r="K1452" s="615" t="s">
        <v>591</v>
      </c>
      <c r="L1452" s="615" t="s">
        <v>1149</v>
      </c>
      <c r="M1452" s="621"/>
      <c r="N1452" s="621"/>
      <c r="O1452" s="621"/>
      <c r="P1452" s="602"/>
      <c r="Q1452" s="622"/>
      <c r="R1452" s="74"/>
      <c r="S1452" s="74"/>
      <c r="T1452" s="74"/>
      <c r="U1452" s="74"/>
      <c r="V1452" s="74"/>
      <c r="W1452" s="74"/>
      <c r="X1452" s="74"/>
      <c r="Y1452" s="74"/>
      <c r="Z1452" s="74"/>
      <c r="AA1452" s="74"/>
      <c r="AB1452" s="74"/>
      <c r="AC1452" s="74"/>
      <c r="AD1452" s="74"/>
      <c r="AE1452" s="74"/>
      <c r="AF1452" s="74"/>
      <c r="AG1452" s="74"/>
      <c r="AH1452" s="74"/>
      <c r="AI1452" s="74"/>
    </row>
    <row r="1453" ht="22.5" customHeight="1">
      <c r="A1453" s="614">
        <v>45916.0</v>
      </c>
      <c r="B1453" s="137" t="s">
        <v>2218</v>
      </c>
      <c r="C1453" s="609"/>
      <c r="D1453" s="609"/>
      <c r="E1453" s="604" t="s">
        <v>33</v>
      </c>
      <c r="F1453" s="627" t="s">
        <v>722</v>
      </c>
      <c r="G1453" s="597">
        <v>0.0</v>
      </c>
      <c r="H1453" s="689">
        <f t="shared" si="84"/>
        <v>0</v>
      </c>
      <c r="I1453" s="599"/>
      <c r="J1453" s="605">
        <v>40000.0</v>
      </c>
      <c r="K1453" s="615" t="s">
        <v>2240</v>
      </c>
      <c r="L1453" s="615" t="s">
        <v>1150</v>
      </c>
      <c r="M1453" s="621"/>
      <c r="N1453" s="621"/>
      <c r="O1453" s="621"/>
      <c r="P1453" s="602"/>
      <c r="Q1453" s="622"/>
      <c r="R1453" s="74"/>
      <c r="S1453" s="74"/>
      <c r="T1453" s="74"/>
      <c r="U1453" s="74"/>
      <c r="V1453" s="74"/>
      <c r="W1453" s="74"/>
      <c r="X1453" s="74"/>
      <c r="Y1453" s="74"/>
      <c r="Z1453" s="74"/>
      <c r="AA1453" s="74"/>
      <c r="AB1453" s="74"/>
      <c r="AC1453" s="74"/>
      <c r="AD1453" s="74"/>
      <c r="AE1453" s="74"/>
      <c r="AF1453" s="74"/>
      <c r="AG1453" s="74"/>
      <c r="AH1453" s="74"/>
      <c r="AI1453" s="74"/>
    </row>
    <row r="1454" ht="22.5" customHeight="1">
      <c r="A1454" s="614">
        <v>45916.0</v>
      </c>
      <c r="B1454" s="137" t="s">
        <v>2218</v>
      </c>
      <c r="C1454" s="609"/>
      <c r="D1454" s="609"/>
      <c r="E1454" s="604" t="s">
        <v>33</v>
      </c>
      <c r="F1454" s="607" t="s">
        <v>203</v>
      </c>
      <c r="G1454" s="597">
        <v>0.0</v>
      </c>
      <c r="H1454" s="689">
        <f t="shared" si="84"/>
        <v>0</v>
      </c>
      <c r="I1454" s="599"/>
      <c r="J1454" s="605">
        <v>50000.0</v>
      </c>
      <c r="K1454" s="615" t="s">
        <v>591</v>
      </c>
      <c r="L1454" s="615" t="s">
        <v>1151</v>
      </c>
      <c r="M1454" s="621"/>
      <c r="N1454" s="621"/>
      <c r="O1454" s="621"/>
      <c r="P1454" s="602"/>
      <c r="Q1454" s="622"/>
      <c r="R1454" s="74"/>
      <c r="S1454" s="74"/>
      <c r="T1454" s="74"/>
      <c r="U1454" s="74"/>
      <c r="V1454" s="74"/>
      <c r="W1454" s="74"/>
      <c r="X1454" s="74"/>
      <c r="Y1454" s="74"/>
      <c r="Z1454" s="74"/>
      <c r="AA1454" s="74"/>
      <c r="AB1454" s="74"/>
      <c r="AC1454" s="74"/>
      <c r="AD1454" s="74"/>
      <c r="AE1454" s="74"/>
      <c r="AF1454" s="74"/>
      <c r="AG1454" s="74"/>
      <c r="AH1454" s="74"/>
      <c r="AI1454" s="74"/>
    </row>
    <row r="1455" ht="22.5" customHeight="1">
      <c r="A1455" s="614">
        <v>45916.0</v>
      </c>
      <c r="B1455" s="137" t="s">
        <v>2218</v>
      </c>
      <c r="C1455" s="609"/>
      <c r="D1455" s="609"/>
      <c r="E1455" s="604" t="s">
        <v>33</v>
      </c>
      <c r="F1455" s="607" t="s">
        <v>203</v>
      </c>
      <c r="G1455" s="597">
        <v>0.0</v>
      </c>
      <c r="H1455" s="689">
        <f t="shared" si="84"/>
        <v>0</v>
      </c>
      <c r="I1455" s="599"/>
      <c r="J1455" s="605">
        <v>20000.0</v>
      </c>
      <c r="K1455" s="615" t="s">
        <v>591</v>
      </c>
      <c r="L1455" s="615" t="s">
        <v>1152</v>
      </c>
      <c r="M1455" s="621"/>
      <c r="N1455" s="621"/>
      <c r="O1455" s="621"/>
      <c r="P1455" s="602"/>
      <c r="Q1455" s="622"/>
      <c r="R1455" s="74"/>
      <c r="S1455" s="74"/>
      <c r="T1455" s="74"/>
      <c r="U1455" s="74"/>
      <c r="V1455" s="74"/>
      <c r="W1455" s="74"/>
      <c r="X1455" s="74"/>
      <c r="Y1455" s="74"/>
      <c r="Z1455" s="74"/>
      <c r="AA1455" s="74"/>
      <c r="AB1455" s="74"/>
      <c r="AC1455" s="74"/>
      <c r="AD1455" s="74"/>
      <c r="AE1455" s="74"/>
      <c r="AF1455" s="74"/>
      <c r="AG1455" s="74"/>
      <c r="AH1455" s="74"/>
      <c r="AI1455" s="74"/>
    </row>
    <row r="1456" ht="22.5" customHeight="1">
      <c r="A1456" s="614">
        <v>45916.0</v>
      </c>
      <c r="B1456" s="137" t="s">
        <v>2218</v>
      </c>
      <c r="C1456" s="609"/>
      <c r="D1456" s="609"/>
      <c r="E1456" s="604" t="s">
        <v>33</v>
      </c>
      <c r="F1456" s="607" t="s">
        <v>203</v>
      </c>
      <c r="G1456" s="597">
        <v>0.0</v>
      </c>
      <c r="H1456" s="689">
        <f t="shared" si="84"/>
        <v>0</v>
      </c>
      <c r="I1456" s="599"/>
      <c r="J1456" s="605">
        <v>150000.0</v>
      </c>
      <c r="K1456" s="615" t="s">
        <v>591</v>
      </c>
      <c r="L1456" s="615" t="s">
        <v>1153</v>
      </c>
      <c r="M1456" s="621"/>
      <c r="N1456" s="621"/>
      <c r="O1456" s="621"/>
      <c r="P1456" s="602"/>
      <c r="Q1456" s="622"/>
      <c r="R1456" s="74"/>
      <c r="S1456" s="74"/>
      <c r="T1456" s="74"/>
      <c r="U1456" s="74"/>
      <c r="V1456" s="74"/>
      <c r="W1456" s="74"/>
      <c r="X1456" s="74"/>
      <c r="Y1456" s="74"/>
      <c r="Z1456" s="74"/>
      <c r="AA1456" s="74"/>
      <c r="AB1456" s="74"/>
      <c r="AC1456" s="74"/>
      <c r="AD1456" s="74"/>
      <c r="AE1456" s="74"/>
      <c r="AF1456" s="74"/>
      <c r="AG1456" s="74"/>
      <c r="AH1456" s="74"/>
      <c r="AI1456" s="74"/>
    </row>
    <row r="1457" ht="22.5" customHeight="1">
      <c r="A1457" s="614">
        <v>45916.0</v>
      </c>
      <c r="B1457" s="139" t="s">
        <v>2218</v>
      </c>
      <c r="C1457" s="609"/>
      <c r="D1457" s="610">
        <v>7763.38</v>
      </c>
      <c r="E1457" s="604" t="s">
        <v>28</v>
      </c>
      <c r="F1457" s="607" t="s">
        <v>1099</v>
      </c>
      <c r="G1457" s="597">
        <v>20.0</v>
      </c>
      <c r="H1457" s="689">
        <f t="shared" si="84"/>
        <v>1293.896667</v>
      </c>
      <c r="I1457" s="599"/>
      <c r="J1457" s="599"/>
      <c r="K1457" s="615" t="s">
        <v>494</v>
      </c>
      <c r="L1457" s="616" t="s">
        <v>745</v>
      </c>
      <c r="M1457" s="621"/>
      <c r="N1457" s="621"/>
      <c r="O1457" s="621"/>
      <c r="P1457" s="602"/>
      <c r="Q1457" s="682" t="s">
        <v>1154</v>
      </c>
      <c r="R1457" s="74"/>
      <c r="S1457" s="74"/>
      <c r="T1457" s="74"/>
      <c r="U1457" s="74"/>
      <c r="V1457" s="74"/>
      <c r="W1457" s="74"/>
      <c r="X1457" s="74"/>
      <c r="Y1457" s="74"/>
      <c r="Z1457" s="74"/>
      <c r="AA1457" s="74"/>
      <c r="AB1457" s="74"/>
      <c r="AC1457" s="74"/>
      <c r="AD1457" s="74"/>
      <c r="AE1457" s="74"/>
      <c r="AF1457" s="74"/>
      <c r="AG1457" s="74"/>
      <c r="AH1457" s="74"/>
      <c r="AI1457" s="74"/>
    </row>
    <row r="1458" ht="22.5" customHeight="1">
      <c r="A1458" s="614">
        <v>45916.0</v>
      </c>
      <c r="B1458" s="139" t="s">
        <v>2218</v>
      </c>
      <c r="C1458" s="609"/>
      <c r="D1458" s="610">
        <v>20400.0</v>
      </c>
      <c r="E1458" s="604" t="s">
        <v>28</v>
      </c>
      <c r="F1458" s="607" t="s">
        <v>1099</v>
      </c>
      <c r="G1458" s="597">
        <v>20.0</v>
      </c>
      <c r="H1458" s="689">
        <f t="shared" si="84"/>
        <v>3400</v>
      </c>
      <c r="I1458" s="599"/>
      <c r="J1458" s="599"/>
      <c r="K1458" s="615" t="s">
        <v>494</v>
      </c>
      <c r="L1458" s="615" t="s">
        <v>910</v>
      </c>
      <c r="M1458" s="621"/>
      <c r="N1458" s="621"/>
      <c r="O1458" s="621"/>
      <c r="P1458" s="602"/>
      <c r="Q1458" s="682" t="s">
        <v>1155</v>
      </c>
      <c r="R1458" s="74"/>
      <c r="S1458" s="74"/>
      <c r="T1458" s="74"/>
      <c r="U1458" s="74"/>
      <c r="V1458" s="74"/>
      <c r="W1458" s="74"/>
      <c r="X1458" s="74"/>
      <c r="Y1458" s="74"/>
      <c r="Z1458" s="74"/>
      <c r="AA1458" s="74"/>
      <c r="AB1458" s="74"/>
      <c r="AC1458" s="74"/>
      <c r="AD1458" s="74"/>
      <c r="AE1458" s="74"/>
      <c r="AF1458" s="74"/>
      <c r="AG1458" s="74"/>
      <c r="AH1458" s="74"/>
      <c r="AI1458" s="74"/>
    </row>
    <row r="1459" ht="22.5" customHeight="1">
      <c r="A1459" s="614">
        <v>45916.0</v>
      </c>
      <c r="B1459" s="137" t="s">
        <v>2218</v>
      </c>
      <c r="C1459" s="609"/>
      <c r="D1459" s="610">
        <v>217200.0</v>
      </c>
      <c r="E1459" s="604" t="s">
        <v>28</v>
      </c>
      <c r="F1459" s="607" t="s">
        <v>494</v>
      </c>
      <c r="G1459" s="597">
        <v>0.0</v>
      </c>
      <c r="H1459" s="689">
        <f t="shared" si="84"/>
        <v>0</v>
      </c>
      <c r="I1459" s="599"/>
      <c r="J1459" s="599"/>
      <c r="K1459" s="615" t="s">
        <v>494</v>
      </c>
      <c r="L1459" s="615" t="s">
        <v>691</v>
      </c>
      <c r="M1459" s="621"/>
      <c r="N1459" s="621"/>
      <c r="O1459" s="621"/>
      <c r="P1459" s="602"/>
      <c r="Q1459" s="622"/>
      <c r="R1459" s="74"/>
      <c r="S1459" s="74"/>
      <c r="T1459" s="74"/>
      <c r="U1459" s="74"/>
      <c r="V1459" s="74"/>
      <c r="W1459" s="74"/>
      <c r="X1459" s="74"/>
      <c r="Y1459" s="74"/>
      <c r="Z1459" s="74"/>
      <c r="AA1459" s="74"/>
      <c r="AB1459" s="74"/>
      <c r="AC1459" s="74"/>
      <c r="AD1459" s="74"/>
      <c r="AE1459" s="74"/>
      <c r="AF1459" s="74"/>
      <c r="AG1459" s="74"/>
      <c r="AH1459" s="74"/>
      <c r="AI1459" s="74"/>
    </row>
    <row r="1460" ht="22.5" customHeight="1">
      <c r="A1460" s="614">
        <v>45916.0</v>
      </c>
      <c r="B1460" s="137" t="s">
        <v>2218</v>
      </c>
      <c r="C1460" s="609"/>
      <c r="D1460" s="610">
        <v>8674.0</v>
      </c>
      <c r="E1460" s="604" t="s">
        <v>28</v>
      </c>
      <c r="F1460" s="607" t="s">
        <v>1099</v>
      </c>
      <c r="G1460" s="597">
        <v>20.0</v>
      </c>
      <c r="H1460" s="689">
        <f t="shared" si="84"/>
        <v>1445.666667</v>
      </c>
      <c r="I1460" s="599"/>
      <c r="J1460" s="599"/>
      <c r="K1460" s="615" t="s">
        <v>2240</v>
      </c>
      <c r="L1460" s="615" t="s">
        <v>1156</v>
      </c>
      <c r="M1460" s="621"/>
      <c r="N1460" s="621"/>
      <c r="O1460" s="621"/>
      <c r="P1460" s="602"/>
      <c r="Q1460" s="622"/>
      <c r="R1460" s="74"/>
      <c r="S1460" s="74"/>
      <c r="T1460" s="74"/>
      <c r="U1460" s="74"/>
      <c r="V1460" s="74"/>
      <c r="W1460" s="74"/>
      <c r="X1460" s="74"/>
      <c r="Y1460" s="74"/>
      <c r="Z1460" s="74"/>
      <c r="AA1460" s="74"/>
      <c r="AB1460" s="74"/>
      <c r="AC1460" s="74"/>
      <c r="AD1460" s="74"/>
      <c r="AE1460" s="74"/>
      <c r="AF1460" s="74"/>
      <c r="AG1460" s="74"/>
      <c r="AH1460" s="74"/>
      <c r="AI1460" s="74"/>
    </row>
    <row r="1461" ht="22.5" customHeight="1">
      <c r="A1461" s="614">
        <v>45917.0</v>
      </c>
      <c r="B1461" s="137" t="s">
        <v>2218</v>
      </c>
      <c r="C1461" s="609"/>
      <c r="D1461" s="609"/>
      <c r="E1461" s="604" t="s">
        <v>33</v>
      </c>
      <c r="F1461" s="607" t="s">
        <v>1099</v>
      </c>
      <c r="G1461" s="597">
        <v>0.0</v>
      </c>
      <c r="H1461" s="689">
        <f t="shared" si="84"/>
        <v>0</v>
      </c>
      <c r="I1461" s="599"/>
      <c r="J1461" s="605">
        <v>8500.0</v>
      </c>
      <c r="K1461" s="615" t="s">
        <v>2240</v>
      </c>
      <c r="L1461" s="615" t="s">
        <v>1157</v>
      </c>
      <c r="M1461" s="621"/>
      <c r="N1461" s="621"/>
      <c r="O1461" s="621"/>
      <c r="P1461" s="602"/>
      <c r="Q1461" s="622"/>
      <c r="R1461" s="74"/>
      <c r="S1461" s="74"/>
      <c r="T1461" s="74"/>
      <c r="U1461" s="74"/>
      <c r="V1461" s="74"/>
      <c r="W1461" s="74"/>
      <c r="X1461" s="74"/>
      <c r="Y1461" s="74"/>
      <c r="Z1461" s="74"/>
      <c r="AA1461" s="74"/>
      <c r="AB1461" s="74"/>
      <c r="AC1461" s="74"/>
      <c r="AD1461" s="74"/>
      <c r="AE1461" s="74"/>
      <c r="AF1461" s="74"/>
      <c r="AG1461" s="74"/>
      <c r="AH1461" s="74"/>
      <c r="AI1461" s="74"/>
    </row>
    <row r="1462" ht="22.5" customHeight="1">
      <c r="A1462" s="614">
        <v>45917.0</v>
      </c>
      <c r="B1462" s="157" t="s">
        <v>2218</v>
      </c>
      <c r="C1462" s="610">
        <v>373680.0</v>
      </c>
      <c r="D1462" s="609"/>
      <c r="E1462" s="703" t="s">
        <v>28</v>
      </c>
      <c r="F1462" s="627" t="s">
        <v>897</v>
      </c>
      <c r="G1462" s="597">
        <v>20.0</v>
      </c>
      <c r="H1462" s="689">
        <f t="shared" si="84"/>
        <v>62280</v>
      </c>
      <c r="I1462" s="599"/>
      <c r="J1462" s="599"/>
      <c r="K1462" s="674" t="s">
        <v>51</v>
      </c>
      <c r="L1462" s="616" t="s">
        <v>920</v>
      </c>
      <c r="M1462" s="612" t="s">
        <v>1158</v>
      </c>
      <c r="N1462" s="612">
        <v>251.0</v>
      </c>
      <c r="O1462" s="662">
        <v>45842.0</v>
      </c>
      <c r="P1462" s="705"/>
      <c r="Q1462" s="622"/>
      <c r="R1462" s="74"/>
      <c r="S1462" s="74"/>
      <c r="T1462" s="74"/>
      <c r="U1462" s="74"/>
      <c r="V1462" s="74"/>
      <c r="W1462" s="74"/>
      <c r="X1462" s="74"/>
      <c r="Y1462" s="74"/>
      <c r="Z1462" s="74"/>
      <c r="AA1462" s="74"/>
      <c r="AB1462" s="74"/>
      <c r="AC1462" s="74"/>
      <c r="AD1462" s="74"/>
      <c r="AE1462" s="74"/>
      <c r="AF1462" s="74"/>
      <c r="AG1462" s="74"/>
      <c r="AH1462" s="74"/>
      <c r="AI1462" s="74"/>
    </row>
    <row r="1463" ht="22.5" customHeight="1">
      <c r="A1463" s="614">
        <v>45917.0</v>
      </c>
      <c r="B1463" s="157" t="s">
        <v>2218</v>
      </c>
      <c r="C1463" s="610">
        <v>705030.4</v>
      </c>
      <c r="D1463" s="609"/>
      <c r="E1463" s="703" t="s">
        <v>28</v>
      </c>
      <c r="F1463" s="627" t="s">
        <v>897</v>
      </c>
      <c r="G1463" s="597">
        <v>20.0</v>
      </c>
      <c r="H1463" s="689">
        <f t="shared" si="84"/>
        <v>117505.0667</v>
      </c>
      <c r="I1463" s="599"/>
      <c r="J1463" s="599"/>
      <c r="K1463" s="674" t="s">
        <v>51</v>
      </c>
      <c r="L1463" s="616" t="s">
        <v>440</v>
      </c>
      <c r="M1463" s="612" t="s">
        <v>858</v>
      </c>
      <c r="N1463" s="612">
        <v>262.0</v>
      </c>
      <c r="O1463" s="662">
        <v>45846.0</v>
      </c>
      <c r="P1463" s="705"/>
      <c r="Q1463" s="622"/>
      <c r="R1463" s="74"/>
      <c r="S1463" s="74"/>
      <c r="T1463" s="74"/>
      <c r="U1463" s="74"/>
      <c r="V1463" s="74"/>
      <c r="W1463" s="74"/>
      <c r="X1463" s="74"/>
      <c r="Y1463" s="74"/>
      <c r="Z1463" s="74"/>
      <c r="AA1463" s="74"/>
      <c r="AB1463" s="74"/>
      <c r="AC1463" s="74"/>
      <c r="AD1463" s="74"/>
      <c r="AE1463" s="74"/>
      <c r="AF1463" s="74"/>
      <c r="AG1463" s="74"/>
      <c r="AH1463" s="74"/>
      <c r="AI1463" s="74"/>
    </row>
    <row r="1464" ht="22.5" customHeight="1">
      <c r="A1464" s="614">
        <v>45917.0</v>
      </c>
      <c r="B1464" s="137" t="s">
        <v>2218</v>
      </c>
      <c r="C1464" s="610">
        <v>350000.11</v>
      </c>
      <c r="D1464" s="610"/>
      <c r="E1464" s="604" t="s">
        <v>28</v>
      </c>
      <c r="F1464" s="607" t="s">
        <v>1002</v>
      </c>
      <c r="G1464" s="597">
        <v>20.0</v>
      </c>
      <c r="H1464" s="689">
        <f t="shared" si="84"/>
        <v>58333.35167</v>
      </c>
      <c r="I1464" s="599"/>
      <c r="J1464" s="599"/>
      <c r="K1464" s="673" t="s">
        <v>51</v>
      </c>
      <c r="L1464" s="615" t="s">
        <v>1159</v>
      </c>
      <c r="M1464" s="612" t="s">
        <v>1093</v>
      </c>
      <c r="N1464" s="612">
        <v>325.0</v>
      </c>
      <c r="O1464" s="662">
        <v>45912.0</v>
      </c>
      <c r="P1464" s="705"/>
      <c r="Q1464" s="622"/>
      <c r="R1464" s="74"/>
      <c r="S1464" s="74"/>
      <c r="T1464" s="74"/>
      <c r="U1464" s="74"/>
      <c r="V1464" s="74"/>
      <c r="W1464" s="74"/>
      <c r="X1464" s="74"/>
      <c r="Y1464" s="74"/>
      <c r="Z1464" s="74"/>
      <c r="AA1464" s="74"/>
      <c r="AB1464" s="74"/>
      <c r="AC1464" s="74"/>
      <c r="AD1464" s="74"/>
      <c r="AE1464" s="74"/>
      <c r="AF1464" s="74"/>
      <c r="AG1464" s="74"/>
      <c r="AH1464" s="74"/>
      <c r="AI1464" s="74"/>
    </row>
    <row r="1465" ht="22.5" customHeight="1">
      <c r="A1465" s="614">
        <v>45917.0</v>
      </c>
      <c r="B1465" s="137" t="s">
        <v>2218</v>
      </c>
      <c r="C1465" s="610">
        <v>150000.11</v>
      </c>
      <c r="D1465" s="610"/>
      <c r="E1465" s="604" t="s">
        <v>28</v>
      </c>
      <c r="F1465" s="607" t="s">
        <v>1002</v>
      </c>
      <c r="G1465" s="597">
        <v>20.0</v>
      </c>
      <c r="H1465" s="689">
        <f t="shared" si="84"/>
        <v>25000.01833</v>
      </c>
      <c r="I1465" s="599"/>
      <c r="J1465" s="599"/>
      <c r="K1465" s="674" t="s">
        <v>51</v>
      </c>
      <c r="L1465" s="615" t="s">
        <v>1159</v>
      </c>
      <c r="M1465" s="612" t="s">
        <v>754</v>
      </c>
      <c r="N1465" s="612">
        <v>326.0</v>
      </c>
      <c r="O1465" s="662">
        <v>45912.0</v>
      </c>
      <c r="P1465" s="705"/>
      <c r="Q1465" s="622"/>
      <c r="R1465" s="74"/>
      <c r="S1465" s="74"/>
      <c r="T1465" s="74"/>
      <c r="U1465" s="74"/>
      <c r="V1465" s="74"/>
      <c r="W1465" s="74"/>
      <c r="X1465" s="74"/>
      <c r="Y1465" s="74"/>
      <c r="Z1465" s="74"/>
      <c r="AA1465" s="74"/>
      <c r="AB1465" s="74"/>
      <c r="AC1465" s="74"/>
      <c r="AD1465" s="74"/>
      <c r="AE1465" s="74"/>
      <c r="AF1465" s="74"/>
      <c r="AG1465" s="74"/>
      <c r="AH1465" s="74"/>
      <c r="AI1465" s="74"/>
    </row>
    <row r="1466" ht="22.5" customHeight="1">
      <c r="A1466" s="614">
        <v>45917.0</v>
      </c>
      <c r="B1466" s="157" t="s">
        <v>2218</v>
      </c>
      <c r="C1466" s="610">
        <v>600000.24</v>
      </c>
      <c r="D1466" s="609"/>
      <c r="E1466" s="703" t="s">
        <v>28</v>
      </c>
      <c r="F1466" s="627" t="s">
        <v>897</v>
      </c>
      <c r="G1466" s="597">
        <v>20.0</v>
      </c>
      <c r="H1466" s="689">
        <f t="shared" si="84"/>
        <v>100000.04</v>
      </c>
      <c r="I1466" s="599"/>
      <c r="J1466" s="599"/>
      <c r="K1466" s="674" t="s">
        <v>51</v>
      </c>
      <c r="L1466" s="616" t="s">
        <v>440</v>
      </c>
      <c r="M1466" s="612" t="s">
        <v>801</v>
      </c>
      <c r="N1466" s="612">
        <v>263.0</v>
      </c>
      <c r="O1466" s="662">
        <v>45846.0</v>
      </c>
      <c r="P1466" s="602"/>
      <c r="Q1466" s="622"/>
      <c r="R1466" s="74"/>
      <c r="S1466" s="74"/>
      <c r="T1466" s="74"/>
      <c r="U1466" s="74"/>
      <c r="V1466" s="74"/>
      <c r="W1466" s="74"/>
      <c r="X1466" s="74"/>
      <c r="Y1466" s="74"/>
      <c r="Z1466" s="74"/>
      <c r="AA1466" s="74"/>
      <c r="AB1466" s="74"/>
      <c r="AC1466" s="74"/>
      <c r="AD1466" s="74"/>
      <c r="AE1466" s="74"/>
      <c r="AF1466" s="74"/>
      <c r="AG1466" s="74"/>
      <c r="AH1466" s="74"/>
      <c r="AI1466" s="74"/>
    </row>
    <row r="1467" ht="22.5" customHeight="1">
      <c r="A1467" s="614">
        <v>45917.0</v>
      </c>
      <c r="B1467" s="139" t="s">
        <v>2218</v>
      </c>
      <c r="C1467" s="609"/>
      <c r="D1467" s="610">
        <v>1530441.24</v>
      </c>
      <c r="E1467" s="604" t="s">
        <v>28</v>
      </c>
      <c r="F1467" s="627" t="s">
        <v>951</v>
      </c>
      <c r="G1467" s="597">
        <v>0.0</v>
      </c>
      <c r="H1467" s="689">
        <f t="shared" si="84"/>
        <v>0</v>
      </c>
      <c r="I1467" s="599"/>
      <c r="J1467" s="599"/>
      <c r="K1467" s="615" t="s">
        <v>322</v>
      </c>
      <c r="L1467" s="616" t="s">
        <v>440</v>
      </c>
      <c r="M1467" s="621"/>
      <c r="N1467" s="621"/>
      <c r="O1467" s="621"/>
      <c r="P1467" s="602"/>
      <c r="Q1467" s="622"/>
      <c r="R1467" s="74"/>
      <c r="S1467" s="74"/>
      <c r="T1467" s="74"/>
      <c r="U1467" s="74"/>
      <c r="V1467" s="74"/>
      <c r="W1467" s="74"/>
      <c r="X1467" s="74"/>
      <c r="Y1467" s="74"/>
      <c r="Z1467" s="74"/>
      <c r="AA1467" s="74"/>
      <c r="AB1467" s="74"/>
      <c r="AC1467" s="74"/>
      <c r="AD1467" s="74"/>
      <c r="AE1467" s="74"/>
      <c r="AF1467" s="74"/>
      <c r="AG1467" s="74"/>
      <c r="AH1467" s="74"/>
      <c r="AI1467" s="74"/>
    </row>
    <row r="1468" ht="22.5" customHeight="1">
      <c r="A1468" s="614">
        <v>45917.0</v>
      </c>
      <c r="B1468" s="157" t="s">
        <v>2218</v>
      </c>
      <c r="C1468" s="610">
        <v>600000.24</v>
      </c>
      <c r="D1468" s="609"/>
      <c r="E1468" s="604" t="s">
        <v>28</v>
      </c>
      <c r="F1468" s="627" t="s">
        <v>941</v>
      </c>
      <c r="G1468" s="597">
        <v>20.0</v>
      </c>
      <c r="H1468" s="689">
        <f t="shared" si="84"/>
        <v>100000.04</v>
      </c>
      <c r="I1468" s="599"/>
      <c r="J1468" s="599"/>
      <c r="K1468" s="674" t="s">
        <v>51</v>
      </c>
      <c r="L1468" s="616" t="s">
        <v>440</v>
      </c>
      <c r="M1468" s="612" t="s">
        <v>803</v>
      </c>
      <c r="N1468" s="612">
        <v>283.0</v>
      </c>
      <c r="O1468" s="662">
        <v>45876.0</v>
      </c>
      <c r="P1468" s="602"/>
      <c r="Q1468" s="622"/>
      <c r="R1468" s="74"/>
      <c r="S1468" s="74"/>
      <c r="T1468" s="74"/>
      <c r="U1468" s="74"/>
      <c r="V1468" s="74"/>
      <c r="W1468" s="74"/>
      <c r="X1468" s="74"/>
      <c r="Y1468" s="74"/>
      <c r="Z1468" s="74"/>
      <c r="AA1468" s="74"/>
      <c r="AB1468" s="74"/>
      <c r="AC1468" s="74"/>
      <c r="AD1468" s="74"/>
      <c r="AE1468" s="74"/>
      <c r="AF1468" s="74"/>
      <c r="AG1468" s="74"/>
      <c r="AH1468" s="74"/>
      <c r="AI1468" s="74"/>
    </row>
    <row r="1469" ht="22.5" customHeight="1">
      <c r="A1469" s="614">
        <v>45917.0</v>
      </c>
      <c r="B1469" s="137" t="s">
        <v>2218</v>
      </c>
      <c r="C1469" s="609"/>
      <c r="D1469" s="610">
        <v>150000.0</v>
      </c>
      <c r="E1469" s="604" t="s">
        <v>28</v>
      </c>
      <c r="F1469" s="627" t="s">
        <v>1160</v>
      </c>
      <c r="G1469" s="597">
        <v>20.0</v>
      </c>
      <c r="H1469" s="689">
        <f t="shared" si="84"/>
        <v>25000</v>
      </c>
      <c r="I1469" s="599"/>
      <c r="J1469" s="599"/>
      <c r="K1469" s="615" t="s">
        <v>322</v>
      </c>
      <c r="L1469" s="615" t="s">
        <v>1161</v>
      </c>
      <c r="M1469" s="621"/>
      <c r="N1469" s="621"/>
      <c r="O1469" s="621"/>
      <c r="P1469" s="602"/>
      <c r="Q1469" s="682" t="s">
        <v>1162</v>
      </c>
      <c r="R1469" s="74"/>
      <c r="S1469" s="74"/>
      <c r="T1469" s="74"/>
      <c r="U1469" s="74"/>
      <c r="V1469" s="74"/>
      <c r="W1469" s="74"/>
      <c r="X1469" s="74"/>
      <c r="Y1469" s="74"/>
      <c r="Z1469" s="74"/>
      <c r="AA1469" s="74"/>
      <c r="AB1469" s="74"/>
      <c r="AC1469" s="74"/>
      <c r="AD1469" s="74"/>
      <c r="AE1469" s="74"/>
      <c r="AF1469" s="74"/>
      <c r="AG1469" s="74"/>
      <c r="AH1469" s="74"/>
      <c r="AI1469" s="74"/>
    </row>
    <row r="1470" ht="22.5" customHeight="1">
      <c r="A1470" s="614">
        <v>45917.0</v>
      </c>
      <c r="B1470" s="137" t="s">
        <v>2218</v>
      </c>
      <c r="C1470" s="610">
        <v>300000.12</v>
      </c>
      <c r="D1470" s="610"/>
      <c r="E1470" s="604" t="s">
        <v>376</v>
      </c>
      <c r="F1470" s="607" t="s">
        <v>1002</v>
      </c>
      <c r="G1470" s="597">
        <v>20.0</v>
      </c>
      <c r="H1470" s="689">
        <f t="shared" si="84"/>
        <v>50000.02</v>
      </c>
      <c r="I1470" s="599"/>
      <c r="J1470" s="599"/>
      <c r="K1470" s="615" t="s">
        <v>51</v>
      </c>
      <c r="L1470" s="615" t="s">
        <v>807</v>
      </c>
      <c r="M1470" s="612" t="s">
        <v>844</v>
      </c>
      <c r="N1470" s="612">
        <v>306.0</v>
      </c>
      <c r="O1470" s="662">
        <v>45909.0</v>
      </c>
      <c r="P1470" s="706"/>
      <c r="Q1470" s="622"/>
      <c r="R1470" s="74"/>
      <c r="S1470" s="74"/>
      <c r="T1470" s="74"/>
      <c r="U1470" s="74"/>
      <c r="V1470" s="74"/>
      <c r="W1470" s="74"/>
      <c r="X1470" s="74"/>
      <c r="Y1470" s="74"/>
      <c r="Z1470" s="74"/>
      <c r="AA1470" s="74"/>
      <c r="AB1470" s="74"/>
      <c r="AC1470" s="74"/>
      <c r="AD1470" s="74"/>
      <c r="AE1470" s="74"/>
      <c r="AF1470" s="74"/>
      <c r="AG1470" s="74"/>
      <c r="AH1470" s="74"/>
      <c r="AI1470" s="74"/>
    </row>
    <row r="1471" ht="22.5" customHeight="1">
      <c r="A1471" s="614">
        <v>45918.0</v>
      </c>
      <c r="B1471" s="157" t="s">
        <v>2218</v>
      </c>
      <c r="C1471" s="610">
        <v>1200000.0</v>
      </c>
      <c r="D1471" s="609"/>
      <c r="E1471" s="703" t="s">
        <v>28</v>
      </c>
      <c r="F1471" s="627" t="s">
        <v>897</v>
      </c>
      <c r="G1471" s="597">
        <v>20.0</v>
      </c>
      <c r="H1471" s="689">
        <f t="shared" si="84"/>
        <v>200000</v>
      </c>
      <c r="I1471" s="599"/>
      <c r="J1471" s="599"/>
      <c r="K1471" s="615" t="s">
        <v>51</v>
      </c>
      <c r="L1471" s="616" t="s">
        <v>675</v>
      </c>
      <c r="M1471" s="612" t="s">
        <v>854</v>
      </c>
      <c r="N1471" s="612">
        <v>271.0</v>
      </c>
      <c r="O1471" s="662">
        <v>45846.0</v>
      </c>
      <c r="P1471" s="706">
        <f t="shared" ref="P1471:P1473" si="92">TODAY()-O1471-60</f>
        <v>282</v>
      </c>
      <c r="Q1471" s="622"/>
      <c r="R1471" s="74"/>
      <c r="S1471" s="74"/>
      <c r="T1471" s="74"/>
      <c r="U1471" s="74"/>
      <c r="V1471" s="74"/>
      <c r="W1471" s="74"/>
      <c r="X1471" s="74"/>
      <c r="Y1471" s="74"/>
      <c r="Z1471" s="74"/>
      <c r="AA1471" s="74"/>
      <c r="AB1471" s="74"/>
      <c r="AC1471" s="74"/>
      <c r="AD1471" s="74"/>
      <c r="AE1471" s="74"/>
      <c r="AF1471" s="74"/>
      <c r="AG1471" s="74"/>
      <c r="AH1471" s="74"/>
      <c r="AI1471" s="74"/>
    </row>
    <row r="1472" ht="22.5" customHeight="1">
      <c r="A1472" s="614">
        <v>45918.0</v>
      </c>
      <c r="B1472" s="157" t="s">
        <v>2218</v>
      </c>
      <c r="C1472" s="610">
        <v>842000.44</v>
      </c>
      <c r="D1472" s="609"/>
      <c r="E1472" s="604" t="s">
        <v>28</v>
      </c>
      <c r="F1472" s="627" t="s">
        <v>941</v>
      </c>
      <c r="G1472" s="597">
        <v>20.0</v>
      </c>
      <c r="H1472" s="689">
        <f t="shared" si="84"/>
        <v>140333.4067</v>
      </c>
      <c r="I1472" s="599"/>
      <c r="J1472" s="599"/>
      <c r="K1472" s="615" t="s">
        <v>51</v>
      </c>
      <c r="L1472" s="616" t="s">
        <v>539</v>
      </c>
      <c r="M1472" s="612" t="s">
        <v>1163</v>
      </c>
      <c r="N1472" s="612">
        <v>301.0</v>
      </c>
      <c r="O1472" s="662">
        <v>45880.0</v>
      </c>
      <c r="P1472" s="706">
        <f t="shared" si="92"/>
        <v>248</v>
      </c>
      <c r="Q1472" s="622"/>
      <c r="R1472" s="74"/>
      <c r="S1472" s="74"/>
      <c r="T1472" s="74"/>
      <c r="U1472" s="74"/>
      <c r="V1472" s="74"/>
      <c r="W1472" s="74"/>
      <c r="X1472" s="74"/>
      <c r="Y1472" s="74"/>
      <c r="Z1472" s="74"/>
      <c r="AA1472" s="74"/>
      <c r="AB1472" s="74"/>
      <c r="AC1472" s="74"/>
      <c r="AD1472" s="74"/>
      <c r="AE1472" s="74"/>
      <c r="AF1472" s="74"/>
      <c r="AG1472" s="74"/>
      <c r="AH1472" s="74"/>
      <c r="AI1472" s="74"/>
    </row>
    <row r="1473" ht="22.5" customHeight="1">
      <c r="A1473" s="614">
        <v>45918.0</v>
      </c>
      <c r="B1473" s="157" t="s">
        <v>2218</v>
      </c>
      <c r="C1473" s="610">
        <v>360000.06</v>
      </c>
      <c r="D1473" s="609"/>
      <c r="E1473" s="604" t="s">
        <v>28</v>
      </c>
      <c r="F1473" s="627" t="s">
        <v>941</v>
      </c>
      <c r="G1473" s="597">
        <v>20.0</v>
      </c>
      <c r="H1473" s="689">
        <f t="shared" si="84"/>
        <v>60000.01</v>
      </c>
      <c r="I1473" s="599"/>
      <c r="J1473" s="599"/>
      <c r="K1473" s="672" t="s">
        <v>51</v>
      </c>
      <c r="L1473" s="616" t="s">
        <v>1088</v>
      </c>
      <c r="M1473" s="612" t="s">
        <v>1164</v>
      </c>
      <c r="N1473" s="612">
        <v>282.0</v>
      </c>
      <c r="O1473" s="662">
        <v>45875.0</v>
      </c>
      <c r="P1473" s="602">
        <f t="shared" si="92"/>
        <v>253</v>
      </c>
      <c r="Q1473" s="622"/>
      <c r="R1473" s="74"/>
      <c r="S1473" s="74"/>
      <c r="T1473" s="74"/>
      <c r="U1473" s="74"/>
      <c r="V1473" s="74"/>
      <c r="W1473" s="74"/>
      <c r="X1473" s="74"/>
      <c r="Y1473" s="74"/>
      <c r="Z1473" s="74"/>
      <c r="AA1473" s="74"/>
      <c r="AB1473" s="74"/>
      <c r="AC1473" s="74"/>
      <c r="AD1473" s="74"/>
      <c r="AE1473" s="74"/>
      <c r="AF1473" s="74"/>
      <c r="AG1473" s="74"/>
      <c r="AH1473" s="74"/>
      <c r="AI1473" s="74"/>
    </row>
    <row r="1474" ht="22.5" customHeight="1">
      <c r="A1474" s="614">
        <v>45918.0</v>
      </c>
      <c r="B1474" s="137" t="s">
        <v>2218</v>
      </c>
      <c r="C1474" s="609"/>
      <c r="D1474" s="610">
        <v>4200.0</v>
      </c>
      <c r="E1474" s="604" t="s">
        <v>28</v>
      </c>
      <c r="F1474" s="607" t="s">
        <v>1099</v>
      </c>
      <c r="G1474" s="597">
        <v>20.0</v>
      </c>
      <c r="H1474" s="689">
        <f t="shared" si="84"/>
        <v>700</v>
      </c>
      <c r="I1474" s="599"/>
      <c r="J1474" s="599"/>
      <c r="K1474" s="615" t="s">
        <v>2240</v>
      </c>
      <c r="L1474" s="615" t="s">
        <v>1165</v>
      </c>
      <c r="M1474" s="621"/>
      <c r="N1474" s="621"/>
      <c r="O1474" s="621"/>
      <c r="P1474" s="706"/>
      <c r="Q1474" s="622"/>
      <c r="R1474" s="74"/>
      <c r="S1474" s="74"/>
      <c r="T1474" s="74"/>
      <c r="U1474" s="74"/>
      <c r="V1474" s="74"/>
      <c r="W1474" s="74"/>
      <c r="X1474" s="74"/>
      <c r="Y1474" s="74"/>
      <c r="Z1474" s="74"/>
      <c r="AA1474" s="74"/>
      <c r="AB1474" s="74"/>
      <c r="AC1474" s="74"/>
      <c r="AD1474" s="74"/>
      <c r="AE1474" s="74"/>
      <c r="AF1474" s="74"/>
      <c r="AG1474" s="74"/>
      <c r="AH1474" s="74"/>
      <c r="AI1474" s="74"/>
    </row>
    <row r="1475" ht="22.5" customHeight="1">
      <c r="A1475" s="614">
        <v>45918.0</v>
      </c>
      <c r="B1475" s="157" t="s">
        <v>2218</v>
      </c>
      <c r="C1475" s="610">
        <v>360000.06</v>
      </c>
      <c r="D1475" s="609"/>
      <c r="E1475" s="604" t="s">
        <v>28</v>
      </c>
      <c r="F1475" s="627" t="s">
        <v>941</v>
      </c>
      <c r="G1475" s="597">
        <v>20.0</v>
      </c>
      <c r="H1475" s="689">
        <f t="shared" si="84"/>
        <v>60000.01</v>
      </c>
      <c r="I1475" s="599"/>
      <c r="J1475" s="599"/>
      <c r="K1475" s="615" t="s">
        <v>51</v>
      </c>
      <c r="L1475" s="616" t="s">
        <v>1088</v>
      </c>
      <c r="M1475" s="612" t="s">
        <v>1166</v>
      </c>
      <c r="N1475" s="612">
        <v>281.0</v>
      </c>
      <c r="O1475" s="662">
        <v>45875.0</v>
      </c>
      <c r="P1475" s="706">
        <f t="shared" ref="P1475:P1476" si="93">TODAY()-O1475-60</f>
        <v>253</v>
      </c>
      <c r="Q1475" s="622"/>
      <c r="R1475" s="74"/>
      <c r="S1475" s="74"/>
      <c r="T1475" s="74"/>
      <c r="U1475" s="74"/>
      <c r="V1475" s="74"/>
      <c r="W1475" s="74"/>
      <c r="X1475" s="74"/>
      <c r="Y1475" s="74"/>
      <c r="Z1475" s="74"/>
      <c r="AA1475" s="74"/>
      <c r="AB1475" s="74"/>
      <c r="AC1475" s="74"/>
      <c r="AD1475" s="74"/>
      <c r="AE1475" s="74"/>
      <c r="AF1475" s="74"/>
      <c r="AG1475" s="74"/>
      <c r="AH1475" s="74"/>
      <c r="AI1475" s="74"/>
    </row>
    <row r="1476" ht="22.5" customHeight="1">
      <c r="A1476" s="614">
        <v>45919.0</v>
      </c>
      <c r="B1476" s="157" t="s">
        <v>2218</v>
      </c>
      <c r="C1476" s="610">
        <v>1200000.14</v>
      </c>
      <c r="D1476" s="609"/>
      <c r="E1476" s="604" t="s">
        <v>28</v>
      </c>
      <c r="F1476" s="627" t="s">
        <v>722</v>
      </c>
      <c r="G1476" s="597">
        <v>20.0</v>
      </c>
      <c r="H1476" s="689">
        <f t="shared" si="84"/>
        <v>200000.0233</v>
      </c>
      <c r="I1476" s="599"/>
      <c r="J1476" s="599"/>
      <c r="K1476" s="672" t="s">
        <v>51</v>
      </c>
      <c r="L1476" s="616" t="s">
        <v>1167</v>
      </c>
      <c r="M1476" s="612" t="s">
        <v>1168</v>
      </c>
      <c r="N1476" s="612">
        <v>199.0</v>
      </c>
      <c r="O1476" s="662">
        <v>45796.0</v>
      </c>
      <c r="P1476" s="706">
        <f t="shared" si="93"/>
        <v>332</v>
      </c>
      <c r="Q1476" s="622"/>
      <c r="R1476" s="74"/>
      <c r="S1476" s="74"/>
      <c r="T1476" s="74"/>
      <c r="U1476" s="74"/>
      <c r="V1476" s="74"/>
      <c r="W1476" s="74"/>
      <c r="X1476" s="74"/>
      <c r="Y1476" s="74"/>
      <c r="Z1476" s="74"/>
      <c r="AA1476" s="74"/>
      <c r="AB1476" s="74"/>
      <c r="AC1476" s="74"/>
      <c r="AD1476" s="74"/>
      <c r="AE1476" s="74"/>
      <c r="AF1476" s="74"/>
      <c r="AG1476" s="74"/>
      <c r="AH1476" s="74"/>
      <c r="AI1476" s="74"/>
    </row>
    <row r="1477" ht="22.5" customHeight="1">
      <c r="A1477" s="614">
        <v>45919.0</v>
      </c>
      <c r="B1477" s="157" t="s">
        <v>2218</v>
      </c>
      <c r="C1477" s="610">
        <v>1200000.48</v>
      </c>
      <c r="D1477" s="609"/>
      <c r="E1477" s="604" t="s">
        <v>28</v>
      </c>
      <c r="F1477" s="627" t="s">
        <v>800</v>
      </c>
      <c r="G1477" s="597">
        <v>20.0</v>
      </c>
      <c r="H1477" s="689">
        <f t="shared" si="84"/>
        <v>200000.08</v>
      </c>
      <c r="I1477" s="599"/>
      <c r="J1477" s="599"/>
      <c r="K1477" s="673" t="s">
        <v>51</v>
      </c>
      <c r="L1477" s="616" t="s">
        <v>1167</v>
      </c>
      <c r="M1477" s="612" t="s">
        <v>1169</v>
      </c>
      <c r="N1477" s="612">
        <v>210.0</v>
      </c>
      <c r="O1477" s="662">
        <v>45817.0</v>
      </c>
      <c r="P1477" s="602">
        <f>TODAY()-O1477-90</f>
        <v>281</v>
      </c>
      <c r="Q1477" s="622"/>
      <c r="R1477" s="74"/>
      <c r="S1477" s="74"/>
      <c r="T1477" s="74"/>
      <c r="U1477" s="74"/>
      <c r="V1477" s="74"/>
      <c r="W1477" s="74"/>
      <c r="X1477" s="74"/>
      <c r="Y1477" s="74"/>
      <c r="Z1477" s="74"/>
      <c r="AA1477" s="74"/>
      <c r="AB1477" s="74"/>
      <c r="AC1477" s="74"/>
      <c r="AD1477" s="74"/>
      <c r="AE1477" s="74"/>
      <c r="AF1477" s="74"/>
      <c r="AG1477" s="74"/>
      <c r="AH1477" s="74"/>
      <c r="AI1477" s="74"/>
    </row>
    <row r="1478" ht="22.5" customHeight="1">
      <c r="A1478" s="614">
        <v>45920.0</v>
      </c>
      <c r="B1478" s="137" t="s">
        <v>2218</v>
      </c>
      <c r="C1478" s="609"/>
      <c r="D1478" s="609"/>
      <c r="E1478" s="604" t="s">
        <v>33</v>
      </c>
      <c r="F1478" s="607" t="s">
        <v>591</v>
      </c>
      <c r="G1478" s="597">
        <v>0.0</v>
      </c>
      <c r="H1478" s="689">
        <f t="shared" si="84"/>
        <v>0</v>
      </c>
      <c r="I1478" s="599"/>
      <c r="J1478" s="605">
        <v>30000.0</v>
      </c>
      <c r="K1478" s="615" t="s">
        <v>203</v>
      </c>
      <c r="L1478" s="615" t="s">
        <v>1170</v>
      </c>
      <c r="M1478" s="621"/>
      <c r="N1478" s="621"/>
      <c r="O1478" s="621"/>
      <c r="P1478" s="602"/>
      <c r="Q1478" s="622"/>
      <c r="R1478" s="74"/>
      <c r="S1478" s="74"/>
      <c r="T1478" s="74"/>
      <c r="U1478" s="74"/>
      <c r="V1478" s="74"/>
      <c r="W1478" s="74"/>
      <c r="X1478" s="74"/>
      <c r="Y1478" s="74"/>
      <c r="Z1478" s="74"/>
      <c r="AA1478" s="74"/>
      <c r="AB1478" s="74"/>
      <c r="AC1478" s="74"/>
      <c r="AD1478" s="74"/>
      <c r="AE1478" s="74"/>
      <c r="AF1478" s="74"/>
      <c r="AG1478" s="74"/>
      <c r="AH1478" s="74"/>
      <c r="AI1478" s="74"/>
    </row>
    <row r="1479" ht="22.5" customHeight="1">
      <c r="A1479" s="614">
        <v>45922.0</v>
      </c>
      <c r="B1479" s="137" t="s">
        <v>2218</v>
      </c>
      <c r="C1479" s="609"/>
      <c r="D1479" s="610">
        <v>378000.0</v>
      </c>
      <c r="E1479" s="604" t="s">
        <v>28</v>
      </c>
      <c r="F1479" s="607" t="s">
        <v>1099</v>
      </c>
      <c r="G1479" s="597">
        <v>20.0</v>
      </c>
      <c r="H1479" s="689">
        <f t="shared" si="84"/>
        <v>63000</v>
      </c>
      <c r="I1479" s="599"/>
      <c r="J1479" s="599"/>
      <c r="K1479" s="615" t="s">
        <v>2240</v>
      </c>
      <c r="L1479" s="615" t="s">
        <v>2251</v>
      </c>
      <c r="M1479" s="621"/>
      <c r="N1479" s="621"/>
      <c r="O1479" s="621"/>
      <c r="P1479" s="602"/>
      <c r="Q1479" s="622"/>
      <c r="R1479" s="74"/>
      <c r="S1479" s="74"/>
      <c r="T1479" s="74"/>
      <c r="U1479" s="74"/>
      <c r="V1479" s="74"/>
      <c r="W1479" s="74"/>
      <c r="X1479" s="74"/>
      <c r="Y1479" s="74"/>
      <c r="Z1479" s="74"/>
      <c r="AA1479" s="74"/>
      <c r="AB1479" s="74"/>
      <c r="AC1479" s="74"/>
      <c r="AD1479" s="74"/>
      <c r="AE1479" s="74"/>
      <c r="AF1479" s="74"/>
      <c r="AG1479" s="74"/>
      <c r="AH1479" s="74"/>
      <c r="AI1479" s="74"/>
    </row>
    <row r="1480" ht="22.5" customHeight="1">
      <c r="A1480" s="614">
        <v>45922.0</v>
      </c>
      <c r="B1480" s="137" t="s">
        <v>2218</v>
      </c>
      <c r="C1480" s="609"/>
      <c r="D1480" s="610">
        <v>199200.0</v>
      </c>
      <c r="E1480" s="604" t="s">
        <v>28</v>
      </c>
      <c r="F1480" s="607" t="s">
        <v>1099</v>
      </c>
      <c r="G1480" s="597">
        <v>20.0</v>
      </c>
      <c r="H1480" s="689">
        <f t="shared" si="84"/>
        <v>33200</v>
      </c>
      <c r="I1480" s="599"/>
      <c r="J1480" s="599"/>
      <c r="K1480" s="615" t="s">
        <v>2237</v>
      </c>
      <c r="L1480" s="616" t="s">
        <v>942</v>
      </c>
      <c r="M1480" s="621"/>
      <c r="N1480" s="621"/>
      <c r="O1480" s="621"/>
      <c r="P1480" s="602"/>
      <c r="Q1480" s="613" t="s">
        <v>943</v>
      </c>
      <c r="R1480" s="74"/>
      <c r="S1480" s="74"/>
      <c r="T1480" s="74"/>
      <c r="U1480" s="74"/>
      <c r="V1480" s="74"/>
      <c r="W1480" s="74"/>
      <c r="X1480" s="74"/>
      <c r="Y1480" s="74"/>
      <c r="Z1480" s="74"/>
      <c r="AA1480" s="74"/>
      <c r="AB1480" s="74"/>
      <c r="AC1480" s="74"/>
      <c r="AD1480" s="74"/>
      <c r="AE1480" s="74"/>
      <c r="AF1480" s="74"/>
      <c r="AG1480" s="74"/>
      <c r="AH1480" s="74"/>
      <c r="AI1480" s="74"/>
    </row>
    <row r="1481" ht="22.5" customHeight="1">
      <c r="A1481" s="614">
        <v>45922.0</v>
      </c>
      <c r="B1481" s="137" t="s">
        <v>2218</v>
      </c>
      <c r="C1481" s="609"/>
      <c r="D1481" s="610">
        <v>600.0</v>
      </c>
      <c r="E1481" s="604" t="s">
        <v>28</v>
      </c>
      <c r="F1481" s="607" t="s">
        <v>1002</v>
      </c>
      <c r="G1481" s="597">
        <v>20.0</v>
      </c>
      <c r="H1481" s="689">
        <f t="shared" si="84"/>
        <v>100</v>
      </c>
      <c r="I1481" s="599"/>
      <c r="J1481" s="599"/>
      <c r="K1481" s="615" t="s">
        <v>2237</v>
      </c>
      <c r="L1481" s="616" t="s">
        <v>942</v>
      </c>
      <c r="M1481" s="621"/>
      <c r="N1481" s="621"/>
      <c r="O1481" s="621"/>
      <c r="P1481" s="602"/>
      <c r="Q1481" s="613" t="s">
        <v>943</v>
      </c>
      <c r="R1481" s="74"/>
      <c r="S1481" s="74"/>
      <c r="T1481" s="74"/>
      <c r="U1481" s="74"/>
      <c r="V1481" s="74"/>
      <c r="W1481" s="74"/>
      <c r="X1481" s="74"/>
      <c r="Y1481" s="74"/>
      <c r="Z1481" s="74"/>
      <c r="AA1481" s="74"/>
      <c r="AB1481" s="74"/>
      <c r="AC1481" s="74"/>
      <c r="AD1481" s="74"/>
      <c r="AE1481" s="74"/>
      <c r="AF1481" s="74"/>
      <c r="AG1481" s="74"/>
      <c r="AH1481" s="74"/>
      <c r="AI1481" s="74"/>
    </row>
    <row r="1482" ht="22.5" customHeight="1">
      <c r="A1482" s="614">
        <v>45922.0</v>
      </c>
      <c r="B1482" s="137" t="s">
        <v>2218</v>
      </c>
      <c r="C1482" s="609"/>
      <c r="D1482" s="610">
        <v>60000.0</v>
      </c>
      <c r="E1482" s="604" t="s">
        <v>28</v>
      </c>
      <c r="F1482" s="607" t="s">
        <v>1002</v>
      </c>
      <c r="G1482" s="597">
        <v>20.0</v>
      </c>
      <c r="H1482" s="689">
        <f t="shared" si="84"/>
        <v>10000</v>
      </c>
      <c r="I1482" s="599"/>
      <c r="J1482" s="599"/>
      <c r="K1482" s="615" t="s">
        <v>2237</v>
      </c>
      <c r="L1482" s="616" t="s">
        <v>942</v>
      </c>
      <c r="M1482" s="621"/>
      <c r="N1482" s="621"/>
      <c r="O1482" s="621"/>
      <c r="P1482" s="602"/>
      <c r="Q1482" s="613" t="s">
        <v>943</v>
      </c>
      <c r="R1482" s="74"/>
      <c r="S1482" s="74"/>
      <c r="T1482" s="74"/>
      <c r="U1482" s="74"/>
      <c r="V1482" s="74"/>
      <c r="W1482" s="74"/>
      <c r="X1482" s="74"/>
      <c r="Y1482" s="74"/>
      <c r="Z1482" s="74"/>
      <c r="AA1482" s="74"/>
      <c r="AB1482" s="74"/>
      <c r="AC1482" s="74"/>
      <c r="AD1482" s="74"/>
      <c r="AE1482" s="74"/>
      <c r="AF1482" s="74"/>
      <c r="AG1482" s="74"/>
      <c r="AH1482" s="74"/>
      <c r="AI1482" s="74"/>
    </row>
    <row r="1483" ht="22.5" customHeight="1">
      <c r="A1483" s="614">
        <v>45922.0</v>
      </c>
      <c r="B1483" s="139" t="s">
        <v>2218</v>
      </c>
      <c r="C1483" s="609"/>
      <c r="D1483" s="610">
        <v>5272215.63</v>
      </c>
      <c r="E1483" s="604" t="s">
        <v>28</v>
      </c>
      <c r="F1483" s="627" t="s">
        <v>800</v>
      </c>
      <c r="G1483" s="597">
        <v>20.0</v>
      </c>
      <c r="H1483" s="689">
        <f t="shared" si="84"/>
        <v>878702.605</v>
      </c>
      <c r="I1483" s="599"/>
      <c r="J1483" s="599"/>
      <c r="K1483" s="615" t="s">
        <v>101</v>
      </c>
      <c r="L1483" s="700" t="s">
        <v>102</v>
      </c>
      <c r="M1483" s="621"/>
      <c r="N1483" s="621"/>
      <c r="O1483" s="621"/>
      <c r="P1483" s="602"/>
      <c r="Q1483" s="682" t="s">
        <v>1171</v>
      </c>
      <c r="R1483" s="74"/>
      <c r="S1483" s="74"/>
      <c r="T1483" s="74"/>
      <c r="U1483" s="74"/>
      <c r="V1483" s="74"/>
      <c r="W1483" s="74"/>
      <c r="X1483" s="74"/>
      <c r="Y1483" s="74"/>
      <c r="Z1483" s="74"/>
      <c r="AA1483" s="74"/>
      <c r="AB1483" s="74"/>
      <c r="AC1483" s="74"/>
      <c r="AD1483" s="74"/>
      <c r="AE1483" s="74"/>
      <c r="AF1483" s="74"/>
      <c r="AG1483" s="74"/>
      <c r="AH1483" s="74"/>
      <c r="AI1483" s="74"/>
    </row>
    <row r="1484" ht="22.5" customHeight="1">
      <c r="A1484" s="614">
        <v>45922.0</v>
      </c>
      <c r="B1484" s="137" t="s">
        <v>2218</v>
      </c>
      <c r="C1484" s="609"/>
      <c r="D1484" s="610"/>
      <c r="E1484" s="604" t="s">
        <v>33</v>
      </c>
      <c r="F1484" s="607" t="s">
        <v>494</v>
      </c>
      <c r="G1484" s="597">
        <v>0.0</v>
      </c>
      <c r="H1484" s="689">
        <f t="shared" si="84"/>
        <v>0</v>
      </c>
      <c r="I1484" s="599"/>
      <c r="J1484" s="605">
        <v>8500.0</v>
      </c>
      <c r="K1484" s="615" t="s">
        <v>494</v>
      </c>
      <c r="L1484" s="615" t="s">
        <v>848</v>
      </c>
      <c r="M1484" s="621"/>
      <c r="N1484" s="621"/>
      <c r="O1484" s="621"/>
      <c r="P1484" s="602"/>
      <c r="Q1484" s="622"/>
      <c r="R1484" s="74"/>
      <c r="S1484" s="74"/>
      <c r="T1484" s="74"/>
      <c r="U1484" s="74"/>
      <c r="V1484" s="74"/>
      <c r="W1484" s="74"/>
      <c r="X1484" s="74"/>
      <c r="Y1484" s="74"/>
      <c r="Z1484" s="74"/>
      <c r="AA1484" s="74"/>
      <c r="AB1484" s="74"/>
      <c r="AC1484" s="74"/>
      <c r="AD1484" s="74"/>
      <c r="AE1484" s="74"/>
      <c r="AF1484" s="74"/>
      <c r="AG1484" s="74"/>
      <c r="AH1484" s="74"/>
      <c r="AI1484" s="74"/>
    </row>
    <row r="1485" ht="22.5" customHeight="1">
      <c r="A1485" s="614">
        <v>45923.0</v>
      </c>
      <c r="B1485" s="137" t="s">
        <v>2218</v>
      </c>
      <c r="C1485" s="609"/>
      <c r="D1485" s="610">
        <v>33000.0</v>
      </c>
      <c r="E1485" s="604" t="s">
        <v>28</v>
      </c>
      <c r="F1485" s="607" t="s">
        <v>1099</v>
      </c>
      <c r="G1485" s="597">
        <v>20.0</v>
      </c>
      <c r="H1485" s="689">
        <f t="shared" si="84"/>
        <v>5500</v>
      </c>
      <c r="I1485" s="599"/>
      <c r="J1485" s="599"/>
      <c r="K1485" s="615" t="s">
        <v>2237</v>
      </c>
      <c r="L1485" s="616" t="s">
        <v>942</v>
      </c>
      <c r="M1485" s="621"/>
      <c r="N1485" s="621"/>
      <c r="O1485" s="621"/>
      <c r="P1485" s="602"/>
      <c r="Q1485" s="613" t="s">
        <v>943</v>
      </c>
      <c r="R1485" s="74"/>
      <c r="S1485" s="74"/>
      <c r="T1485" s="74"/>
      <c r="U1485" s="74"/>
      <c r="V1485" s="74"/>
      <c r="W1485" s="74"/>
      <c r="X1485" s="74"/>
      <c r="Y1485" s="74"/>
      <c r="Z1485" s="74"/>
      <c r="AA1485" s="74"/>
      <c r="AB1485" s="74"/>
      <c r="AC1485" s="74"/>
      <c r="AD1485" s="74"/>
      <c r="AE1485" s="74"/>
      <c r="AF1485" s="74"/>
      <c r="AG1485" s="74"/>
      <c r="AH1485" s="74"/>
      <c r="AI1485" s="74"/>
    </row>
    <row r="1486" ht="22.5" customHeight="1">
      <c r="A1486" s="614">
        <v>45923.0</v>
      </c>
      <c r="B1486" s="137" t="s">
        <v>2218</v>
      </c>
      <c r="C1486" s="609"/>
      <c r="D1486" s="610">
        <v>28800.0</v>
      </c>
      <c r="E1486" s="604" t="s">
        <v>28</v>
      </c>
      <c r="F1486" s="607" t="s">
        <v>1099</v>
      </c>
      <c r="G1486" s="597">
        <v>20.0</v>
      </c>
      <c r="H1486" s="689">
        <f t="shared" si="84"/>
        <v>4800</v>
      </c>
      <c r="I1486" s="599"/>
      <c r="J1486" s="599"/>
      <c r="K1486" s="615" t="s">
        <v>2237</v>
      </c>
      <c r="L1486" s="616" t="s">
        <v>942</v>
      </c>
      <c r="M1486" s="621"/>
      <c r="N1486" s="621"/>
      <c r="O1486" s="621"/>
      <c r="P1486" s="602"/>
      <c r="Q1486" s="613" t="s">
        <v>943</v>
      </c>
      <c r="R1486" s="74"/>
      <c r="S1486" s="74"/>
      <c r="T1486" s="74"/>
      <c r="U1486" s="74"/>
      <c r="V1486" s="74"/>
      <c r="W1486" s="74"/>
      <c r="X1486" s="74"/>
      <c r="Y1486" s="74"/>
      <c r="Z1486" s="74"/>
      <c r="AA1486" s="74"/>
      <c r="AB1486" s="74"/>
      <c r="AC1486" s="74"/>
      <c r="AD1486" s="74"/>
      <c r="AE1486" s="74"/>
      <c r="AF1486" s="74"/>
      <c r="AG1486" s="74"/>
      <c r="AH1486" s="74"/>
      <c r="AI1486" s="74"/>
    </row>
    <row r="1487" ht="22.5" customHeight="1">
      <c r="A1487" s="614">
        <v>45923.0</v>
      </c>
      <c r="B1487" s="137" t="s">
        <v>2218</v>
      </c>
      <c r="C1487" s="609"/>
      <c r="D1487" s="610">
        <v>18600.0</v>
      </c>
      <c r="E1487" s="604" t="s">
        <v>28</v>
      </c>
      <c r="F1487" s="607" t="s">
        <v>1099</v>
      </c>
      <c r="G1487" s="597">
        <v>20.0</v>
      </c>
      <c r="H1487" s="689">
        <f t="shared" si="84"/>
        <v>3100</v>
      </c>
      <c r="I1487" s="599"/>
      <c r="J1487" s="599"/>
      <c r="K1487" s="615" t="s">
        <v>2237</v>
      </c>
      <c r="L1487" s="616" t="s">
        <v>942</v>
      </c>
      <c r="M1487" s="621"/>
      <c r="N1487" s="621"/>
      <c r="O1487" s="621"/>
      <c r="P1487" s="706"/>
      <c r="Q1487" s="613" t="s">
        <v>943</v>
      </c>
      <c r="R1487" s="74"/>
      <c r="S1487" s="74"/>
      <c r="T1487" s="74"/>
      <c r="U1487" s="74"/>
      <c r="V1487" s="74"/>
      <c r="W1487" s="74"/>
      <c r="X1487" s="74"/>
      <c r="Y1487" s="74"/>
      <c r="Z1487" s="74"/>
      <c r="AA1487" s="74"/>
      <c r="AB1487" s="74"/>
      <c r="AC1487" s="74"/>
      <c r="AD1487" s="74"/>
      <c r="AE1487" s="74"/>
      <c r="AF1487" s="74"/>
      <c r="AG1487" s="74"/>
      <c r="AH1487" s="74"/>
      <c r="AI1487" s="74"/>
    </row>
    <row r="1488" ht="22.5" customHeight="1">
      <c r="A1488" s="614">
        <v>45924.0</v>
      </c>
      <c r="B1488" s="157" t="s">
        <v>2218</v>
      </c>
      <c r="C1488" s="610">
        <v>348000.0</v>
      </c>
      <c r="D1488" s="610"/>
      <c r="E1488" s="703" t="s">
        <v>28</v>
      </c>
      <c r="F1488" s="627" t="s">
        <v>897</v>
      </c>
      <c r="G1488" s="597">
        <v>20.0</v>
      </c>
      <c r="H1488" s="689">
        <f t="shared" si="84"/>
        <v>58000</v>
      </c>
      <c r="I1488" s="599"/>
      <c r="J1488" s="599"/>
      <c r="K1488" s="615" t="s">
        <v>51</v>
      </c>
      <c r="L1488" s="616" t="s">
        <v>1139</v>
      </c>
      <c r="M1488" s="612" t="s">
        <v>1172</v>
      </c>
      <c r="N1488" s="612">
        <v>280.0</v>
      </c>
      <c r="O1488" s="662">
        <v>45853.0</v>
      </c>
      <c r="P1488" s="602">
        <f>TODAY()-O1488-60</f>
        <v>275</v>
      </c>
      <c r="Q1488" s="622"/>
      <c r="R1488" s="74"/>
      <c r="S1488" s="74"/>
      <c r="T1488" s="74"/>
      <c r="U1488" s="74"/>
      <c r="V1488" s="74"/>
      <c r="W1488" s="74"/>
      <c r="X1488" s="74"/>
      <c r="Y1488" s="74"/>
      <c r="Z1488" s="74"/>
      <c r="AA1488" s="74"/>
      <c r="AB1488" s="74"/>
      <c r="AC1488" s="74"/>
      <c r="AD1488" s="74"/>
      <c r="AE1488" s="74"/>
      <c r="AF1488" s="74"/>
      <c r="AG1488" s="74"/>
      <c r="AH1488" s="74"/>
      <c r="AI1488" s="74"/>
    </row>
    <row r="1489" ht="22.5" customHeight="1">
      <c r="A1489" s="614">
        <v>45925.0</v>
      </c>
      <c r="B1489" s="137" t="s">
        <v>2218</v>
      </c>
      <c r="C1489" s="609"/>
      <c r="D1489" s="609"/>
      <c r="E1489" s="604" t="s">
        <v>33</v>
      </c>
      <c r="F1489" s="607" t="s">
        <v>1099</v>
      </c>
      <c r="G1489" s="597">
        <v>0.0</v>
      </c>
      <c r="H1489" s="689">
        <f t="shared" si="84"/>
        <v>0</v>
      </c>
      <c r="I1489" s="599"/>
      <c r="J1489" s="605">
        <v>8500.0</v>
      </c>
      <c r="K1489" s="615" t="s">
        <v>2240</v>
      </c>
      <c r="L1489" s="611"/>
      <c r="M1489" s="621"/>
      <c r="N1489" s="621"/>
      <c r="O1489" s="621"/>
      <c r="P1489" s="602"/>
      <c r="Q1489" s="622"/>
      <c r="R1489" s="74"/>
      <c r="S1489" s="74"/>
      <c r="T1489" s="74"/>
      <c r="U1489" s="74"/>
      <c r="V1489" s="74"/>
      <c r="W1489" s="74"/>
      <c r="X1489" s="74"/>
      <c r="Y1489" s="74"/>
      <c r="Z1489" s="74"/>
      <c r="AA1489" s="74"/>
      <c r="AB1489" s="74"/>
      <c r="AC1489" s="74"/>
      <c r="AD1489" s="74"/>
      <c r="AE1489" s="74"/>
      <c r="AF1489" s="74"/>
      <c r="AG1489" s="74"/>
      <c r="AH1489" s="74"/>
      <c r="AI1489" s="74"/>
    </row>
    <row r="1490" ht="22.5" customHeight="1">
      <c r="A1490" s="614">
        <v>45925.0</v>
      </c>
      <c r="B1490" s="137" t="s">
        <v>2218</v>
      </c>
      <c r="C1490" s="609"/>
      <c r="D1490" s="610">
        <f>71554.53+11655.36+288.8+772229.18</f>
        <v>855727.87</v>
      </c>
      <c r="E1490" s="604" t="s">
        <v>28</v>
      </c>
      <c r="F1490" s="607" t="s">
        <v>203</v>
      </c>
      <c r="G1490" s="597">
        <v>0.0</v>
      </c>
      <c r="H1490" s="689">
        <f t="shared" si="84"/>
        <v>0</v>
      </c>
      <c r="I1490" s="599"/>
      <c r="J1490" s="599"/>
      <c r="K1490" s="615" t="s">
        <v>280</v>
      </c>
      <c r="L1490" s="615" t="s">
        <v>427</v>
      </c>
      <c r="M1490" s="621"/>
      <c r="N1490" s="621"/>
      <c r="O1490" s="621"/>
      <c r="P1490" s="602"/>
      <c r="Q1490" s="622"/>
      <c r="R1490" s="74"/>
      <c r="S1490" s="74"/>
      <c r="T1490" s="74"/>
      <c r="U1490" s="74"/>
      <c r="V1490" s="74"/>
      <c r="W1490" s="74"/>
      <c r="X1490" s="74"/>
      <c r="Y1490" s="74"/>
      <c r="Z1490" s="74"/>
      <c r="AA1490" s="74"/>
      <c r="AB1490" s="74"/>
      <c r="AC1490" s="74"/>
      <c r="AD1490" s="74"/>
      <c r="AE1490" s="74"/>
      <c r="AF1490" s="74"/>
      <c r="AG1490" s="74"/>
      <c r="AH1490" s="74"/>
      <c r="AI1490" s="74"/>
    </row>
    <row r="1491" ht="22.5" customHeight="1">
      <c r="A1491" s="614">
        <v>45925.0</v>
      </c>
      <c r="B1491" s="137" t="s">
        <v>2218</v>
      </c>
      <c r="C1491" s="609"/>
      <c r="D1491" s="610">
        <v>100000.0</v>
      </c>
      <c r="E1491" s="604" t="s">
        <v>28</v>
      </c>
      <c r="F1491" s="607" t="s">
        <v>1099</v>
      </c>
      <c r="G1491" s="597">
        <v>0.0</v>
      </c>
      <c r="H1491" s="689">
        <f t="shared" si="84"/>
        <v>0</v>
      </c>
      <c r="I1491" s="599"/>
      <c r="J1491" s="599"/>
      <c r="K1491" s="615" t="s">
        <v>2230</v>
      </c>
      <c r="L1491" s="615" t="s">
        <v>505</v>
      </c>
      <c r="M1491" s="621"/>
      <c r="N1491" s="621"/>
      <c r="O1491" s="621"/>
      <c r="P1491" s="706"/>
      <c r="Q1491" s="622"/>
      <c r="R1491" s="74"/>
      <c r="S1491" s="74"/>
      <c r="T1491" s="74"/>
      <c r="U1491" s="74"/>
      <c r="V1491" s="74"/>
      <c r="W1491" s="74"/>
      <c r="X1491" s="74"/>
      <c r="Y1491" s="74"/>
      <c r="Z1491" s="74"/>
      <c r="AA1491" s="74"/>
      <c r="AB1491" s="74"/>
      <c r="AC1491" s="74"/>
      <c r="AD1491" s="74"/>
      <c r="AE1491" s="74"/>
      <c r="AF1491" s="74"/>
      <c r="AG1491" s="74"/>
      <c r="AH1491" s="74"/>
      <c r="AI1491" s="74"/>
    </row>
    <row r="1492" ht="22.5" customHeight="1">
      <c r="A1492" s="614">
        <v>45929.0</v>
      </c>
      <c r="B1492" s="157" t="s">
        <v>2218</v>
      </c>
      <c r="C1492" s="610">
        <v>263999.97</v>
      </c>
      <c r="D1492" s="609"/>
      <c r="E1492" s="604" t="s">
        <v>28</v>
      </c>
      <c r="F1492" s="627" t="s">
        <v>722</v>
      </c>
      <c r="G1492" s="597">
        <v>20.0</v>
      </c>
      <c r="H1492" s="689">
        <f t="shared" si="84"/>
        <v>43999.995</v>
      </c>
      <c r="I1492" s="599"/>
      <c r="J1492" s="599"/>
      <c r="K1492" s="615" t="s">
        <v>51</v>
      </c>
      <c r="L1492" s="616" t="s">
        <v>944</v>
      </c>
      <c r="M1492" s="612" t="s">
        <v>888</v>
      </c>
      <c r="N1492" s="612">
        <v>202.0</v>
      </c>
      <c r="O1492" s="662">
        <v>45797.0</v>
      </c>
      <c r="P1492" s="706">
        <f t="shared" ref="P1492:P1494" si="94">TODAY()-O1492-120</f>
        <v>271</v>
      </c>
      <c r="Q1492" s="622"/>
      <c r="R1492" s="74"/>
      <c r="S1492" s="74"/>
      <c r="T1492" s="74"/>
      <c r="U1492" s="74"/>
      <c r="V1492" s="74"/>
      <c r="W1492" s="74"/>
      <c r="X1492" s="74"/>
      <c r="Y1492" s="74"/>
      <c r="Z1492" s="74"/>
      <c r="AA1492" s="74"/>
      <c r="AB1492" s="74"/>
      <c r="AC1492" s="74"/>
      <c r="AD1492" s="74"/>
      <c r="AE1492" s="74"/>
      <c r="AF1492" s="74"/>
      <c r="AG1492" s="74"/>
      <c r="AH1492" s="74"/>
      <c r="AI1492" s="74"/>
    </row>
    <row r="1493" ht="22.5" customHeight="1">
      <c r="A1493" s="614">
        <v>45929.0</v>
      </c>
      <c r="B1493" s="157" t="s">
        <v>2218</v>
      </c>
      <c r="C1493" s="610">
        <v>329999.9</v>
      </c>
      <c r="D1493" s="609"/>
      <c r="E1493" s="604" t="s">
        <v>28</v>
      </c>
      <c r="F1493" s="627" t="s">
        <v>722</v>
      </c>
      <c r="G1493" s="597">
        <v>20.0</v>
      </c>
      <c r="H1493" s="689">
        <f t="shared" si="84"/>
        <v>54999.98333</v>
      </c>
      <c r="I1493" s="599"/>
      <c r="J1493" s="599"/>
      <c r="K1493" s="615" t="s">
        <v>51</v>
      </c>
      <c r="L1493" s="616" t="s">
        <v>944</v>
      </c>
      <c r="M1493" s="612" t="s">
        <v>888</v>
      </c>
      <c r="N1493" s="612">
        <v>203.0</v>
      </c>
      <c r="O1493" s="662">
        <v>45797.0</v>
      </c>
      <c r="P1493" s="706">
        <f t="shared" si="94"/>
        <v>271</v>
      </c>
      <c r="Q1493" s="622"/>
      <c r="R1493" s="74"/>
      <c r="S1493" s="74"/>
      <c r="T1493" s="74"/>
      <c r="U1493" s="74"/>
      <c r="V1493" s="74"/>
      <c r="W1493" s="74"/>
      <c r="X1493" s="74"/>
      <c r="Y1493" s="74"/>
      <c r="Z1493" s="74"/>
      <c r="AA1493" s="74"/>
      <c r="AB1493" s="74"/>
      <c r="AC1493" s="74"/>
      <c r="AD1493" s="74"/>
      <c r="AE1493" s="74"/>
      <c r="AF1493" s="74"/>
      <c r="AG1493" s="74"/>
      <c r="AH1493" s="74"/>
      <c r="AI1493" s="74"/>
    </row>
    <row r="1494" ht="22.5" customHeight="1">
      <c r="A1494" s="614">
        <v>45929.0</v>
      </c>
      <c r="B1494" s="157" t="s">
        <v>2218</v>
      </c>
      <c r="C1494" s="610">
        <v>133320.0</v>
      </c>
      <c r="D1494" s="609"/>
      <c r="E1494" s="604" t="s">
        <v>28</v>
      </c>
      <c r="F1494" s="627" t="s">
        <v>722</v>
      </c>
      <c r="G1494" s="597">
        <v>20.0</v>
      </c>
      <c r="H1494" s="689">
        <f t="shared" si="84"/>
        <v>22220</v>
      </c>
      <c r="I1494" s="599"/>
      <c r="J1494" s="599"/>
      <c r="K1494" s="615" t="s">
        <v>51</v>
      </c>
      <c r="L1494" s="616" t="s">
        <v>944</v>
      </c>
      <c r="M1494" s="612" t="s">
        <v>888</v>
      </c>
      <c r="N1494" s="612">
        <v>204.0</v>
      </c>
      <c r="O1494" s="662">
        <v>45797.0</v>
      </c>
      <c r="P1494" s="706">
        <f t="shared" si="94"/>
        <v>271</v>
      </c>
      <c r="Q1494" s="622"/>
      <c r="R1494" s="74"/>
      <c r="S1494" s="74"/>
      <c r="T1494" s="74"/>
      <c r="U1494" s="74"/>
      <c r="V1494" s="74"/>
      <c r="W1494" s="74"/>
      <c r="X1494" s="74"/>
      <c r="Y1494" s="74"/>
      <c r="Z1494" s="74"/>
      <c r="AA1494" s="74"/>
      <c r="AB1494" s="74"/>
      <c r="AC1494" s="74"/>
      <c r="AD1494" s="74"/>
      <c r="AE1494" s="74"/>
      <c r="AF1494" s="74"/>
      <c r="AG1494" s="74"/>
      <c r="AH1494" s="74"/>
      <c r="AI1494" s="74"/>
    </row>
    <row r="1495" ht="22.5" customHeight="1">
      <c r="A1495" s="614">
        <v>45929.0</v>
      </c>
      <c r="B1495" s="137" t="s">
        <v>2218</v>
      </c>
      <c r="C1495" s="609"/>
      <c r="D1495" s="609">
        <f>1560133</f>
        <v>1560133</v>
      </c>
      <c r="E1495" s="604" t="s">
        <v>28</v>
      </c>
      <c r="F1495" s="607" t="s">
        <v>1099</v>
      </c>
      <c r="G1495" s="597">
        <v>0.0</v>
      </c>
      <c r="H1495" s="689">
        <f t="shared" si="84"/>
        <v>0</v>
      </c>
      <c r="I1495" s="599"/>
      <c r="J1495" s="599"/>
      <c r="K1495" s="615" t="s">
        <v>236</v>
      </c>
      <c r="L1495" s="615" t="s">
        <v>1173</v>
      </c>
      <c r="M1495" s="621"/>
      <c r="N1495" s="621"/>
      <c r="O1495" s="621"/>
      <c r="P1495" s="602"/>
      <c r="Q1495" s="622"/>
      <c r="R1495" s="74"/>
      <c r="S1495" s="74"/>
      <c r="T1495" s="74"/>
      <c r="U1495" s="74"/>
      <c r="V1495" s="74"/>
      <c r="W1495" s="74"/>
      <c r="X1495" s="74"/>
      <c r="Y1495" s="74"/>
      <c r="Z1495" s="74"/>
      <c r="AA1495" s="74"/>
      <c r="AB1495" s="74"/>
      <c r="AC1495" s="74"/>
      <c r="AD1495" s="74"/>
      <c r="AE1495" s="74"/>
      <c r="AF1495" s="74"/>
      <c r="AG1495" s="74"/>
      <c r="AH1495" s="74"/>
      <c r="AI1495" s="74"/>
    </row>
    <row r="1496" ht="22.5" customHeight="1">
      <c r="A1496" s="614">
        <v>45929.0</v>
      </c>
      <c r="B1496" s="137" t="s">
        <v>2218</v>
      </c>
      <c r="C1496" s="609"/>
      <c r="D1496" s="610">
        <v>2632127.0</v>
      </c>
      <c r="E1496" s="604" t="s">
        <v>28</v>
      </c>
      <c r="F1496" s="607" t="s">
        <v>1099</v>
      </c>
      <c r="G1496" s="597">
        <v>0.0</v>
      </c>
      <c r="H1496" s="689">
        <f t="shared" si="84"/>
        <v>0</v>
      </c>
      <c r="I1496" s="599"/>
      <c r="J1496" s="599"/>
      <c r="K1496" s="615" t="s">
        <v>236</v>
      </c>
      <c r="L1496" s="615" t="s">
        <v>18</v>
      </c>
      <c r="M1496" s="621"/>
      <c r="N1496" s="621"/>
      <c r="O1496" s="621"/>
      <c r="P1496" s="602"/>
      <c r="Q1496" s="622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</row>
    <row r="1497" ht="22.5" customHeight="1">
      <c r="A1497" s="614">
        <v>45929.0</v>
      </c>
      <c r="B1497" s="137" t="s">
        <v>2218</v>
      </c>
      <c r="C1497" s="609"/>
      <c r="D1497" s="610">
        <v>179431.0</v>
      </c>
      <c r="E1497" s="604" t="s">
        <v>28</v>
      </c>
      <c r="F1497" s="607" t="s">
        <v>1099</v>
      </c>
      <c r="G1497" s="597">
        <v>0.0</v>
      </c>
      <c r="H1497" s="689">
        <f t="shared" si="84"/>
        <v>0</v>
      </c>
      <c r="I1497" s="599"/>
      <c r="J1497" s="599"/>
      <c r="K1497" s="615" t="s">
        <v>236</v>
      </c>
      <c r="L1497" s="615" t="s">
        <v>1011</v>
      </c>
      <c r="M1497" s="621"/>
      <c r="N1497" s="621"/>
      <c r="O1497" s="621"/>
      <c r="P1497" s="602"/>
      <c r="Q1497" s="622"/>
      <c r="R1497" s="74"/>
      <c r="S1497" s="74"/>
      <c r="T1497" s="74"/>
      <c r="U1497" s="74"/>
      <c r="V1497" s="74"/>
      <c r="W1497" s="74"/>
      <c r="X1497" s="74"/>
      <c r="Y1497" s="74"/>
      <c r="Z1497" s="74"/>
      <c r="AA1497" s="74"/>
      <c r="AB1497" s="74"/>
      <c r="AC1497" s="74"/>
      <c r="AD1497" s="74"/>
      <c r="AE1497" s="74"/>
      <c r="AF1497" s="74"/>
      <c r="AG1497" s="74"/>
      <c r="AH1497" s="74"/>
      <c r="AI1497" s="74"/>
    </row>
    <row r="1498" ht="22.5" customHeight="1">
      <c r="A1498" s="614">
        <v>45929.0</v>
      </c>
      <c r="B1498" s="137" t="s">
        <v>2218</v>
      </c>
      <c r="C1498" s="609"/>
      <c r="D1498" s="610">
        <v>425861.14</v>
      </c>
      <c r="E1498" s="604" t="s">
        <v>28</v>
      </c>
      <c r="F1498" s="607" t="s">
        <v>1099</v>
      </c>
      <c r="G1498" s="597">
        <v>0.0</v>
      </c>
      <c r="H1498" s="689">
        <f t="shared" si="84"/>
        <v>0</v>
      </c>
      <c r="I1498" s="599"/>
      <c r="J1498" s="599"/>
      <c r="K1498" s="615" t="s">
        <v>236</v>
      </c>
      <c r="L1498" s="615" t="s">
        <v>1010</v>
      </c>
      <c r="M1498" s="621"/>
      <c r="N1498" s="621"/>
      <c r="O1498" s="621"/>
      <c r="P1498" s="602"/>
      <c r="Q1498" s="622"/>
      <c r="R1498" s="74"/>
      <c r="S1498" s="74"/>
      <c r="T1498" s="74"/>
      <c r="U1498" s="74"/>
      <c r="V1498" s="74"/>
      <c r="W1498" s="74"/>
      <c r="X1498" s="74"/>
      <c r="Y1498" s="74"/>
      <c r="Z1498" s="74"/>
      <c r="AA1498" s="74"/>
      <c r="AB1498" s="74"/>
      <c r="AC1498" s="74"/>
      <c r="AD1498" s="74"/>
      <c r="AE1498" s="74"/>
      <c r="AF1498" s="74"/>
      <c r="AG1498" s="74"/>
      <c r="AH1498" s="74"/>
      <c r="AI1498" s="74"/>
    </row>
    <row r="1499" ht="22.5" customHeight="1">
      <c r="A1499" s="614">
        <v>45929.0</v>
      </c>
      <c r="B1499" s="137" t="s">
        <v>2218</v>
      </c>
      <c r="C1499" s="609"/>
      <c r="D1499" s="609"/>
      <c r="E1499" s="604" t="s">
        <v>33</v>
      </c>
      <c r="F1499" s="607" t="s">
        <v>1099</v>
      </c>
      <c r="G1499" s="597">
        <v>0.0</v>
      </c>
      <c r="H1499" s="689">
        <f t="shared" si="84"/>
        <v>0</v>
      </c>
      <c r="I1499" s="599"/>
      <c r="J1499" s="605">
        <v>50000.0</v>
      </c>
      <c r="K1499" s="615" t="s">
        <v>591</v>
      </c>
      <c r="L1499" s="615" t="s">
        <v>128</v>
      </c>
      <c r="M1499" s="621"/>
      <c r="N1499" s="621"/>
      <c r="O1499" s="621"/>
      <c r="P1499" s="602"/>
      <c r="Q1499" s="622"/>
      <c r="R1499" s="74"/>
      <c r="S1499" s="74"/>
      <c r="T1499" s="74"/>
      <c r="U1499" s="74"/>
      <c r="V1499" s="74"/>
      <c r="W1499" s="74"/>
      <c r="X1499" s="74"/>
      <c r="Y1499" s="74"/>
      <c r="Z1499" s="74"/>
      <c r="AA1499" s="74"/>
      <c r="AB1499" s="74"/>
      <c r="AC1499" s="74"/>
      <c r="AD1499" s="74"/>
      <c r="AE1499" s="74"/>
      <c r="AF1499" s="74"/>
      <c r="AG1499" s="74"/>
      <c r="AH1499" s="74"/>
      <c r="AI1499" s="74"/>
    </row>
    <row r="1500" ht="22.5" customHeight="1">
      <c r="A1500" s="614">
        <v>45931.0</v>
      </c>
      <c r="B1500" s="137" t="s">
        <v>2218</v>
      </c>
      <c r="C1500" s="609"/>
      <c r="D1500" s="609">
        <f>79*96</f>
        <v>7584</v>
      </c>
      <c r="E1500" s="604" t="s">
        <v>28</v>
      </c>
      <c r="F1500" s="627" t="s">
        <v>294</v>
      </c>
      <c r="G1500" s="688">
        <v>0.0</v>
      </c>
      <c r="H1500" s="689">
        <f t="shared" si="84"/>
        <v>0</v>
      </c>
      <c r="I1500" s="599"/>
      <c r="J1500" s="599"/>
      <c r="K1500" s="615" t="s">
        <v>294</v>
      </c>
      <c r="L1500" s="616" t="s">
        <v>719</v>
      </c>
      <c r="M1500" s="621"/>
      <c r="N1500" s="621"/>
      <c r="O1500" s="621"/>
      <c r="P1500" s="602"/>
      <c r="Q1500" s="613" t="s">
        <v>1174</v>
      </c>
      <c r="R1500" s="74"/>
      <c r="S1500" s="74"/>
      <c r="T1500" s="74"/>
      <c r="U1500" s="74"/>
      <c r="V1500" s="74"/>
      <c r="W1500" s="74"/>
      <c r="X1500" s="74"/>
      <c r="Y1500" s="74"/>
      <c r="Z1500" s="74"/>
      <c r="AA1500" s="74"/>
      <c r="AB1500" s="74"/>
      <c r="AC1500" s="74"/>
      <c r="AD1500" s="74"/>
      <c r="AE1500" s="74"/>
      <c r="AF1500" s="74"/>
      <c r="AG1500" s="74"/>
      <c r="AH1500" s="74"/>
      <c r="AI1500" s="74"/>
    </row>
    <row r="1501" ht="22.5" customHeight="1">
      <c r="A1501" s="614">
        <v>45933.0</v>
      </c>
      <c r="B1501" s="137" t="s">
        <v>2218</v>
      </c>
      <c r="C1501" s="609"/>
      <c r="D1501" s="609"/>
      <c r="E1501" s="604" t="s">
        <v>33</v>
      </c>
      <c r="F1501" s="607" t="s">
        <v>591</v>
      </c>
      <c r="G1501" s="597">
        <v>0.0</v>
      </c>
      <c r="H1501" s="689">
        <f t="shared" si="84"/>
        <v>0</v>
      </c>
      <c r="I1501" s="599"/>
      <c r="J1501" s="605">
        <v>15000.0</v>
      </c>
      <c r="K1501" s="615" t="s">
        <v>591</v>
      </c>
      <c r="L1501" s="615" t="s">
        <v>1175</v>
      </c>
      <c r="M1501" s="621"/>
      <c r="N1501" s="621"/>
      <c r="O1501" s="621"/>
      <c r="P1501" s="602"/>
      <c r="Q1501" s="622"/>
      <c r="R1501" s="74"/>
      <c r="S1501" s="74"/>
      <c r="T1501" s="74"/>
      <c r="U1501" s="74"/>
      <c r="V1501" s="74"/>
      <c r="W1501" s="74"/>
      <c r="X1501" s="74"/>
      <c r="Y1501" s="74"/>
      <c r="Z1501" s="74"/>
      <c r="AA1501" s="74"/>
      <c r="AB1501" s="74"/>
      <c r="AC1501" s="74"/>
      <c r="AD1501" s="74"/>
      <c r="AE1501" s="74"/>
      <c r="AF1501" s="74"/>
      <c r="AG1501" s="74"/>
      <c r="AH1501" s="74"/>
      <c r="AI1501" s="74"/>
    </row>
    <row r="1502" ht="22.5" customHeight="1">
      <c r="A1502" s="614">
        <v>45933.0</v>
      </c>
      <c r="B1502" s="137" t="s">
        <v>2218</v>
      </c>
      <c r="C1502" s="609"/>
      <c r="D1502" s="609"/>
      <c r="E1502" s="604" t="s">
        <v>33</v>
      </c>
      <c r="F1502" s="607" t="s">
        <v>591</v>
      </c>
      <c r="G1502" s="597">
        <v>0.0</v>
      </c>
      <c r="H1502" s="689">
        <f t="shared" si="84"/>
        <v>0</v>
      </c>
      <c r="I1502" s="599"/>
      <c r="J1502" s="605">
        <v>30000.0</v>
      </c>
      <c r="K1502" s="615" t="s">
        <v>591</v>
      </c>
      <c r="L1502" s="615" t="s">
        <v>1176</v>
      </c>
      <c r="M1502" s="621"/>
      <c r="N1502" s="621"/>
      <c r="O1502" s="621"/>
      <c r="P1502" s="602"/>
      <c r="Q1502" s="622"/>
      <c r="R1502" s="74"/>
      <c r="S1502" s="74"/>
      <c r="T1502" s="74"/>
      <c r="U1502" s="74"/>
      <c r="V1502" s="74"/>
      <c r="W1502" s="74"/>
      <c r="X1502" s="74"/>
      <c r="Y1502" s="74"/>
      <c r="Z1502" s="74"/>
      <c r="AA1502" s="74"/>
      <c r="AB1502" s="74"/>
      <c r="AC1502" s="74"/>
      <c r="AD1502" s="74"/>
      <c r="AE1502" s="74"/>
      <c r="AF1502" s="74"/>
      <c r="AG1502" s="74"/>
      <c r="AH1502" s="74"/>
      <c r="AI1502" s="74"/>
    </row>
    <row r="1503" ht="22.5" customHeight="1">
      <c r="A1503" s="614">
        <v>45935.0</v>
      </c>
      <c r="B1503" s="137" t="s">
        <v>2218</v>
      </c>
      <c r="C1503" s="609"/>
      <c r="D1503" s="609"/>
      <c r="E1503" s="604" t="s">
        <v>33</v>
      </c>
      <c r="F1503" s="607" t="s">
        <v>68</v>
      </c>
      <c r="G1503" s="597">
        <v>0.0</v>
      </c>
      <c r="H1503" s="689">
        <f t="shared" si="84"/>
        <v>0</v>
      </c>
      <c r="I1503" s="599"/>
      <c r="J1503" s="605">
        <v>30000.0</v>
      </c>
      <c r="K1503" s="615" t="s">
        <v>108</v>
      </c>
      <c r="L1503" s="615" t="s">
        <v>1177</v>
      </c>
      <c r="M1503" s="621"/>
      <c r="N1503" s="621"/>
      <c r="O1503" s="621"/>
      <c r="P1503" s="602"/>
      <c r="Q1503" s="622"/>
      <c r="R1503" s="74"/>
      <c r="S1503" s="74"/>
      <c r="T1503" s="74"/>
      <c r="U1503" s="74"/>
      <c r="V1503" s="74"/>
      <c r="W1503" s="74"/>
      <c r="X1503" s="74"/>
      <c r="Y1503" s="74"/>
      <c r="Z1503" s="74"/>
      <c r="AA1503" s="74"/>
      <c r="AB1503" s="74"/>
      <c r="AC1503" s="74"/>
      <c r="AD1503" s="74"/>
      <c r="AE1503" s="74"/>
      <c r="AF1503" s="74"/>
      <c r="AG1503" s="74"/>
      <c r="AH1503" s="74"/>
      <c r="AI1503" s="74"/>
    </row>
    <row r="1504" ht="22.5" customHeight="1">
      <c r="A1504" s="614">
        <v>45935.0</v>
      </c>
      <c r="B1504" s="137" t="s">
        <v>2218</v>
      </c>
      <c r="C1504" s="609"/>
      <c r="D1504" s="609"/>
      <c r="E1504" s="604" t="s">
        <v>33</v>
      </c>
      <c r="F1504" s="607" t="s">
        <v>591</v>
      </c>
      <c r="G1504" s="597">
        <v>0.0</v>
      </c>
      <c r="H1504" s="689">
        <f t="shared" si="84"/>
        <v>0</v>
      </c>
      <c r="I1504" s="599"/>
      <c r="J1504" s="605">
        <v>20000.0</v>
      </c>
      <c r="K1504" s="615" t="s">
        <v>203</v>
      </c>
      <c r="L1504" s="615" t="s">
        <v>1178</v>
      </c>
      <c r="M1504" s="621"/>
      <c r="N1504" s="621"/>
      <c r="O1504" s="621"/>
      <c r="P1504" s="602"/>
      <c r="Q1504" s="622"/>
      <c r="R1504" s="74"/>
      <c r="S1504" s="74"/>
      <c r="T1504" s="74"/>
      <c r="U1504" s="74"/>
      <c r="V1504" s="74"/>
      <c r="W1504" s="74"/>
      <c r="X1504" s="74"/>
      <c r="Y1504" s="74"/>
      <c r="Z1504" s="74"/>
      <c r="AA1504" s="74"/>
      <c r="AB1504" s="74"/>
      <c r="AC1504" s="74"/>
      <c r="AD1504" s="74"/>
      <c r="AE1504" s="74"/>
      <c r="AF1504" s="74"/>
      <c r="AG1504" s="74"/>
      <c r="AH1504" s="74"/>
      <c r="AI1504" s="74"/>
    </row>
    <row r="1505" ht="22.5" customHeight="1">
      <c r="A1505" s="614">
        <v>45935.0</v>
      </c>
      <c r="B1505" s="137" t="s">
        <v>2218</v>
      </c>
      <c r="C1505" s="609"/>
      <c r="D1505" s="609"/>
      <c r="E1505" s="604" t="s">
        <v>33</v>
      </c>
      <c r="F1505" s="607" t="s">
        <v>1179</v>
      </c>
      <c r="G1505" s="597">
        <v>0.0</v>
      </c>
      <c r="H1505" s="689">
        <f t="shared" si="84"/>
        <v>0</v>
      </c>
      <c r="I1505" s="599"/>
      <c r="J1505" s="605">
        <v>8500.0</v>
      </c>
      <c r="K1505" s="615" t="s">
        <v>494</v>
      </c>
      <c r="L1505" s="615" t="s">
        <v>1180</v>
      </c>
      <c r="M1505" s="621"/>
      <c r="N1505" s="621"/>
      <c r="O1505" s="621"/>
      <c r="P1505" s="602"/>
      <c r="Q1505" s="622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</row>
    <row r="1506" ht="22.5" customHeight="1">
      <c r="A1506" s="614">
        <v>45939.0</v>
      </c>
      <c r="B1506" s="137" t="s">
        <v>2218</v>
      </c>
      <c r="C1506" s="609"/>
      <c r="D1506" s="609"/>
      <c r="E1506" s="604" t="s">
        <v>33</v>
      </c>
      <c r="F1506" s="607" t="s">
        <v>1181</v>
      </c>
      <c r="G1506" s="597">
        <v>0.0</v>
      </c>
      <c r="H1506" s="689">
        <f t="shared" si="84"/>
        <v>0</v>
      </c>
      <c r="I1506" s="599"/>
      <c r="J1506" s="605">
        <v>40000.0</v>
      </c>
      <c r="K1506" s="615" t="s">
        <v>1181</v>
      </c>
      <c r="L1506" s="615" t="s">
        <v>1182</v>
      </c>
      <c r="M1506" s="621"/>
      <c r="N1506" s="621"/>
      <c r="O1506" s="621"/>
      <c r="P1506" s="602"/>
      <c r="Q1506" s="622"/>
      <c r="R1506" s="74"/>
      <c r="S1506" s="74"/>
      <c r="T1506" s="74"/>
      <c r="U1506" s="74"/>
      <c r="V1506" s="74"/>
      <c r="W1506" s="74"/>
      <c r="X1506" s="74"/>
      <c r="Y1506" s="74"/>
      <c r="Z1506" s="74"/>
      <c r="AA1506" s="74"/>
      <c r="AB1506" s="74"/>
      <c r="AC1506" s="74"/>
      <c r="AD1506" s="74"/>
      <c r="AE1506" s="74"/>
      <c r="AF1506" s="74"/>
      <c r="AG1506" s="74"/>
      <c r="AH1506" s="74"/>
      <c r="AI1506" s="74"/>
    </row>
    <row r="1507" ht="22.5" customHeight="1">
      <c r="A1507" s="614">
        <v>45939.0</v>
      </c>
      <c r="B1507" s="137" t="s">
        <v>2218</v>
      </c>
      <c r="C1507" s="609"/>
      <c r="D1507" s="609"/>
      <c r="E1507" s="604" t="s">
        <v>33</v>
      </c>
      <c r="F1507" s="607" t="s">
        <v>203</v>
      </c>
      <c r="G1507" s="597">
        <v>0.0</v>
      </c>
      <c r="H1507" s="689">
        <f t="shared" si="84"/>
        <v>0</v>
      </c>
      <c r="I1507" s="599"/>
      <c r="J1507" s="605">
        <v>30000.0</v>
      </c>
      <c r="K1507" s="615" t="s">
        <v>591</v>
      </c>
      <c r="L1507" s="615" t="s">
        <v>1143</v>
      </c>
      <c r="M1507" s="621"/>
      <c r="N1507" s="621"/>
      <c r="O1507" s="621"/>
      <c r="P1507" s="602"/>
      <c r="Q1507" s="622"/>
      <c r="R1507" s="74"/>
      <c r="S1507" s="74"/>
      <c r="T1507" s="74"/>
      <c r="U1507" s="74"/>
      <c r="V1507" s="74"/>
      <c r="W1507" s="74"/>
      <c r="X1507" s="74"/>
      <c r="Y1507" s="74"/>
      <c r="Z1507" s="74"/>
      <c r="AA1507" s="74"/>
      <c r="AB1507" s="74"/>
      <c r="AC1507" s="74"/>
      <c r="AD1507" s="74"/>
      <c r="AE1507" s="74"/>
      <c r="AF1507" s="74"/>
      <c r="AG1507" s="74"/>
      <c r="AH1507" s="74"/>
      <c r="AI1507" s="74"/>
    </row>
    <row r="1508" ht="22.5" customHeight="1">
      <c r="A1508" s="614">
        <v>45939.0</v>
      </c>
      <c r="B1508" s="137" t="s">
        <v>2218</v>
      </c>
      <c r="C1508" s="609"/>
      <c r="D1508" s="609"/>
      <c r="E1508" s="604" t="s">
        <v>33</v>
      </c>
      <c r="F1508" s="607" t="s">
        <v>203</v>
      </c>
      <c r="G1508" s="597">
        <v>0.0</v>
      </c>
      <c r="H1508" s="689">
        <f t="shared" si="84"/>
        <v>0</v>
      </c>
      <c r="I1508" s="599"/>
      <c r="J1508" s="605">
        <v>10000.0</v>
      </c>
      <c r="K1508" s="615" t="s">
        <v>591</v>
      </c>
      <c r="L1508" s="615" t="s">
        <v>1183</v>
      </c>
      <c r="M1508" s="621"/>
      <c r="N1508" s="621"/>
      <c r="O1508" s="621"/>
      <c r="P1508" s="602"/>
      <c r="Q1508" s="622"/>
      <c r="R1508" s="74"/>
      <c r="S1508" s="74"/>
      <c r="T1508" s="74"/>
      <c r="U1508" s="74"/>
      <c r="V1508" s="74"/>
      <c r="W1508" s="74"/>
      <c r="X1508" s="74"/>
      <c r="Y1508" s="74"/>
      <c r="Z1508" s="74"/>
      <c r="AA1508" s="74"/>
      <c r="AB1508" s="74"/>
      <c r="AC1508" s="74"/>
      <c r="AD1508" s="74"/>
      <c r="AE1508" s="74"/>
      <c r="AF1508" s="74"/>
      <c r="AG1508" s="74"/>
      <c r="AH1508" s="74"/>
      <c r="AI1508" s="74"/>
    </row>
    <row r="1509" ht="22.5" customHeight="1">
      <c r="A1509" s="614">
        <v>45939.0</v>
      </c>
      <c r="B1509" s="137" t="s">
        <v>2218</v>
      </c>
      <c r="C1509" s="609"/>
      <c r="D1509" s="609"/>
      <c r="E1509" s="604" t="s">
        <v>33</v>
      </c>
      <c r="F1509" s="607" t="s">
        <v>203</v>
      </c>
      <c r="G1509" s="597">
        <v>0.0</v>
      </c>
      <c r="H1509" s="689">
        <f t="shared" si="84"/>
        <v>0</v>
      </c>
      <c r="I1509" s="599"/>
      <c r="J1509" s="605">
        <v>20000.0</v>
      </c>
      <c r="K1509" s="615" t="s">
        <v>591</v>
      </c>
      <c r="L1509" s="615" t="s">
        <v>1184</v>
      </c>
      <c r="M1509" s="621"/>
      <c r="N1509" s="621"/>
      <c r="O1509" s="621"/>
      <c r="P1509" s="602"/>
      <c r="Q1509" s="622"/>
      <c r="R1509" s="74"/>
      <c r="S1509" s="74"/>
      <c r="T1509" s="74"/>
      <c r="U1509" s="74"/>
      <c r="V1509" s="74"/>
      <c r="W1509" s="74"/>
      <c r="X1509" s="74"/>
      <c r="Y1509" s="74"/>
      <c r="Z1509" s="74"/>
      <c r="AA1509" s="74"/>
      <c r="AB1509" s="74"/>
      <c r="AC1509" s="74"/>
      <c r="AD1509" s="74"/>
      <c r="AE1509" s="74"/>
      <c r="AF1509" s="74"/>
      <c r="AG1509" s="74"/>
      <c r="AH1509" s="74"/>
      <c r="AI1509" s="74"/>
    </row>
    <row r="1510" ht="22.5" customHeight="1">
      <c r="A1510" s="614">
        <v>45939.0</v>
      </c>
      <c r="B1510" s="137" t="s">
        <v>2218</v>
      </c>
      <c r="C1510" s="609"/>
      <c r="D1510" s="609"/>
      <c r="E1510" s="604" t="s">
        <v>33</v>
      </c>
      <c r="F1510" s="607" t="s">
        <v>203</v>
      </c>
      <c r="G1510" s="597">
        <v>0.0</v>
      </c>
      <c r="H1510" s="689">
        <f t="shared" si="84"/>
        <v>0</v>
      </c>
      <c r="I1510" s="599"/>
      <c r="J1510" s="605">
        <v>80000.0</v>
      </c>
      <c r="K1510" s="615" t="s">
        <v>591</v>
      </c>
      <c r="L1510" s="615" t="s">
        <v>1185</v>
      </c>
      <c r="M1510" s="621"/>
      <c r="N1510" s="621"/>
      <c r="O1510" s="621"/>
      <c r="P1510" s="602"/>
      <c r="Q1510" s="622"/>
      <c r="R1510" s="74"/>
      <c r="S1510" s="74"/>
      <c r="T1510" s="74"/>
      <c r="U1510" s="74"/>
      <c r="V1510" s="74"/>
      <c r="W1510" s="74"/>
      <c r="X1510" s="74"/>
      <c r="Y1510" s="74"/>
      <c r="Z1510" s="74"/>
      <c r="AA1510" s="74"/>
      <c r="AB1510" s="74"/>
      <c r="AC1510" s="74"/>
      <c r="AD1510" s="74"/>
      <c r="AE1510" s="74"/>
      <c r="AF1510" s="74"/>
      <c r="AG1510" s="74"/>
      <c r="AH1510" s="74"/>
      <c r="AI1510" s="74"/>
    </row>
    <row r="1511" ht="22.5" customHeight="1">
      <c r="A1511" s="614">
        <v>45939.0</v>
      </c>
      <c r="B1511" s="137" t="s">
        <v>2218</v>
      </c>
      <c r="C1511" s="609"/>
      <c r="D1511" s="609"/>
      <c r="E1511" s="604" t="s">
        <v>33</v>
      </c>
      <c r="F1511" s="607" t="s">
        <v>203</v>
      </c>
      <c r="G1511" s="597">
        <v>0.0</v>
      </c>
      <c r="H1511" s="689">
        <f t="shared" si="84"/>
        <v>0</v>
      </c>
      <c r="I1511" s="599"/>
      <c r="J1511" s="605">
        <v>20000.0</v>
      </c>
      <c r="K1511" s="615" t="s">
        <v>591</v>
      </c>
      <c r="L1511" s="615" t="s">
        <v>1186</v>
      </c>
      <c r="M1511" s="621"/>
      <c r="N1511" s="621"/>
      <c r="O1511" s="621"/>
      <c r="P1511" s="706"/>
      <c r="Q1511" s="622"/>
      <c r="R1511" s="74"/>
      <c r="S1511" s="74"/>
      <c r="T1511" s="74"/>
      <c r="U1511" s="74"/>
      <c r="V1511" s="74"/>
      <c r="W1511" s="74"/>
      <c r="X1511" s="74"/>
      <c r="Y1511" s="74"/>
      <c r="Z1511" s="74"/>
      <c r="AA1511" s="74"/>
      <c r="AB1511" s="74"/>
      <c r="AC1511" s="74"/>
      <c r="AD1511" s="74"/>
      <c r="AE1511" s="74"/>
      <c r="AF1511" s="74"/>
      <c r="AG1511" s="74"/>
      <c r="AH1511" s="74"/>
      <c r="AI1511" s="74"/>
    </row>
    <row r="1512" ht="22.5" customHeight="1">
      <c r="A1512" s="614">
        <v>45940.0</v>
      </c>
      <c r="B1512" s="157" t="s">
        <v>2218</v>
      </c>
      <c r="C1512" s="610">
        <v>1411200.0</v>
      </c>
      <c r="D1512" s="609"/>
      <c r="E1512" s="604" t="s">
        <v>28</v>
      </c>
      <c r="F1512" s="627" t="s">
        <v>722</v>
      </c>
      <c r="G1512" s="597">
        <v>20.0</v>
      </c>
      <c r="H1512" s="689">
        <f t="shared" si="84"/>
        <v>235200</v>
      </c>
      <c r="I1512" s="599"/>
      <c r="J1512" s="599"/>
      <c r="K1512" s="615" t="s">
        <v>51</v>
      </c>
      <c r="L1512" s="616" t="s">
        <v>1094</v>
      </c>
      <c r="M1512" s="612" t="s">
        <v>1187</v>
      </c>
      <c r="N1512" s="612">
        <v>200.0</v>
      </c>
      <c r="O1512" s="662">
        <v>45796.0</v>
      </c>
      <c r="P1512" s="706">
        <f t="shared" ref="P1512:P1520" si="95">TODAY()-O1512-60</f>
        <v>332</v>
      </c>
      <c r="Q1512" s="622"/>
      <c r="R1512" s="74"/>
      <c r="S1512" s="74"/>
      <c r="T1512" s="74"/>
      <c r="U1512" s="74"/>
      <c r="V1512" s="74"/>
      <c r="W1512" s="74"/>
      <c r="X1512" s="74"/>
      <c r="Y1512" s="74"/>
      <c r="Z1512" s="74"/>
      <c r="AA1512" s="74"/>
      <c r="AB1512" s="74"/>
      <c r="AC1512" s="74"/>
      <c r="AD1512" s="74"/>
      <c r="AE1512" s="74"/>
      <c r="AF1512" s="74"/>
      <c r="AG1512" s="74"/>
      <c r="AH1512" s="74"/>
      <c r="AI1512" s="74"/>
    </row>
    <row r="1513" ht="22.5" customHeight="1">
      <c r="A1513" s="614">
        <v>45940.0</v>
      </c>
      <c r="B1513" s="157" t="s">
        <v>2218</v>
      </c>
      <c r="C1513" s="610">
        <v>294000.0</v>
      </c>
      <c r="D1513" s="609"/>
      <c r="E1513" s="604" t="s">
        <v>28</v>
      </c>
      <c r="F1513" s="627" t="s">
        <v>800</v>
      </c>
      <c r="G1513" s="597">
        <v>20.0</v>
      </c>
      <c r="H1513" s="689">
        <f t="shared" si="84"/>
        <v>49000</v>
      </c>
      <c r="I1513" s="599"/>
      <c r="J1513" s="599"/>
      <c r="K1513" s="674" t="s">
        <v>51</v>
      </c>
      <c r="L1513" s="616" t="s">
        <v>1188</v>
      </c>
      <c r="M1513" s="612" t="s">
        <v>1189</v>
      </c>
      <c r="N1513" s="612">
        <v>215.0</v>
      </c>
      <c r="O1513" s="662">
        <v>45817.0</v>
      </c>
      <c r="P1513" s="706">
        <f t="shared" si="95"/>
        <v>311</v>
      </c>
      <c r="Q1513" s="622"/>
      <c r="R1513" s="74"/>
      <c r="S1513" s="74"/>
      <c r="T1513" s="74"/>
      <c r="U1513" s="74"/>
      <c r="V1513" s="74"/>
      <c r="W1513" s="74"/>
      <c r="X1513" s="74"/>
      <c r="Y1513" s="74"/>
      <c r="Z1513" s="74"/>
      <c r="AA1513" s="74"/>
      <c r="AB1513" s="74"/>
      <c r="AC1513" s="74"/>
      <c r="AD1513" s="74"/>
      <c r="AE1513" s="74"/>
      <c r="AF1513" s="74"/>
      <c r="AG1513" s="74"/>
      <c r="AH1513" s="74"/>
      <c r="AI1513" s="74"/>
    </row>
    <row r="1514" ht="22.5" customHeight="1">
      <c r="A1514" s="614">
        <v>45940.0</v>
      </c>
      <c r="B1514" s="157" t="s">
        <v>2218</v>
      </c>
      <c r="C1514" s="610">
        <v>1260000.0</v>
      </c>
      <c r="D1514" s="609"/>
      <c r="E1514" s="604" t="s">
        <v>28</v>
      </c>
      <c r="F1514" s="627" t="s">
        <v>800</v>
      </c>
      <c r="G1514" s="597">
        <v>20.0</v>
      </c>
      <c r="H1514" s="689">
        <f t="shared" si="84"/>
        <v>210000</v>
      </c>
      <c r="I1514" s="599"/>
      <c r="J1514" s="599"/>
      <c r="K1514" s="615" t="s">
        <v>51</v>
      </c>
      <c r="L1514" s="616" t="s">
        <v>1188</v>
      </c>
      <c r="M1514" s="612" t="s">
        <v>1190</v>
      </c>
      <c r="N1514" s="612">
        <v>230.0</v>
      </c>
      <c r="O1514" s="662">
        <v>45824.0</v>
      </c>
      <c r="P1514" s="706">
        <f t="shared" si="95"/>
        <v>304</v>
      </c>
      <c r="Q1514" s="622"/>
      <c r="R1514" s="74"/>
      <c r="S1514" s="74"/>
      <c r="T1514" s="74"/>
      <c r="U1514" s="74"/>
      <c r="V1514" s="74"/>
      <c r="W1514" s="74"/>
      <c r="X1514" s="74"/>
      <c r="Y1514" s="74"/>
      <c r="Z1514" s="74"/>
      <c r="AA1514" s="74"/>
      <c r="AB1514" s="74"/>
      <c r="AC1514" s="74"/>
      <c r="AD1514" s="74"/>
      <c r="AE1514" s="74"/>
      <c r="AF1514" s="74"/>
      <c r="AG1514" s="74"/>
      <c r="AH1514" s="74"/>
      <c r="AI1514" s="74"/>
    </row>
    <row r="1515" ht="22.5" customHeight="1">
      <c r="A1515" s="614">
        <v>45940.0</v>
      </c>
      <c r="B1515" s="157" t="s">
        <v>2218</v>
      </c>
      <c r="C1515" s="610">
        <v>315000.0</v>
      </c>
      <c r="D1515" s="609"/>
      <c r="E1515" s="604" t="s">
        <v>28</v>
      </c>
      <c r="F1515" s="627" t="s">
        <v>897</v>
      </c>
      <c r="G1515" s="597">
        <v>20.0</v>
      </c>
      <c r="H1515" s="689">
        <f t="shared" si="84"/>
        <v>52500</v>
      </c>
      <c r="I1515" s="599"/>
      <c r="J1515" s="599"/>
      <c r="K1515" s="673" t="s">
        <v>51</v>
      </c>
      <c r="L1515" s="616" t="s">
        <v>1188</v>
      </c>
      <c r="M1515" s="612" t="s">
        <v>1191</v>
      </c>
      <c r="N1515" s="612">
        <v>250.0</v>
      </c>
      <c r="O1515" s="662">
        <v>45842.0</v>
      </c>
      <c r="P1515" s="706">
        <f t="shared" si="95"/>
        <v>286</v>
      </c>
      <c r="Q1515" s="622"/>
      <c r="R1515" s="74"/>
      <c r="S1515" s="74"/>
      <c r="T1515" s="74"/>
      <c r="U1515" s="74"/>
      <c r="V1515" s="74"/>
      <c r="W1515" s="74"/>
      <c r="X1515" s="74"/>
      <c r="Y1515" s="74"/>
      <c r="Z1515" s="74"/>
      <c r="AA1515" s="74"/>
      <c r="AB1515" s="74"/>
      <c r="AC1515" s="74"/>
      <c r="AD1515" s="74"/>
      <c r="AE1515" s="74"/>
      <c r="AF1515" s="74"/>
      <c r="AG1515" s="74"/>
      <c r="AH1515" s="74"/>
      <c r="AI1515" s="74"/>
    </row>
    <row r="1516" ht="22.5" customHeight="1">
      <c r="A1516" s="614">
        <v>45940.0</v>
      </c>
      <c r="B1516" s="157" t="s">
        <v>2218</v>
      </c>
      <c r="C1516" s="610">
        <v>353973.54</v>
      </c>
      <c r="D1516" s="609"/>
      <c r="E1516" s="604" t="s">
        <v>28</v>
      </c>
      <c r="F1516" s="627" t="s">
        <v>897</v>
      </c>
      <c r="G1516" s="597">
        <v>20.0</v>
      </c>
      <c r="H1516" s="689">
        <f t="shared" si="84"/>
        <v>58995.59</v>
      </c>
      <c r="I1516" s="599"/>
      <c r="J1516" s="599"/>
      <c r="K1516" s="672" t="s">
        <v>51</v>
      </c>
      <c r="L1516" s="616" t="s">
        <v>539</v>
      </c>
      <c r="M1516" s="612" t="s">
        <v>1192</v>
      </c>
      <c r="N1516" s="612">
        <v>264.0</v>
      </c>
      <c r="O1516" s="662">
        <v>45846.0</v>
      </c>
      <c r="P1516" s="706">
        <f t="shared" si="95"/>
        <v>282</v>
      </c>
      <c r="Q1516" s="622"/>
      <c r="R1516" s="74"/>
      <c r="S1516" s="74"/>
      <c r="T1516" s="74"/>
      <c r="U1516" s="74"/>
      <c r="V1516" s="74"/>
      <c r="W1516" s="74"/>
      <c r="X1516" s="74"/>
      <c r="Y1516" s="74"/>
      <c r="Z1516" s="74"/>
      <c r="AA1516" s="74"/>
      <c r="AB1516" s="74"/>
      <c r="AC1516" s="74"/>
      <c r="AD1516" s="74"/>
      <c r="AE1516" s="74"/>
      <c r="AF1516" s="74"/>
      <c r="AG1516" s="74"/>
      <c r="AH1516" s="74"/>
      <c r="AI1516" s="74"/>
    </row>
    <row r="1517" ht="22.5" customHeight="1">
      <c r="A1517" s="614">
        <v>45940.0</v>
      </c>
      <c r="B1517" s="157" t="s">
        <v>2218</v>
      </c>
      <c r="C1517" s="610">
        <v>636048.0</v>
      </c>
      <c r="D1517" s="609"/>
      <c r="E1517" s="604" t="s">
        <v>28</v>
      </c>
      <c r="F1517" s="627" t="s">
        <v>897</v>
      </c>
      <c r="G1517" s="597">
        <v>20.0</v>
      </c>
      <c r="H1517" s="689">
        <f t="shared" si="84"/>
        <v>106008</v>
      </c>
      <c r="I1517" s="599"/>
      <c r="J1517" s="599"/>
      <c r="K1517" s="673" t="s">
        <v>51</v>
      </c>
      <c r="L1517" s="616" t="s">
        <v>539</v>
      </c>
      <c r="M1517" s="612" t="s">
        <v>1078</v>
      </c>
      <c r="N1517" s="612">
        <v>265.0</v>
      </c>
      <c r="O1517" s="662">
        <v>45846.0</v>
      </c>
      <c r="P1517" s="706">
        <f t="shared" si="95"/>
        <v>282</v>
      </c>
      <c r="Q1517" s="622"/>
      <c r="R1517" s="74"/>
      <c r="S1517" s="74"/>
      <c r="T1517" s="74"/>
      <c r="U1517" s="74"/>
      <c r="V1517" s="74"/>
      <c r="W1517" s="74"/>
      <c r="X1517" s="74"/>
      <c r="Y1517" s="74"/>
      <c r="Z1517" s="74"/>
      <c r="AA1517" s="74"/>
      <c r="AB1517" s="74"/>
      <c r="AC1517" s="74"/>
      <c r="AD1517" s="74"/>
      <c r="AE1517" s="74"/>
      <c r="AF1517" s="74"/>
      <c r="AG1517" s="74"/>
      <c r="AH1517" s="74"/>
      <c r="AI1517" s="74"/>
    </row>
    <row r="1518" ht="22.5" customHeight="1">
      <c r="A1518" s="614">
        <v>45940.0</v>
      </c>
      <c r="B1518" s="157" t="s">
        <v>2218</v>
      </c>
      <c r="C1518" s="610">
        <v>261660.0</v>
      </c>
      <c r="D1518" s="609"/>
      <c r="E1518" s="604" t="s">
        <v>28</v>
      </c>
      <c r="F1518" s="627" t="s">
        <v>897</v>
      </c>
      <c r="G1518" s="597">
        <v>20.0</v>
      </c>
      <c r="H1518" s="689">
        <f t="shared" si="84"/>
        <v>43610</v>
      </c>
      <c r="I1518" s="599"/>
      <c r="J1518" s="599"/>
      <c r="K1518" s="674" t="s">
        <v>51</v>
      </c>
      <c r="L1518" s="616" t="s">
        <v>539</v>
      </c>
      <c r="M1518" s="612" t="s">
        <v>1077</v>
      </c>
      <c r="N1518" s="612">
        <v>266.0</v>
      </c>
      <c r="O1518" s="662">
        <v>45846.0</v>
      </c>
      <c r="P1518" s="706">
        <f t="shared" si="95"/>
        <v>282</v>
      </c>
      <c r="Q1518" s="622"/>
      <c r="R1518" s="74"/>
      <c r="S1518" s="74"/>
      <c r="T1518" s="74"/>
      <c r="U1518" s="74"/>
      <c r="V1518" s="74"/>
      <c r="W1518" s="74"/>
      <c r="X1518" s="74"/>
      <c r="Y1518" s="74"/>
      <c r="Z1518" s="74"/>
      <c r="AA1518" s="74"/>
      <c r="AB1518" s="74"/>
      <c r="AC1518" s="74"/>
      <c r="AD1518" s="74"/>
      <c r="AE1518" s="74"/>
      <c r="AF1518" s="74"/>
      <c r="AG1518" s="74"/>
      <c r="AH1518" s="74"/>
      <c r="AI1518" s="74"/>
    </row>
    <row r="1519" ht="22.5" customHeight="1">
      <c r="A1519" s="614">
        <v>45940.0</v>
      </c>
      <c r="B1519" s="157" t="s">
        <v>2218</v>
      </c>
      <c r="C1519" s="610">
        <v>462000.0</v>
      </c>
      <c r="D1519" s="609"/>
      <c r="E1519" s="703" t="s">
        <v>28</v>
      </c>
      <c r="F1519" s="627" t="s">
        <v>897</v>
      </c>
      <c r="G1519" s="597">
        <v>20.0</v>
      </c>
      <c r="H1519" s="689">
        <f t="shared" si="84"/>
        <v>77000</v>
      </c>
      <c r="I1519" s="599"/>
      <c r="J1519" s="599"/>
      <c r="K1519" s="615" t="s">
        <v>51</v>
      </c>
      <c r="L1519" s="616" t="s">
        <v>1188</v>
      </c>
      <c r="M1519" s="612" t="s">
        <v>1193</v>
      </c>
      <c r="N1519" s="612">
        <v>272.0</v>
      </c>
      <c r="O1519" s="662">
        <v>45846.0</v>
      </c>
      <c r="P1519" s="706">
        <f t="shared" si="95"/>
        <v>282</v>
      </c>
      <c r="Q1519" s="622"/>
      <c r="R1519" s="74"/>
      <c r="S1519" s="74"/>
      <c r="T1519" s="74"/>
      <c r="U1519" s="74"/>
      <c r="V1519" s="74"/>
      <c r="W1519" s="74"/>
      <c r="X1519" s="74"/>
      <c r="Y1519" s="74"/>
      <c r="Z1519" s="74"/>
      <c r="AA1519" s="74"/>
      <c r="AB1519" s="74"/>
      <c r="AC1519" s="74"/>
      <c r="AD1519" s="74"/>
      <c r="AE1519" s="74"/>
      <c r="AF1519" s="74"/>
      <c r="AG1519" s="74"/>
      <c r="AH1519" s="74"/>
      <c r="AI1519" s="74"/>
    </row>
    <row r="1520" ht="22.5" customHeight="1">
      <c r="A1520" s="614">
        <v>45940.0</v>
      </c>
      <c r="B1520" s="157" t="s">
        <v>2218</v>
      </c>
      <c r="C1520" s="610">
        <v>838992.0</v>
      </c>
      <c r="D1520" s="609"/>
      <c r="E1520" s="703" t="s">
        <v>28</v>
      </c>
      <c r="F1520" s="627" t="s">
        <v>941</v>
      </c>
      <c r="G1520" s="597">
        <v>20.0</v>
      </c>
      <c r="H1520" s="689">
        <f t="shared" si="84"/>
        <v>139832</v>
      </c>
      <c r="I1520" s="599"/>
      <c r="J1520" s="599"/>
      <c r="K1520" s="615" t="s">
        <v>51</v>
      </c>
      <c r="L1520" s="616" t="s">
        <v>1188</v>
      </c>
      <c r="M1520" s="612" t="s">
        <v>1194</v>
      </c>
      <c r="N1520" s="612">
        <v>289.0</v>
      </c>
      <c r="O1520" s="662">
        <v>45877.0</v>
      </c>
      <c r="P1520" s="602">
        <f t="shared" si="95"/>
        <v>251</v>
      </c>
      <c r="Q1520" s="622"/>
      <c r="R1520" s="74"/>
      <c r="S1520" s="74"/>
      <c r="T1520" s="74"/>
      <c r="U1520" s="74"/>
      <c r="V1520" s="74"/>
      <c r="W1520" s="74"/>
      <c r="X1520" s="74"/>
      <c r="Y1520" s="74"/>
      <c r="Z1520" s="74"/>
      <c r="AA1520" s="74"/>
      <c r="AB1520" s="74"/>
      <c r="AC1520" s="74"/>
      <c r="AD1520" s="74"/>
      <c r="AE1520" s="74"/>
      <c r="AF1520" s="74"/>
      <c r="AG1520" s="74"/>
      <c r="AH1520" s="74"/>
      <c r="AI1520" s="74"/>
    </row>
    <row r="1521" ht="22.5" customHeight="1">
      <c r="A1521" s="614">
        <v>45940.0</v>
      </c>
      <c r="B1521" s="137" t="s">
        <v>2218</v>
      </c>
      <c r="C1521" s="609"/>
      <c r="D1521" s="610">
        <v>1168341.73</v>
      </c>
      <c r="E1521" s="604" t="s">
        <v>28</v>
      </c>
      <c r="F1521" s="607" t="s">
        <v>203</v>
      </c>
      <c r="G1521" s="597">
        <v>0.0</v>
      </c>
      <c r="H1521" s="689">
        <f t="shared" si="84"/>
        <v>0</v>
      </c>
      <c r="I1521" s="599"/>
      <c r="J1521" s="599"/>
      <c r="K1521" s="615" t="s">
        <v>203</v>
      </c>
      <c r="L1521" s="615" t="s">
        <v>1195</v>
      </c>
      <c r="M1521" s="621"/>
      <c r="N1521" s="621"/>
      <c r="O1521" s="621"/>
      <c r="P1521" s="602"/>
      <c r="Q1521" s="622"/>
      <c r="R1521" s="74"/>
      <c r="S1521" s="74"/>
      <c r="T1521" s="74"/>
      <c r="U1521" s="74"/>
      <c r="V1521" s="74"/>
      <c r="W1521" s="74"/>
      <c r="X1521" s="74"/>
      <c r="Y1521" s="74"/>
      <c r="Z1521" s="74"/>
      <c r="AA1521" s="74"/>
      <c r="AB1521" s="74"/>
      <c r="AC1521" s="74"/>
      <c r="AD1521" s="74"/>
      <c r="AE1521" s="74"/>
      <c r="AF1521" s="74"/>
      <c r="AG1521" s="74"/>
      <c r="AH1521" s="74"/>
      <c r="AI1521" s="74"/>
    </row>
    <row r="1522" ht="22.5" customHeight="1">
      <c r="A1522" s="614">
        <v>45940.0</v>
      </c>
      <c r="B1522" s="137" t="s">
        <v>2218</v>
      </c>
      <c r="C1522" s="609"/>
      <c r="D1522" s="610">
        <f>10197.82+262.56</f>
        <v>10460.38</v>
      </c>
      <c r="E1522" s="604" t="s">
        <v>28</v>
      </c>
      <c r="F1522" s="607" t="s">
        <v>203</v>
      </c>
      <c r="G1522" s="597">
        <v>0.0</v>
      </c>
      <c r="H1522" s="689">
        <f t="shared" si="84"/>
        <v>0</v>
      </c>
      <c r="I1522" s="599"/>
      <c r="J1522" s="599"/>
      <c r="K1522" s="615" t="s">
        <v>203</v>
      </c>
      <c r="L1522" s="615" t="s">
        <v>1196</v>
      </c>
      <c r="M1522" s="621"/>
      <c r="N1522" s="621"/>
      <c r="O1522" s="621"/>
      <c r="P1522" s="602"/>
      <c r="Q1522" s="622"/>
      <c r="R1522" s="74"/>
      <c r="S1522" s="74"/>
      <c r="T1522" s="74"/>
      <c r="U1522" s="74"/>
      <c r="V1522" s="74"/>
      <c r="W1522" s="74"/>
      <c r="X1522" s="74"/>
      <c r="Y1522" s="74"/>
      <c r="Z1522" s="74"/>
      <c r="AA1522" s="74"/>
      <c r="AB1522" s="74"/>
      <c r="AC1522" s="74"/>
      <c r="AD1522" s="74"/>
      <c r="AE1522" s="74"/>
      <c r="AF1522" s="74"/>
      <c r="AG1522" s="74"/>
      <c r="AH1522" s="74"/>
      <c r="AI1522" s="74"/>
    </row>
    <row r="1523" ht="22.5" customHeight="1">
      <c r="A1523" s="614">
        <v>45943.0</v>
      </c>
      <c r="B1523" s="137" t="s">
        <v>2218</v>
      </c>
      <c r="C1523" s="609"/>
      <c r="D1523" s="610">
        <v>782827.53</v>
      </c>
      <c r="E1523" s="604" t="s">
        <v>28</v>
      </c>
      <c r="F1523" s="627" t="s">
        <v>897</v>
      </c>
      <c r="G1523" s="597">
        <v>20.0</v>
      </c>
      <c r="H1523" s="689">
        <f t="shared" si="84"/>
        <v>130471.255</v>
      </c>
      <c r="I1523" s="599"/>
      <c r="J1523" s="599"/>
      <c r="K1523" s="615" t="s">
        <v>2237</v>
      </c>
      <c r="L1523" s="671" t="s">
        <v>228</v>
      </c>
      <c r="M1523" s="621"/>
      <c r="N1523" s="621"/>
      <c r="O1523" s="621"/>
      <c r="P1523" s="602"/>
      <c r="Q1523" s="682" t="s">
        <v>1197</v>
      </c>
      <c r="R1523" s="74"/>
      <c r="S1523" s="74"/>
      <c r="T1523" s="74"/>
      <c r="U1523" s="74"/>
      <c r="V1523" s="74"/>
      <c r="W1523" s="74"/>
      <c r="X1523" s="74"/>
      <c r="Y1523" s="74"/>
      <c r="Z1523" s="74"/>
      <c r="AA1523" s="74"/>
      <c r="AB1523" s="74"/>
      <c r="AC1523" s="74"/>
      <c r="AD1523" s="74"/>
      <c r="AE1523" s="74"/>
      <c r="AF1523" s="74"/>
      <c r="AG1523" s="74"/>
      <c r="AH1523" s="74"/>
      <c r="AI1523" s="74"/>
    </row>
    <row r="1524" ht="22.5" customHeight="1">
      <c r="A1524" s="614">
        <v>45943.0</v>
      </c>
      <c r="B1524" s="137" t="s">
        <v>2218</v>
      </c>
      <c r="C1524" s="609"/>
      <c r="D1524" s="610">
        <v>12427.97</v>
      </c>
      <c r="E1524" s="604" t="s">
        <v>28</v>
      </c>
      <c r="F1524" s="627" t="s">
        <v>941</v>
      </c>
      <c r="G1524" s="597">
        <v>20.0</v>
      </c>
      <c r="H1524" s="689">
        <f t="shared" si="84"/>
        <v>2071.328333</v>
      </c>
      <c r="I1524" s="599"/>
      <c r="J1524" s="599"/>
      <c r="K1524" s="615" t="s">
        <v>101</v>
      </c>
      <c r="L1524" s="698" t="s">
        <v>1045</v>
      </c>
      <c r="M1524" s="621"/>
      <c r="N1524" s="621"/>
      <c r="O1524" s="621"/>
      <c r="P1524" s="602"/>
      <c r="Q1524" s="682" t="s">
        <v>1198</v>
      </c>
      <c r="R1524" s="74"/>
      <c r="S1524" s="74"/>
      <c r="T1524" s="74"/>
      <c r="U1524" s="74"/>
      <c r="V1524" s="74"/>
      <c r="W1524" s="74"/>
      <c r="X1524" s="74"/>
      <c r="Y1524" s="74"/>
      <c r="Z1524" s="74"/>
      <c r="AA1524" s="74"/>
      <c r="AB1524" s="74"/>
      <c r="AC1524" s="74"/>
      <c r="AD1524" s="74"/>
      <c r="AE1524" s="74"/>
      <c r="AF1524" s="74"/>
      <c r="AG1524" s="74"/>
      <c r="AH1524" s="74"/>
      <c r="AI1524" s="74"/>
    </row>
    <row r="1525" ht="22.5" customHeight="1">
      <c r="A1525" s="614">
        <v>45943.0</v>
      </c>
      <c r="B1525" s="137" t="s">
        <v>2218</v>
      </c>
      <c r="C1525" s="609"/>
      <c r="D1525" s="610">
        <v>134400.0</v>
      </c>
      <c r="E1525" s="604" t="s">
        <v>28</v>
      </c>
      <c r="F1525" s="627" t="s">
        <v>941</v>
      </c>
      <c r="G1525" s="597">
        <v>20.0</v>
      </c>
      <c r="H1525" s="689">
        <f t="shared" si="84"/>
        <v>22400</v>
      </c>
      <c r="I1525" s="599"/>
      <c r="J1525" s="599"/>
      <c r="K1525" s="615" t="s">
        <v>101</v>
      </c>
      <c r="L1525" s="698" t="s">
        <v>1045</v>
      </c>
      <c r="M1525" s="621"/>
      <c r="N1525" s="621"/>
      <c r="O1525" s="621"/>
      <c r="P1525" s="602"/>
      <c r="Q1525" s="682" t="s">
        <v>1199</v>
      </c>
      <c r="R1525" s="74"/>
      <c r="S1525" s="74"/>
      <c r="T1525" s="74"/>
      <c r="U1525" s="74"/>
      <c r="V1525" s="74"/>
      <c r="W1525" s="74"/>
      <c r="X1525" s="74"/>
      <c r="Y1525" s="74"/>
      <c r="Z1525" s="74"/>
      <c r="AA1525" s="74"/>
      <c r="AB1525" s="74"/>
      <c r="AC1525" s="74"/>
      <c r="AD1525" s="74"/>
      <c r="AE1525" s="74"/>
      <c r="AF1525" s="74"/>
      <c r="AG1525" s="74"/>
      <c r="AH1525" s="74"/>
      <c r="AI1525" s="74"/>
    </row>
    <row r="1526" ht="22.5" customHeight="1">
      <c r="A1526" s="614">
        <v>45943.0</v>
      </c>
      <c r="B1526" s="137" t="s">
        <v>2218</v>
      </c>
      <c r="C1526" s="609"/>
      <c r="D1526" s="610">
        <v>12720.96</v>
      </c>
      <c r="E1526" s="604" t="s">
        <v>28</v>
      </c>
      <c r="F1526" s="627" t="s">
        <v>941</v>
      </c>
      <c r="G1526" s="597">
        <v>20.0</v>
      </c>
      <c r="H1526" s="689">
        <f t="shared" si="84"/>
        <v>2120.16</v>
      </c>
      <c r="I1526" s="599"/>
      <c r="J1526" s="599"/>
      <c r="K1526" s="615" t="s">
        <v>101</v>
      </c>
      <c r="L1526" s="698" t="s">
        <v>1045</v>
      </c>
      <c r="M1526" s="621"/>
      <c r="N1526" s="621"/>
      <c r="O1526" s="621"/>
      <c r="P1526" s="602"/>
      <c r="Q1526" s="682" t="s">
        <v>1200</v>
      </c>
      <c r="R1526" s="74"/>
      <c r="S1526" s="74"/>
      <c r="T1526" s="74"/>
      <c r="U1526" s="74"/>
      <c r="V1526" s="74"/>
      <c r="W1526" s="74"/>
      <c r="X1526" s="74"/>
      <c r="Y1526" s="74"/>
      <c r="Z1526" s="74"/>
      <c r="AA1526" s="74"/>
      <c r="AB1526" s="74"/>
      <c r="AC1526" s="74"/>
      <c r="AD1526" s="74"/>
      <c r="AE1526" s="74"/>
      <c r="AF1526" s="74"/>
      <c r="AG1526" s="74"/>
      <c r="AH1526" s="74"/>
      <c r="AI1526" s="74"/>
    </row>
    <row r="1527" ht="22.5" customHeight="1">
      <c r="A1527" s="614">
        <v>45943.0</v>
      </c>
      <c r="B1527" s="137" t="s">
        <v>2218</v>
      </c>
      <c r="C1527" s="609"/>
      <c r="D1527" s="610">
        <v>67200.0</v>
      </c>
      <c r="E1527" s="604" t="s">
        <v>28</v>
      </c>
      <c r="F1527" s="627" t="s">
        <v>941</v>
      </c>
      <c r="G1527" s="597">
        <v>20.0</v>
      </c>
      <c r="H1527" s="689">
        <f t="shared" si="84"/>
        <v>11200</v>
      </c>
      <c r="I1527" s="599"/>
      <c r="J1527" s="599"/>
      <c r="K1527" s="615" t="s">
        <v>101</v>
      </c>
      <c r="L1527" s="698" t="s">
        <v>1045</v>
      </c>
      <c r="M1527" s="621"/>
      <c r="N1527" s="621"/>
      <c r="O1527" s="621"/>
      <c r="P1527" s="602"/>
      <c r="Q1527" s="682" t="s">
        <v>1201</v>
      </c>
      <c r="R1527" s="74"/>
      <c r="S1527" s="74"/>
      <c r="T1527" s="74"/>
      <c r="U1527" s="74"/>
      <c r="V1527" s="74"/>
      <c r="W1527" s="74"/>
      <c r="X1527" s="74"/>
      <c r="Y1527" s="74"/>
      <c r="Z1527" s="74"/>
      <c r="AA1527" s="74"/>
      <c r="AB1527" s="74"/>
      <c r="AC1527" s="74"/>
      <c r="AD1527" s="74"/>
      <c r="AE1527" s="74"/>
      <c r="AF1527" s="74"/>
      <c r="AG1527" s="74"/>
      <c r="AH1527" s="74"/>
      <c r="AI1527" s="74"/>
    </row>
    <row r="1528" ht="22.5" customHeight="1">
      <c r="A1528" s="614">
        <v>45943.0</v>
      </c>
      <c r="B1528" s="137" t="s">
        <v>2218</v>
      </c>
      <c r="C1528" s="609"/>
      <c r="D1528" s="610">
        <v>9442.61</v>
      </c>
      <c r="E1528" s="604" t="s">
        <v>28</v>
      </c>
      <c r="F1528" s="627" t="s">
        <v>941</v>
      </c>
      <c r="G1528" s="597">
        <v>20.0</v>
      </c>
      <c r="H1528" s="689">
        <f t="shared" si="84"/>
        <v>1573.768333</v>
      </c>
      <c r="I1528" s="599"/>
      <c r="J1528" s="599"/>
      <c r="K1528" s="615" t="s">
        <v>101</v>
      </c>
      <c r="L1528" s="698" t="s">
        <v>1045</v>
      </c>
      <c r="M1528" s="621"/>
      <c r="N1528" s="621"/>
      <c r="O1528" s="621"/>
      <c r="P1528" s="602"/>
      <c r="Q1528" s="682" t="s">
        <v>1202</v>
      </c>
      <c r="R1528" s="74"/>
      <c r="S1528" s="74"/>
      <c r="T1528" s="74"/>
      <c r="U1528" s="74"/>
      <c r="V1528" s="74"/>
      <c r="W1528" s="74"/>
      <c r="X1528" s="74"/>
      <c r="Y1528" s="74"/>
      <c r="Z1528" s="74"/>
      <c r="AA1528" s="74"/>
      <c r="AB1528" s="74"/>
      <c r="AC1528" s="74"/>
      <c r="AD1528" s="74"/>
      <c r="AE1528" s="74"/>
      <c r="AF1528" s="74"/>
      <c r="AG1528" s="74"/>
      <c r="AH1528" s="74"/>
      <c r="AI1528" s="74"/>
    </row>
    <row r="1529" ht="22.5" customHeight="1">
      <c r="A1529" s="614">
        <v>45943.0</v>
      </c>
      <c r="B1529" s="137" t="s">
        <v>2218</v>
      </c>
      <c r="C1529" s="609"/>
      <c r="D1529" s="610">
        <v>12307.68</v>
      </c>
      <c r="E1529" s="604" t="s">
        <v>28</v>
      </c>
      <c r="F1529" s="627" t="s">
        <v>941</v>
      </c>
      <c r="G1529" s="597">
        <v>20.0</v>
      </c>
      <c r="H1529" s="689">
        <f t="shared" si="84"/>
        <v>2051.28</v>
      </c>
      <c r="I1529" s="599"/>
      <c r="J1529" s="599"/>
      <c r="K1529" s="615" t="s">
        <v>101</v>
      </c>
      <c r="L1529" s="698" t="s">
        <v>1045</v>
      </c>
      <c r="M1529" s="621"/>
      <c r="N1529" s="621"/>
      <c r="O1529" s="621"/>
      <c r="P1529" s="602"/>
      <c r="Q1529" s="682" t="s">
        <v>1203</v>
      </c>
      <c r="R1529" s="74"/>
      <c r="S1529" s="74"/>
      <c r="T1529" s="74"/>
      <c r="U1529" s="74"/>
      <c r="V1529" s="74"/>
      <c r="W1529" s="74"/>
      <c r="X1529" s="74"/>
      <c r="Y1529" s="74"/>
      <c r="Z1529" s="74"/>
      <c r="AA1529" s="74"/>
      <c r="AB1529" s="74"/>
      <c r="AC1529" s="74"/>
      <c r="AD1529" s="74"/>
      <c r="AE1529" s="74"/>
      <c r="AF1529" s="74"/>
      <c r="AG1529" s="74"/>
      <c r="AH1529" s="74"/>
      <c r="AI1529" s="74"/>
    </row>
    <row r="1530" ht="22.5" customHeight="1">
      <c r="A1530" s="614">
        <v>45943.0</v>
      </c>
      <c r="B1530" s="137" t="s">
        <v>2218</v>
      </c>
      <c r="C1530" s="609"/>
      <c r="D1530" s="610">
        <v>186666.82</v>
      </c>
      <c r="E1530" s="604" t="s">
        <v>28</v>
      </c>
      <c r="F1530" s="627" t="s">
        <v>941</v>
      </c>
      <c r="G1530" s="597">
        <v>20.0</v>
      </c>
      <c r="H1530" s="689">
        <f t="shared" si="84"/>
        <v>31111.13667</v>
      </c>
      <c r="I1530" s="599"/>
      <c r="J1530" s="599"/>
      <c r="K1530" s="615" t="s">
        <v>101</v>
      </c>
      <c r="L1530" s="698" t="s">
        <v>1045</v>
      </c>
      <c r="M1530" s="621"/>
      <c r="N1530" s="621"/>
      <c r="O1530" s="621"/>
      <c r="P1530" s="602"/>
      <c r="Q1530" s="682" t="s">
        <v>1204</v>
      </c>
      <c r="R1530" s="74"/>
      <c r="S1530" s="74"/>
      <c r="T1530" s="74"/>
      <c r="U1530" s="74"/>
      <c r="V1530" s="74"/>
      <c r="W1530" s="74"/>
      <c r="X1530" s="74"/>
      <c r="Y1530" s="74"/>
      <c r="Z1530" s="74"/>
      <c r="AA1530" s="74"/>
      <c r="AB1530" s="74"/>
      <c r="AC1530" s="74"/>
      <c r="AD1530" s="74"/>
      <c r="AE1530" s="74"/>
      <c r="AF1530" s="74"/>
      <c r="AG1530" s="74"/>
      <c r="AH1530" s="74"/>
      <c r="AI1530" s="74"/>
    </row>
    <row r="1531" ht="22.5" customHeight="1">
      <c r="A1531" s="614">
        <v>45943.0</v>
      </c>
      <c r="B1531" s="137" t="s">
        <v>2218</v>
      </c>
      <c r="C1531" s="609"/>
      <c r="D1531" s="610">
        <v>10666.66</v>
      </c>
      <c r="E1531" s="604" t="s">
        <v>28</v>
      </c>
      <c r="F1531" s="627" t="s">
        <v>941</v>
      </c>
      <c r="G1531" s="597">
        <v>20.0</v>
      </c>
      <c r="H1531" s="689">
        <f t="shared" si="84"/>
        <v>1777.776667</v>
      </c>
      <c r="I1531" s="599"/>
      <c r="J1531" s="599"/>
      <c r="K1531" s="615" t="s">
        <v>101</v>
      </c>
      <c r="L1531" s="698" t="s">
        <v>1045</v>
      </c>
      <c r="M1531" s="621"/>
      <c r="N1531" s="621"/>
      <c r="O1531" s="621"/>
      <c r="P1531" s="602"/>
      <c r="Q1531" s="682" t="s">
        <v>1205</v>
      </c>
      <c r="R1531" s="74"/>
      <c r="S1531" s="74"/>
      <c r="T1531" s="74"/>
      <c r="U1531" s="74"/>
      <c r="V1531" s="74"/>
      <c r="W1531" s="74"/>
      <c r="X1531" s="74"/>
      <c r="Y1531" s="74"/>
      <c r="Z1531" s="74"/>
      <c r="AA1531" s="74"/>
      <c r="AB1531" s="74"/>
      <c r="AC1531" s="74"/>
      <c r="AD1531" s="74"/>
      <c r="AE1531" s="74"/>
      <c r="AF1531" s="74"/>
      <c r="AG1531" s="74"/>
      <c r="AH1531" s="74"/>
      <c r="AI1531" s="74"/>
    </row>
    <row r="1532" ht="22.5" customHeight="1">
      <c r="A1532" s="614">
        <v>45943.0</v>
      </c>
      <c r="B1532" s="137" t="s">
        <v>2218</v>
      </c>
      <c r="C1532" s="609"/>
      <c r="D1532" s="610">
        <v>56614.73</v>
      </c>
      <c r="E1532" s="604" t="s">
        <v>28</v>
      </c>
      <c r="F1532" s="627" t="s">
        <v>941</v>
      </c>
      <c r="G1532" s="597">
        <v>20.0</v>
      </c>
      <c r="H1532" s="689">
        <f t="shared" si="84"/>
        <v>9435.788333</v>
      </c>
      <c r="I1532" s="599"/>
      <c r="J1532" s="599"/>
      <c r="K1532" s="615" t="s">
        <v>2237</v>
      </c>
      <c r="L1532" s="615" t="s">
        <v>509</v>
      </c>
      <c r="M1532" s="621"/>
      <c r="N1532" s="621"/>
      <c r="O1532" s="621"/>
      <c r="P1532" s="602"/>
      <c r="Q1532" s="682" t="s">
        <v>1206</v>
      </c>
      <c r="R1532" s="74"/>
      <c r="S1532" s="74"/>
      <c r="T1532" s="74"/>
      <c r="U1532" s="74"/>
      <c r="V1532" s="74"/>
      <c r="W1532" s="74"/>
      <c r="X1532" s="74"/>
      <c r="Y1532" s="74"/>
      <c r="Z1532" s="74"/>
      <c r="AA1532" s="74"/>
      <c r="AB1532" s="74"/>
      <c r="AC1532" s="74"/>
      <c r="AD1532" s="74"/>
      <c r="AE1532" s="74"/>
      <c r="AF1532" s="74"/>
      <c r="AG1532" s="74"/>
      <c r="AH1532" s="74"/>
      <c r="AI1532" s="74"/>
    </row>
    <row r="1533" ht="22.5" customHeight="1">
      <c r="A1533" s="614">
        <v>45943.0</v>
      </c>
      <c r="B1533" s="137" t="s">
        <v>2218</v>
      </c>
      <c r="C1533" s="609"/>
      <c r="D1533" s="610">
        <v>400010.26</v>
      </c>
      <c r="E1533" s="604" t="s">
        <v>28</v>
      </c>
      <c r="F1533" s="627" t="s">
        <v>941</v>
      </c>
      <c r="G1533" s="597">
        <v>20.0</v>
      </c>
      <c r="H1533" s="689">
        <f t="shared" si="84"/>
        <v>66668.37667</v>
      </c>
      <c r="I1533" s="599"/>
      <c r="J1533" s="599"/>
      <c r="K1533" s="615" t="s">
        <v>101</v>
      </c>
      <c r="L1533" s="698" t="s">
        <v>670</v>
      </c>
      <c r="M1533" s="621"/>
      <c r="N1533" s="621"/>
      <c r="O1533" s="621"/>
      <c r="P1533" s="602"/>
      <c r="Q1533" s="682" t="s">
        <v>1207</v>
      </c>
      <c r="R1533" s="74"/>
      <c r="S1533" s="74"/>
      <c r="T1533" s="74"/>
      <c r="U1533" s="74"/>
      <c r="V1533" s="74"/>
      <c r="W1533" s="74"/>
      <c r="X1533" s="74"/>
      <c r="Y1533" s="74"/>
      <c r="Z1533" s="74"/>
      <c r="AA1533" s="74"/>
      <c r="AB1533" s="74"/>
      <c r="AC1533" s="74"/>
      <c r="AD1533" s="74"/>
      <c r="AE1533" s="74"/>
      <c r="AF1533" s="74"/>
      <c r="AG1533" s="74"/>
      <c r="AH1533" s="74"/>
      <c r="AI1533" s="74"/>
    </row>
    <row r="1534" ht="22.5" customHeight="1">
      <c r="A1534" s="614">
        <v>45943.0</v>
      </c>
      <c r="B1534" s="137" t="s">
        <v>2218</v>
      </c>
      <c r="C1534" s="609"/>
      <c r="D1534" s="610">
        <v>54070.1</v>
      </c>
      <c r="E1534" s="604" t="s">
        <v>28</v>
      </c>
      <c r="F1534" s="627" t="s">
        <v>941</v>
      </c>
      <c r="G1534" s="597">
        <v>0.0</v>
      </c>
      <c r="H1534" s="689">
        <f t="shared" si="84"/>
        <v>0</v>
      </c>
      <c r="I1534" s="599"/>
      <c r="J1534" s="599"/>
      <c r="K1534" s="615" t="s">
        <v>101</v>
      </c>
      <c r="L1534" s="698" t="s">
        <v>818</v>
      </c>
      <c r="M1534" s="621"/>
      <c r="N1534" s="621"/>
      <c r="O1534" s="621"/>
      <c r="P1534" s="602"/>
      <c r="Q1534" s="682" t="s">
        <v>1208</v>
      </c>
      <c r="R1534" s="74"/>
      <c r="S1534" s="74"/>
      <c r="T1534" s="74"/>
      <c r="U1534" s="74"/>
      <c r="V1534" s="74"/>
      <c r="W1534" s="74"/>
      <c r="X1534" s="74"/>
      <c r="Y1534" s="74"/>
      <c r="Z1534" s="74"/>
      <c r="AA1534" s="74"/>
      <c r="AB1534" s="74"/>
      <c r="AC1534" s="74"/>
      <c r="AD1534" s="74"/>
      <c r="AE1534" s="74"/>
      <c r="AF1534" s="74"/>
      <c r="AG1534" s="74"/>
      <c r="AH1534" s="74"/>
      <c r="AI1534" s="74"/>
    </row>
    <row r="1535" ht="22.5" customHeight="1">
      <c r="A1535" s="614">
        <v>45943.0</v>
      </c>
      <c r="B1535" s="137" t="s">
        <v>2218</v>
      </c>
      <c r="C1535" s="609"/>
      <c r="D1535" s="610">
        <v>144320.9</v>
      </c>
      <c r="E1535" s="604" t="s">
        <v>28</v>
      </c>
      <c r="F1535" s="627" t="s">
        <v>941</v>
      </c>
      <c r="G1535" s="597">
        <v>0.0</v>
      </c>
      <c r="H1535" s="689">
        <f t="shared" si="84"/>
        <v>0</v>
      </c>
      <c r="I1535" s="599"/>
      <c r="J1535" s="599"/>
      <c r="K1535" s="615" t="s">
        <v>101</v>
      </c>
      <c r="L1535" s="698" t="s">
        <v>631</v>
      </c>
      <c r="M1535" s="621"/>
      <c r="N1535" s="621"/>
      <c r="O1535" s="621"/>
      <c r="P1535" s="602"/>
      <c r="Q1535" s="682" t="s">
        <v>1209</v>
      </c>
      <c r="R1535" s="74"/>
      <c r="S1535" s="74"/>
      <c r="T1535" s="74"/>
      <c r="U1535" s="74"/>
      <c r="V1535" s="74"/>
      <c r="W1535" s="74"/>
      <c r="X1535" s="74"/>
      <c r="Y1535" s="74"/>
      <c r="Z1535" s="74"/>
      <c r="AA1535" s="74"/>
      <c r="AB1535" s="74"/>
      <c r="AC1535" s="74"/>
      <c r="AD1535" s="74"/>
      <c r="AE1535" s="74"/>
      <c r="AF1535" s="74"/>
      <c r="AG1535" s="74"/>
      <c r="AH1535" s="74"/>
      <c r="AI1535" s="74"/>
    </row>
    <row r="1536" ht="22.5" customHeight="1">
      <c r="A1536" s="614">
        <v>45943.0</v>
      </c>
      <c r="B1536" s="137" t="s">
        <v>2218</v>
      </c>
      <c r="C1536" s="609"/>
      <c r="D1536" s="610">
        <v>26795.76</v>
      </c>
      <c r="E1536" s="604" t="s">
        <v>28</v>
      </c>
      <c r="F1536" s="627" t="s">
        <v>941</v>
      </c>
      <c r="G1536" s="597">
        <v>20.0</v>
      </c>
      <c r="H1536" s="689">
        <f t="shared" si="84"/>
        <v>4465.96</v>
      </c>
      <c r="I1536" s="599"/>
      <c r="J1536" s="599"/>
      <c r="K1536" s="615" t="s">
        <v>101</v>
      </c>
      <c r="L1536" s="698" t="s">
        <v>1030</v>
      </c>
      <c r="M1536" s="621"/>
      <c r="N1536" s="621"/>
      <c r="O1536" s="621"/>
      <c r="P1536" s="602"/>
      <c r="Q1536" s="682" t="s">
        <v>1210</v>
      </c>
      <c r="R1536" s="74"/>
      <c r="S1536" s="74"/>
      <c r="T1536" s="74"/>
      <c r="U1536" s="74"/>
      <c r="V1536" s="74"/>
      <c r="W1536" s="74"/>
      <c r="X1536" s="74"/>
      <c r="Y1536" s="74"/>
      <c r="Z1536" s="74"/>
      <c r="AA1536" s="74"/>
      <c r="AB1536" s="74"/>
      <c r="AC1536" s="74"/>
      <c r="AD1536" s="74"/>
      <c r="AE1536" s="74"/>
      <c r="AF1536" s="74"/>
      <c r="AG1536" s="74"/>
      <c r="AH1536" s="74"/>
      <c r="AI1536" s="74"/>
    </row>
    <row r="1537" ht="22.5" customHeight="1">
      <c r="A1537" s="614">
        <v>45943.0</v>
      </c>
      <c r="B1537" s="137" t="s">
        <v>2218</v>
      </c>
      <c r="C1537" s="609"/>
      <c r="D1537" s="610">
        <v>167311.5</v>
      </c>
      <c r="E1537" s="604" t="s">
        <v>28</v>
      </c>
      <c r="F1537" s="627" t="s">
        <v>941</v>
      </c>
      <c r="G1537" s="597">
        <v>20.0</v>
      </c>
      <c r="H1537" s="689">
        <f t="shared" si="84"/>
        <v>27885.25</v>
      </c>
      <c r="I1537" s="599"/>
      <c r="J1537" s="599"/>
      <c r="K1537" s="615" t="s">
        <v>101</v>
      </c>
      <c r="L1537" s="698" t="s">
        <v>820</v>
      </c>
      <c r="M1537" s="621"/>
      <c r="N1537" s="621"/>
      <c r="O1537" s="621"/>
      <c r="P1537" s="602"/>
      <c r="Q1537" s="682" t="s">
        <v>1211</v>
      </c>
      <c r="R1537" s="74"/>
      <c r="S1537" s="74"/>
      <c r="T1537" s="74"/>
      <c r="U1537" s="74"/>
      <c r="V1537" s="74"/>
      <c r="W1537" s="74"/>
      <c r="X1537" s="74"/>
      <c r="Y1537" s="74"/>
      <c r="Z1537" s="74"/>
      <c r="AA1537" s="74"/>
      <c r="AB1537" s="74"/>
      <c r="AC1537" s="74"/>
      <c r="AD1537" s="74"/>
      <c r="AE1537" s="74"/>
      <c r="AF1537" s="74"/>
      <c r="AG1537" s="74"/>
      <c r="AH1537" s="74"/>
      <c r="AI1537" s="74"/>
    </row>
    <row r="1538" ht="22.5" customHeight="1">
      <c r="A1538" s="614">
        <v>45943.0</v>
      </c>
      <c r="B1538" s="137" t="s">
        <v>2218</v>
      </c>
      <c r="C1538" s="609"/>
      <c r="D1538" s="610">
        <v>61062.65</v>
      </c>
      <c r="E1538" s="604" t="s">
        <v>28</v>
      </c>
      <c r="F1538" s="627" t="s">
        <v>941</v>
      </c>
      <c r="G1538" s="597">
        <v>5.0</v>
      </c>
      <c r="H1538" s="689">
        <f t="shared" si="84"/>
        <v>2907.745238</v>
      </c>
      <c r="I1538" s="599"/>
      <c r="J1538" s="599"/>
      <c r="K1538" s="615" t="s">
        <v>101</v>
      </c>
      <c r="L1538" s="698" t="s">
        <v>1032</v>
      </c>
      <c r="M1538" s="621"/>
      <c r="N1538" s="621"/>
      <c r="O1538" s="621"/>
      <c r="P1538" s="602"/>
      <c r="Q1538" s="682" t="s">
        <v>1212</v>
      </c>
      <c r="R1538" s="74"/>
      <c r="S1538" s="74"/>
      <c r="T1538" s="74"/>
      <c r="U1538" s="74"/>
      <c r="V1538" s="74"/>
      <c r="W1538" s="74"/>
      <c r="X1538" s="74"/>
      <c r="Y1538" s="74"/>
      <c r="Z1538" s="74"/>
      <c r="AA1538" s="74"/>
      <c r="AB1538" s="74"/>
      <c r="AC1538" s="74"/>
      <c r="AD1538" s="74"/>
      <c r="AE1538" s="74"/>
      <c r="AF1538" s="74"/>
      <c r="AG1538" s="74"/>
      <c r="AH1538" s="74"/>
      <c r="AI1538" s="74"/>
    </row>
    <row r="1539" ht="22.5" customHeight="1">
      <c r="A1539" s="614">
        <v>45943.0</v>
      </c>
      <c r="B1539" s="137" t="s">
        <v>2218</v>
      </c>
      <c r="C1539" s="609"/>
      <c r="D1539" s="610">
        <v>13389.0</v>
      </c>
      <c r="E1539" s="604" t="s">
        <v>28</v>
      </c>
      <c r="F1539" s="627" t="s">
        <v>941</v>
      </c>
      <c r="G1539" s="597">
        <v>20.0</v>
      </c>
      <c r="H1539" s="689">
        <f t="shared" si="84"/>
        <v>2231.5</v>
      </c>
      <c r="I1539" s="599"/>
      <c r="J1539" s="605"/>
      <c r="K1539" s="615" t="s">
        <v>101</v>
      </c>
      <c r="L1539" s="698" t="s">
        <v>973</v>
      </c>
      <c r="M1539" s="621"/>
      <c r="N1539" s="621"/>
      <c r="O1539" s="621"/>
      <c r="P1539" s="602"/>
      <c r="Q1539" s="682" t="s">
        <v>1213</v>
      </c>
      <c r="R1539" s="74"/>
      <c r="S1539" s="74"/>
      <c r="T1539" s="74"/>
      <c r="U1539" s="74"/>
      <c r="V1539" s="74"/>
      <c r="W1539" s="74"/>
      <c r="X1539" s="74"/>
      <c r="Y1539" s="74"/>
      <c r="Z1539" s="74"/>
      <c r="AA1539" s="74"/>
      <c r="AB1539" s="74"/>
      <c r="AC1539" s="74"/>
      <c r="AD1539" s="74"/>
      <c r="AE1539" s="74"/>
      <c r="AF1539" s="74"/>
      <c r="AG1539" s="74"/>
      <c r="AH1539" s="74"/>
      <c r="AI1539" s="74"/>
    </row>
    <row r="1540" ht="22.5" customHeight="1">
      <c r="A1540" s="614">
        <v>45943.0</v>
      </c>
      <c r="B1540" s="137" t="s">
        <v>2218</v>
      </c>
      <c r="C1540" s="609"/>
      <c r="D1540" s="610">
        <v>406682.56</v>
      </c>
      <c r="E1540" s="604" t="s">
        <v>28</v>
      </c>
      <c r="F1540" s="627" t="s">
        <v>941</v>
      </c>
      <c r="G1540" s="597">
        <v>20.0</v>
      </c>
      <c r="H1540" s="689">
        <f t="shared" si="84"/>
        <v>67780.42667</v>
      </c>
      <c r="I1540" s="599"/>
      <c r="J1540" s="605"/>
      <c r="K1540" s="615" t="s">
        <v>101</v>
      </c>
      <c r="L1540" s="698" t="s">
        <v>597</v>
      </c>
      <c r="M1540" s="621"/>
      <c r="N1540" s="621"/>
      <c r="O1540" s="621"/>
      <c r="P1540" s="602"/>
      <c r="Q1540" s="682" t="s">
        <v>1214</v>
      </c>
      <c r="R1540" s="74"/>
      <c r="S1540" s="74"/>
      <c r="T1540" s="74"/>
      <c r="U1540" s="74"/>
      <c r="V1540" s="74"/>
      <c r="W1540" s="74"/>
      <c r="X1540" s="74"/>
      <c r="Y1540" s="74"/>
      <c r="Z1540" s="74"/>
      <c r="AA1540" s="74"/>
      <c r="AB1540" s="74"/>
      <c r="AC1540" s="74"/>
      <c r="AD1540" s="74"/>
      <c r="AE1540" s="74"/>
      <c r="AF1540" s="74"/>
      <c r="AG1540" s="74"/>
      <c r="AH1540" s="74"/>
      <c r="AI1540" s="74"/>
    </row>
    <row r="1541" ht="22.5" customHeight="1">
      <c r="A1541" s="614">
        <v>45943.0</v>
      </c>
      <c r="B1541" s="137" t="s">
        <v>2218</v>
      </c>
      <c r="C1541" s="609"/>
      <c r="D1541" s="610">
        <v>84756.46</v>
      </c>
      <c r="E1541" s="604" t="s">
        <v>28</v>
      </c>
      <c r="F1541" s="627" t="s">
        <v>941</v>
      </c>
      <c r="G1541" s="597">
        <v>20.0</v>
      </c>
      <c r="H1541" s="689">
        <f t="shared" si="84"/>
        <v>14126.07667</v>
      </c>
      <c r="I1541" s="599"/>
      <c r="J1541" s="605"/>
      <c r="K1541" s="615" t="s">
        <v>101</v>
      </c>
      <c r="L1541" s="698" t="s">
        <v>643</v>
      </c>
      <c r="M1541" s="621"/>
      <c r="N1541" s="621"/>
      <c r="O1541" s="621"/>
      <c r="P1541" s="602"/>
      <c r="Q1541" s="682" t="s">
        <v>1215</v>
      </c>
      <c r="R1541" s="74"/>
      <c r="S1541" s="74"/>
      <c r="T1541" s="74"/>
      <c r="U1541" s="74"/>
      <c r="V1541" s="74"/>
      <c r="W1541" s="74"/>
      <c r="X1541" s="74"/>
      <c r="Y1541" s="74"/>
      <c r="Z1541" s="74"/>
      <c r="AA1541" s="74"/>
      <c r="AB1541" s="74"/>
      <c r="AC1541" s="74"/>
      <c r="AD1541" s="74"/>
      <c r="AE1541" s="74"/>
      <c r="AF1541" s="74"/>
      <c r="AG1541" s="74"/>
      <c r="AH1541" s="74"/>
      <c r="AI1541" s="74"/>
    </row>
    <row r="1542" ht="22.5" customHeight="1">
      <c r="A1542" s="614">
        <v>45943.0</v>
      </c>
      <c r="B1542" s="137" t="s">
        <v>2218</v>
      </c>
      <c r="C1542" s="609"/>
      <c r="D1542" s="610">
        <v>26676.0</v>
      </c>
      <c r="E1542" s="604" t="s">
        <v>28</v>
      </c>
      <c r="F1542" s="627" t="s">
        <v>941</v>
      </c>
      <c r="G1542" s="597">
        <v>5.0</v>
      </c>
      <c r="H1542" s="689">
        <f t="shared" si="84"/>
        <v>1270.285714</v>
      </c>
      <c r="I1542" s="599"/>
      <c r="J1542" s="605"/>
      <c r="K1542" s="615" t="s">
        <v>101</v>
      </c>
      <c r="L1542" s="698" t="s">
        <v>671</v>
      </c>
      <c r="M1542" s="621"/>
      <c r="N1542" s="621"/>
      <c r="O1542" s="621"/>
      <c r="P1542" s="602"/>
      <c r="Q1542" s="682" t="s">
        <v>1216</v>
      </c>
      <c r="R1542" s="74"/>
      <c r="S1542" s="74"/>
      <c r="T1542" s="74"/>
      <c r="U1542" s="74"/>
      <c r="V1542" s="74"/>
      <c r="W1542" s="74"/>
      <c r="X1542" s="74"/>
      <c r="Y1542" s="74"/>
      <c r="Z1542" s="74"/>
      <c r="AA1542" s="74"/>
      <c r="AB1542" s="74"/>
      <c r="AC1542" s="74"/>
      <c r="AD1542" s="74"/>
      <c r="AE1542" s="74"/>
      <c r="AF1542" s="74"/>
      <c r="AG1542" s="74"/>
      <c r="AH1542" s="74"/>
      <c r="AI1542" s="74"/>
    </row>
    <row r="1543" ht="22.5" customHeight="1">
      <c r="A1543" s="614">
        <v>45943.0</v>
      </c>
      <c r="B1543" s="137" t="s">
        <v>2218</v>
      </c>
      <c r="C1543" s="609"/>
      <c r="D1543" s="610">
        <v>25508.0</v>
      </c>
      <c r="E1543" s="604" t="s">
        <v>28</v>
      </c>
      <c r="F1543" s="627" t="s">
        <v>941</v>
      </c>
      <c r="G1543" s="597">
        <v>0.0</v>
      </c>
      <c r="H1543" s="689">
        <f t="shared" si="84"/>
        <v>0</v>
      </c>
      <c r="I1543" s="599"/>
      <c r="J1543" s="605"/>
      <c r="K1543" s="615" t="s">
        <v>101</v>
      </c>
      <c r="L1543" s="698" t="s">
        <v>1062</v>
      </c>
      <c r="M1543" s="621"/>
      <c r="N1543" s="621"/>
      <c r="O1543" s="621"/>
      <c r="P1543" s="602"/>
      <c r="Q1543" s="682" t="s">
        <v>1217</v>
      </c>
      <c r="R1543" s="74"/>
      <c r="S1543" s="74"/>
      <c r="T1543" s="74"/>
      <c r="U1543" s="74"/>
      <c r="V1543" s="74"/>
      <c r="W1543" s="74"/>
      <c r="X1543" s="74"/>
      <c r="Y1543" s="74"/>
      <c r="Z1543" s="74"/>
      <c r="AA1543" s="74"/>
      <c r="AB1543" s="74"/>
      <c r="AC1543" s="74"/>
      <c r="AD1543" s="74"/>
      <c r="AE1543" s="74"/>
      <c r="AF1543" s="74"/>
      <c r="AG1543" s="74"/>
      <c r="AH1543" s="74"/>
      <c r="AI1543" s="74"/>
    </row>
    <row r="1544" ht="22.5" customHeight="1">
      <c r="A1544" s="614">
        <v>45943.0</v>
      </c>
      <c r="B1544" s="137" t="s">
        <v>2218</v>
      </c>
      <c r="C1544" s="609"/>
      <c r="D1544" s="610">
        <v>47306.44</v>
      </c>
      <c r="E1544" s="604" t="s">
        <v>28</v>
      </c>
      <c r="F1544" s="627" t="s">
        <v>941</v>
      </c>
      <c r="G1544" s="597">
        <v>20.0</v>
      </c>
      <c r="H1544" s="689">
        <f t="shared" si="84"/>
        <v>7884.406667</v>
      </c>
      <c r="I1544" s="599"/>
      <c r="J1544" s="605"/>
      <c r="K1544" s="615" t="s">
        <v>101</v>
      </c>
      <c r="L1544" s="698" t="s">
        <v>1218</v>
      </c>
      <c r="M1544" s="621"/>
      <c r="N1544" s="621"/>
      <c r="O1544" s="621"/>
      <c r="P1544" s="602"/>
      <c r="Q1544" s="682" t="s">
        <v>1219</v>
      </c>
      <c r="R1544" s="74"/>
      <c r="S1544" s="74"/>
      <c r="T1544" s="74"/>
      <c r="U1544" s="74"/>
      <c r="V1544" s="74"/>
      <c r="W1544" s="74"/>
      <c r="X1544" s="74"/>
      <c r="Y1544" s="74"/>
      <c r="Z1544" s="74"/>
      <c r="AA1544" s="74"/>
      <c r="AB1544" s="74"/>
      <c r="AC1544" s="74"/>
      <c r="AD1544" s="74"/>
      <c r="AE1544" s="74"/>
      <c r="AF1544" s="74"/>
      <c r="AG1544" s="74"/>
      <c r="AH1544" s="74"/>
      <c r="AI1544" s="74"/>
    </row>
    <row r="1545" ht="22.5" customHeight="1">
      <c r="A1545" s="614">
        <v>45943.0</v>
      </c>
      <c r="B1545" s="137" t="s">
        <v>2218</v>
      </c>
      <c r="C1545" s="609"/>
      <c r="D1545" s="610">
        <v>14038.32</v>
      </c>
      <c r="E1545" s="604" t="s">
        <v>28</v>
      </c>
      <c r="F1545" s="627" t="s">
        <v>941</v>
      </c>
      <c r="G1545" s="597">
        <v>20.0</v>
      </c>
      <c r="H1545" s="689">
        <f t="shared" si="84"/>
        <v>2339.72</v>
      </c>
      <c r="I1545" s="599"/>
      <c r="J1545" s="599"/>
      <c r="K1545" s="615" t="s">
        <v>101</v>
      </c>
      <c r="L1545" s="698" t="s">
        <v>976</v>
      </c>
      <c r="M1545" s="621"/>
      <c r="N1545" s="621"/>
      <c r="O1545" s="621"/>
      <c r="P1545" s="602"/>
      <c r="Q1545" s="682" t="s">
        <v>1220</v>
      </c>
      <c r="R1545" s="74"/>
      <c r="S1545" s="74"/>
      <c r="T1545" s="74"/>
      <c r="U1545" s="74"/>
      <c r="V1545" s="74"/>
      <c r="W1545" s="74"/>
      <c r="X1545" s="74"/>
      <c r="Y1545" s="74"/>
      <c r="Z1545" s="74"/>
      <c r="AA1545" s="74"/>
      <c r="AB1545" s="74"/>
      <c r="AC1545" s="74"/>
      <c r="AD1545" s="74"/>
      <c r="AE1545" s="74"/>
      <c r="AF1545" s="74"/>
      <c r="AG1545" s="74"/>
      <c r="AH1545" s="74"/>
      <c r="AI1545" s="74"/>
    </row>
    <row r="1546" ht="22.5" customHeight="1">
      <c r="A1546" s="614">
        <v>45943.0</v>
      </c>
      <c r="B1546" s="137" t="s">
        <v>2218</v>
      </c>
      <c r="C1546" s="609"/>
      <c r="D1546" s="610">
        <v>30900.0</v>
      </c>
      <c r="E1546" s="604" t="s">
        <v>28</v>
      </c>
      <c r="F1546" s="627" t="s">
        <v>941</v>
      </c>
      <c r="G1546" s="597">
        <v>0.0</v>
      </c>
      <c r="H1546" s="689">
        <f t="shared" si="84"/>
        <v>0</v>
      </c>
      <c r="I1546" s="599"/>
      <c r="J1546" s="605"/>
      <c r="K1546" s="615" t="s">
        <v>286</v>
      </c>
      <c r="L1546" s="616" t="s">
        <v>454</v>
      </c>
      <c r="M1546" s="621"/>
      <c r="N1546" s="621"/>
      <c r="O1546" s="621"/>
      <c r="P1546" s="602"/>
      <c r="Q1546" s="682" t="s">
        <v>1221</v>
      </c>
      <c r="R1546" s="74"/>
      <c r="S1546" s="74"/>
      <c r="T1546" s="74"/>
      <c r="U1546" s="74"/>
      <c r="V1546" s="74"/>
      <c r="W1546" s="74"/>
      <c r="X1546" s="74"/>
      <c r="Y1546" s="74"/>
      <c r="Z1546" s="74"/>
      <c r="AA1546" s="74"/>
      <c r="AB1546" s="74"/>
      <c r="AC1546" s="74"/>
      <c r="AD1546" s="74"/>
      <c r="AE1546" s="74"/>
      <c r="AF1546" s="74"/>
      <c r="AG1546" s="74"/>
      <c r="AH1546" s="74"/>
      <c r="AI1546" s="74"/>
    </row>
    <row r="1547" ht="22.5" customHeight="1">
      <c r="A1547" s="614">
        <v>45943.0</v>
      </c>
      <c r="B1547" s="137" t="s">
        <v>2218</v>
      </c>
      <c r="C1547" s="609"/>
      <c r="D1547" s="610">
        <v>244469.58</v>
      </c>
      <c r="E1547" s="604" t="s">
        <v>28</v>
      </c>
      <c r="F1547" s="627" t="s">
        <v>941</v>
      </c>
      <c r="G1547" s="597">
        <v>20.0</v>
      </c>
      <c r="H1547" s="689">
        <f t="shared" si="84"/>
        <v>40744.93</v>
      </c>
      <c r="I1547" s="599"/>
      <c r="J1547" s="599"/>
      <c r="K1547" s="615" t="s">
        <v>44</v>
      </c>
      <c r="L1547" s="700" t="s">
        <v>2247</v>
      </c>
      <c r="M1547" s="621"/>
      <c r="N1547" s="621"/>
      <c r="O1547" s="621"/>
      <c r="P1547" s="706"/>
      <c r="Q1547" s="682" t="s">
        <v>1222</v>
      </c>
      <c r="R1547" s="74"/>
      <c r="S1547" s="74"/>
      <c r="T1547" s="74"/>
      <c r="U1547" s="74"/>
      <c r="V1547" s="74"/>
      <c r="W1547" s="74"/>
      <c r="X1547" s="74"/>
      <c r="Y1547" s="74"/>
      <c r="Z1547" s="74"/>
      <c r="AA1547" s="74"/>
      <c r="AB1547" s="74"/>
      <c r="AC1547" s="74"/>
      <c r="AD1547" s="74"/>
      <c r="AE1547" s="74"/>
      <c r="AF1547" s="74"/>
      <c r="AG1547" s="74"/>
      <c r="AH1547" s="74"/>
      <c r="AI1547" s="74"/>
    </row>
    <row r="1548" ht="22.5" customHeight="1">
      <c r="A1548" s="614">
        <v>45943.0</v>
      </c>
      <c r="B1548" s="157" t="s">
        <v>2218</v>
      </c>
      <c r="C1548" s="610">
        <v>261660.0</v>
      </c>
      <c r="D1548" s="609"/>
      <c r="E1548" s="604" t="s">
        <v>28</v>
      </c>
      <c r="F1548" s="627" t="s">
        <v>941</v>
      </c>
      <c r="G1548" s="597">
        <v>20.0</v>
      </c>
      <c r="H1548" s="689">
        <f t="shared" si="84"/>
        <v>43610</v>
      </c>
      <c r="I1548" s="599"/>
      <c r="J1548" s="599"/>
      <c r="K1548" s="615" t="s">
        <v>51</v>
      </c>
      <c r="L1548" s="616" t="s">
        <v>539</v>
      </c>
      <c r="M1548" s="612" t="s">
        <v>1223</v>
      </c>
      <c r="N1548" s="612">
        <v>300.0</v>
      </c>
      <c r="O1548" s="662">
        <v>45880.0</v>
      </c>
      <c r="P1548" s="602">
        <f>TODAY()-O1548-60</f>
        <v>248</v>
      </c>
      <c r="Q1548" s="622"/>
      <c r="R1548" s="74"/>
      <c r="S1548" s="74"/>
      <c r="T1548" s="74"/>
      <c r="U1548" s="74"/>
      <c r="V1548" s="74"/>
      <c r="W1548" s="74"/>
      <c r="X1548" s="74"/>
      <c r="Y1548" s="74"/>
      <c r="Z1548" s="74"/>
      <c r="AA1548" s="74"/>
      <c r="AB1548" s="74"/>
      <c r="AC1548" s="74"/>
      <c r="AD1548" s="74"/>
      <c r="AE1548" s="74"/>
      <c r="AF1548" s="74"/>
      <c r="AG1548" s="74"/>
      <c r="AH1548" s="74"/>
      <c r="AI1548" s="74"/>
    </row>
    <row r="1549" ht="22.5" customHeight="1">
      <c r="A1549" s="614">
        <v>45943.0</v>
      </c>
      <c r="B1549" s="137" t="s">
        <v>2218</v>
      </c>
      <c r="C1549" s="609"/>
      <c r="D1549" s="610">
        <v>360000.0</v>
      </c>
      <c r="E1549" s="604" t="s">
        <v>28</v>
      </c>
      <c r="F1549" s="607" t="s">
        <v>1002</v>
      </c>
      <c r="G1549" s="597">
        <v>20.0</v>
      </c>
      <c r="H1549" s="689">
        <f t="shared" si="84"/>
        <v>60000</v>
      </c>
      <c r="I1549" s="599"/>
      <c r="J1549" s="599"/>
      <c r="K1549" s="615" t="s">
        <v>30</v>
      </c>
      <c r="L1549" s="615" t="s">
        <v>609</v>
      </c>
      <c r="M1549" s="621"/>
      <c r="N1549" s="621"/>
      <c r="O1549" s="621"/>
      <c r="P1549" s="602"/>
      <c r="Q1549" s="622"/>
      <c r="R1549" s="74"/>
      <c r="S1549" s="74"/>
      <c r="T1549" s="74"/>
      <c r="U1549" s="74"/>
      <c r="V1549" s="74"/>
      <c r="W1549" s="74"/>
      <c r="X1549" s="74"/>
      <c r="Y1549" s="74"/>
      <c r="Z1549" s="74"/>
      <c r="AA1549" s="74"/>
      <c r="AB1549" s="74"/>
      <c r="AC1549" s="74"/>
      <c r="AD1549" s="74"/>
      <c r="AE1549" s="74"/>
      <c r="AF1549" s="74"/>
      <c r="AG1549" s="74"/>
      <c r="AH1549" s="74"/>
      <c r="AI1549" s="74"/>
    </row>
    <row r="1550" ht="22.5" customHeight="1">
      <c r="A1550" s="614">
        <v>45943.0</v>
      </c>
      <c r="B1550" s="137" t="s">
        <v>2218</v>
      </c>
      <c r="C1550" s="609"/>
      <c r="D1550" s="609">
        <f>28300+28300+49679</f>
        <v>106279</v>
      </c>
      <c r="E1550" s="604" t="s">
        <v>28</v>
      </c>
      <c r="F1550" s="607" t="s">
        <v>1099</v>
      </c>
      <c r="G1550" s="597">
        <v>5.0</v>
      </c>
      <c r="H1550" s="689">
        <f t="shared" si="84"/>
        <v>5060.904762</v>
      </c>
      <c r="I1550" s="599"/>
      <c r="J1550" s="599"/>
      <c r="K1550" s="615" t="s">
        <v>213</v>
      </c>
      <c r="L1550" s="616" t="s">
        <v>968</v>
      </c>
      <c r="M1550" s="621"/>
      <c r="N1550" s="621"/>
      <c r="O1550" s="621"/>
      <c r="P1550" s="602"/>
      <c r="Q1550" s="622"/>
      <c r="R1550" s="74"/>
      <c r="S1550" s="74"/>
      <c r="T1550" s="74"/>
      <c r="U1550" s="74"/>
      <c r="V1550" s="74"/>
      <c r="W1550" s="74"/>
      <c r="X1550" s="74"/>
      <c r="Y1550" s="74"/>
      <c r="Z1550" s="74"/>
      <c r="AA1550" s="74"/>
      <c r="AB1550" s="74"/>
      <c r="AC1550" s="74"/>
      <c r="AD1550" s="74"/>
      <c r="AE1550" s="74"/>
      <c r="AF1550" s="74"/>
      <c r="AG1550" s="74"/>
      <c r="AH1550" s="74"/>
      <c r="AI1550" s="74"/>
    </row>
    <row r="1551" ht="22.5" customHeight="1">
      <c r="A1551" s="614">
        <v>45943.0</v>
      </c>
      <c r="B1551" s="137" t="s">
        <v>2218</v>
      </c>
      <c r="C1551" s="609"/>
      <c r="D1551" s="610">
        <v>550000.0</v>
      </c>
      <c r="E1551" s="604" t="s">
        <v>28</v>
      </c>
      <c r="F1551" s="607" t="s">
        <v>1099</v>
      </c>
      <c r="G1551" s="597">
        <v>0.0</v>
      </c>
      <c r="H1551" s="689">
        <f t="shared" si="84"/>
        <v>0</v>
      </c>
      <c r="I1551" s="599"/>
      <c r="J1551" s="599"/>
      <c r="K1551" s="615" t="s">
        <v>2010</v>
      </c>
      <c r="L1551" s="615" t="s">
        <v>505</v>
      </c>
      <c r="M1551" s="621"/>
      <c r="N1551" s="621"/>
      <c r="O1551" s="621"/>
      <c r="P1551" s="706"/>
      <c r="Q1551" s="707" t="s">
        <v>1224</v>
      </c>
      <c r="R1551" s="74"/>
      <c r="S1551" s="74"/>
      <c r="T1551" s="74"/>
      <c r="U1551" s="74"/>
      <c r="V1551" s="74"/>
      <c r="W1551" s="74"/>
      <c r="X1551" s="74"/>
      <c r="Y1551" s="74"/>
      <c r="Z1551" s="74"/>
      <c r="AA1551" s="74"/>
      <c r="AB1551" s="74"/>
      <c r="AC1551" s="74"/>
      <c r="AD1551" s="74"/>
      <c r="AE1551" s="74"/>
      <c r="AF1551" s="74"/>
      <c r="AG1551" s="74"/>
      <c r="AH1551" s="74"/>
      <c r="AI1551" s="74"/>
    </row>
    <row r="1552" ht="22.5" customHeight="1">
      <c r="A1552" s="614">
        <v>45944.0</v>
      </c>
      <c r="B1552" s="137" t="s">
        <v>2218</v>
      </c>
      <c r="C1552" s="609"/>
      <c r="D1552" s="610">
        <v>21502.8</v>
      </c>
      <c r="E1552" s="604" t="s">
        <v>28</v>
      </c>
      <c r="F1552" s="607" t="s">
        <v>1002</v>
      </c>
      <c r="G1552" s="597">
        <v>0.0</v>
      </c>
      <c r="H1552" s="689">
        <f t="shared" si="84"/>
        <v>0</v>
      </c>
      <c r="I1552" s="599"/>
      <c r="J1552" s="599"/>
      <c r="K1552" s="615" t="s">
        <v>494</v>
      </c>
      <c r="L1552" s="615" t="s">
        <v>745</v>
      </c>
      <c r="M1552" s="621"/>
      <c r="N1552" s="621"/>
      <c r="O1552" s="621"/>
      <c r="P1552" s="706"/>
      <c r="Q1552" s="682" t="s">
        <v>1225</v>
      </c>
      <c r="R1552" s="74"/>
      <c r="S1552" s="74"/>
      <c r="T1552" s="74"/>
      <c r="U1552" s="74"/>
      <c r="V1552" s="74"/>
      <c r="W1552" s="74"/>
      <c r="X1552" s="74"/>
      <c r="Y1552" s="74"/>
      <c r="Z1552" s="74"/>
      <c r="AA1552" s="74"/>
      <c r="AB1552" s="74"/>
      <c r="AC1552" s="74"/>
      <c r="AD1552" s="74"/>
      <c r="AE1552" s="74"/>
      <c r="AF1552" s="74"/>
      <c r="AG1552" s="74"/>
      <c r="AH1552" s="74"/>
      <c r="AI1552" s="74"/>
    </row>
    <row r="1553" ht="22.5" customHeight="1">
      <c r="A1553" s="614">
        <v>45944.0</v>
      </c>
      <c r="B1553" s="137" t="s">
        <v>2218</v>
      </c>
      <c r="C1553" s="609"/>
      <c r="D1553" s="610">
        <v>22516.4</v>
      </c>
      <c r="E1553" s="604" t="s">
        <v>28</v>
      </c>
      <c r="F1553" s="607" t="s">
        <v>1002</v>
      </c>
      <c r="G1553" s="597">
        <v>0.0</v>
      </c>
      <c r="H1553" s="689">
        <f t="shared" si="84"/>
        <v>0</v>
      </c>
      <c r="I1553" s="599"/>
      <c r="J1553" s="599"/>
      <c r="K1553" s="615" t="s">
        <v>494</v>
      </c>
      <c r="L1553" s="615" t="s">
        <v>745</v>
      </c>
      <c r="M1553" s="621"/>
      <c r="N1553" s="621"/>
      <c r="O1553" s="621"/>
      <c r="P1553" s="706"/>
      <c r="Q1553" s="682" t="s">
        <v>1226</v>
      </c>
      <c r="R1553" s="74"/>
      <c r="S1553" s="74"/>
      <c r="T1553" s="74"/>
      <c r="U1553" s="74"/>
      <c r="V1553" s="74"/>
      <c r="W1553" s="74"/>
      <c r="X1553" s="74"/>
      <c r="Y1553" s="74"/>
      <c r="Z1553" s="74"/>
      <c r="AA1553" s="74"/>
      <c r="AB1553" s="74"/>
      <c r="AC1553" s="74"/>
      <c r="AD1553" s="74"/>
      <c r="AE1553" s="74"/>
      <c r="AF1553" s="74"/>
      <c r="AG1553" s="74"/>
      <c r="AH1553" s="74"/>
      <c r="AI1553" s="74"/>
    </row>
    <row r="1554" ht="22.5" customHeight="1">
      <c r="A1554" s="614">
        <v>45944.0</v>
      </c>
      <c r="B1554" s="137" t="s">
        <v>2218</v>
      </c>
      <c r="C1554" s="609"/>
      <c r="D1554" s="610">
        <v>4048.46</v>
      </c>
      <c r="E1554" s="604" t="s">
        <v>28</v>
      </c>
      <c r="F1554" s="607" t="s">
        <v>1002</v>
      </c>
      <c r="G1554" s="597">
        <v>0.0</v>
      </c>
      <c r="H1554" s="689">
        <f t="shared" si="84"/>
        <v>0</v>
      </c>
      <c r="I1554" s="599"/>
      <c r="J1554" s="599"/>
      <c r="K1554" s="615" t="s">
        <v>494</v>
      </c>
      <c r="L1554" s="615" t="s">
        <v>745</v>
      </c>
      <c r="M1554" s="621"/>
      <c r="N1554" s="621"/>
      <c r="O1554" s="621"/>
      <c r="P1554" s="706"/>
      <c r="Q1554" s="682" t="s">
        <v>1227</v>
      </c>
      <c r="R1554" s="74"/>
      <c r="S1554" s="74"/>
      <c r="T1554" s="74"/>
      <c r="U1554" s="74"/>
      <c r="V1554" s="74"/>
      <c r="W1554" s="74"/>
      <c r="X1554" s="74"/>
      <c r="Y1554" s="74"/>
      <c r="Z1554" s="74"/>
      <c r="AA1554" s="74"/>
      <c r="AB1554" s="74"/>
      <c r="AC1554" s="74"/>
      <c r="AD1554" s="74"/>
      <c r="AE1554" s="74"/>
      <c r="AF1554" s="74"/>
      <c r="AG1554" s="74"/>
      <c r="AH1554" s="74"/>
      <c r="AI1554" s="74"/>
    </row>
    <row r="1555" ht="22.5" customHeight="1">
      <c r="A1555" s="614">
        <v>45944.0</v>
      </c>
      <c r="B1555" s="137" t="s">
        <v>2218</v>
      </c>
      <c r="C1555" s="609"/>
      <c r="D1555" s="610">
        <v>20400.0</v>
      </c>
      <c r="E1555" s="604" t="s">
        <v>28</v>
      </c>
      <c r="F1555" s="607" t="s">
        <v>1179</v>
      </c>
      <c r="G1555" s="597">
        <v>20.0</v>
      </c>
      <c r="H1555" s="689">
        <f t="shared" si="84"/>
        <v>3400</v>
      </c>
      <c r="I1555" s="599"/>
      <c r="J1555" s="599"/>
      <c r="K1555" s="615" t="s">
        <v>494</v>
      </c>
      <c r="L1555" s="615" t="s">
        <v>910</v>
      </c>
      <c r="M1555" s="621"/>
      <c r="N1555" s="621"/>
      <c r="O1555" s="621"/>
      <c r="P1555" s="706"/>
      <c r="Q1555" s="707" t="s">
        <v>1228</v>
      </c>
      <c r="R1555" s="74"/>
      <c r="S1555" s="74"/>
      <c r="T1555" s="74"/>
      <c r="U1555" s="74"/>
      <c r="V1555" s="74"/>
      <c r="W1555" s="74"/>
      <c r="X1555" s="74"/>
      <c r="Y1555" s="74"/>
      <c r="Z1555" s="74"/>
      <c r="AA1555" s="74"/>
      <c r="AB1555" s="74"/>
      <c r="AC1555" s="74"/>
      <c r="AD1555" s="74"/>
      <c r="AE1555" s="74"/>
      <c r="AF1555" s="74"/>
      <c r="AG1555" s="74"/>
      <c r="AH1555" s="74"/>
      <c r="AI1555" s="74"/>
    </row>
    <row r="1556" ht="22.5" customHeight="1">
      <c r="A1556" s="614">
        <v>45944.0</v>
      </c>
      <c r="B1556" s="137" t="s">
        <v>2218</v>
      </c>
      <c r="C1556" s="609"/>
      <c r="D1556" s="610">
        <v>22516.4</v>
      </c>
      <c r="E1556" s="604" t="s">
        <v>28</v>
      </c>
      <c r="F1556" s="607" t="s">
        <v>1002</v>
      </c>
      <c r="G1556" s="597">
        <v>0.0</v>
      </c>
      <c r="H1556" s="689">
        <f t="shared" si="84"/>
        <v>0</v>
      </c>
      <c r="I1556" s="599"/>
      <c r="J1556" s="599"/>
      <c r="K1556" s="615" t="s">
        <v>494</v>
      </c>
      <c r="L1556" s="615" t="s">
        <v>745</v>
      </c>
      <c r="M1556" s="621"/>
      <c r="N1556" s="621"/>
      <c r="O1556" s="621"/>
      <c r="P1556" s="706"/>
      <c r="Q1556" s="682" t="s">
        <v>1229</v>
      </c>
      <c r="R1556" s="74"/>
      <c r="S1556" s="74"/>
      <c r="T1556" s="74"/>
      <c r="U1556" s="74"/>
      <c r="V1556" s="74"/>
      <c r="W1556" s="74"/>
      <c r="X1556" s="74"/>
      <c r="Y1556" s="74"/>
      <c r="Z1556" s="74"/>
      <c r="AA1556" s="74"/>
      <c r="AB1556" s="74"/>
      <c r="AC1556" s="74"/>
      <c r="AD1556" s="74"/>
      <c r="AE1556" s="74"/>
      <c r="AF1556" s="74"/>
      <c r="AG1556" s="74"/>
      <c r="AH1556" s="74"/>
      <c r="AI1556" s="74"/>
    </row>
    <row r="1557" ht="22.5" customHeight="1">
      <c r="A1557" s="614">
        <v>45944.0</v>
      </c>
      <c r="B1557" s="137" t="s">
        <v>2218</v>
      </c>
      <c r="C1557" s="609"/>
      <c r="D1557" s="610">
        <v>16652.0</v>
      </c>
      <c r="E1557" s="604" t="s">
        <v>28</v>
      </c>
      <c r="F1557" s="627" t="s">
        <v>897</v>
      </c>
      <c r="G1557" s="597">
        <v>0.0</v>
      </c>
      <c r="H1557" s="689">
        <f t="shared" si="84"/>
        <v>0</v>
      </c>
      <c r="I1557" s="599"/>
      <c r="J1557" s="599"/>
      <c r="K1557" s="615" t="s">
        <v>494</v>
      </c>
      <c r="L1557" s="615" t="s">
        <v>745</v>
      </c>
      <c r="M1557" s="621"/>
      <c r="N1557" s="621"/>
      <c r="O1557" s="621"/>
      <c r="P1557" s="706"/>
      <c r="Q1557" s="622"/>
      <c r="R1557" s="74"/>
      <c r="S1557" s="74"/>
      <c r="T1557" s="74"/>
      <c r="U1557" s="74"/>
      <c r="V1557" s="74"/>
      <c r="W1557" s="74"/>
      <c r="X1557" s="74"/>
      <c r="Y1557" s="74"/>
      <c r="Z1557" s="74"/>
      <c r="AA1557" s="74"/>
      <c r="AB1557" s="74"/>
      <c r="AC1557" s="74"/>
      <c r="AD1557" s="74"/>
      <c r="AE1557" s="74"/>
      <c r="AF1557" s="74"/>
      <c r="AG1557" s="74"/>
      <c r="AH1557" s="74"/>
      <c r="AI1557" s="74"/>
    </row>
    <row r="1558" ht="22.5" customHeight="1">
      <c r="A1558" s="614">
        <v>45944.0</v>
      </c>
      <c r="B1558" s="137" t="s">
        <v>2218</v>
      </c>
      <c r="C1558" s="609"/>
      <c r="D1558" s="610">
        <v>53192.0</v>
      </c>
      <c r="E1558" s="604" t="s">
        <v>28</v>
      </c>
      <c r="F1558" s="607" t="s">
        <v>1099</v>
      </c>
      <c r="G1558" s="597">
        <v>0.0</v>
      </c>
      <c r="H1558" s="689">
        <f t="shared" si="84"/>
        <v>0</v>
      </c>
      <c r="I1558" s="599"/>
      <c r="J1558" s="599"/>
      <c r="K1558" s="615" t="s">
        <v>2237</v>
      </c>
      <c r="L1558" s="615" t="s">
        <v>901</v>
      </c>
      <c r="M1558" s="621"/>
      <c r="N1558" s="621"/>
      <c r="O1558" s="621"/>
      <c r="P1558" s="706"/>
      <c r="Q1558" s="622"/>
      <c r="R1558" s="74"/>
      <c r="S1558" s="74"/>
      <c r="T1558" s="74"/>
      <c r="U1558" s="74"/>
      <c r="V1558" s="74"/>
      <c r="W1558" s="74"/>
      <c r="X1558" s="74"/>
      <c r="Y1558" s="74"/>
      <c r="Z1558" s="74"/>
      <c r="AA1558" s="74"/>
      <c r="AB1558" s="74"/>
      <c r="AC1558" s="74"/>
      <c r="AD1558" s="74"/>
      <c r="AE1558" s="74"/>
      <c r="AF1558" s="74"/>
      <c r="AG1558" s="74"/>
      <c r="AH1558" s="74"/>
      <c r="AI1558" s="74"/>
    </row>
    <row r="1559" ht="22.5" customHeight="1">
      <c r="A1559" s="614">
        <v>45944.0</v>
      </c>
      <c r="B1559" s="137" t="s">
        <v>2218</v>
      </c>
      <c r="C1559" s="609"/>
      <c r="D1559" s="610">
        <v>95745.0</v>
      </c>
      <c r="E1559" s="604" t="s">
        <v>28</v>
      </c>
      <c r="F1559" s="607" t="s">
        <v>1099</v>
      </c>
      <c r="G1559" s="597">
        <v>0.0</v>
      </c>
      <c r="H1559" s="689">
        <f t="shared" si="84"/>
        <v>0</v>
      </c>
      <c r="I1559" s="599"/>
      <c r="J1559" s="599"/>
      <c r="K1559" s="615" t="s">
        <v>2237</v>
      </c>
      <c r="L1559" s="615" t="s">
        <v>901</v>
      </c>
      <c r="M1559" s="621"/>
      <c r="N1559" s="621"/>
      <c r="O1559" s="621"/>
      <c r="P1559" s="706"/>
      <c r="Q1559" s="622"/>
      <c r="R1559" s="74"/>
      <c r="S1559" s="74"/>
      <c r="T1559" s="74"/>
      <c r="U1559" s="74"/>
      <c r="V1559" s="74"/>
      <c r="W1559" s="74"/>
      <c r="X1559" s="74"/>
      <c r="Y1559" s="74"/>
      <c r="Z1559" s="74"/>
      <c r="AA1559" s="74"/>
      <c r="AB1559" s="74"/>
      <c r="AC1559" s="74"/>
      <c r="AD1559" s="74"/>
      <c r="AE1559" s="74"/>
      <c r="AF1559" s="74"/>
      <c r="AG1559" s="74"/>
      <c r="AH1559" s="74"/>
      <c r="AI1559" s="74"/>
    </row>
    <row r="1560" ht="22.5" customHeight="1">
      <c r="A1560" s="614">
        <v>45944.0</v>
      </c>
      <c r="B1560" s="137" t="s">
        <v>2218</v>
      </c>
      <c r="C1560" s="609"/>
      <c r="D1560" s="610">
        <v>217200.0</v>
      </c>
      <c r="E1560" s="604" t="s">
        <v>28</v>
      </c>
      <c r="F1560" s="607" t="s">
        <v>2033</v>
      </c>
      <c r="G1560" s="597">
        <v>0.0</v>
      </c>
      <c r="H1560" s="689">
        <f t="shared" si="84"/>
        <v>0</v>
      </c>
      <c r="I1560" s="599"/>
      <c r="J1560" s="599"/>
      <c r="K1560" s="615" t="s">
        <v>494</v>
      </c>
      <c r="L1560" s="615" t="s">
        <v>691</v>
      </c>
      <c r="M1560" s="621"/>
      <c r="N1560" s="621"/>
      <c r="O1560" s="621"/>
      <c r="P1560" s="706"/>
      <c r="Q1560" s="622"/>
      <c r="R1560" s="74"/>
      <c r="S1560" s="74"/>
      <c r="T1560" s="74"/>
      <c r="U1560" s="74"/>
      <c r="V1560" s="74"/>
      <c r="W1560" s="74"/>
      <c r="X1560" s="74"/>
      <c r="Y1560" s="74"/>
      <c r="Z1560" s="74"/>
      <c r="AA1560" s="74"/>
      <c r="AB1560" s="74"/>
      <c r="AC1560" s="74"/>
      <c r="AD1560" s="74"/>
      <c r="AE1560" s="74"/>
      <c r="AF1560" s="74"/>
      <c r="AG1560" s="74"/>
      <c r="AH1560" s="74"/>
      <c r="AI1560" s="74"/>
    </row>
    <row r="1561" ht="22.5" customHeight="1">
      <c r="A1561" s="614">
        <v>45944.0</v>
      </c>
      <c r="B1561" s="157" t="s">
        <v>2218</v>
      </c>
      <c r="C1561" s="610">
        <v>1200000.48</v>
      </c>
      <c r="D1561" s="609"/>
      <c r="E1561" s="703" t="s">
        <v>28</v>
      </c>
      <c r="F1561" s="627" t="s">
        <v>897</v>
      </c>
      <c r="G1561" s="597">
        <v>20.0</v>
      </c>
      <c r="H1561" s="689">
        <f t="shared" si="84"/>
        <v>200000.08</v>
      </c>
      <c r="I1561" s="599"/>
      <c r="J1561" s="599"/>
      <c r="K1561" s="615" t="s">
        <v>51</v>
      </c>
      <c r="L1561" s="616" t="s">
        <v>474</v>
      </c>
      <c r="M1561" s="612" t="s">
        <v>1192</v>
      </c>
      <c r="N1561" s="612">
        <v>257.0</v>
      </c>
      <c r="O1561" s="662">
        <v>45842.0</v>
      </c>
      <c r="P1561" s="706">
        <f t="shared" ref="P1561:P1564" si="96">TODAY()-O1561-60</f>
        <v>286</v>
      </c>
      <c r="Q1561" s="622"/>
      <c r="R1561" s="74"/>
      <c r="S1561" s="74"/>
      <c r="T1561" s="74"/>
      <c r="U1561" s="74"/>
      <c r="V1561" s="74"/>
      <c r="W1561" s="74"/>
      <c r="X1561" s="74"/>
      <c r="Y1561" s="74"/>
      <c r="Z1561" s="74"/>
      <c r="AA1561" s="74"/>
      <c r="AB1561" s="74"/>
      <c r="AC1561" s="74"/>
      <c r="AD1561" s="74"/>
      <c r="AE1561" s="74"/>
      <c r="AF1561" s="74"/>
      <c r="AG1561" s="74"/>
      <c r="AH1561" s="74"/>
      <c r="AI1561" s="74"/>
    </row>
    <row r="1562" ht="22.5" customHeight="1">
      <c r="A1562" s="614">
        <v>45944.0</v>
      </c>
      <c r="B1562" s="157" t="s">
        <v>2218</v>
      </c>
      <c r="C1562" s="610">
        <v>2106720.24</v>
      </c>
      <c r="D1562" s="609"/>
      <c r="E1562" s="703" t="s">
        <v>28</v>
      </c>
      <c r="F1562" s="627" t="s">
        <v>897</v>
      </c>
      <c r="G1562" s="597">
        <v>20.0</v>
      </c>
      <c r="H1562" s="689">
        <f t="shared" si="84"/>
        <v>351120.04</v>
      </c>
      <c r="I1562" s="599"/>
      <c r="J1562" s="599"/>
      <c r="K1562" s="615" t="s">
        <v>51</v>
      </c>
      <c r="L1562" s="616" t="s">
        <v>474</v>
      </c>
      <c r="M1562" s="612" t="s">
        <v>1061</v>
      </c>
      <c r="N1562" s="612">
        <v>258.0</v>
      </c>
      <c r="O1562" s="662">
        <v>45842.0</v>
      </c>
      <c r="P1562" s="706">
        <f t="shared" si="96"/>
        <v>286</v>
      </c>
      <c r="Q1562" s="622"/>
      <c r="R1562" s="74"/>
      <c r="S1562" s="74"/>
      <c r="T1562" s="74"/>
      <c r="U1562" s="74"/>
      <c r="V1562" s="74"/>
      <c r="W1562" s="74"/>
      <c r="X1562" s="74"/>
      <c r="Y1562" s="74"/>
      <c r="Z1562" s="74"/>
      <c r="AA1562" s="74"/>
      <c r="AB1562" s="74"/>
      <c r="AC1562" s="74"/>
      <c r="AD1562" s="74"/>
      <c r="AE1562" s="74"/>
      <c r="AF1562" s="74"/>
      <c r="AG1562" s="74"/>
      <c r="AH1562" s="74"/>
      <c r="AI1562" s="74"/>
    </row>
    <row r="1563" ht="22.5" customHeight="1">
      <c r="A1563" s="614">
        <v>45944.0</v>
      </c>
      <c r="B1563" s="157" t="s">
        <v>2218</v>
      </c>
      <c r="C1563" s="610">
        <v>600000.24</v>
      </c>
      <c r="D1563" s="609"/>
      <c r="E1563" s="604" t="s">
        <v>28</v>
      </c>
      <c r="F1563" s="627" t="s">
        <v>941</v>
      </c>
      <c r="G1563" s="597">
        <v>20.0</v>
      </c>
      <c r="H1563" s="689">
        <f t="shared" si="84"/>
        <v>100000.04</v>
      </c>
      <c r="I1563" s="599"/>
      <c r="J1563" s="599"/>
      <c r="K1563" s="615" t="s">
        <v>51</v>
      </c>
      <c r="L1563" s="616" t="s">
        <v>474</v>
      </c>
      <c r="M1563" s="612" t="s">
        <v>1230</v>
      </c>
      <c r="N1563" s="612">
        <v>286.0</v>
      </c>
      <c r="O1563" s="662">
        <v>45877.0</v>
      </c>
      <c r="P1563" s="706">
        <f t="shared" si="96"/>
        <v>251</v>
      </c>
      <c r="Q1563" s="622"/>
      <c r="R1563" s="74"/>
      <c r="S1563" s="74"/>
      <c r="T1563" s="74"/>
      <c r="U1563" s="74"/>
      <c r="V1563" s="74"/>
      <c r="W1563" s="74"/>
      <c r="X1563" s="74"/>
      <c r="Y1563" s="74"/>
      <c r="Z1563" s="74"/>
      <c r="AA1563" s="74"/>
      <c r="AB1563" s="74"/>
      <c r="AC1563" s="74"/>
      <c r="AD1563" s="74"/>
      <c r="AE1563" s="74"/>
      <c r="AF1563" s="74"/>
      <c r="AG1563" s="74"/>
      <c r="AH1563" s="74"/>
      <c r="AI1563" s="74"/>
    </row>
    <row r="1564" ht="22.5" customHeight="1">
      <c r="A1564" s="614">
        <v>45944.0</v>
      </c>
      <c r="B1564" s="157" t="s">
        <v>2218</v>
      </c>
      <c r="C1564" s="610">
        <v>600000.24</v>
      </c>
      <c r="D1564" s="609"/>
      <c r="E1564" s="604" t="s">
        <v>28</v>
      </c>
      <c r="F1564" s="627" t="s">
        <v>941</v>
      </c>
      <c r="G1564" s="597">
        <v>20.0</v>
      </c>
      <c r="H1564" s="689">
        <f t="shared" si="84"/>
        <v>100000.04</v>
      </c>
      <c r="I1564" s="599"/>
      <c r="J1564" s="599"/>
      <c r="K1564" s="615" t="s">
        <v>51</v>
      </c>
      <c r="L1564" s="616" t="s">
        <v>474</v>
      </c>
      <c r="M1564" s="612" t="s">
        <v>1163</v>
      </c>
      <c r="N1564" s="612">
        <v>287.0</v>
      </c>
      <c r="O1564" s="662">
        <v>45877.0</v>
      </c>
      <c r="P1564" s="706">
        <f t="shared" si="96"/>
        <v>251</v>
      </c>
      <c r="Q1564" s="622"/>
      <c r="R1564" s="74"/>
      <c r="S1564" s="74"/>
      <c r="T1564" s="74"/>
      <c r="U1564" s="74"/>
      <c r="V1564" s="74"/>
      <c r="W1564" s="74"/>
      <c r="X1564" s="74"/>
      <c r="Y1564" s="74"/>
      <c r="Z1564" s="74"/>
      <c r="AA1564" s="74"/>
      <c r="AB1564" s="74"/>
      <c r="AC1564" s="74"/>
      <c r="AD1564" s="74"/>
      <c r="AE1564" s="74"/>
      <c r="AF1564" s="74"/>
      <c r="AG1564" s="74"/>
      <c r="AH1564" s="74"/>
      <c r="AI1564" s="74"/>
    </row>
    <row r="1565" ht="22.5" customHeight="1">
      <c r="A1565" s="614">
        <v>45944.0</v>
      </c>
      <c r="B1565" s="137" t="s">
        <v>2218</v>
      </c>
      <c r="C1565" s="609"/>
      <c r="D1565" s="610"/>
      <c r="E1565" s="604" t="s">
        <v>33</v>
      </c>
      <c r="F1565" s="607" t="s">
        <v>1099</v>
      </c>
      <c r="G1565" s="597">
        <v>0.0</v>
      </c>
      <c r="H1565" s="689">
        <f t="shared" si="84"/>
        <v>0</v>
      </c>
      <c r="I1565" s="599"/>
      <c r="J1565" s="605">
        <v>20380.0</v>
      </c>
      <c r="K1565" s="615" t="s">
        <v>1181</v>
      </c>
      <c r="L1565" s="615" t="s">
        <v>1231</v>
      </c>
      <c r="M1565" s="621"/>
      <c r="N1565" s="621"/>
      <c r="O1565" s="621"/>
      <c r="P1565" s="706"/>
      <c r="Q1565" s="622"/>
      <c r="R1565" s="74"/>
      <c r="S1565" s="74"/>
      <c r="T1565" s="74"/>
      <c r="U1565" s="74"/>
      <c r="V1565" s="74"/>
      <c r="W1565" s="74"/>
      <c r="X1565" s="74"/>
      <c r="Y1565" s="74"/>
      <c r="Z1565" s="74"/>
      <c r="AA1565" s="74"/>
      <c r="AB1565" s="74"/>
      <c r="AC1565" s="74"/>
      <c r="AD1565" s="74"/>
      <c r="AE1565" s="74"/>
      <c r="AF1565" s="74"/>
      <c r="AG1565" s="74"/>
      <c r="AH1565" s="74"/>
      <c r="AI1565" s="74"/>
    </row>
    <row r="1566" ht="22.5" customHeight="1">
      <c r="A1566" s="614">
        <v>45944.0</v>
      </c>
      <c r="B1566" s="137" t="s">
        <v>2218</v>
      </c>
      <c r="C1566" s="609"/>
      <c r="D1566" s="610"/>
      <c r="E1566" s="604" t="s">
        <v>33</v>
      </c>
      <c r="F1566" s="607" t="s">
        <v>1099</v>
      </c>
      <c r="G1566" s="597">
        <v>0.0</v>
      </c>
      <c r="H1566" s="689">
        <f t="shared" si="84"/>
        <v>0</v>
      </c>
      <c r="I1566" s="599"/>
      <c r="J1566" s="605">
        <v>30000.0</v>
      </c>
      <c r="K1566" s="615" t="s">
        <v>591</v>
      </c>
      <c r="L1566" s="615" t="s">
        <v>1231</v>
      </c>
      <c r="M1566" s="621"/>
      <c r="N1566" s="621"/>
      <c r="O1566" s="621"/>
      <c r="P1566" s="706"/>
      <c r="Q1566" s="622"/>
      <c r="R1566" s="74"/>
      <c r="S1566" s="74"/>
      <c r="T1566" s="74"/>
      <c r="U1566" s="74"/>
      <c r="V1566" s="74"/>
      <c r="W1566" s="74"/>
      <c r="X1566" s="74"/>
      <c r="Y1566" s="74"/>
      <c r="Z1566" s="74"/>
      <c r="AA1566" s="74"/>
      <c r="AB1566" s="74"/>
      <c r="AC1566" s="74"/>
      <c r="AD1566" s="74"/>
      <c r="AE1566" s="74"/>
      <c r="AF1566" s="74"/>
      <c r="AG1566" s="74"/>
      <c r="AH1566" s="74"/>
      <c r="AI1566" s="74"/>
    </row>
    <row r="1567" ht="22.5" customHeight="1">
      <c r="A1567" s="614">
        <v>45944.0</v>
      </c>
      <c r="B1567" s="137" t="s">
        <v>2218</v>
      </c>
      <c r="C1567" s="609"/>
      <c r="D1567" s="609"/>
      <c r="E1567" s="604" t="s">
        <v>33</v>
      </c>
      <c r="F1567" s="607" t="s">
        <v>1179</v>
      </c>
      <c r="G1567" s="597">
        <v>0.0</v>
      </c>
      <c r="H1567" s="689">
        <f t="shared" si="84"/>
        <v>0</v>
      </c>
      <c r="I1567" s="599"/>
      <c r="J1567" s="605">
        <v>25000.0</v>
      </c>
      <c r="K1567" s="615" t="s">
        <v>1181</v>
      </c>
      <c r="L1567" s="615" t="s">
        <v>1232</v>
      </c>
      <c r="M1567" s="621"/>
      <c r="N1567" s="621"/>
      <c r="O1567" s="621"/>
      <c r="P1567" s="706"/>
      <c r="Q1567" s="622"/>
      <c r="R1567" s="74"/>
      <c r="S1567" s="74"/>
      <c r="T1567" s="74"/>
      <c r="U1567" s="74"/>
      <c r="V1567" s="74"/>
      <c r="W1567" s="74"/>
      <c r="X1567" s="74"/>
      <c r="Y1567" s="74"/>
      <c r="Z1567" s="74"/>
      <c r="AA1567" s="74"/>
      <c r="AB1567" s="74"/>
      <c r="AC1567" s="74"/>
      <c r="AD1567" s="74"/>
      <c r="AE1567" s="74"/>
      <c r="AF1567" s="74"/>
      <c r="AG1567" s="74"/>
      <c r="AH1567" s="74"/>
      <c r="AI1567" s="74"/>
    </row>
    <row r="1568" ht="22.5" customHeight="1">
      <c r="A1568" s="614">
        <v>45944.0</v>
      </c>
      <c r="B1568" s="137" t="s">
        <v>2218</v>
      </c>
      <c r="C1568" s="609"/>
      <c r="D1568" s="609"/>
      <c r="E1568" s="604" t="s">
        <v>33</v>
      </c>
      <c r="F1568" s="607" t="s">
        <v>1179</v>
      </c>
      <c r="G1568" s="597">
        <v>0.0</v>
      </c>
      <c r="H1568" s="689">
        <f t="shared" si="84"/>
        <v>0</v>
      </c>
      <c r="I1568" s="599"/>
      <c r="J1568" s="605">
        <v>30000.0</v>
      </c>
      <c r="K1568" s="615" t="s">
        <v>591</v>
      </c>
      <c r="L1568" s="615" t="s">
        <v>1233</v>
      </c>
      <c r="M1568" s="621"/>
      <c r="N1568" s="621"/>
      <c r="O1568" s="621"/>
      <c r="P1568" s="706"/>
      <c r="Q1568" s="622"/>
      <c r="R1568" s="74"/>
      <c r="S1568" s="74"/>
      <c r="T1568" s="74"/>
      <c r="U1568" s="74"/>
      <c r="V1568" s="74"/>
      <c r="W1568" s="74"/>
      <c r="X1568" s="74"/>
      <c r="Y1568" s="74"/>
      <c r="Z1568" s="74"/>
      <c r="AA1568" s="74"/>
      <c r="AB1568" s="74"/>
      <c r="AC1568" s="74"/>
      <c r="AD1568" s="74"/>
      <c r="AE1568" s="74"/>
      <c r="AF1568" s="74"/>
      <c r="AG1568" s="74"/>
      <c r="AH1568" s="74"/>
      <c r="AI1568" s="74"/>
    </row>
    <row r="1569" ht="22.5" customHeight="1">
      <c r="A1569" s="614">
        <v>45944.0</v>
      </c>
      <c r="B1569" s="137" t="s">
        <v>2218</v>
      </c>
      <c r="C1569" s="610">
        <v>600432.0</v>
      </c>
      <c r="D1569" s="610"/>
      <c r="E1569" s="604" t="s">
        <v>28</v>
      </c>
      <c r="F1569" s="627" t="s">
        <v>722</v>
      </c>
      <c r="G1569" s="597">
        <v>20.0</v>
      </c>
      <c r="H1569" s="689">
        <f t="shared" si="84"/>
        <v>100072</v>
      </c>
      <c r="I1569" s="599"/>
      <c r="J1569" s="599"/>
      <c r="K1569" s="615" t="s">
        <v>51</v>
      </c>
      <c r="L1569" s="616" t="s">
        <v>1014</v>
      </c>
      <c r="M1569" s="612" t="s">
        <v>1234</v>
      </c>
      <c r="N1569" s="612">
        <v>190.0</v>
      </c>
      <c r="O1569" s="662">
        <v>45790.0</v>
      </c>
      <c r="P1569" s="706">
        <f>TODAY()-O1569-60</f>
        <v>338</v>
      </c>
      <c r="Q1569" s="622"/>
      <c r="R1569" s="74"/>
      <c r="S1569" s="74"/>
      <c r="T1569" s="74"/>
      <c r="U1569" s="74"/>
      <c r="V1569" s="74"/>
      <c r="W1569" s="74"/>
      <c r="X1569" s="74"/>
      <c r="Y1569" s="74"/>
      <c r="Z1569" s="74"/>
      <c r="AA1569" s="74"/>
      <c r="AB1569" s="74"/>
      <c r="AC1569" s="74"/>
      <c r="AD1569" s="74"/>
      <c r="AE1569" s="74"/>
      <c r="AF1569" s="74"/>
      <c r="AG1569" s="74"/>
      <c r="AH1569" s="74"/>
      <c r="AI1569" s="74"/>
    </row>
    <row r="1570" ht="22.5" customHeight="1">
      <c r="A1570" s="614">
        <v>45945.0</v>
      </c>
      <c r="B1570" s="137" t="s">
        <v>2218</v>
      </c>
      <c r="C1570" s="609"/>
      <c r="D1570" s="609"/>
      <c r="E1570" s="604" t="s">
        <v>33</v>
      </c>
      <c r="F1570" s="607" t="s">
        <v>1099</v>
      </c>
      <c r="G1570" s="597">
        <v>0.0</v>
      </c>
      <c r="H1570" s="689">
        <f t="shared" si="84"/>
        <v>0</v>
      </c>
      <c r="I1570" s="599"/>
      <c r="J1570" s="605">
        <v>20000.0</v>
      </c>
      <c r="K1570" s="615" t="s">
        <v>591</v>
      </c>
      <c r="L1570" s="615" t="s">
        <v>1184</v>
      </c>
      <c r="M1570" s="621"/>
      <c r="N1570" s="621"/>
      <c r="O1570" s="621"/>
      <c r="P1570" s="706"/>
      <c r="Q1570" s="622"/>
      <c r="R1570" s="74"/>
      <c r="S1570" s="74"/>
      <c r="T1570" s="74"/>
      <c r="U1570" s="74"/>
      <c r="V1570" s="74"/>
      <c r="W1570" s="74"/>
      <c r="X1570" s="74"/>
      <c r="Y1570" s="74"/>
      <c r="Z1570" s="74"/>
      <c r="AA1570" s="74"/>
      <c r="AB1570" s="74"/>
      <c r="AC1570" s="74"/>
      <c r="AD1570" s="74"/>
      <c r="AE1570" s="74"/>
      <c r="AF1570" s="74"/>
      <c r="AG1570" s="74"/>
      <c r="AH1570" s="74"/>
      <c r="AI1570" s="74"/>
    </row>
    <row r="1571" ht="22.5" customHeight="1">
      <c r="A1571" s="614">
        <v>45945.0</v>
      </c>
      <c r="B1571" s="137" t="s">
        <v>2218</v>
      </c>
      <c r="C1571" s="609"/>
      <c r="D1571" s="610">
        <v>4721.29</v>
      </c>
      <c r="E1571" s="604" t="s">
        <v>28</v>
      </c>
      <c r="F1571" s="607" t="s">
        <v>1179</v>
      </c>
      <c r="G1571" s="597">
        <v>0.0</v>
      </c>
      <c r="H1571" s="689">
        <f t="shared" si="84"/>
        <v>0</v>
      </c>
      <c r="I1571" s="599"/>
      <c r="J1571" s="599"/>
      <c r="K1571" s="615" t="s">
        <v>236</v>
      </c>
      <c r="L1571" s="615" t="s">
        <v>309</v>
      </c>
      <c r="M1571" s="621"/>
      <c r="N1571" s="621"/>
      <c r="O1571" s="621"/>
      <c r="P1571" s="706"/>
      <c r="Q1571" s="622"/>
      <c r="R1571" s="74"/>
      <c r="S1571" s="74"/>
      <c r="T1571" s="74"/>
      <c r="U1571" s="74"/>
      <c r="V1571" s="74"/>
      <c r="W1571" s="74"/>
      <c r="X1571" s="74"/>
      <c r="Y1571" s="74"/>
      <c r="Z1571" s="74"/>
      <c r="AA1571" s="74"/>
      <c r="AB1571" s="74"/>
      <c r="AC1571" s="74"/>
      <c r="AD1571" s="74"/>
      <c r="AE1571" s="74"/>
      <c r="AF1571" s="74"/>
      <c r="AG1571" s="74"/>
      <c r="AH1571" s="74"/>
      <c r="AI1571" s="74"/>
    </row>
    <row r="1572" ht="22.5" customHeight="1">
      <c r="A1572" s="614">
        <v>45946.0</v>
      </c>
      <c r="B1572" s="137" t="s">
        <v>2218</v>
      </c>
      <c r="C1572" s="609"/>
      <c r="D1572" s="609"/>
      <c r="E1572" s="604" t="s">
        <v>33</v>
      </c>
      <c r="F1572" s="607" t="s">
        <v>1099</v>
      </c>
      <c r="G1572" s="597">
        <v>0.0</v>
      </c>
      <c r="H1572" s="689">
        <f t="shared" si="84"/>
        <v>0</v>
      </c>
      <c r="I1572" s="599"/>
      <c r="J1572" s="605">
        <v>50000.0</v>
      </c>
      <c r="K1572" s="615" t="s">
        <v>591</v>
      </c>
      <c r="L1572" s="615" t="s">
        <v>1235</v>
      </c>
      <c r="M1572" s="621"/>
      <c r="N1572" s="621"/>
      <c r="O1572" s="621"/>
      <c r="P1572" s="706"/>
      <c r="Q1572" s="622"/>
      <c r="R1572" s="74"/>
      <c r="S1572" s="74"/>
      <c r="T1572" s="74"/>
      <c r="U1572" s="74"/>
      <c r="V1572" s="74"/>
      <c r="W1572" s="74"/>
      <c r="X1572" s="74"/>
      <c r="Y1572" s="74"/>
      <c r="Z1572" s="74"/>
      <c r="AA1572" s="74"/>
      <c r="AB1572" s="74"/>
      <c r="AC1572" s="74"/>
      <c r="AD1572" s="74"/>
      <c r="AE1572" s="74"/>
      <c r="AF1572" s="74"/>
      <c r="AG1572" s="74"/>
      <c r="AH1572" s="74"/>
      <c r="AI1572" s="74"/>
    </row>
    <row r="1573" ht="22.5" customHeight="1">
      <c r="A1573" s="614">
        <v>45946.0</v>
      </c>
      <c r="B1573" s="137" t="s">
        <v>2218</v>
      </c>
      <c r="C1573" s="609"/>
      <c r="D1573" s="609"/>
      <c r="E1573" s="604" t="s">
        <v>33</v>
      </c>
      <c r="F1573" s="607" t="s">
        <v>1179</v>
      </c>
      <c r="G1573" s="597">
        <v>0.0</v>
      </c>
      <c r="H1573" s="689">
        <f t="shared" si="84"/>
        <v>0</v>
      </c>
      <c r="I1573" s="599"/>
      <c r="J1573" s="605">
        <v>33000.0</v>
      </c>
      <c r="K1573" s="615" t="s">
        <v>1181</v>
      </c>
      <c r="L1573" s="615" t="s">
        <v>1236</v>
      </c>
      <c r="M1573" s="621"/>
      <c r="N1573" s="621"/>
      <c r="O1573" s="621"/>
      <c r="P1573" s="706"/>
      <c r="Q1573" s="622"/>
      <c r="R1573" s="74"/>
      <c r="S1573" s="74"/>
      <c r="T1573" s="74"/>
      <c r="U1573" s="74"/>
      <c r="V1573" s="74"/>
      <c r="W1573" s="74"/>
      <c r="X1573" s="74"/>
      <c r="Y1573" s="74"/>
      <c r="Z1573" s="74"/>
      <c r="AA1573" s="74"/>
      <c r="AB1573" s="74"/>
      <c r="AC1573" s="74"/>
      <c r="AD1573" s="74"/>
      <c r="AE1573" s="74"/>
      <c r="AF1573" s="74"/>
      <c r="AG1573" s="74"/>
      <c r="AH1573" s="74"/>
      <c r="AI1573" s="74"/>
    </row>
    <row r="1574" ht="22.5" customHeight="1">
      <c r="A1574" s="614">
        <v>45947.0</v>
      </c>
      <c r="B1574" s="137" t="s">
        <v>2218</v>
      </c>
      <c r="C1574" s="610">
        <v>840000.0</v>
      </c>
      <c r="D1574" s="609"/>
      <c r="E1574" s="604" t="s">
        <v>28</v>
      </c>
      <c r="F1574" s="607" t="s">
        <v>1099</v>
      </c>
      <c r="G1574" s="597">
        <v>20.0</v>
      </c>
      <c r="H1574" s="689">
        <f t="shared" si="84"/>
        <v>140000</v>
      </c>
      <c r="I1574" s="599"/>
      <c r="J1574" s="599"/>
      <c r="K1574" s="672" t="s">
        <v>51</v>
      </c>
      <c r="L1574" s="615" t="s">
        <v>605</v>
      </c>
      <c r="M1574" s="612" t="s">
        <v>1093</v>
      </c>
      <c r="N1574" s="612">
        <v>338.0</v>
      </c>
      <c r="O1574" s="662">
        <v>45935.0</v>
      </c>
      <c r="P1574" s="706">
        <f>TODAY()-O1574-60</f>
        <v>193</v>
      </c>
      <c r="Q1574" s="622"/>
      <c r="R1574" s="74"/>
      <c r="S1574" s="74"/>
      <c r="T1574" s="74"/>
      <c r="U1574" s="74"/>
      <c r="V1574" s="74"/>
      <c r="W1574" s="74"/>
      <c r="X1574" s="74"/>
      <c r="Y1574" s="74"/>
      <c r="Z1574" s="74"/>
      <c r="AA1574" s="74"/>
      <c r="AB1574" s="74"/>
      <c r="AC1574" s="74"/>
      <c r="AD1574" s="74"/>
      <c r="AE1574" s="74"/>
      <c r="AF1574" s="74"/>
      <c r="AG1574" s="74"/>
      <c r="AH1574" s="74"/>
      <c r="AI1574" s="74"/>
    </row>
    <row r="1575" ht="22.5" customHeight="1">
      <c r="A1575" s="614">
        <v>45947.0</v>
      </c>
      <c r="B1575" s="137" t="s">
        <v>2218</v>
      </c>
      <c r="C1575" s="609"/>
      <c r="D1575" s="609">
        <f>832.7+100</f>
        <v>932.7</v>
      </c>
      <c r="E1575" s="604" t="s">
        <v>28</v>
      </c>
      <c r="F1575" s="607" t="s">
        <v>1179</v>
      </c>
      <c r="G1575" s="597">
        <v>0.0</v>
      </c>
      <c r="H1575" s="689">
        <f t="shared" si="84"/>
        <v>0</v>
      </c>
      <c r="I1575" s="599"/>
      <c r="J1575" s="599"/>
      <c r="K1575" s="615" t="s">
        <v>236</v>
      </c>
      <c r="L1575" s="615" t="s">
        <v>309</v>
      </c>
      <c r="M1575" s="621"/>
      <c r="N1575" s="621"/>
      <c r="O1575" s="621"/>
      <c r="P1575" s="706"/>
      <c r="Q1575" s="622"/>
      <c r="R1575" s="74"/>
      <c r="S1575" s="74"/>
      <c r="T1575" s="74"/>
      <c r="U1575" s="74"/>
      <c r="V1575" s="74"/>
      <c r="W1575" s="74"/>
      <c r="X1575" s="74"/>
      <c r="Y1575" s="74"/>
      <c r="Z1575" s="74"/>
      <c r="AA1575" s="74"/>
      <c r="AB1575" s="74"/>
      <c r="AC1575" s="74"/>
      <c r="AD1575" s="74"/>
      <c r="AE1575" s="74"/>
      <c r="AF1575" s="74"/>
      <c r="AG1575" s="74"/>
      <c r="AH1575" s="74"/>
      <c r="AI1575" s="74"/>
    </row>
    <row r="1576" ht="22.5" customHeight="1">
      <c r="A1576" s="614">
        <v>45949.0</v>
      </c>
      <c r="B1576" s="137" t="s">
        <v>2218</v>
      </c>
      <c r="C1576" s="609"/>
      <c r="D1576" s="609"/>
      <c r="E1576" s="604" t="s">
        <v>33</v>
      </c>
      <c r="F1576" s="607" t="s">
        <v>1099</v>
      </c>
      <c r="G1576" s="597">
        <v>0.0</v>
      </c>
      <c r="H1576" s="689">
        <f t="shared" si="84"/>
        <v>0</v>
      </c>
      <c r="I1576" s="599"/>
      <c r="J1576" s="605">
        <v>150000.0</v>
      </c>
      <c r="K1576" s="615" t="s">
        <v>591</v>
      </c>
      <c r="L1576" s="615" t="s">
        <v>1237</v>
      </c>
      <c r="M1576" s="621"/>
      <c r="N1576" s="621"/>
      <c r="O1576" s="621"/>
      <c r="P1576" s="706"/>
      <c r="Q1576" s="622"/>
      <c r="R1576" s="74"/>
      <c r="S1576" s="74"/>
      <c r="T1576" s="74"/>
      <c r="U1576" s="74"/>
      <c r="V1576" s="74"/>
      <c r="W1576" s="74"/>
      <c r="X1576" s="74"/>
      <c r="Y1576" s="74"/>
      <c r="Z1576" s="74"/>
      <c r="AA1576" s="74"/>
      <c r="AB1576" s="74"/>
      <c r="AC1576" s="74"/>
      <c r="AD1576" s="74"/>
      <c r="AE1576" s="74"/>
      <c r="AF1576" s="74"/>
      <c r="AG1576" s="74"/>
      <c r="AH1576" s="74"/>
      <c r="AI1576" s="74"/>
    </row>
    <row r="1577" ht="22.5" customHeight="1">
      <c r="A1577" s="614">
        <v>45950.0</v>
      </c>
      <c r="B1577" s="137" t="s">
        <v>2218</v>
      </c>
      <c r="C1577" s="609"/>
      <c r="D1577" s="610">
        <v>89326.8</v>
      </c>
      <c r="E1577" s="604" t="s">
        <v>28</v>
      </c>
      <c r="F1577" s="607" t="s">
        <v>1179</v>
      </c>
      <c r="G1577" s="597">
        <v>20.0</v>
      </c>
      <c r="H1577" s="689">
        <f t="shared" si="84"/>
        <v>14887.8</v>
      </c>
      <c r="I1577" s="599"/>
      <c r="J1577" s="599"/>
      <c r="K1577" s="615" t="s">
        <v>30</v>
      </c>
      <c r="L1577" s="615" t="s">
        <v>648</v>
      </c>
      <c r="M1577" s="621"/>
      <c r="N1577" s="621"/>
      <c r="O1577" s="621"/>
      <c r="P1577" s="706"/>
      <c r="Q1577" s="613" t="s">
        <v>1238</v>
      </c>
      <c r="R1577" s="74"/>
      <c r="S1577" s="74"/>
      <c r="T1577" s="74"/>
      <c r="U1577" s="74"/>
      <c r="V1577" s="74"/>
      <c r="W1577" s="74"/>
      <c r="X1577" s="74"/>
      <c r="Y1577" s="74"/>
      <c r="Z1577" s="74"/>
      <c r="AA1577" s="74"/>
      <c r="AB1577" s="74"/>
      <c r="AC1577" s="74"/>
      <c r="AD1577" s="74"/>
      <c r="AE1577" s="74"/>
      <c r="AF1577" s="74"/>
      <c r="AG1577" s="74"/>
      <c r="AH1577" s="74"/>
      <c r="AI1577" s="74"/>
    </row>
    <row r="1578" ht="22.5" customHeight="1">
      <c r="A1578" s="614">
        <v>45950.0</v>
      </c>
      <c r="B1578" s="137" t="s">
        <v>2218</v>
      </c>
      <c r="C1578" s="609"/>
      <c r="D1578" s="610">
        <v>35000.0</v>
      </c>
      <c r="E1578" s="604" t="s">
        <v>28</v>
      </c>
      <c r="F1578" s="607" t="s">
        <v>1179</v>
      </c>
      <c r="G1578" s="597">
        <v>0.0</v>
      </c>
      <c r="H1578" s="689">
        <f t="shared" si="84"/>
        <v>0</v>
      </c>
      <c r="I1578" s="599"/>
      <c r="J1578" s="599"/>
      <c r="K1578" s="615" t="s">
        <v>2240</v>
      </c>
      <c r="L1578" s="615" t="s">
        <v>1239</v>
      </c>
      <c r="M1578" s="621"/>
      <c r="N1578" s="621"/>
      <c r="O1578" s="621"/>
      <c r="P1578" s="706"/>
      <c r="Q1578" s="622"/>
      <c r="R1578" s="74"/>
      <c r="S1578" s="74"/>
      <c r="T1578" s="74"/>
      <c r="U1578" s="74"/>
      <c r="V1578" s="74"/>
      <c r="W1578" s="74"/>
      <c r="X1578" s="74"/>
      <c r="Y1578" s="74"/>
      <c r="Z1578" s="74"/>
      <c r="AA1578" s="74"/>
      <c r="AB1578" s="74"/>
      <c r="AC1578" s="74"/>
      <c r="AD1578" s="74"/>
      <c r="AE1578" s="74"/>
      <c r="AF1578" s="74"/>
      <c r="AG1578" s="74"/>
      <c r="AH1578" s="74"/>
      <c r="AI1578" s="74"/>
    </row>
    <row r="1579" ht="22.5" customHeight="1">
      <c r="A1579" s="614">
        <v>45950.0</v>
      </c>
      <c r="B1579" s="137" t="s">
        <v>2218</v>
      </c>
      <c r="C1579" s="609"/>
      <c r="D1579" s="610">
        <v>35000.0</v>
      </c>
      <c r="E1579" s="604" t="s">
        <v>28</v>
      </c>
      <c r="F1579" s="607" t="s">
        <v>1179</v>
      </c>
      <c r="G1579" s="597">
        <v>0.0</v>
      </c>
      <c r="H1579" s="689">
        <f t="shared" si="84"/>
        <v>0</v>
      </c>
      <c r="I1579" s="599"/>
      <c r="J1579" s="599"/>
      <c r="K1579" s="615" t="s">
        <v>2240</v>
      </c>
      <c r="L1579" s="615" t="s">
        <v>1239</v>
      </c>
      <c r="M1579" s="621"/>
      <c r="N1579" s="621"/>
      <c r="O1579" s="621"/>
      <c r="P1579" s="706"/>
      <c r="Q1579" s="622"/>
      <c r="R1579" s="74"/>
      <c r="S1579" s="74"/>
      <c r="T1579" s="74"/>
      <c r="U1579" s="74"/>
      <c r="V1579" s="74"/>
      <c r="W1579" s="74"/>
      <c r="X1579" s="74"/>
      <c r="Y1579" s="74"/>
      <c r="Z1579" s="74"/>
      <c r="AA1579" s="74"/>
      <c r="AB1579" s="74"/>
      <c r="AC1579" s="74"/>
      <c r="AD1579" s="74"/>
      <c r="AE1579" s="74"/>
      <c r="AF1579" s="74"/>
      <c r="AG1579" s="74"/>
      <c r="AH1579" s="74"/>
      <c r="AI1579" s="74"/>
    </row>
    <row r="1580" ht="22.5" customHeight="1">
      <c r="A1580" s="614">
        <v>45950.0</v>
      </c>
      <c r="B1580" s="137" t="s">
        <v>2218</v>
      </c>
      <c r="C1580" s="609"/>
      <c r="D1580" s="610">
        <v>60000.0</v>
      </c>
      <c r="E1580" s="604" t="s">
        <v>28</v>
      </c>
      <c r="F1580" s="607" t="s">
        <v>1179</v>
      </c>
      <c r="G1580" s="597">
        <v>0.0</v>
      </c>
      <c r="H1580" s="689">
        <f t="shared" si="84"/>
        <v>0</v>
      </c>
      <c r="I1580" s="599"/>
      <c r="J1580" s="599"/>
      <c r="K1580" s="615" t="s">
        <v>2254</v>
      </c>
      <c r="L1580" s="615" t="s">
        <v>500</v>
      </c>
      <c r="M1580" s="621"/>
      <c r="N1580" s="621"/>
      <c r="O1580" s="621"/>
      <c r="P1580" s="706"/>
      <c r="Q1580" s="622"/>
      <c r="R1580" s="74"/>
      <c r="S1580" s="74"/>
      <c r="T1580" s="74"/>
      <c r="U1580" s="74"/>
      <c r="V1580" s="74"/>
      <c r="W1580" s="74"/>
      <c r="X1580" s="74"/>
      <c r="Y1580" s="74"/>
      <c r="Z1580" s="74"/>
      <c r="AA1580" s="74"/>
      <c r="AB1580" s="74"/>
      <c r="AC1580" s="74"/>
      <c r="AD1580" s="74"/>
      <c r="AE1580" s="74"/>
      <c r="AF1580" s="74"/>
      <c r="AG1580" s="74"/>
      <c r="AH1580" s="74"/>
      <c r="AI1580" s="74"/>
    </row>
    <row r="1581" ht="22.5" customHeight="1">
      <c r="A1581" s="614">
        <v>45950.0</v>
      </c>
      <c r="B1581" s="137" t="s">
        <v>2218</v>
      </c>
      <c r="C1581" s="609"/>
      <c r="D1581" s="609"/>
      <c r="E1581" s="604" t="s">
        <v>33</v>
      </c>
      <c r="F1581" s="607" t="s">
        <v>1179</v>
      </c>
      <c r="G1581" s="597">
        <v>0.0</v>
      </c>
      <c r="H1581" s="689">
        <f t="shared" si="84"/>
        <v>0</v>
      </c>
      <c r="I1581" s="599"/>
      <c r="J1581" s="605">
        <v>50000.0</v>
      </c>
      <c r="K1581" s="615" t="s">
        <v>591</v>
      </c>
      <c r="L1581" s="615" t="s">
        <v>128</v>
      </c>
      <c r="M1581" s="621"/>
      <c r="N1581" s="621"/>
      <c r="O1581" s="621"/>
      <c r="P1581" s="706"/>
      <c r="Q1581" s="622"/>
      <c r="R1581" s="74"/>
      <c r="S1581" s="74"/>
      <c r="T1581" s="74"/>
      <c r="U1581" s="74"/>
      <c r="V1581" s="74"/>
      <c r="W1581" s="74"/>
      <c r="X1581" s="74"/>
      <c r="Y1581" s="74"/>
      <c r="Z1581" s="74"/>
      <c r="AA1581" s="74"/>
      <c r="AB1581" s="74"/>
      <c r="AC1581" s="74"/>
      <c r="AD1581" s="74"/>
      <c r="AE1581" s="74"/>
      <c r="AF1581" s="74"/>
      <c r="AG1581" s="74"/>
      <c r="AH1581" s="74"/>
      <c r="AI1581" s="74"/>
    </row>
    <row r="1582" ht="22.5" customHeight="1">
      <c r="A1582" s="614">
        <v>45950.0</v>
      </c>
      <c r="B1582" s="157" t="s">
        <v>2218</v>
      </c>
      <c r="C1582" s="610">
        <v>636048.0</v>
      </c>
      <c r="D1582" s="609"/>
      <c r="E1582" s="604" t="s">
        <v>28</v>
      </c>
      <c r="F1582" s="627" t="s">
        <v>941</v>
      </c>
      <c r="G1582" s="597">
        <v>20.0</v>
      </c>
      <c r="H1582" s="689">
        <f t="shared" si="84"/>
        <v>106008</v>
      </c>
      <c r="I1582" s="599"/>
      <c r="J1582" s="599"/>
      <c r="K1582" s="615" t="s">
        <v>51</v>
      </c>
      <c r="L1582" s="616" t="s">
        <v>539</v>
      </c>
      <c r="M1582" s="612" t="s">
        <v>1230</v>
      </c>
      <c r="N1582" s="612">
        <v>299.0</v>
      </c>
      <c r="O1582" s="662">
        <v>45880.0</v>
      </c>
      <c r="P1582" s="706">
        <f t="shared" ref="P1582:P1585" si="97">TODAY()-O1582-60</f>
        <v>248</v>
      </c>
      <c r="Q1582" s="622"/>
      <c r="R1582" s="74"/>
      <c r="S1582" s="74"/>
      <c r="T1582" s="74"/>
      <c r="U1582" s="74"/>
      <c r="V1582" s="74"/>
      <c r="W1582" s="74"/>
      <c r="X1582" s="74"/>
      <c r="Y1582" s="74"/>
      <c r="Z1582" s="74"/>
      <c r="AA1582" s="74"/>
      <c r="AB1582" s="74"/>
      <c r="AC1582" s="74"/>
      <c r="AD1582" s="74"/>
      <c r="AE1582" s="74"/>
      <c r="AF1582" s="74"/>
      <c r="AG1582" s="74"/>
      <c r="AH1582" s="74"/>
      <c r="AI1582" s="74"/>
    </row>
    <row r="1583" ht="22.5" customHeight="1">
      <c r="A1583" s="614">
        <v>45950.0</v>
      </c>
      <c r="B1583" s="137" t="s">
        <v>2218</v>
      </c>
      <c r="C1583" s="610">
        <v>261660.0</v>
      </c>
      <c r="D1583" s="610"/>
      <c r="E1583" s="604" t="s">
        <v>28</v>
      </c>
      <c r="F1583" s="607" t="s">
        <v>1002</v>
      </c>
      <c r="G1583" s="597">
        <v>20.0</v>
      </c>
      <c r="H1583" s="689">
        <f t="shared" si="84"/>
        <v>43610</v>
      </c>
      <c r="I1583" s="599"/>
      <c r="J1583" s="599"/>
      <c r="K1583" s="673" t="s">
        <v>51</v>
      </c>
      <c r="L1583" s="615" t="s">
        <v>539</v>
      </c>
      <c r="M1583" s="612" t="s">
        <v>1240</v>
      </c>
      <c r="N1583" s="612">
        <v>308.0</v>
      </c>
      <c r="O1583" s="662">
        <v>45909.0</v>
      </c>
      <c r="P1583" s="706">
        <f t="shared" si="97"/>
        <v>219</v>
      </c>
      <c r="Q1583" s="622"/>
      <c r="R1583" s="74"/>
      <c r="S1583" s="74"/>
      <c r="T1583" s="74"/>
      <c r="U1583" s="74"/>
      <c r="V1583" s="74"/>
      <c r="W1583" s="74"/>
      <c r="X1583" s="74"/>
      <c r="Y1583" s="74"/>
      <c r="Z1583" s="74"/>
      <c r="AA1583" s="74"/>
      <c r="AB1583" s="74"/>
      <c r="AC1583" s="74"/>
      <c r="AD1583" s="74"/>
      <c r="AE1583" s="74"/>
      <c r="AF1583" s="74"/>
      <c r="AG1583" s="74"/>
      <c r="AH1583" s="74"/>
      <c r="AI1583" s="74"/>
    </row>
    <row r="1584" ht="22.5" customHeight="1">
      <c r="A1584" s="614">
        <v>45950.0</v>
      </c>
      <c r="B1584" s="137" t="s">
        <v>2218</v>
      </c>
      <c r="C1584" s="610">
        <v>636048.0</v>
      </c>
      <c r="D1584" s="610"/>
      <c r="E1584" s="604" t="s">
        <v>28</v>
      </c>
      <c r="F1584" s="607" t="s">
        <v>1002</v>
      </c>
      <c r="G1584" s="597">
        <v>20.0</v>
      </c>
      <c r="H1584" s="689">
        <f t="shared" si="84"/>
        <v>106008</v>
      </c>
      <c r="I1584" s="599"/>
      <c r="J1584" s="599"/>
      <c r="K1584" s="674" t="s">
        <v>51</v>
      </c>
      <c r="L1584" s="615" t="s">
        <v>539</v>
      </c>
      <c r="M1584" s="612" t="s">
        <v>1241</v>
      </c>
      <c r="N1584" s="612">
        <v>309.0</v>
      </c>
      <c r="O1584" s="662">
        <v>45909.0</v>
      </c>
      <c r="P1584" s="706">
        <f t="shared" si="97"/>
        <v>219</v>
      </c>
      <c r="Q1584" s="622"/>
      <c r="R1584" s="74"/>
      <c r="S1584" s="74"/>
      <c r="T1584" s="74"/>
      <c r="U1584" s="74"/>
      <c r="V1584" s="74"/>
      <c r="W1584" s="74"/>
      <c r="X1584" s="74"/>
      <c r="Y1584" s="74"/>
      <c r="Z1584" s="74"/>
      <c r="AA1584" s="74"/>
      <c r="AB1584" s="74"/>
      <c r="AC1584" s="74"/>
      <c r="AD1584" s="74"/>
      <c r="AE1584" s="74"/>
      <c r="AF1584" s="74"/>
      <c r="AG1584" s="74"/>
      <c r="AH1584" s="74"/>
      <c r="AI1584" s="74"/>
    </row>
    <row r="1585" ht="22.5" customHeight="1">
      <c r="A1585" s="614">
        <v>45950.0</v>
      </c>
      <c r="B1585" s="137" t="s">
        <v>2218</v>
      </c>
      <c r="C1585" s="610">
        <v>1800000.72</v>
      </c>
      <c r="D1585" s="609"/>
      <c r="E1585" s="604" t="s">
        <v>28</v>
      </c>
      <c r="F1585" s="607" t="s">
        <v>1002</v>
      </c>
      <c r="G1585" s="597">
        <v>20.0</v>
      </c>
      <c r="H1585" s="689">
        <f t="shared" si="84"/>
        <v>300000.12</v>
      </c>
      <c r="I1585" s="599"/>
      <c r="J1585" s="599"/>
      <c r="K1585" s="672" t="s">
        <v>51</v>
      </c>
      <c r="L1585" s="615" t="s">
        <v>539</v>
      </c>
      <c r="M1585" s="612" t="s">
        <v>1242</v>
      </c>
      <c r="N1585" s="612">
        <v>333.0</v>
      </c>
      <c r="O1585" s="662">
        <v>45918.0</v>
      </c>
      <c r="P1585" s="706">
        <f t="shared" si="97"/>
        <v>210</v>
      </c>
      <c r="Q1585" s="622"/>
      <c r="R1585" s="74"/>
      <c r="S1585" s="74"/>
      <c r="T1585" s="74"/>
      <c r="U1585" s="74"/>
      <c r="V1585" s="74"/>
      <c r="W1585" s="74"/>
      <c r="X1585" s="74"/>
      <c r="Y1585" s="74"/>
      <c r="Z1585" s="74"/>
      <c r="AA1585" s="74"/>
      <c r="AB1585" s="74"/>
      <c r="AC1585" s="74"/>
      <c r="AD1585" s="74"/>
      <c r="AE1585" s="74"/>
      <c r="AF1585" s="74"/>
      <c r="AG1585" s="74"/>
      <c r="AH1585" s="74"/>
      <c r="AI1585" s="74"/>
    </row>
    <row r="1586" ht="22.5" customHeight="1">
      <c r="A1586" s="614">
        <v>45951.0</v>
      </c>
      <c r="B1586" s="137" t="s">
        <v>2218</v>
      </c>
      <c r="C1586" s="609"/>
      <c r="D1586" s="609"/>
      <c r="E1586" s="604" t="s">
        <v>33</v>
      </c>
      <c r="F1586" s="607" t="s">
        <v>1099</v>
      </c>
      <c r="G1586" s="597">
        <v>0.0</v>
      </c>
      <c r="H1586" s="689">
        <f t="shared" si="84"/>
        <v>0</v>
      </c>
      <c r="I1586" s="599"/>
      <c r="J1586" s="605">
        <v>100000.0</v>
      </c>
      <c r="K1586" s="615" t="s">
        <v>591</v>
      </c>
      <c r="L1586" s="615" t="s">
        <v>1243</v>
      </c>
      <c r="M1586" s="621"/>
      <c r="N1586" s="621"/>
      <c r="O1586" s="621"/>
      <c r="P1586" s="706"/>
      <c r="Q1586" s="622"/>
      <c r="R1586" s="74"/>
      <c r="S1586" s="74"/>
      <c r="T1586" s="74"/>
      <c r="U1586" s="74"/>
      <c r="V1586" s="74"/>
      <c r="W1586" s="74"/>
      <c r="X1586" s="74"/>
      <c r="Y1586" s="74"/>
      <c r="Z1586" s="74"/>
      <c r="AA1586" s="74"/>
      <c r="AB1586" s="74"/>
      <c r="AC1586" s="74"/>
      <c r="AD1586" s="74"/>
      <c r="AE1586" s="74"/>
      <c r="AF1586" s="74"/>
      <c r="AG1586" s="74"/>
      <c r="AH1586" s="74"/>
      <c r="AI1586" s="74"/>
    </row>
    <row r="1587" ht="22.5" customHeight="1">
      <c r="A1587" s="614">
        <v>45951.0</v>
      </c>
      <c r="B1587" s="137" t="s">
        <v>2218</v>
      </c>
      <c r="C1587" s="609"/>
      <c r="D1587" s="609"/>
      <c r="E1587" s="604" t="s">
        <v>33</v>
      </c>
      <c r="F1587" s="607" t="s">
        <v>1099</v>
      </c>
      <c r="G1587" s="597">
        <v>0.0</v>
      </c>
      <c r="H1587" s="689">
        <f t="shared" si="84"/>
        <v>0</v>
      </c>
      <c r="I1587" s="599"/>
      <c r="J1587" s="605">
        <v>15000.0</v>
      </c>
      <c r="K1587" s="615" t="s">
        <v>591</v>
      </c>
      <c r="L1587" s="615" t="s">
        <v>1244</v>
      </c>
      <c r="M1587" s="621"/>
      <c r="N1587" s="621"/>
      <c r="O1587" s="621"/>
      <c r="P1587" s="706"/>
      <c r="Q1587" s="622"/>
      <c r="R1587" s="74"/>
      <c r="S1587" s="74"/>
      <c r="T1587" s="74"/>
      <c r="U1587" s="74"/>
      <c r="V1587" s="74"/>
      <c r="W1587" s="74"/>
      <c r="X1587" s="74"/>
      <c r="Y1587" s="74"/>
      <c r="Z1587" s="74"/>
      <c r="AA1587" s="74"/>
      <c r="AB1587" s="74"/>
      <c r="AC1587" s="74"/>
      <c r="AD1587" s="74"/>
      <c r="AE1587" s="74"/>
      <c r="AF1587" s="74"/>
      <c r="AG1587" s="74"/>
      <c r="AH1587" s="74"/>
      <c r="AI1587" s="74"/>
    </row>
    <row r="1588" ht="22.5" customHeight="1">
      <c r="A1588" s="614">
        <v>45951.0</v>
      </c>
      <c r="B1588" s="137" t="s">
        <v>2218</v>
      </c>
      <c r="C1588" s="609"/>
      <c r="D1588" s="610">
        <v>49152.0</v>
      </c>
      <c r="E1588" s="604" t="s">
        <v>28</v>
      </c>
      <c r="F1588" s="607" t="s">
        <v>1099</v>
      </c>
      <c r="G1588" s="597">
        <v>20.0</v>
      </c>
      <c r="H1588" s="689">
        <f t="shared" si="84"/>
        <v>8192</v>
      </c>
      <c r="I1588" s="599"/>
      <c r="J1588" s="599"/>
      <c r="K1588" s="615" t="s">
        <v>1181</v>
      </c>
      <c r="L1588" s="615" t="s">
        <v>1245</v>
      </c>
      <c r="M1588" s="621"/>
      <c r="N1588" s="621"/>
      <c r="O1588" s="621"/>
      <c r="P1588" s="706"/>
      <c r="Q1588" s="622"/>
      <c r="R1588" s="74"/>
      <c r="S1588" s="74"/>
      <c r="T1588" s="74"/>
      <c r="U1588" s="74"/>
      <c r="V1588" s="74"/>
      <c r="W1588" s="74"/>
      <c r="X1588" s="74"/>
      <c r="Y1588" s="74"/>
      <c r="Z1588" s="74"/>
      <c r="AA1588" s="74"/>
      <c r="AB1588" s="74"/>
      <c r="AC1588" s="74"/>
      <c r="AD1588" s="74"/>
      <c r="AE1588" s="74"/>
      <c r="AF1588" s="74"/>
      <c r="AG1588" s="74"/>
      <c r="AH1588" s="74"/>
      <c r="AI1588" s="74"/>
    </row>
    <row r="1589" ht="22.5" customHeight="1">
      <c r="A1589" s="614">
        <v>45951.0</v>
      </c>
      <c r="B1589" s="137" t="s">
        <v>2218</v>
      </c>
      <c r="C1589" s="609"/>
      <c r="D1589" s="609"/>
      <c r="E1589" s="604" t="s">
        <v>33</v>
      </c>
      <c r="F1589" s="607" t="s">
        <v>1179</v>
      </c>
      <c r="G1589" s="597">
        <v>0.0</v>
      </c>
      <c r="H1589" s="689">
        <f t="shared" si="84"/>
        <v>0</v>
      </c>
      <c r="I1589" s="599"/>
      <c r="J1589" s="605">
        <v>27000.0</v>
      </c>
      <c r="K1589" s="615" t="s">
        <v>1181</v>
      </c>
      <c r="L1589" s="615" t="s">
        <v>1246</v>
      </c>
      <c r="M1589" s="621"/>
      <c r="N1589" s="621"/>
      <c r="O1589" s="621"/>
      <c r="P1589" s="706"/>
      <c r="Q1589" s="622"/>
      <c r="R1589" s="74"/>
      <c r="S1589" s="74"/>
      <c r="T1589" s="74"/>
      <c r="U1589" s="74"/>
      <c r="V1589" s="74"/>
      <c r="W1589" s="74"/>
      <c r="X1589" s="74"/>
      <c r="Y1589" s="74"/>
      <c r="Z1589" s="74"/>
      <c r="AA1589" s="74"/>
      <c r="AB1589" s="74"/>
      <c r="AC1589" s="74"/>
      <c r="AD1589" s="74"/>
      <c r="AE1589" s="74"/>
      <c r="AF1589" s="74"/>
      <c r="AG1589" s="74"/>
      <c r="AH1589" s="74"/>
      <c r="AI1589" s="74"/>
    </row>
    <row r="1590" ht="22.5" customHeight="1">
      <c r="A1590" s="614">
        <v>45951.0</v>
      </c>
      <c r="B1590" s="139" t="s">
        <v>2218</v>
      </c>
      <c r="C1590" s="610">
        <v>120000.0</v>
      </c>
      <c r="D1590" s="609"/>
      <c r="E1590" s="604" t="s">
        <v>28</v>
      </c>
      <c r="F1590" s="627" t="s">
        <v>674</v>
      </c>
      <c r="G1590" s="597">
        <v>20.0</v>
      </c>
      <c r="H1590" s="689">
        <f t="shared" si="84"/>
        <v>20000</v>
      </c>
      <c r="I1590" s="599"/>
      <c r="J1590" s="599"/>
      <c r="K1590" s="615" t="s">
        <v>51</v>
      </c>
      <c r="L1590" s="616" t="s">
        <v>102</v>
      </c>
      <c r="M1590" s="612" t="s">
        <v>1247</v>
      </c>
      <c r="N1590" s="612">
        <v>108.0</v>
      </c>
      <c r="O1590" s="662">
        <v>45757.0</v>
      </c>
      <c r="P1590" s="706">
        <f t="shared" ref="P1590:P1592" si="98">TODAY()-O1590-60</f>
        <v>371</v>
      </c>
      <c r="Q1590" s="622"/>
      <c r="R1590" s="74"/>
      <c r="S1590" s="74"/>
      <c r="T1590" s="74"/>
      <c r="U1590" s="74"/>
      <c r="V1590" s="74"/>
      <c r="W1590" s="74"/>
      <c r="X1590" s="74"/>
      <c r="Y1590" s="74"/>
      <c r="Z1590" s="74"/>
      <c r="AA1590" s="74"/>
      <c r="AB1590" s="74"/>
      <c r="AC1590" s="74"/>
      <c r="AD1590" s="74"/>
      <c r="AE1590" s="74"/>
      <c r="AF1590" s="74"/>
      <c r="AG1590" s="74"/>
      <c r="AH1590" s="74"/>
      <c r="AI1590" s="74"/>
    </row>
    <row r="1591" ht="22.5" customHeight="1">
      <c r="A1591" s="614">
        <v>45951.0</v>
      </c>
      <c r="B1591" s="139" t="s">
        <v>2218</v>
      </c>
      <c r="C1591" s="610">
        <v>240000.0</v>
      </c>
      <c r="D1591" s="610"/>
      <c r="E1591" s="604" t="s">
        <v>28</v>
      </c>
      <c r="F1591" s="627" t="s">
        <v>722</v>
      </c>
      <c r="G1591" s="597">
        <v>20.0</v>
      </c>
      <c r="H1591" s="689">
        <f t="shared" si="84"/>
        <v>40000</v>
      </c>
      <c r="I1591" s="599"/>
      <c r="J1591" s="599"/>
      <c r="K1591" s="615" t="s">
        <v>51</v>
      </c>
      <c r="L1591" s="616" t="s">
        <v>102</v>
      </c>
      <c r="M1591" s="612" t="s">
        <v>1248</v>
      </c>
      <c r="N1591" s="612">
        <v>167.0</v>
      </c>
      <c r="O1591" s="662">
        <v>45789.0</v>
      </c>
      <c r="P1591" s="706">
        <f t="shared" si="98"/>
        <v>339</v>
      </c>
      <c r="Q1591" s="622"/>
      <c r="R1591" s="74"/>
      <c r="S1591" s="74"/>
      <c r="T1591" s="74"/>
      <c r="U1591" s="74"/>
      <c r="V1591" s="74"/>
      <c r="W1591" s="74"/>
      <c r="X1591" s="74"/>
      <c r="Y1591" s="74"/>
      <c r="Z1591" s="74"/>
      <c r="AA1591" s="74"/>
      <c r="AB1591" s="74"/>
      <c r="AC1591" s="74"/>
      <c r="AD1591" s="74"/>
      <c r="AE1591" s="74"/>
      <c r="AF1591" s="74"/>
      <c r="AG1591" s="74"/>
      <c r="AH1591" s="74"/>
      <c r="AI1591" s="74"/>
    </row>
    <row r="1592" ht="22.5" customHeight="1">
      <c r="A1592" s="614">
        <v>45951.0</v>
      </c>
      <c r="B1592" s="157" t="s">
        <v>2218</v>
      </c>
      <c r="C1592" s="610">
        <v>120000.0</v>
      </c>
      <c r="D1592" s="609"/>
      <c r="E1592" s="604" t="s">
        <v>28</v>
      </c>
      <c r="F1592" s="627" t="s">
        <v>800</v>
      </c>
      <c r="G1592" s="597">
        <v>20.0</v>
      </c>
      <c r="H1592" s="689">
        <f t="shared" si="84"/>
        <v>20000</v>
      </c>
      <c r="I1592" s="599"/>
      <c r="J1592" s="599"/>
      <c r="K1592" s="615" t="s">
        <v>51</v>
      </c>
      <c r="L1592" s="616" t="s">
        <v>102</v>
      </c>
      <c r="M1592" s="612" t="s">
        <v>1249</v>
      </c>
      <c r="N1592" s="612">
        <v>206.0</v>
      </c>
      <c r="O1592" s="662">
        <v>45817.0</v>
      </c>
      <c r="P1592" s="706">
        <f t="shared" si="98"/>
        <v>311</v>
      </c>
      <c r="Q1592" s="622"/>
      <c r="R1592" s="74"/>
      <c r="S1592" s="74"/>
      <c r="T1592" s="74"/>
      <c r="U1592" s="74"/>
      <c r="V1592" s="74"/>
      <c r="W1592" s="74"/>
      <c r="X1592" s="74"/>
      <c r="Y1592" s="74"/>
      <c r="Z1592" s="74"/>
      <c r="AA1592" s="74"/>
      <c r="AB1592" s="74"/>
      <c r="AC1592" s="74"/>
      <c r="AD1592" s="74"/>
      <c r="AE1592" s="74"/>
      <c r="AF1592" s="74"/>
      <c r="AG1592" s="74"/>
      <c r="AH1592" s="74"/>
      <c r="AI1592" s="74"/>
    </row>
    <row r="1593" ht="22.5" customHeight="1">
      <c r="A1593" s="708">
        <v>45951.0</v>
      </c>
      <c r="B1593" s="139" t="s">
        <v>2218</v>
      </c>
      <c r="C1593" s="609"/>
      <c r="D1593" s="610">
        <v>387235.9</v>
      </c>
      <c r="E1593" s="604" t="s">
        <v>28</v>
      </c>
      <c r="F1593" s="627" t="s">
        <v>800</v>
      </c>
      <c r="G1593" s="688">
        <v>0.0</v>
      </c>
      <c r="H1593" s="689">
        <f t="shared" si="84"/>
        <v>0</v>
      </c>
      <c r="I1593" s="599"/>
      <c r="J1593" s="599"/>
      <c r="K1593" s="615" t="s">
        <v>93</v>
      </c>
      <c r="L1593" s="679" t="s">
        <v>516</v>
      </c>
      <c r="M1593" s="621"/>
      <c r="N1593" s="621"/>
      <c r="O1593" s="621"/>
      <c r="P1593" s="706"/>
      <c r="Q1593" s="682" t="s">
        <v>1250</v>
      </c>
      <c r="R1593" s="74"/>
      <c r="S1593" s="74"/>
      <c r="T1593" s="74"/>
      <c r="U1593" s="74"/>
      <c r="V1593" s="74"/>
      <c r="W1593" s="74"/>
      <c r="X1593" s="74"/>
      <c r="Y1593" s="74"/>
      <c r="Z1593" s="74"/>
      <c r="AA1593" s="74"/>
      <c r="AB1593" s="74"/>
      <c r="AC1593" s="74"/>
      <c r="AD1593" s="74"/>
      <c r="AE1593" s="74"/>
      <c r="AF1593" s="74"/>
      <c r="AG1593" s="74"/>
      <c r="AH1593" s="74"/>
      <c r="AI1593" s="74"/>
    </row>
    <row r="1594" ht="22.5" customHeight="1">
      <c r="A1594" s="614">
        <v>45951.0</v>
      </c>
      <c r="B1594" s="139" t="s">
        <v>2218</v>
      </c>
      <c r="C1594" s="609"/>
      <c r="D1594" s="610">
        <v>4986224.29</v>
      </c>
      <c r="E1594" s="604" t="s">
        <v>28</v>
      </c>
      <c r="F1594" s="627" t="s">
        <v>897</v>
      </c>
      <c r="G1594" s="597">
        <v>20.0</v>
      </c>
      <c r="H1594" s="689">
        <f t="shared" si="84"/>
        <v>831037.3817</v>
      </c>
      <c r="I1594" s="599"/>
      <c r="J1594" s="599"/>
      <c r="K1594" s="615" t="s">
        <v>101</v>
      </c>
      <c r="L1594" s="700" t="s">
        <v>102</v>
      </c>
      <c r="M1594" s="612"/>
      <c r="N1594" s="612"/>
      <c r="O1594" s="662"/>
      <c r="P1594" s="706"/>
      <c r="Q1594" s="682" t="s">
        <v>1251</v>
      </c>
      <c r="R1594" s="74"/>
      <c r="S1594" s="74"/>
      <c r="T1594" s="74"/>
      <c r="U1594" s="74"/>
      <c r="V1594" s="74"/>
      <c r="W1594" s="74"/>
      <c r="X1594" s="74"/>
      <c r="Y1594" s="74"/>
      <c r="Z1594" s="74"/>
      <c r="AA1594" s="74"/>
      <c r="AB1594" s="74"/>
      <c r="AC1594" s="74"/>
      <c r="AD1594" s="74"/>
      <c r="AE1594" s="74"/>
      <c r="AF1594" s="74"/>
      <c r="AG1594" s="74"/>
      <c r="AH1594" s="74"/>
      <c r="AI1594" s="74"/>
    </row>
    <row r="1595" ht="22.5" customHeight="1">
      <c r="A1595" s="614">
        <v>45951.0</v>
      </c>
      <c r="B1595" s="157" t="s">
        <v>2218</v>
      </c>
      <c r="C1595" s="610">
        <v>1200000.0</v>
      </c>
      <c r="D1595" s="609"/>
      <c r="E1595" s="604" t="s">
        <v>28</v>
      </c>
      <c r="F1595" s="627" t="s">
        <v>941</v>
      </c>
      <c r="G1595" s="597">
        <v>20.0</v>
      </c>
      <c r="H1595" s="689">
        <f t="shared" si="84"/>
        <v>200000</v>
      </c>
      <c r="I1595" s="599"/>
      <c r="J1595" s="599"/>
      <c r="K1595" s="615" t="s">
        <v>51</v>
      </c>
      <c r="L1595" s="616" t="s">
        <v>675</v>
      </c>
      <c r="M1595" s="612" t="s">
        <v>852</v>
      </c>
      <c r="N1595" s="612">
        <v>288.0</v>
      </c>
      <c r="O1595" s="662">
        <v>45877.0</v>
      </c>
      <c r="P1595" s="706">
        <f>TODAY()-O1595-60</f>
        <v>251</v>
      </c>
      <c r="Q1595" s="622"/>
      <c r="R1595" s="74"/>
      <c r="S1595" s="74"/>
      <c r="T1595" s="74"/>
      <c r="U1595" s="74"/>
      <c r="V1595" s="74"/>
      <c r="W1595" s="74"/>
      <c r="X1595" s="74"/>
      <c r="Y1595" s="74"/>
      <c r="Z1595" s="74"/>
      <c r="AA1595" s="74"/>
      <c r="AB1595" s="74"/>
      <c r="AC1595" s="74"/>
      <c r="AD1595" s="74"/>
      <c r="AE1595" s="74"/>
      <c r="AF1595" s="74"/>
      <c r="AG1595" s="74"/>
      <c r="AH1595" s="74"/>
      <c r="AI1595" s="74"/>
    </row>
    <row r="1596" ht="22.5" customHeight="1">
      <c r="A1596" s="614">
        <v>45951.0</v>
      </c>
      <c r="B1596" s="139" t="s">
        <v>2218</v>
      </c>
      <c r="C1596" s="609"/>
      <c r="D1596" s="610">
        <v>600000.0</v>
      </c>
      <c r="E1596" s="604" t="s">
        <v>28</v>
      </c>
      <c r="F1596" s="627" t="s">
        <v>951</v>
      </c>
      <c r="G1596" s="597">
        <v>0.0</v>
      </c>
      <c r="H1596" s="689">
        <f t="shared" si="84"/>
        <v>0</v>
      </c>
      <c r="I1596" s="599"/>
      <c r="J1596" s="599"/>
      <c r="K1596" s="615" t="s">
        <v>322</v>
      </c>
      <c r="L1596" s="704" t="s">
        <v>305</v>
      </c>
      <c r="M1596" s="621"/>
      <c r="N1596" s="621"/>
      <c r="O1596" s="621"/>
      <c r="P1596" s="706"/>
      <c r="Q1596" s="682" t="s">
        <v>1252</v>
      </c>
      <c r="R1596" s="74"/>
      <c r="S1596" s="74"/>
      <c r="T1596" s="74"/>
      <c r="U1596" s="74"/>
      <c r="V1596" s="74"/>
      <c r="W1596" s="74"/>
      <c r="X1596" s="74"/>
      <c r="Y1596" s="74"/>
      <c r="Z1596" s="74"/>
      <c r="AA1596" s="74"/>
      <c r="AB1596" s="74"/>
      <c r="AC1596" s="74"/>
      <c r="AD1596" s="74"/>
      <c r="AE1596" s="74"/>
      <c r="AF1596" s="74"/>
      <c r="AG1596" s="74"/>
      <c r="AH1596" s="74"/>
      <c r="AI1596" s="74"/>
    </row>
    <row r="1597" ht="22.5" customHeight="1">
      <c r="A1597" s="614">
        <v>45951.0</v>
      </c>
      <c r="B1597" s="137" t="s">
        <v>2218</v>
      </c>
      <c r="C1597" s="609"/>
      <c r="D1597" s="609"/>
      <c r="E1597" s="604" t="s">
        <v>33</v>
      </c>
      <c r="F1597" s="607" t="s">
        <v>1179</v>
      </c>
      <c r="G1597" s="597">
        <v>0.0</v>
      </c>
      <c r="H1597" s="689">
        <f t="shared" si="84"/>
        <v>0</v>
      </c>
      <c r="I1597" s="599"/>
      <c r="J1597" s="605">
        <v>13750.0</v>
      </c>
      <c r="K1597" s="615" t="s">
        <v>108</v>
      </c>
      <c r="L1597" s="615" t="s">
        <v>460</v>
      </c>
      <c r="M1597" s="621"/>
      <c r="N1597" s="621"/>
      <c r="O1597" s="621"/>
      <c r="P1597" s="706"/>
      <c r="Q1597" s="622"/>
      <c r="R1597" s="74"/>
      <c r="S1597" s="74"/>
      <c r="T1597" s="74"/>
      <c r="U1597" s="74"/>
      <c r="V1597" s="74"/>
      <c r="W1597" s="74"/>
      <c r="X1597" s="74"/>
      <c r="Y1597" s="74"/>
      <c r="Z1597" s="74"/>
      <c r="AA1597" s="74"/>
      <c r="AB1597" s="74"/>
      <c r="AC1597" s="74"/>
      <c r="AD1597" s="74"/>
      <c r="AE1597" s="74"/>
      <c r="AF1597" s="74"/>
      <c r="AG1597" s="74"/>
      <c r="AH1597" s="74"/>
      <c r="AI1597" s="74"/>
    </row>
    <row r="1598" ht="22.5" customHeight="1">
      <c r="A1598" s="614">
        <v>45951.0</v>
      </c>
      <c r="B1598" s="137" t="s">
        <v>2218</v>
      </c>
      <c r="C1598" s="609"/>
      <c r="D1598" s="609"/>
      <c r="E1598" s="604" t="s">
        <v>33</v>
      </c>
      <c r="F1598" s="607" t="s">
        <v>1179</v>
      </c>
      <c r="G1598" s="597">
        <v>0.0</v>
      </c>
      <c r="H1598" s="689">
        <f t="shared" si="84"/>
        <v>0</v>
      </c>
      <c r="I1598" s="599"/>
      <c r="J1598" s="605">
        <v>18800.0</v>
      </c>
      <c r="K1598" s="615" t="s">
        <v>2240</v>
      </c>
      <c r="L1598" s="615" t="s">
        <v>1253</v>
      </c>
      <c r="M1598" s="621"/>
      <c r="N1598" s="621"/>
      <c r="O1598" s="621"/>
      <c r="P1598" s="706"/>
      <c r="Q1598" s="622"/>
      <c r="R1598" s="74"/>
      <c r="S1598" s="74"/>
      <c r="T1598" s="74"/>
      <c r="U1598" s="74"/>
      <c r="V1598" s="74"/>
      <c r="W1598" s="74"/>
      <c r="X1598" s="74"/>
      <c r="Y1598" s="74"/>
      <c r="Z1598" s="74"/>
      <c r="AA1598" s="74"/>
      <c r="AB1598" s="74"/>
      <c r="AC1598" s="74"/>
      <c r="AD1598" s="74"/>
      <c r="AE1598" s="74"/>
      <c r="AF1598" s="74"/>
      <c r="AG1598" s="74"/>
      <c r="AH1598" s="74"/>
      <c r="AI1598" s="74"/>
    </row>
    <row r="1599" ht="22.5" customHeight="1">
      <c r="A1599" s="614">
        <v>45952.0</v>
      </c>
      <c r="B1599" s="137" t="s">
        <v>2218</v>
      </c>
      <c r="C1599" s="609"/>
      <c r="D1599" s="610">
        <v>204752.37</v>
      </c>
      <c r="E1599" s="604" t="s">
        <v>28</v>
      </c>
      <c r="F1599" s="607" t="s">
        <v>1099</v>
      </c>
      <c r="G1599" s="597">
        <v>20.0</v>
      </c>
      <c r="H1599" s="689">
        <f t="shared" si="84"/>
        <v>34125.395</v>
      </c>
      <c r="I1599" s="599"/>
      <c r="J1599" s="599"/>
      <c r="K1599" s="615" t="s">
        <v>2237</v>
      </c>
      <c r="L1599" s="615" t="s">
        <v>1096</v>
      </c>
      <c r="M1599" s="621"/>
      <c r="N1599" s="621"/>
      <c r="O1599" s="621"/>
      <c r="P1599" s="706"/>
      <c r="Q1599" s="622"/>
      <c r="R1599" s="74"/>
      <c r="S1599" s="74"/>
      <c r="T1599" s="74"/>
      <c r="U1599" s="74"/>
      <c r="V1599" s="74"/>
      <c r="W1599" s="74"/>
      <c r="X1599" s="74"/>
      <c r="Y1599" s="74"/>
      <c r="Z1599" s="74"/>
      <c r="AA1599" s="74"/>
      <c r="AB1599" s="74"/>
      <c r="AC1599" s="74"/>
      <c r="AD1599" s="74"/>
      <c r="AE1599" s="74"/>
      <c r="AF1599" s="74"/>
      <c r="AG1599" s="74"/>
      <c r="AH1599" s="74"/>
      <c r="AI1599" s="74"/>
    </row>
    <row r="1600" ht="22.5" customHeight="1">
      <c r="A1600" s="614">
        <v>45952.0</v>
      </c>
      <c r="B1600" s="137" t="s">
        <v>2218</v>
      </c>
      <c r="C1600" s="609"/>
      <c r="D1600" s="610">
        <v>36000.0</v>
      </c>
      <c r="E1600" s="604" t="s">
        <v>28</v>
      </c>
      <c r="F1600" s="607" t="s">
        <v>1179</v>
      </c>
      <c r="G1600" s="597">
        <v>20.0</v>
      </c>
      <c r="H1600" s="689">
        <f t="shared" si="84"/>
        <v>6000</v>
      </c>
      <c r="I1600" s="599"/>
      <c r="J1600" s="599"/>
      <c r="K1600" s="615" t="s">
        <v>2237</v>
      </c>
      <c r="L1600" s="616" t="s">
        <v>942</v>
      </c>
      <c r="M1600" s="621"/>
      <c r="N1600" s="621"/>
      <c r="O1600" s="621"/>
      <c r="P1600" s="706"/>
      <c r="Q1600" s="613" t="s">
        <v>943</v>
      </c>
      <c r="R1600" s="74"/>
      <c r="S1600" s="74"/>
      <c r="T1600" s="74"/>
      <c r="U1600" s="74"/>
      <c r="V1600" s="74"/>
      <c r="W1600" s="74"/>
      <c r="X1600" s="74"/>
      <c r="Y1600" s="74"/>
      <c r="Z1600" s="74"/>
      <c r="AA1600" s="74"/>
      <c r="AB1600" s="74"/>
      <c r="AC1600" s="74"/>
      <c r="AD1600" s="74"/>
      <c r="AE1600" s="74"/>
      <c r="AF1600" s="74"/>
      <c r="AG1600" s="74"/>
      <c r="AH1600" s="74"/>
      <c r="AI1600" s="74"/>
    </row>
    <row r="1601" ht="22.5" customHeight="1">
      <c r="A1601" s="614">
        <v>45952.0</v>
      </c>
      <c r="B1601" s="137" t="s">
        <v>2218</v>
      </c>
      <c r="C1601" s="609"/>
      <c r="D1601" s="609"/>
      <c r="E1601" s="604" t="s">
        <v>33</v>
      </c>
      <c r="F1601" s="607" t="s">
        <v>1179</v>
      </c>
      <c r="G1601" s="597">
        <v>0.0</v>
      </c>
      <c r="H1601" s="689">
        <f t="shared" si="84"/>
        <v>0</v>
      </c>
      <c r="I1601" s="599"/>
      <c r="J1601" s="605">
        <v>429000.0</v>
      </c>
      <c r="K1601" s="615" t="s">
        <v>2108</v>
      </c>
      <c r="L1601" s="615" t="s">
        <v>1254</v>
      </c>
      <c r="M1601" s="621"/>
      <c r="N1601" s="621"/>
      <c r="O1601" s="621"/>
      <c r="P1601" s="706"/>
      <c r="Q1601" s="622"/>
      <c r="R1601" s="74"/>
      <c r="S1601" s="74"/>
      <c r="T1601" s="74"/>
      <c r="U1601" s="74"/>
      <c r="V1601" s="74"/>
      <c r="W1601" s="74"/>
      <c r="X1601" s="74"/>
      <c r="Y1601" s="74"/>
      <c r="Z1601" s="74"/>
      <c r="AA1601" s="74"/>
      <c r="AB1601" s="74"/>
      <c r="AC1601" s="74"/>
      <c r="AD1601" s="74"/>
      <c r="AE1601" s="74"/>
      <c r="AF1601" s="74"/>
      <c r="AG1601" s="74"/>
      <c r="AH1601" s="74"/>
      <c r="AI1601" s="74"/>
    </row>
    <row r="1602" ht="22.5" customHeight="1">
      <c r="A1602" s="614">
        <v>45952.0</v>
      </c>
      <c r="B1602" s="137" t="s">
        <v>2218</v>
      </c>
      <c r="C1602" s="609"/>
      <c r="D1602" s="609"/>
      <c r="E1602" s="604" t="s">
        <v>33</v>
      </c>
      <c r="F1602" s="607" t="s">
        <v>1179</v>
      </c>
      <c r="G1602" s="597">
        <v>0.0</v>
      </c>
      <c r="H1602" s="689">
        <f t="shared" si="84"/>
        <v>0</v>
      </c>
      <c r="I1602" s="599"/>
      <c r="J1602" s="605">
        <v>140000.0</v>
      </c>
      <c r="K1602" s="615" t="s">
        <v>2108</v>
      </c>
      <c r="L1602" s="615" t="s">
        <v>1255</v>
      </c>
      <c r="M1602" s="621"/>
      <c r="N1602" s="621"/>
      <c r="O1602" s="621"/>
      <c r="P1602" s="706"/>
      <c r="Q1602" s="622"/>
      <c r="R1602" s="74"/>
      <c r="S1602" s="74"/>
      <c r="T1602" s="74"/>
      <c r="U1602" s="74"/>
      <c r="V1602" s="74"/>
      <c r="W1602" s="74"/>
      <c r="X1602" s="74"/>
      <c r="Y1602" s="74"/>
      <c r="Z1602" s="74"/>
      <c r="AA1602" s="74"/>
      <c r="AB1602" s="74"/>
      <c r="AC1602" s="74"/>
      <c r="AD1602" s="74"/>
      <c r="AE1602" s="74"/>
      <c r="AF1602" s="74"/>
      <c r="AG1602" s="74"/>
      <c r="AH1602" s="74"/>
      <c r="AI1602" s="74"/>
    </row>
    <row r="1603" ht="22.5" customHeight="1">
      <c r="A1603" s="614">
        <v>45953.0</v>
      </c>
      <c r="B1603" s="137" t="s">
        <v>2218</v>
      </c>
      <c r="C1603" s="609"/>
      <c r="D1603" s="609"/>
      <c r="E1603" s="604" t="s">
        <v>33</v>
      </c>
      <c r="F1603" s="607" t="s">
        <v>1179</v>
      </c>
      <c r="G1603" s="597">
        <v>0.0</v>
      </c>
      <c r="H1603" s="689">
        <f t="shared" si="84"/>
        <v>0</v>
      </c>
      <c r="I1603" s="599"/>
      <c r="J1603" s="605">
        <v>8000.0</v>
      </c>
      <c r="K1603" s="615" t="s">
        <v>2240</v>
      </c>
      <c r="L1603" s="615" t="s">
        <v>1256</v>
      </c>
      <c r="M1603" s="621"/>
      <c r="N1603" s="621"/>
      <c r="O1603" s="621"/>
      <c r="P1603" s="706"/>
      <c r="Q1603" s="622"/>
      <c r="R1603" s="74"/>
      <c r="S1603" s="74"/>
      <c r="T1603" s="74"/>
      <c r="U1603" s="74"/>
      <c r="V1603" s="74"/>
      <c r="W1603" s="74"/>
      <c r="X1603" s="74"/>
      <c r="Y1603" s="74"/>
      <c r="Z1603" s="74"/>
      <c r="AA1603" s="74"/>
      <c r="AB1603" s="74"/>
      <c r="AC1603" s="74"/>
      <c r="AD1603" s="74"/>
      <c r="AE1603" s="74"/>
      <c r="AF1603" s="74"/>
      <c r="AG1603" s="74"/>
      <c r="AH1603" s="74"/>
      <c r="AI1603" s="74"/>
    </row>
    <row r="1604" ht="22.5" customHeight="1">
      <c r="A1604" s="614">
        <v>45954.0</v>
      </c>
      <c r="B1604" s="137" t="s">
        <v>2218</v>
      </c>
      <c r="C1604" s="610">
        <v>630000.0</v>
      </c>
      <c r="D1604" s="609"/>
      <c r="E1604" s="604" t="s">
        <v>28</v>
      </c>
      <c r="F1604" s="607" t="s">
        <v>1099</v>
      </c>
      <c r="G1604" s="597">
        <v>20.0</v>
      </c>
      <c r="H1604" s="689">
        <f t="shared" si="84"/>
        <v>105000</v>
      </c>
      <c r="I1604" s="599"/>
      <c r="J1604" s="599"/>
      <c r="K1604" s="672" t="s">
        <v>51</v>
      </c>
      <c r="L1604" s="615" t="s">
        <v>539</v>
      </c>
      <c r="M1604" s="612" t="s">
        <v>1257</v>
      </c>
      <c r="N1604" s="612">
        <v>351.0</v>
      </c>
      <c r="O1604" s="668">
        <v>45940.0</v>
      </c>
      <c r="P1604" s="706">
        <f>TODAY()-O1604-60</f>
        <v>188</v>
      </c>
      <c r="Q1604" s="622"/>
      <c r="R1604" s="74"/>
      <c r="S1604" s="74"/>
      <c r="T1604" s="74"/>
      <c r="U1604" s="74"/>
      <c r="V1604" s="74"/>
      <c r="W1604" s="74"/>
      <c r="X1604" s="74"/>
      <c r="Y1604" s="74"/>
      <c r="Z1604" s="74"/>
      <c r="AA1604" s="74"/>
      <c r="AB1604" s="74"/>
      <c r="AC1604" s="74"/>
      <c r="AD1604" s="74"/>
      <c r="AE1604" s="74"/>
      <c r="AF1604" s="74"/>
      <c r="AG1604" s="74"/>
      <c r="AH1604" s="74"/>
      <c r="AI1604" s="74"/>
    </row>
    <row r="1605" ht="22.5" customHeight="1">
      <c r="A1605" s="614">
        <v>45954.0</v>
      </c>
      <c r="B1605" s="137" t="s">
        <v>2218</v>
      </c>
      <c r="C1605" s="609"/>
      <c r="D1605" s="609">
        <f>16025+367.45+1152407.62</f>
        <v>1168800.07</v>
      </c>
      <c r="E1605" s="604" t="s">
        <v>28</v>
      </c>
      <c r="F1605" s="607" t="s">
        <v>1179</v>
      </c>
      <c r="G1605" s="597">
        <v>0.0</v>
      </c>
      <c r="H1605" s="689">
        <f t="shared" si="84"/>
        <v>0</v>
      </c>
      <c r="I1605" s="599"/>
      <c r="J1605" s="599"/>
      <c r="K1605" s="615" t="s">
        <v>190</v>
      </c>
      <c r="L1605" s="615" t="s">
        <v>190</v>
      </c>
      <c r="M1605" s="621"/>
      <c r="N1605" s="621"/>
      <c r="O1605" s="621"/>
      <c r="P1605" s="706"/>
      <c r="Q1605" s="622"/>
      <c r="R1605" s="74"/>
      <c r="S1605" s="74"/>
      <c r="T1605" s="74"/>
      <c r="U1605" s="74"/>
      <c r="V1605" s="74"/>
      <c r="W1605" s="74"/>
      <c r="X1605" s="74"/>
      <c r="Y1605" s="74"/>
      <c r="Z1605" s="74"/>
      <c r="AA1605" s="74"/>
      <c r="AB1605" s="74"/>
      <c r="AC1605" s="74"/>
      <c r="AD1605" s="74"/>
      <c r="AE1605" s="74"/>
      <c r="AF1605" s="74"/>
      <c r="AG1605" s="74"/>
      <c r="AH1605" s="74"/>
      <c r="AI1605" s="74"/>
    </row>
    <row r="1606" ht="22.5" customHeight="1">
      <c r="A1606" s="614">
        <v>45958.0</v>
      </c>
      <c r="B1606" s="137" t="s">
        <v>2218</v>
      </c>
      <c r="C1606" s="609"/>
      <c r="D1606" s="610">
        <v>1044598.0</v>
      </c>
      <c r="E1606" s="604" t="s">
        <v>28</v>
      </c>
      <c r="F1606" s="607" t="s">
        <v>1179</v>
      </c>
      <c r="G1606" s="597">
        <v>0.0</v>
      </c>
      <c r="H1606" s="689">
        <f t="shared" si="84"/>
        <v>0</v>
      </c>
      <c r="I1606" s="599"/>
      <c r="J1606" s="599"/>
      <c r="K1606" s="615" t="s">
        <v>236</v>
      </c>
      <c r="L1606" s="615" t="s">
        <v>1258</v>
      </c>
      <c r="M1606" s="621"/>
      <c r="N1606" s="621"/>
      <c r="O1606" s="621"/>
      <c r="P1606" s="706"/>
      <c r="Q1606" s="622"/>
      <c r="R1606" s="74"/>
      <c r="S1606" s="74"/>
      <c r="T1606" s="74"/>
      <c r="U1606" s="74"/>
      <c r="V1606" s="74"/>
      <c r="W1606" s="74"/>
      <c r="X1606" s="74"/>
      <c r="Y1606" s="74"/>
      <c r="Z1606" s="74"/>
      <c r="AA1606" s="74"/>
      <c r="AB1606" s="74"/>
      <c r="AC1606" s="74"/>
      <c r="AD1606" s="74"/>
      <c r="AE1606" s="74"/>
      <c r="AF1606" s="74"/>
      <c r="AG1606" s="74"/>
      <c r="AH1606" s="74"/>
      <c r="AI1606" s="74"/>
    </row>
    <row r="1607" ht="22.5" customHeight="1">
      <c r="A1607" s="614">
        <v>45958.0</v>
      </c>
      <c r="B1607" s="137" t="s">
        <v>2218</v>
      </c>
      <c r="C1607" s="609"/>
      <c r="D1607" s="610">
        <v>424782.0</v>
      </c>
      <c r="E1607" s="604" t="s">
        <v>28</v>
      </c>
      <c r="F1607" s="607" t="s">
        <v>1179</v>
      </c>
      <c r="G1607" s="597">
        <v>0.0</v>
      </c>
      <c r="H1607" s="689">
        <f t="shared" si="84"/>
        <v>0</v>
      </c>
      <c r="I1607" s="599"/>
      <c r="J1607" s="599"/>
      <c r="K1607" s="615" t="s">
        <v>236</v>
      </c>
      <c r="L1607" s="615" t="s">
        <v>1259</v>
      </c>
      <c r="M1607" s="621"/>
      <c r="N1607" s="621"/>
      <c r="O1607" s="621"/>
      <c r="P1607" s="706"/>
      <c r="Q1607" s="622"/>
      <c r="R1607" s="74"/>
      <c r="S1607" s="74"/>
      <c r="T1607" s="74"/>
      <c r="U1607" s="74"/>
      <c r="V1607" s="74"/>
      <c r="W1607" s="74"/>
      <c r="X1607" s="74"/>
      <c r="Y1607" s="74"/>
      <c r="Z1607" s="74"/>
      <c r="AA1607" s="74"/>
      <c r="AB1607" s="74"/>
      <c r="AC1607" s="74"/>
      <c r="AD1607" s="74"/>
      <c r="AE1607" s="74"/>
      <c r="AF1607" s="74"/>
      <c r="AG1607" s="74"/>
      <c r="AH1607" s="74"/>
      <c r="AI1607" s="74"/>
    </row>
    <row r="1608" ht="22.5" customHeight="1">
      <c r="A1608" s="614">
        <v>45958.0</v>
      </c>
      <c r="B1608" s="137" t="s">
        <v>2218</v>
      </c>
      <c r="C1608" s="609"/>
      <c r="D1608" s="610">
        <v>165412.0</v>
      </c>
      <c r="E1608" s="604" t="s">
        <v>28</v>
      </c>
      <c r="F1608" s="607" t="s">
        <v>1179</v>
      </c>
      <c r="G1608" s="597">
        <v>0.0</v>
      </c>
      <c r="H1608" s="689">
        <f t="shared" si="84"/>
        <v>0</v>
      </c>
      <c r="I1608" s="599"/>
      <c r="J1608" s="599"/>
      <c r="K1608" s="615" t="s">
        <v>236</v>
      </c>
      <c r="L1608" s="615" t="s">
        <v>1011</v>
      </c>
      <c r="M1608" s="621"/>
      <c r="N1608" s="621"/>
      <c r="O1608" s="621"/>
      <c r="P1608" s="706"/>
      <c r="Q1608" s="622"/>
      <c r="R1608" s="74"/>
      <c r="S1608" s="74"/>
      <c r="T1608" s="74"/>
      <c r="U1608" s="74"/>
      <c r="V1608" s="74"/>
      <c r="W1608" s="74"/>
      <c r="X1608" s="74"/>
      <c r="Y1608" s="74"/>
      <c r="Z1608" s="74"/>
      <c r="AA1608" s="74"/>
      <c r="AB1608" s="74"/>
      <c r="AC1608" s="74"/>
      <c r="AD1608" s="74"/>
      <c r="AE1608" s="74"/>
      <c r="AF1608" s="74"/>
      <c r="AG1608" s="74"/>
      <c r="AH1608" s="74"/>
      <c r="AI1608" s="74"/>
    </row>
    <row r="1609" ht="22.5" customHeight="1">
      <c r="A1609" s="614">
        <v>45958.0</v>
      </c>
      <c r="B1609" s="137" t="s">
        <v>2218</v>
      </c>
      <c r="C1609" s="609"/>
      <c r="D1609" s="610">
        <v>3506.0</v>
      </c>
      <c r="E1609" s="604" t="s">
        <v>28</v>
      </c>
      <c r="F1609" s="607" t="s">
        <v>1179</v>
      </c>
      <c r="G1609" s="597">
        <v>0.0</v>
      </c>
      <c r="H1609" s="689">
        <f t="shared" si="84"/>
        <v>0</v>
      </c>
      <c r="I1609" s="599"/>
      <c r="J1609" s="599"/>
      <c r="K1609" s="615" t="s">
        <v>236</v>
      </c>
      <c r="L1609" s="615" t="s">
        <v>1011</v>
      </c>
      <c r="M1609" s="621"/>
      <c r="N1609" s="621"/>
      <c r="O1609" s="621"/>
      <c r="P1609" s="706"/>
      <c r="Q1609" s="622"/>
      <c r="R1609" s="74"/>
      <c r="S1609" s="74"/>
      <c r="T1609" s="74"/>
      <c r="U1609" s="74"/>
      <c r="V1609" s="74"/>
      <c r="W1609" s="74"/>
      <c r="X1609" s="74"/>
      <c r="Y1609" s="74"/>
      <c r="Z1609" s="74"/>
      <c r="AA1609" s="74"/>
      <c r="AB1609" s="74"/>
      <c r="AC1609" s="74"/>
      <c r="AD1609" s="74"/>
      <c r="AE1609" s="74"/>
      <c r="AF1609" s="74"/>
      <c r="AG1609" s="74"/>
      <c r="AH1609" s="74"/>
      <c r="AI1609" s="74"/>
    </row>
    <row r="1610" ht="22.5" customHeight="1">
      <c r="A1610" s="614">
        <v>45958.0</v>
      </c>
      <c r="B1610" s="157" t="s">
        <v>2218</v>
      </c>
      <c r="C1610" s="610">
        <v>604968.0</v>
      </c>
      <c r="D1610" s="609"/>
      <c r="E1610" s="604" t="s">
        <v>28</v>
      </c>
      <c r="F1610" s="627" t="s">
        <v>800</v>
      </c>
      <c r="G1610" s="597">
        <v>20.0</v>
      </c>
      <c r="H1610" s="689">
        <f t="shared" si="84"/>
        <v>100828</v>
      </c>
      <c r="I1610" s="599"/>
      <c r="J1610" s="599"/>
      <c r="K1610" s="615" t="s">
        <v>51</v>
      </c>
      <c r="L1610" s="616" t="s">
        <v>1014</v>
      </c>
      <c r="M1610" s="612" t="s">
        <v>1260</v>
      </c>
      <c r="N1610" s="612">
        <v>222.0</v>
      </c>
      <c r="O1610" s="662">
        <v>45818.0</v>
      </c>
      <c r="P1610" s="706">
        <f>TODAY()-O1610-60</f>
        <v>310</v>
      </c>
      <c r="Q1610" s="622"/>
      <c r="R1610" s="74"/>
      <c r="S1610" s="74"/>
      <c r="T1610" s="74"/>
      <c r="U1610" s="74"/>
      <c r="V1610" s="74"/>
      <c r="W1610" s="74"/>
      <c r="X1610" s="74"/>
      <c r="Y1610" s="74"/>
      <c r="Z1610" s="74"/>
      <c r="AA1610" s="74"/>
      <c r="AB1610" s="74"/>
      <c r="AC1610" s="74"/>
      <c r="AD1610" s="74"/>
      <c r="AE1610" s="74"/>
      <c r="AF1610" s="74"/>
      <c r="AG1610" s="74"/>
      <c r="AH1610" s="74"/>
      <c r="AI1610" s="74"/>
    </row>
    <row r="1611" ht="22.5" customHeight="1">
      <c r="A1611" s="614">
        <v>45959.0</v>
      </c>
      <c r="B1611" s="137" t="s">
        <v>2218</v>
      </c>
      <c r="C1611" s="609"/>
      <c r="D1611" s="610">
        <v>58500.0</v>
      </c>
      <c r="E1611" s="604" t="s">
        <v>28</v>
      </c>
      <c r="F1611" s="607" t="s">
        <v>1179</v>
      </c>
      <c r="G1611" s="597">
        <v>0.0</v>
      </c>
      <c r="H1611" s="689">
        <f t="shared" si="84"/>
        <v>0</v>
      </c>
      <c r="I1611" s="599"/>
      <c r="J1611" s="599"/>
      <c r="K1611" s="615" t="s">
        <v>108</v>
      </c>
      <c r="L1611" s="615" t="s">
        <v>1100</v>
      </c>
      <c r="M1611" s="621"/>
      <c r="N1611" s="621"/>
      <c r="O1611" s="621"/>
      <c r="P1611" s="706"/>
      <c r="Q1611" s="682" t="s">
        <v>1261</v>
      </c>
      <c r="R1611" s="74"/>
      <c r="S1611" s="74"/>
      <c r="T1611" s="74"/>
      <c r="U1611" s="74"/>
      <c r="V1611" s="74"/>
      <c r="W1611" s="74"/>
      <c r="X1611" s="74"/>
      <c r="Y1611" s="74"/>
      <c r="Z1611" s="74"/>
      <c r="AA1611" s="74"/>
      <c r="AB1611" s="74"/>
      <c r="AC1611" s="74"/>
      <c r="AD1611" s="74"/>
      <c r="AE1611" s="74"/>
      <c r="AF1611" s="74"/>
      <c r="AG1611" s="74"/>
      <c r="AH1611" s="74"/>
      <c r="AI1611" s="74"/>
    </row>
    <row r="1612" ht="22.5" customHeight="1">
      <c r="A1612" s="614">
        <v>45959.0</v>
      </c>
      <c r="B1612" s="137" t="s">
        <v>2218</v>
      </c>
      <c r="C1612" s="609"/>
      <c r="D1612" s="610">
        <v>150000.0</v>
      </c>
      <c r="E1612" s="604" t="s">
        <v>28</v>
      </c>
      <c r="F1612" s="607" t="s">
        <v>1262</v>
      </c>
      <c r="G1612" s="597">
        <v>20.0</v>
      </c>
      <c r="H1612" s="689">
        <f t="shared" si="84"/>
        <v>25000</v>
      </c>
      <c r="I1612" s="599"/>
      <c r="J1612" s="599"/>
      <c r="K1612" s="615" t="s">
        <v>2237</v>
      </c>
      <c r="L1612" s="616" t="s">
        <v>942</v>
      </c>
      <c r="M1612" s="621"/>
      <c r="N1612" s="621"/>
      <c r="O1612" s="621"/>
      <c r="P1612" s="706"/>
      <c r="Q1612" s="613" t="s">
        <v>943</v>
      </c>
      <c r="R1612" s="74"/>
      <c r="S1612" s="74"/>
      <c r="T1612" s="74"/>
      <c r="U1612" s="74"/>
      <c r="V1612" s="74"/>
      <c r="W1612" s="74"/>
      <c r="X1612" s="74"/>
      <c r="Y1612" s="74"/>
      <c r="Z1612" s="74"/>
      <c r="AA1612" s="74"/>
      <c r="AB1612" s="74"/>
      <c r="AC1612" s="74"/>
      <c r="AD1612" s="74"/>
      <c r="AE1612" s="74"/>
      <c r="AF1612" s="74"/>
      <c r="AG1612" s="74"/>
      <c r="AH1612" s="74"/>
      <c r="AI1612" s="74"/>
    </row>
    <row r="1613" ht="22.5" customHeight="1">
      <c r="A1613" s="614">
        <v>45959.0</v>
      </c>
      <c r="B1613" s="137" t="s">
        <v>2218</v>
      </c>
      <c r="C1613" s="609"/>
      <c r="D1613" s="610">
        <v>600.0</v>
      </c>
      <c r="E1613" s="604" t="s">
        <v>28</v>
      </c>
      <c r="F1613" s="607" t="s">
        <v>1179</v>
      </c>
      <c r="G1613" s="597">
        <v>20.0</v>
      </c>
      <c r="H1613" s="689">
        <f t="shared" si="84"/>
        <v>100</v>
      </c>
      <c r="I1613" s="599"/>
      <c r="J1613" s="599"/>
      <c r="K1613" s="615" t="s">
        <v>2237</v>
      </c>
      <c r="L1613" s="616" t="s">
        <v>942</v>
      </c>
      <c r="M1613" s="621"/>
      <c r="N1613" s="621"/>
      <c r="O1613" s="621"/>
      <c r="P1613" s="706"/>
      <c r="Q1613" s="613" t="s">
        <v>943</v>
      </c>
      <c r="R1613" s="74"/>
      <c r="S1613" s="74"/>
      <c r="T1613" s="74"/>
      <c r="U1613" s="74"/>
      <c r="V1613" s="74"/>
      <c r="W1613" s="74"/>
      <c r="X1613" s="74"/>
      <c r="Y1613" s="74"/>
      <c r="Z1613" s="74"/>
      <c r="AA1613" s="74"/>
      <c r="AB1613" s="74"/>
      <c r="AC1613" s="74"/>
      <c r="AD1613" s="74"/>
      <c r="AE1613" s="74"/>
      <c r="AF1613" s="74"/>
      <c r="AG1613" s="74"/>
      <c r="AH1613" s="74"/>
      <c r="AI1613" s="74"/>
    </row>
    <row r="1614" ht="22.5" customHeight="1">
      <c r="A1614" s="614">
        <v>45959.0</v>
      </c>
      <c r="B1614" s="137" t="s">
        <v>2218</v>
      </c>
      <c r="C1614" s="609"/>
      <c r="D1614" s="610">
        <v>1200000.0</v>
      </c>
      <c r="E1614" s="604" t="s">
        <v>28</v>
      </c>
      <c r="F1614" s="607" t="s">
        <v>1179</v>
      </c>
      <c r="G1614" s="597">
        <v>20.0</v>
      </c>
      <c r="H1614" s="689">
        <f t="shared" si="84"/>
        <v>200000</v>
      </c>
      <c r="I1614" s="599"/>
      <c r="J1614" s="599"/>
      <c r="K1614" s="615" t="s">
        <v>48</v>
      </c>
      <c r="L1614" s="671"/>
      <c r="M1614" s="621"/>
      <c r="N1614" s="621"/>
      <c r="O1614" s="621"/>
      <c r="P1614" s="706"/>
      <c r="Q1614" s="622"/>
      <c r="R1614" s="74"/>
      <c r="S1614" s="74"/>
      <c r="T1614" s="74"/>
      <c r="U1614" s="74"/>
      <c r="V1614" s="74"/>
      <c r="W1614" s="74"/>
      <c r="X1614" s="74"/>
      <c r="Y1614" s="74"/>
      <c r="Z1614" s="74"/>
      <c r="AA1614" s="74"/>
      <c r="AB1614" s="74"/>
      <c r="AC1614" s="74"/>
      <c r="AD1614" s="74"/>
      <c r="AE1614" s="74"/>
      <c r="AF1614" s="74"/>
      <c r="AG1614" s="74"/>
      <c r="AH1614" s="74"/>
      <c r="AI1614" s="74"/>
    </row>
    <row r="1615" ht="22.5" customHeight="1">
      <c r="A1615" s="614">
        <v>45959.0</v>
      </c>
      <c r="B1615" s="137" t="s">
        <v>2218</v>
      </c>
      <c r="C1615" s="609"/>
      <c r="D1615" s="609"/>
      <c r="E1615" s="604" t="s">
        <v>33</v>
      </c>
      <c r="F1615" s="607" t="s">
        <v>1179</v>
      </c>
      <c r="G1615" s="597">
        <v>0.0</v>
      </c>
      <c r="H1615" s="689">
        <f t="shared" si="84"/>
        <v>0</v>
      </c>
      <c r="I1615" s="605">
        <v>1000000.0</v>
      </c>
      <c r="J1615" s="599"/>
      <c r="K1615" s="615" t="s">
        <v>48</v>
      </c>
      <c r="L1615" s="671"/>
      <c r="M1615" s="621"/>
      <c r="N1615" s="621"/>
      <c r="O1615" s="621"/>
      <c r="P1615" s="706"/>
      <c r="Q1615" s="622"/>
      <c r="R1615" s="74"/>
      <c r="S1615" s="74"/>
      <c r="T1615" s="74"/>
      <c r="U1615" s="74"/>
      <c r="V1615" s="74"/>
      <c r="W1615" s="74"/>
      <c r="X1615" s="74"/>
      <c r="Y1615" s="74"/>
      <c r="Z1615" s="74"/>
      <c r="AA1615" s="74"/>
      <c r="AB1615" s="74"/>
      <c r="AC1615" s="74"/>
      <c r="AD1615" s="74"/>
      <c r="AE1615" s="74"/>
      <c r="AF1615" s="74"/>
      <c r="AG1615" s="74"/>
      <c r="AH1615" s="74"/>
      <c r="AI1615" s="74"/>
    </row>
    <row r="1616" ht="22.5" customHeight="1">
      <c r="A1616" s="614">
        <v>45961.0</v>
      </c>
      <c r="B1616" s="157" t="s">
        <v>2218</v>
      </c>
      <c r="C1616" s="610">
        <v>604800.0</v>
      </c>
      <c r="D1616" s="609"/>
      <c r="E1616" s="604" t="s">
        <v>28</v>
      </c>
      <c r="F1616" s="627" t="s">
        <v>800</v>
      </c>
      <c r="G1616" s="597">
        <v>20.0</v>
      </c>
      <c r="H1616" s="689">
        <f t="shared" si="84"/>
        <v>100800</v>
      </c>
      <c r="I1616" s="599"/>
      <c r="J1616" s="599"/>
      <c r="K1616" s="615" t="s">
        <v>51</v>
      </c>
      <c r="L1616" s="616" t="s">
        <v>1014</v>
      </c>
      <c r="M1616" s="612" t="s">
        <v>1263</v>
      </c>
      <c r="N1616" s="612">
        <v>221.0</v>
      </c>
      <c r="O1616" s="662">
        <v>45818.0</v>
      </c>
      <c r="P1616" s="706">
        <f t="shared" ref="P1616:P1618" si="99">TODAY()-O1616-60</f>
        <v>310</v>
      </c>
      <c r="Q1616" s="622"/>
      <c r="R1616" s="74"/>
      <c r="S1616" s="74"/>
      <c r="T1616" s="74"/>
      <c r="U1616" s="74"/>
      <c r="V1616" s="74"/>
      <c r="W1616" s="74"/>
      <c r="X1616" s="74"/>
      <c r="Y1616" s="74"/>
      <c r="Z1616" s="74"/>
      <c r="AA1616" s="74"/>
      <c r="AB1616" s="74"/>
      <c r="AC1616" s="74"/>
      <c r="AD1616" s="74"/>
      <c r="AE1616" s="74"/>
      <c r="AF1616" s="74"/>
      <c r="AG1616" s="74"/>
      <c r="AH1616" s="74"/>
      <c r="AI1616" s="74"/>
    </row>
    <row r="1617" ht="22.5" customHeight="1">
      <c r="A1617" s="614">
        <v>45961.0</v>
      </c>
      <c r="B1617" s="157" t="s">
        <v>2218</v>
      </c>
      <c r="C1617" s="610">
        <v>600432.0</v>
      </c>
      <c r="D1617" s="609"/>
      <c r="E1617" s="604" t="s">
        <v>28</v>
      </c>
      <c r="F1617" s="627" t="s">
        <v>800</v>
      </c>
      <c r="G1617" s="597">
        <v>20.0</v>
      </c>
      <c r="H1617" s="689">
        <f t="shared" si="84"/>
        <v>100072</v>
      </c>
      <c r="I1617" s="599"/>
      <c r="J1617" s="599"/>
      <c r="K1617" s="615" t="s">
        <v>51</v>
      </c>
      <c r="L1617" s="616" t="s">
        <v>1014</v>
      </c>
      <c r="M1617" s="612" t="s">
        <v>1264</v>
      </c>
      <c r="N1617" s="612">
        <v>223.0</v>
      </c>
      <c r="O1617" s="662">
        <v>45818.0</v>
      </c>
      <c r="P1617" s="706">
        <f t="shared" si="99"/>
        <v>310</v>
      </c>
      <c r="Q1617" s="622"/>
      <c r="R1617" s="74"/>
      <c r="S1617" s="74"/>
      <c r="T1617" s="74"/>
      <c r="U1617" s="74"/>
      <c r="V1617" s="74"/>
      <c r="W1617" s="74"/>
      <c r="X1617" s="74"/>
      <c r="Y1617" s="74"/>
      <c r="Z1617" s="74"/>
      <c r="AA1617" s="74"/>
      <c r="AB1617" s="74"/>
      <c r="AC1617" s="74"/>
      <c r="AD1617" s="74"/>
      <c r="AE1617" s="74"/>
      <c r="AF1617" s="74"/>
      <c r="AG1617" s="74"/>
      <c r="AH1617" s="74"/>
      <c r="AI1617" s="74"/>
    </row>
    <row r="1618" ht="22.5" customHeight="1">
      <c r="A1618" s="614">
        <v>45961.0</v>
      </c>
      <c r="B1618" s="157" t="s">
        <v>2218</v>
      </c>
      <c r="C1618" s="610">
        <v>604800.0</v>
      </c>
      <c r="D1618" s="609"/>
      <c r="E1618" s="604" t="s">
        <v>28</v>
      </c>
      <c r="F1618" s="627" t="s">
        <v>800</v>
      </c>
      <c r="G1618" s="597">
        <v>20.0</v>
      </c>
      <c r="H1618" s="689">
        <f t="shared" si="84"/>
        <v>100800</v>
      </c>
      <c r="I1618" s="599"/>
      <c r="J1618" s="599"/>
      <c r="K1618" s="615" t="s">
        <v>51</v>
      </c>
      <c r="L1618" s="616" t="s">
        <v>1014</v>
      </c>
      <c r="M1618" s="612" t="s">
        <v>1265</v>
      </c>
      <c r="N1618" s="612">
        <v>224.0</v>
      </c>
      <c r="O1618" s="662">
        <v>45818.0</v>
      </c>
      <c r="P1618" s="706">
        <f t="shared" si="99"/>
        <v>310</v>
      </c>
      <c r="Q1618" s="622"/>
      <c r="R1618" s="74"/>
      <c r="S1618" s="74"/>
      <c r="T1618" s="74"/>
      <c r="U1618" s="74"/>
      <c r="V1618" s="74"/>
      <c r="W1618" s="74"/>
      <c r="X1618" s="74"/>
      <c r="Y1618" s="74"/>
      <c r="Z1618" s="74"/>
      <c r="AA1618" s="74"/>
      <c r="AB1618" s="74"/>
      <c r="AC1618" s="74"/>
      <c r="AD1618" s="74"/>
      <c r="AE1618" s="74"/>
      <c r="AF1618" s="74"/>
      <c r="AG1618" s="74"/>
      <c r="AH1618" s="74"/>
      <c r="AI1618" s="74"/>
    </row>
    <row r="1619" ht="22.5" customHeight="1">
      <c r="A1619" s="614">
        <v>45961.0</v>
      </c>
      <c r="B1619" s="157" t="s">
        <v>2218</v>
      </c>
      <c r="C1619" s="610">
        <v>802070.76</v>
      </c>
      <c r="D1619" s="609"/>
      <c r="E1619" s="703" t="s">
        <v>28</v>
      </c>
      <c r="F1619" s="627" t="s">
        <v>897</v>
      </c>
      <c r="G1619" s="597">
        <v>20.0</v>
      </c>
      <c r="H1619" s="689">
        <f t="shared" si="84"/>
        <v>133678.46</v>
      </c>
      <c r="I1619" s="599"/>
      <c r="J1619" s="599"/>
      <c r="K1619" s="615" t="s">
        <v>51</v>
      </c>
      <c r="L1619" s="616" t="s">
        <v>1167</v>
      </c>
      <c r="M1619" s="612" t="s">
        <v>1266</v>
      </c>
      <c r="N1619" s="612">
        <v>261.0</v>
      </c>
      <c r="O1619" s="662">
        <v>45842.0</v>
      </c>
      <c r="P1619" s="706">
        <f t="shared" ref="P1619:P1622" si="100">TODAY()-O1619-90</f>
        <v>256</v>
      </c>
      <c r="Q1619" s="622"/>
      <c r="R1619" s="74"/>
      <c r="S1619" s="74"/>
      <c r="T1619" s="74"/>
      <c r="U1619" s="74"/>
      <c r="V1619" s="74"/>
      <c r="W1619" s="74"/>
      <c r="X1619" s="74"/>
      <c r="Y1619" s="74"/>
      <c r="Z1619" s="74"/>
      <c r="AA1619" s="74"/>
      <c r="AB1619" s="74"/>
      <c r="AC1619" s="74"/>
      <c r="AD1619" s="74"/>
      <c r="AE1619" s="74"/>
      <c r="AF1619" s="74"/>
      <c r="AG1619" s="74"/>
      <c r="AH1619" s="74"/>
      <c r="AI1619" s="74"/>
    </row>
    <row r="1620" ht="22.5" customHeight="1">
      <c r="A1620" s="614">
        <v>45961.0</v>
      </c>
      <c r="B1620" s="157" t="s">
        <v>2218</v>
      </c>
      <c r="C1620" s="610">
        <v>600040.0</v>
      </c>
      <c r="D1620" s="609"/>
      <c r="E1620" s="703" t="s">
        <v>28</v>
      </c>
      <c r="F1620" s="627" t="s">
        <v>897</v>
      </c>
      <c r="G1620" s="597">
        <v>20.0</v>
      </c>
      <c r="H1620" s="689">
        <f t="shared" si="84"/>
        <v>100006.6667</v>
      </c>
      <c r="I1620" s="599"/>
      <c r="J1620" s="599"/>
      <c r="K1620" s="615" t="s">
        <v>51</v>
      </c>
      <c r="L1620" s="616" t="s">
        <v>1167</v>
      </c>
      <c r="M1620" s="612" t="s">
        <v>1267</v>
      </c>
      <c r="N1620" s="612">
        <v>267.0</v>
      </c>
      <c r="O1620" s="662">
        <v>45846.0</v>
      </c>
      <c r="P1620" s="706">
        <f t="shared" si="100"/>
        <v>252</v>
      </c>
      <c r="Q1620" s="622"/>
      <c r="R1620" s="74"/>
      <c r="S1620" s="74"/>
      <c r="T1620" s="74"/>
      <c r="U1620" s="74"/>
      <c r="V1620" s="74"/>
      <c r="W1620" s="74"/>
      <c r="X1620" s="74"/>
      <c r="Y1620" s="74"/>
      <c r="Z1620" s="74"/>
      <c r="AA1620" s="74"/>
      <c r="AB1620" s="74"/>
      <c r="AC1620" s="74"/>
      <c r="AD1620" s="74"/>
      <c r="AE1620" s="74"/>
      <c r="AF1620" s="74"/>
      <c r="AG1620" s="74"/>
      <c r="AH1620" s="74"/>
      <c r="AI1620" s="74"/>
    </row>
    <row r="1621" ht="22.5" customHeight="1">
      <c r="A1621" s="614">
        <v>45961.0</v>
      </c>
      <c r="B1621" s="157" t="s">
        <v>2218</v>
      </c>
      <c r="C1621" s="610">
        <v>1200000.0</v>
      </c>
      <c r="D1621" s="609"/>
      <c r="E1621" s="703" t="s">
        <v>28</v>
      </c>
      <c r="F1621" s="627" t="s">
        <v>897</v>
      </c>
      <c r="G1621" s="597">
        <v>20.0</v>
      </c>
      <c r="H1621" s="689">
        <f t="shared" si="84"/>
        <v>200000</v>
      </c>
      <c r="I1621" s="599"/>
      <c r="J1621" s="599"/>
      <c r="K1621" s="615" t="s">
        <v>51</v>
      </c>
      <c r="L1621" s="616" t="s">
        <v>1167</v>
      </c>
      <c r="M1621" s="612" t="s">
        <v>1268</v>
      </c>
      <c r="N1621" s="612">
        <v>268.0</v>
      </c>
      <c r="O1621" s="662">
        <v>45846.0</v>
      </c>
      <c r="P1621" s="706">
        <f t="shared" si="100"/>
        <v>252</v>
      </c>
      <c r="Q1621" s="622"/>
      <c r="R1621" s="74"/>
      <c r="S1621" s="74"/>
      <c r="T1621" s="74"/>
      <c r="U1621" s="74"/>
      <c r="V1621" s="74"/>
      <c r="W1621" s="74"/>
      <c r="X1621" s="74"/>
      <c r="Y1621" s="74"/>
      <c r="Z1621" s="74"/>
      <c r="AA1621" s="74"/>
      <c r="AB1621" s="74"/>
      <c r="AC1621" s="74"/>
      <c r="AD1621" s="74"/>
      <c r="AE1621" s="74"/>
      <c r="AF1621" s="74"/>
      <c r="AG1621" s="74"/>
      <c r="AH1621" s="74"/>
      <c r="AI1621" s="74"/>
    </row>
    <row r="1622" ht="22.5" customHeight="1">
      <c r="A1622" s="614">
        <v>45961.0</v>
      </c>
      <c r="B1622" s="157" t="s">
        <v>2218</v>
      </c>
      <c r="C1622" s="610">
        <v>1493922.94</v>
      </c>
      <c r="D1622" s="609"/>
      <c r="E1622" s="703" t="s">
        <v>28</v>
      </c>
      <c r="F1622" s="627" t="s">
        <v>897</v>
      </c>
      <c r="G1622" s="597">
        <v>20.0</v>
      </c>
      <c r="H1622" s="689">
        <f t="shared" si="84"/>
        <v>248987.1567</v>
      </c>
      <c r="I1622" s="599"/>
      <c r="J1622" s="599"/>
      <c r="K1622" s="615" t="s">
        <v>51</v>
      </c>
      <c r="L1622" s="616" t="s">
        <v>1167</v>
      </c>
      <c r="M1622" s="612" t="s">
        <v>1269</v>
      </c>
      <c r="N1622" s="612">
        <v>269.0</v>
      </c>
      <c r="O1622" s="662">
        <v>45846.0</v>
      </c>
      <c r="P1622" s="706">
        <f t="shared" si="100"/>
        <v>252</v>
      </c>
      <c r="Q1622" s="622"/>
      <c r="R1622" s="74"/>
      <c r="S1622" s="74"/>
      <c r="T1622" s="74"/>
      <c r="U1622" s="74"/>
      <c r="V1622" s="74"/>
      <c r="W1622" s="74"/>
      <c r="X1622" s="74"/>
      <c r="Y1622" s="74"/>
      <c r="Z1622" s="74"/>
      <c r="AA1622" s="74"/>
      <c r="AB1622" s="74"/>
      <c r="AC1622" s="74"/>
      <c r="AD1622" s="74"/>
      <c r="AE1622" s="74"/>
      <c r="AF1622" s="74"/>
      <c r="AG1622" s="74"/>
      <c r="AH1622" s="74"/>
      <c r="AI1622" s="74"/>
    </row>
    <row r="1623" ht="22.5" customHeight="1">
      <c r="A1623" s="614">
        <v>45961.0</v>
      </c>
      <c r="B1623" s="157" t="s">
        <v>2218</v>
      </c>
      <c r="C1623" s="610">
        <v>398601.59</v>
      </c>
      <c r="D1623" s="610"/>
      <c r="E1623" s="703" t="s">
        <v>28</v>
      </c>
      <c r="F1623" s="627" t="s">
        <v>897</v>
      </c>
      <c r="G1623" s="597">
        <v>20.0</v>
      </c>
      <c r="H1623" s="689">
        <f t="shared" si="84"/>
        <v>66433.59833</v>
      </c>
      <c r="I1623" s="599"/>
      <c r="J1623" s="599"/>
      <c r="K1623" s="615" t="s">
        <v>51</v>
      </c>
      <c r="L1623" s="616" t="s">
        <v>944</v>
      </c>
      <c r="M1623" s="612" t="s">
        <v>947</v>
      </c>
      <c r="N1623" s="612">
        <v>273.0</v>
      </c>
      <c r="O1623" s="662">
        <v>45849.0</v>
      </c>
      <c r="P1623" s="706">
        <f t="shared" ref="P1623:P1629" si="101">TODAY()-O1623-120</f>
        <v>219</v>
      </c>
      <c r="Q1623" s="622"/>
      <c r="R1623" s="74"/>
      <c r="S1623" s="74"/>
      <c r="T1623" s="74"/>
      <c r="U1623" s="74"/>
      <c r="V1623" s="74"/>
      <c r="W1623" s="74"/>
      <c r="X1623" s="74"/>
      <c r="Y1623" s="74"/>
      <c r="Z1623" s="74"/>
      <c r="AA1623" s="74"/>
      <c r="AB1623" s="74"/>
      <c r="AC1623" s="74"/>
      <c r="AD1623" s="74"/>
      <c r="AE1623" s="74"/>
      <c r="AF1623" s="74"/>
      <c r="AG1623" s="74"/>
      <c r="AH1623" s="74"/>
      <c r="AI1623" s="74"/>
    </row>
    <row r="1624" ht="22.5" customHeight="1">
      <c r="A1624" s="614">
        <v>45961.0</v>
      </c>
      <c r="B1624" s="157" t="s">
        <v>2218</v>
      </c>
      <c r="C1624" s="610">
        <v>506814.0</v>
      </c>
      <c r="D1624" s="610"/>
      <c r="E1624" s="703" t="s">
        <v>28</v>
      </c>
      <c r="F1624" s="627" t="s">
        <v>897</v>
      </c>
      <c r="G1624" s="597">
        <v>20.0</v>
      </c>
      <c r="H1624" s="689">
        <f t="shared" si="84"/>
        <v>84469</v>
      </c>
      <c r="I1624" s="599"/>
      <c r="J1624" s="599"/>
      <c r="K1624" s="615" t="s">
        <v>51</v>
      </c>
      <c r="L1624" s="616" t="s">
        <v>944</v>
      </c>
      <c r="M1624" s="612" t="s">
        <v>947</v>
      </c>
      <c r="N1624" s="612">
        <v>274.0</v>
      </c>
      <c r="O1624" s="662">
        <v>45849.0</v>
      </c>
      <c r="P1624" s="706">
        <f t="shared" si="101"/>
        <v>219</v>
      </c>
      <c r="Q1624" s="622"/>
      <c r="R1624" s="74"/>
      <c r="S1624" s="74"/>
      <c r="T1624" s="74"/>
      <c r="U1624" s="74"/>
      <c r="V1624" s="74"/>
      <c r="W1624" s="74"/>
      <c r="X1624" s="74"/>
      <c r="Y1624" s="74"/>
      <c r="Z1624" s="74"/>
      <c r="AA1624" s="74"/>
      <c r="AB1624" s="74"/>
      <c r="AC1624" s="74"/>
      <c r="AD1624" s="74"/>
      <c r="AE1624" s="74"/>
      <c r="AF1624" s="74"/>
      <c r="AG1624" s="74"/>
      <c r="AH1624" s="74"/>
      <c r="AI1624" s="74"/>
    </row>
    <row r="1625" ht="22.5" customHeight="1">
      <c r="A1625" s="614">
        <v>45961.0</v>
      </c>
      <c r="B1625" s="157" t="s">
        <v>2218</v>
      </c>
      <c r="C1625" s="610">
        <v>889541.45</v>
      </c>
      <c r="D1625" s="610"/>
      <c r="E1625" s="703" t="s">
        <v>28</v>
      </c>
      <c r="F1625" s="627" t="s">
        <v>897</v>
      </c>
      <c r="G1625" s="597">
        <v>20.0</v>
      </c>
      <c r="H1625" s="689">
        <f t="shared" si="84"/>
        <v>148256.9083</v>
      </c>
      <c r="I1625" s="599"/>
      <c r="J1625" s="599"/>
      <c r="K1625" s="615" t="s">
        <v>51</v>
      </c>
      <c r="L1625" s="616" t="s">
        <v>944</v>
      </c>
      <c r="M1625" s="612" t="s">
        <v>947</v>
      </c>
      <c r="N1625" s="612">
        <v>275.0</v>
      </c>
      <c r="O1625" s="662">
        <v>45853.0</v>
      </c>
      <c r="P1625" s="706">
        <f t="shared" si="101"/>
        <v>215</v>
      </c>
      <c r="Q1625" s="622"/>
      <c r="R1625" s="74"/>
      <c r="S1625" s="74"/>
      <c r="T1625" s="74"/>
      <c r="U1625" s="74"/>
      <c r="V1625" s="74"/>
      <c r="W1625" s="74"/>
      <c r="X1625" s="74"/>
      <c r="Y1625" s="74"/>
      <c r="Z1625" s="74"/>
      <c r="AA1625" s="74"/>
      <c r="AB1625" s="74"/>
      <c r="AC1625" s="74"/>
      <c r="AD1625" s="74"/>
      <c r="AE1625" s="74"/>
      <c r="AF1625" s="74"/>
      <c r="AG1625" s="74"/>
      <c r="AH1625" s="74"/>
      <c r="AI1625" s="74"/>
    </row>
    <row r="1626" ht="22.5" customHeight="1">
      <c r="A1626" s="614">
        <v>45961.0</v>
      </c>
      <c r="B1626" s="157" t="s">
        <v>2218</v>
      </c>
      <c r="C1626" s="610">
        <v>384267.05</v>
      </c>
      <c r="D1626" s="610"/>
      <c r="E1626" s="703" t="s">
        <v>28</v>
      </c>
      <c r="F1626" s="627" t="s">
        <v>897</v>
      </c>
      <c r="G1626" s="597">
        <v>20.0</v>
      </c>
      <c r="H1626" s="689">
        <f t="shared" si="84"/>
        <v>64044.50833</v>
      </c>
      <c r="I1626" s="599"/>
      <c r="J1626" s="599"/>
      <c r="K1626" s="615" t="s">
        <v>51</v>
      </c>
      <c r="L1626" s="616" t="s">
        <v>944</v>
      </c>
      <c r="M1626" s="612" t="s">
        <v>947</v>
      </c>
      <c r="N1626" s="612">
        <v>276.0</v>
      </c>
      <c r="O1626" s="662">
        <v>45853.0</v>
      </c>
      <c r="P1626" s="706">
        <f t="shared" si="101"/>
        <v>215</v>
      </c>
      <c r="Q1626" s="622"/>
      <c r="R1626" s="74"/>
      <c r="S1626" s="74"/>
      <c r="T1626" s="74"/>
      <c r="U1626" s="74"/>
      <c r="V1626" s="74"/>
      <c r="W1626" s="74"/>
      <c r="X1626" s="74"/>
      <c r="Y1626" s="74"/>
      <c r="Z1626" s="74"/>
      <c r="AA1626" s="74"/>
      <c r="AB1626" s="74"/>
      <c r="AC1626" s="74"/>
      <c r="AD1626" s="74"/>
      <c r="AE1626" s="74"/>
      <c r="AF1626" s="74"/>
      <c r="AG1626" s="74"/>
      <c r="AH1626" s="74"/>
      <c r="AI1626" s="74"/>
    </row>
    <row r="1627" ht="22.5" customHeight="1">
      <c r="A1627" s="614">
        <v>45961.0</v>
      </c>
      <c r="B1627" s="157" t="s">
        <v>2218</v>
      </c>
      <c r="C1627" s="610">
        <v>183701.83</v>
      </c>
      <c r="D1627" s="610"/>
      <c r="E1627" s="703" t="s">
        <v>28</v>
      </c>
      <c r="F1627" s="627" t="s">
        <v>897</v>
      </c>
      <c r="G1627" s="597">
        <v>20.0</v>
      </c>
      <c r="H1627" s="689">
        <f t="shared" si="84"/>
        <v>30616.97167</v>
      </c>
      <c r="I1627" s="599"/>
      <c r="J1627" s="599"/>
      <c r="K1627" s="615" t="s">
        <v>51</v>
      </c>
      <c r="L1627" s="616" t="s">
        <v>944</v>
      </c>
      <c r="M1627" s="612" t="s">
        <v>947</v>
      </c>
      <c r="N1627" s="612">
        <v>277.0</v>
      </c>
      <c r="O1627" s="662">
        <v>45853.0</v>
      </c>
      <c r="P1627" s="706">
        <f t="shared" si="101"/>
        <v>215</v>
      </c>
      <c r="Q1627" s="622"/>
      <c r="R1627" s="74"/>
      <c r="S1627" s="74"/>
      <c r="T1627" s="74"/>
      <c r="U1627" s="74"/>
      <c r="V1627" s="74"/>
      <c r="W1627" s="74"/>
      <c r="X1627" s="74"/>
      <c r="Y1627" s="74"/>
      <c r="Z1627" s="74"/>
      <c r="AA1627" s="74"/>
      <c r="AB1627" s="74"/>
      <c r="AC1627" s="74"/>
      <c r="AD1627" s="74"/>
      <c r="AE1627" s="74"/>
      <c r="AF1627" s="74"/>
      <c r="AG1627" s="74"/>
      <c r="AH1627" s="74"/>
      <c r="AI1627" s="74"/>
    </row>
    <row r="1628" ht="22.5" customHeight="1">
      <c r="A1628" s="614">
        <v>45961.0</v>
      </c>
      <c r="B1628" s="157" t="s">
        <v>2218</v>
      </c>
      <c r="C1628" s="610">
        <v>202495.98</v>
      </c>
      <c r="D1628" s="610"/>
      <c r="E1628" s="703" t="s">
        <v>28</v>
      </c>
      <c r="F1628" s="627" t="s">
        <v>897</v>
      </c>
      <c r="G1628" s="597">
        <v>20.0</v>
      </c>
      <c r="H1628" s="689">
        <f t="shared" si="84"/>
        <v>33749.33</v>
      </c>
      <c r="I1628" s="599"/>
      <c r="J1628" s="599"/>
      <c r="K1628" s="615" t="s">
        <v>51</v>
      </c>
      <c r="L1628" s="616" t="s">
        <v>944</v>
      </c>
      <c r="M1628" s="612" t="s">
        <v>947</v>
      </c>
      <c r="N1628" s="612">
        <v>278.0</v>
      </c>
      <c r="O1628" s="662">
        <v>45853.0</v>
      </c>
      <c r="P1628" s="706">
        <f t="shared" si="101"/>
        <v>215</v>
      </c>
      <c r="Q1628" s="622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</row>
    <row r="1629" ht="22.5" customHeight="1">
      <c r="A1629" s="614">
        <v>45961.0</v>
      </c>
      <c r="B1629" s="157" t="s">
        <v>2218</v>
      </c>
      <c r="C1629" s="610">
        <v>258581.26</v>
      </c>
      <c r="D1629" s="610"/>
      <c r="E1629" s="703" t="s">
        <v>28</v>
      </c>
      <c r="F1629" s="627" t="s">
        <v>897</v>
      </c>
      <c r="G1629" s="597">
        <v>20.0</v>
      </c>
      <c r="H1629" s="689">
        <f t="shared" si="84"/>
        <v>43096.87667</v>
      </c>
      <c r="I1629" s="599"/>
      <c r="J1629" s="599"/>
      <c r="K1629" s="615" t="s">
        <v>51</v>
      </c>
      <c r="L1629" s="616" t="s">
        <v>944</v>
      </c>
      <c r="M1629" s="612" t="s">
        <v>947</v>
      </c>
      <c r="N1629" s="612">
        <v>279.0</v>
      </c>
      <c r="O1629" s="662">
        <v>45853.0</v>
      </c>
      <c r="P1629" s="706">
        <f t="shared" si="101"/>
        <v>215</v>
      </c>
      <c r="Q1629" s="622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</row>
    <row r="1630" ht="22.5" customHeight="1">
      <c r="A1630" s="614">
        <v>45961.0</v>
      </c>
      <c r="B1630" s="137" t="s">
        <v>2218</v>
      </c>
      <c r="C1630" s="610">
        <v>901984.8</v>
      </c>
      <c r="D1630" s="609"/>
      <c r="E1630" s="604" t="s">
        <v>28</v>
      </c>
      <c r="F1630" s="607" t="s">
        <v>1099</v>
      </c>
      <c r="G1630" s="597">
        <v>20.0</v>
      </c>
      <c r="H1630" s="689">
        <f t="shared" si="84"/>
        <v>150330.8</v>
      </c>
      <c r="I1630" s="599"/>
      <c r="J1630" s="599"/>
      <c r="K1630" s="672" t="s">
        <v>51</v>
      </c>
      <c r="L1630" s="709" t="s">
        <v>641</v>
      </c>
      <c r="M1630" s="612" t="s">
        <v>607</v>
      </c>
      <c r="N1630" s="612">
        <v>334.0</v>
      </c>
      <c r="O1630" s="662">
        <v>45935.0</v>
      </c>
      <c r="P1630" s="706">
        <f t="shared" ref="P1630:P1634" si="102">TODAY()-O1630-60</f>
        <v>193</v>
      </c>
      <c r="Q1630" s="622"/>
      <c r="R1630" s="74"/>
      <c r="S1630" s="74"/>
      <c r="T1630" s="74"/>
      <c r="U1630" s="74"/>
      <c r="V1630" s="74"/>
      <c r="W1630" s="74"/>
      <c r="X1630" s="74"/>
      <c r="Y1630" s="74"/>
      <c r="Z1630" s="74"/>
      <c r="AA1630" s="74"/>
      <c r="AB1630" s="74"/>
      <c r="AC1630" s="74"/>
      <c r="AD1630" s="74"/>
      <c r="AE1630" s="74"/>
      <c r="AF1630" s="74"/>
      <c r="AG1630" s="74"/>
      <c r="AH1630" s="74"/>
      <c r="AI1630" s="74"/>
    </row>
    <row r="1631" ht="22.5" customHeight="1">
      <c r="A1631" s="614">
        <v>45961.0</v>
      </c>
      <c r="B1631" s="137" t="s">
        <v>2218</v>
      </c>
      <c r="C1631" s="610">
        <v>1687197.0</v>
      </c>
      <c r="D1631" s="609"/>
      <c r="E1631" s="604" t="s">
        <v>28</v>
      </c>
      <c r="F1631" s="607" t="s">
        <v>1099</v>
      </c>
      <c r="G1631" s="597">
        <v>20.0</v>
      </c>
      <c r="H1631" s="689">
        <f t="shared" si="84"/>
        <v>281199.5</v>
      </c>
      <c r="I1631" s="599"/>
      <c r="J1631" s="599"/>
      <c r="K1631" s="672" t="s">
        <v>51</v>
      </c>
      <c r="L1631" s="615" t="s">
        <v>539</v>
      </c>
      <c r="M1631" s="612" t="s">
        <v>1270</v>
      </c>
      <c r="N1631" s="612">
        <v>350.0</v>
      </c>
      <c r="O1631" s="668">
        <v>45940.0</v>
      </c>
      <c r="P1631" s="706">
        <f t="shared" si="102"/>
        <v>188</v>
      </c>
      <c r="Q1631" s="622"/>
      <c r="R1631" s="74"/>
      <c r="S1631" s="74"/>
      <c r="T1631" s="74"/>
      <c r="U1631" s="74"/>
      <c r="V1631" s="74"/>
      <c r="W1631" s="74"/>
      <c r="X1631" s="74"/>
      <c r="Y1631" s="74"/>
      <c r="Z1631" s="74"/>
      <c r="AA1631" s="74"/>
      <c r="AB1631" s="74"/>
      <c r="AC1631" s="74"/>
      <c r="AD1631" s="74"/>
      <c r="AE1631" s="74"/>
      <c r="AF1631" s="74"/>
      <c r="AG1631" s="74"/>
      <c r="AH1631" s="74"/>
      <c r="AI1631" s="74"/>
    </row>
    <row r="1632" ht="22.5" customHeight="1">
      <c r="A1632" s="614">
        <v>45962.0</v>
      </c>
      <c r="B1632" s="137" t="s">
        <v>2218</v>
      </c>
      <c r="C1632" s="610">
        <v>600000.24</v>
      </c>
      <c r="D1632" s="610"/>
      <c r="E1632" s="604" t="s">
        <v>28</v>
      </c>
      <c r="F1632" s="607" t="s">
        <v>1002</v>
      </c>
      <c r="G1632" s="597">
        <v>20.0</v>
      </c>
      <c r="H1632" s="689">
        <f t="shared" si="84"/>
        <v>100000.04</v>
      </c>
      <c r="I1632" s="599"/>
      <c r="J1632" s="599"/>
      <c r="K1632" s="615" t="s">
        <v>51</v>
      </c>
      <c r="L1632" s="615" t="s">
        <v>1271</v>
      </c>
      <c r="M1632" s="612" t="s">
        <v>808</v>
      </c>
      <c r="N1632" s="612">
        <v>304.0</v>
      </c>
      <c r="O1632" s="662">
        <v>45909.0</v>
      </c>
      <c r="P1632" s="706">
        <f t="shared" si="102"/>
        <v>219</v>
      </c>
      <c r="Q1632" s="622"/>
      <c r="R1632" s="74"/>
      <c r="S1632" s="74"/>
      <c r="T1632" s="74"/>
      <c r="U1632" s="74"/>
      <c r="V1632" s="74"/>
      <c r="W1632" s="74"/>
      <c r="X1632" s="74"/>
      <c r="Y1632" s="74"/>
      <c r="Z1632" s="74"/>
      <c r="AA1632" s="74"/>
      <c r="AB1632" s="74"/>
      <c r="AC1632" s="74"/>
      <c r="AD1632" s="74"/>
      <c r="AE1632" s="74"/>
      <c r="AF1632" s="74"/>
      <c r="AG1632" s="74"/>
      <c r="AH1632" s="74"/>
      <c r="AI1632" s="74"/>
    </row>
    <row r="1633" ht="22.5" customHeight="1">
      <c r="A1633" s="614">
        <v>45962.0</v>
      </c>
      <c r="B1633" s="137" t="s">
        <v>2218</v>
      </c>
      <c r="C1633" s="610">
        <v>1200000.0</v>
      </c>
      <c r="D1633" s="610"/>
      <c r="E1633" s="604" t="s">
        <v>28</v>
      </c>
      <c r="F1633" s="607" t="s">
        <v>1002</v>
      </c>
      <c r="G1633" s="597">
        <v>20.0</v>
      </c>
      <c r="H1633" s="689">
        <f t="shared" si="84"/>
        <v>200000</v>
      </c>
      <c r="I1633" s="599"/>
      <c r="J1633" s="599"/>
      <c r="K1633" s="615" t="s">
        <v>51</v>
      </c>
      <c r="L1633" s="615" t="s">
        <v>675</v>
      </c>
      <c r="M1633" s="612" t="s">
        <v>853</v>
      </c>
      <c r="N1633" s="612">
        <v>305.0</v>
      </c>
      <c r="O1633" s="662">
        <v>45909.0</v>
      </c>
      <c r="P1633" s="706">
        <f t="shared" si="102"/>
        <v>219</v>
      </c>
      <c r="Q1633" s="622"/>
      <c r="R1633" s="74"/>
      <c r="S1633" s="74"/>
      <c r="T1633" s="74"/>
      <c r="U1633" s="74"/>
      <c r="V1633" s="74"/>
      <c r="W1633" s="74"/>
      <c r="X1633" s="74"/>
      <c r="Y1633" s="74"/>
      <c r="Z1633" s="74"/>
      <c r="AA1633" s="74"/>
      <c r="AB1633" s="74"/>
      <c r="AC1633" s="74"/>
      <c r="AD1633" s="74"/>
      <c r="AE1633" s="74"/>
      <c r="AF1633" s="74"/>
      <c r="AG1633" s="74"/>
      <c r="AH1633" s="74"/>
      <c r="AI1633" s="74"/>
    </row>
    <row r="1634" ht="22.5" customHeight="1">
      <c r="A1634" s="614">
        <v>45962.0</v>
      </c>
      <c r="B1634" s="137" t="s">
        <v>2218</v>
      </c>
      <c r="C1634" s="610">
        <v>600000.0</v>
      </c>
      <c r="D1634" s="610"/>
      <c r="E1634" s="604" t="s">
        <v>28</v>
      </c>
      <c r="F1634" s="607" t="s">
        <v>1002</v>
      </c>
      <c r="G1634" s="597">
        <v>20.0</v>
      </c>
      <c r="H1634" s="689">
        <f t="shared" si="84"/>
        <v>100000</v>
      </c>
      <c r="I1634" s="599"/>
      <c r="J1634" s="599"/>
      <c r="K1634" s="672" t="s">
        <v>51</v>
      </c>
      <c r="L1634" s="615" t="s">
        <v>675</v>
      </c>
      <c r="M1634" s="612" t="s">
        <v>756</v>
      </c>
      <c r="N1634" s="612">
        <v>307.0</v>
      </c>
      <c r="O1634" s="662">
        <v>45909.0</v>
      </c>
      <c r="P1634" s="706">
        <f t="shared" si="102"/>
        <v>219</v>
      </c>
      <c r="Q1634" s="622"/>
      <c r="R1634" s="74"/>
      <c r="S1634" s="74"/>
      <c r="T1634" s="74"/>
      <c r="U1634" s="74"/>
      <c r="V1634" s="74"/>
      <c r="W1634" s="74"/>
      <c r="X1634" s="74"/>
      <c r="Y1634" s="74"/>
      <c r="Z1634" s="74"/>
      <c r="AA1634" s="74"/>
      <c r="AB1634" s="74"/>
      <c r="AC1634" s="74"/>
      <c r="AD1634" s="74"/>
      <c r="AE1634" s="74"/>
      <c r="AF1634" s="74"/>
      <c r="AG1634" s="74"/>
      <c r="AH1634" s="74"/>
      <c r="AI1634" s="74"/>
    </row>
    <row r="1635" ht="22.5" customHeight="1">
      <c r="A1635" s="614">
        <v>45963.0</v>
      </c>
      <c r="B1635" s="137" t="s">
        <v>2218</v>
      </c>
      <c r="C1635" s="609"/>
      <c r="D1635" s="610">
        <v>42215.0</v>
      </c>
      <c r="E1635" s="604" t="s">
        <v>28</v>
      </c>
      <c r="F1635" s="607" t="s">
        <v>1262</v>
      </c>
      <c r="G1635" s="597">
        <v>0.0</v>
      </c>
      <c r="H1635" s="689">
        <f t="shared" si="84"/>
        <v>0</v>
      </c>
      <c r="I1635" s="599"/>
      <c r="J1635" s="599"/>
      <c r="K1635" s="615" t="s">
        <v>203</v>
      </c>
      <c r="L1635" s="615" t="s">
        <v>1272</v>
      </c>
      <c r="M1635" s="621"/>
      <c r="N1635" s="621"/>
      <c r="O1635" s="621"/>
      <c r="P1635" s="706"/>
      <c r="Q1635" s="622"/>
      <c r="R1635" s="74"/>
      <c r="S1635" s="74"/>
      <c r="T1635" s="74"/>
      <c r="U1635" s="74"/>
      <c r="V1635" s="74"/>
      <c r="W1635" s="74"/>
      <c r="X1635" s="74"/>
      <c r="Y1635" s="74"/>
      <c r="Z1635" s="74"/>
      <c r="AA1635" s="74"/>
      <c r="AB1635" s="74"/>
      <c r="AC1635" s="74"/>
      <c r="AD1635" s="74"/>
      <c r="AE1635" s="74"/>
      <c r="AF1635" s="74"/>
      <c r="AG1635" s="74"/>
      <c r="AH1635" s="74"/>
      <c r="AI1635" s="74"/>
    </row>
    <row r="1636" ht="22.5" customHeight="1">
      <c r="A1636" s="614">
        <v>45963.0</v>
      </c>
      <c r="B1636" s="137" t="s">
        <v>2218</v>
      </c>
      <c r="C1636" s="609"/>
      <c r="D1636" s="609"/>
      <c r="E1636" s="604" t="s">
        <v>33</v>
      </c>
      <c r="F1636" s="607" t="s">
        <v>1179</v>
      </c>
      <c r="G1636" s="597">
        <v>20.0</v>
      </c>
      <c r="H1636" s="689">
        <f t="shared" si="84"/>
        <v>0</v>
      </c>
      <c r="I1636" s="599"/>
      <c r="J1636" s="605">
        <v>60000.0</v>
      </c>
      <c r="K1636" s="615" t="s">
        <v>203</v>
      </c>
      <c r="L1636" s="615" t="s">
        <v>1273</v>
      </c>
      <c r="M1636" s="621"/>
      <c r="N1636" s="621"/>
      <c r="O1636" s="621"/>
      <c r="P1636" s="706"/>
      <c r="Q1636" s="622"/>
      <c r="R1636" s="74"/>
      <c r="S1636" s="74"/>
      <c r="T1636" s="74"/>
      <c r="U1636" s="74"/>
      <c r="V1636" s="74"/>
      <c r="W1636" s="74"/>
      <c r="X1636" s="74"/>
      <c r="Y1636" s="74"/>
      <c r="Z1636" s="74"/>
      <c r="AA1636" s="74"/>
      <c r="AB1636" s="74"/>
      <c r="AC1636" s="74"/>
      <c r="AD1636" s="74"/>
      <c r="AE1636" s="74"/>
      <c r="AF1636" s="74"/>
      <c r="AG1636" s="74"/>
      <c r="AH1636" s="74"/>
      <c r="AI1636" s="74"/>
    </row>
    <row r="1637" ht="22.5" customHeight="1">
      <c r="A1637" s="614">
        <v>45963.0</v>
      </c>
      <c r="B1637" s="137" t="s">
        <v>2218</v>
      </c>
      <c r="C1637" s="609"/>
      <c r="D1637" s="609"/>
      <c r="E1637" s="604" t="s">
        <v>33</v>
      </c>
      <c r="F1637" s="607" t="s">
        <v>1179</v>
      </c>
      <c r="G1637" s="597">
        <v>0.0</v>
      </c>
      <c r="H1637" s="689">
        <f t="shared" si="84"/>
        <v>0</v>
      </c>
      <c r="I1637" s="599"/>
      <c r="J1637" s="605">
        <v>15000.0</v>
      </c>
      <c r="K1637" s="615" t="s">
        <v>108</v>
      </c>
      <c r="L1637" s="615" t="s">
        <v>493</v>
      </c>
      <c r="M1637" s="621"/>
      <c r="N1637" s="621"/>
      <c r="O1637" s="621"/>
      <c r="P1637" s="706"/>
      <c r="Q1637" s="622"/>
      <c r="R1637" s="74"/>
      <c r="S1637" s="74"/>
      <c r="T1637" s="74"/>
      <c r="U1637" s="74"/>
      <c r="V1637" s="74"/>
      <c r="W1637" s="74"/>
      <c r="X1637" s="74"/>
      <c r="Y1637" s="74"/>
      <c r="Z1637" s="74"/>
      <c r="AA1637" s="74"/>
      <c r="AB1637" s="74"/>
      <c r="AC1637" s="74"/>
      <c r="AD1637" s="74"/>
      <c r="AE1637" s="74"/>
      <c r="AF1637" s="74"/>
      <c r="AG1637" s="74"/>
      <c r="AH1637" s="74"/>
      <c r="AI1637" s="74"/>
    </row>
    <row r="1638" ht="22.5" customHeight="1">
      <c r="A1638" s="614">
        <v>45963.0</v>
      </c>
      <c r="B1638" s="137" t="s">
        <v>2218</v>
      </c>
      <c r="C1638" s="609"/>
      <c r="D1638" s="609"/>
      <c r="E1638" s="604" t="s">
        <v>33</v>
      </c>
      <c r="F1638" s="607" t="s">
        <v>1262</v>
      </c>
      <c r="G1638" s="597">
        <v>0.0</v>
      </c>
      <c r="H1638" s="689">
        <f t="shared" si="84"/>
        <v>0</v>
      </c>
      <c r="I1638" s="599"/>
      <c r="J1638" s="599">
        <f>108000-15000-60000</f>
        <v>33000</v>
      </c>
      <c r="K1638" s="615" t="s">
        <v>1181</v>
      </c>
      <c r="L1638" s="615" t="s">
        <v>1274</v>
      </c>
      <c r="M1638" s="621"/>
      <c r="N1638" s="621"/>
      <c r="O1638" s="621"/>
      <c r="P1638" s="706"/>
      <c r="Q1638" s="622"/>
      <c r="R1638" s="74"/>
      <c r="S1638" s="74"/>
      <c r="T1638" s="74"/>
      <c r="U1638" s="74"/>
      <c r="V1638" s="74"/>
      <c r="W1638" s="74"/>
      <c r="X1638" s="74"/>
      <c r="Y1638" s="74"/>
      <c r="Z1638" s="74"/>
      <c r="AA1638" s="74"/>
      <c r="AB1638" s="74"/>
      <c r="AC1638" s="74"/>
      <c r="AD1638" s="74"/>
      <c r="AE1638" s="74"/>
      <c r="AF1638" s="74"/>
      <c r="AG1638" s="74"/>
      <c r="AH1638" s="74"/>
      <c r="AI1638" s="74"/>
    </row>
    <row r="1639" ht="22.5" customHeight="1">
      <c r="A1639" s="614">
        <v>45963.0</v>
      </c>
      <c r="B1639" s="137" t="s">
        <v>2218</v>
      </c>
      <c r="C1639" s="609"/>
      <c r="D1639" s="609"/>
      <c r="E1639" s="604" t="s">
        <v>33</v>
      </c>
      <c r="F1639" s="607" t="s">
        <v>1262</v>
      </c>
      <c r="G1639" s="597">
        <v>0.0</v>
      </c>
      <c r="H1639" s="689">
        <f t="shared" si="84"/>
        <v>0</v>
      </c>
      <c r="I1639" s="599"/>
      <c r="J1639" s="599">
        <f>37500+1600</f>
        <v>39100</v>
      </c>
      <c r="K1639" s="615" t="s">
        <v>1181</v>
      </c>
      <c r="L1639" s="615" t="s">
        <v>1274</v>
      </c>
      <c r="M1639" s="621"/>
      <c r="N1639" s="621"/>
      <c r="O1639" s="621"/>
      <c r="P1639" s="706"/>
      <c r="Q1639" s="622"/>
      <c r="R1639" s="74"/>
      <c r="S1639" s="74"/>
      <c r="T1639" s="74"/>
      <c r="U1639" s="74"/>
      <c r="V1639" s="74"/>
      <c r="W1639" s="74"/>
      <c r="X1639" s="74"/>
      <c r="Y1639" s="74"/>
      <c r="Z1639" s="74"/>
      <c r="AA1639" s="74"/>
      <c r="AB1639" s="74"/>
      <c r="AC1639" s="74"/>
      <c r="AD1639" s="74"/>
      <c r="AE1639" s="74"/>
      <c r="AF1639" s="74"/>
      <c r="AG1639" s="74"/>
      <c r="AH1639" s="74"/>
      <c r="AI1639" s="74"/>
    </row>
    <row r="1640" ht="22.5" customHeight="1">
      <c r="A1640" s="614">
        <v>45966.0</v>
      </c>
      <c r="B1640" s="139" t="s">
        <v>2218</v>
      </c>
      <c r="C1640" s="609"/>
      <c r="D1640" s="610">
        <v>3466530.26</v>
      </c>
      <c r="E1640" s="703" t="s">
        <v>28</v>
      </c>
      <c r="F1640" s="627" t="s">
        <v>839</v>
      </c>
      <c r="G1640" s="597">
        <v>0.0</v>
      </c>
      <c r="H1640" s="689">
        <f t="shared" si="84"/>
        <v>0</v>
      </c>
      <c r="I1640" s="599"/>
      <c r="J1640" s="599"/>
      <c r="K1640" s="615" t="s">
        <v>322</v>
      </c>
      <c r="L1640" s="694" t="s">
        <v>474</v>
      </c>
      <c r="M1640" s="621"/>
      <c r="N1640" s="621"/>
      <c r="O1640" s="621"/>
      <c r="P1640" s="706"/>
      <c r="Q1640" s="682" t="s">
        <v>1275</v>
      </c>
      <c r="R1640" s="74"/>
      <c r="S1640" s="74"/>
      <c r="T1640" s="74"/>
      <c r="U1640" s="74"/>
      <c r="V1640" s="74"/>
      <c r="W1640" s="74"/>
      <c r="X1640" s="74"/>
      <c r="Y1640" s="74"/>
      <c r="Z1640" s="74"/>
      <c r="AA1640" s="74"/>
      <c r="AB1640" s="74"/>
      <c r="AC1640" s="74"/>
      <c r="AD1640" s="74"/>
      <c r="AE1640" s="74"/>
      <c r="AF1640" s="74"/>
      <c r="AG1640" s="74"/>
      <c r="AH1640" s="74"/>
      <c r="AI1640" s="74"/>
    </row>
    <row r="1641" ht="22.5" customHeight="1">
      <c r="A1641" s="614">
        <v>45966.0</v>
      </c>
      <c r="B1641" s="139" t="s">
        <v>2218</v>
      </c>
      <c r="C1641" s="609"/>
      <c r="D1641" s="610">
        <v>1998000.0</v>
      </c>
      <c r="E1641" s="703" t="s">
        <v>28</v>
      </c>
      <c r="F1641" s="627" t="s">
        <v>839</v>
      </c>
      <c r="G1641" s="597">
        <v>20.0</v>
      </c>
      <c r="H1641" s="689">
        <f t="shared" si="84"/>
        <v>333000</v>
      </c>
      <c r="I1641" s="599"/>
      <c r="J1641" s="599"/>
      <c r="K1641" s="615" t="s">
        <v>322</v>
      </c>
      <c r="L1641" s="694" t="s">
        <v>578</v>
      </c>
      <c r="M1641" s="621"/>
      <c r="N1641" s="621"/>
      <c r="O1641" s="621"/>
      <c r="P1641" s="706"/>
      <c r="Q1641" s="682" t="s">
        <v>1276</v>
      </c>
      <c r="R1641" s="74"/>
      <c r="S1641" s="74"/>
      <c r="T1641" s="74"/>
      <c r="U1641" s="74"/>
      <c r="V1641" s="74"/>
      <c r="W1641" s="74"/>
      <c r="X1641" s="74"/>
      <c r="Y1641" s="74"/>
      <c r="Z1641" s="74"/>
      <c r="AA1641" s="74"/>
      <c r="AB1641" s="74"/>
      <c r="AC1641" s="74"/>
      <c r="AD1641" s="74"/>
      <c r="AE1641" s="74"/>
      <c r="AF1641" s="74"/>
      <c r="AG1641" s="74"/>
      <c r="AH1641" s="74"/>
      <c r="AI1641" s="74"/>
    </row>
    <row r="1642" ht="22.5" customHeight="1">
      <c r="A1642" s="614">
        <v>45966.0</v>
      </c>
      <c r="B1642" s="139" t="s">
        <v>2218</v>
      </c>
      <c r="C1642" s="609"/>
      <c r="D1642" s="610">
        <v>152678.86</v>
      </c>
      <c r="E1642" s="703" t="s">
        <v>28</v>
      </c>
      <c r="F1642" s="627" t="s">
        <v>897</v>
      </c>
      <c r="G1642" s="597">
        <v>20.0</v>
      </c>
      <c r="H1642" s="689">
        <f t="shared" si="84"/>
        <v>25446.47667</v>
      </c>
      <c r="I1642" s="599"/>
      <c r="J1642" s="599"/>
      <c r="K1642" s="615" t="s">
        <v>101</v>
      </c>
      <c r="L1642" s="698" t="s">
        <v>1277</v>
      </c>
      <c r="M1642" s="621"/>
      <c r="N1642" s="621"/>
      <c r="O1642" s="621"/>
      <c r="P1642" s="706"/>
      <c r="Q1642" s="613"/>
      <c r="R1642" s="74"/>
      <c r="S1642" s="74"/>
      <c r="T1642" s="74"/>
      <c r="U1642" s="74"/>
      <c r="V1642" s="74"/>
      <c r="W1642" s="74"/>
      <c r="X1642" s="74"/>
      <c r="Y1642" s="74"/>
      <c r="Z1642" s="74"/>
      <c r="AA1642" s="74"/>
      <c r="AB1642" s="74"/>
      <c r="AC1642" s="74"/>
      <c r="AD1642" s="74"/>
      <c r="AE1642" s="74"/>
      <c r="AF1642" s="74"/>
      <c r="AG1642" s="74"/>
      <c r="AH1642" s="74"/>
      <c r="AI1642" s="74"/>
    </row>
    <row r="1643" ht="22.5" customHeight="1">
      <c r="A1643" s="614">
        <v>45966.0</v>
      </c>
      <c r="B1643" s="139" t="s">
        <v>2218</v>
      </c>
      <c r="C1643" s="609"/>
      <c r="D1643" s="610">
        <v>350000.0</v>
      </c>
      <c r="E1643" s="703" t="s">
        <v>28</v>
      </c>
      <c r="F1643" s="627" t="s">
        <v>800</v>
      </c>
      <c r="G1643" s="688">
        <v>0.0</v>
      </c>
      <c r="H1643" s="689">
        <f t="shared" si="84"/>
        <v>0</v>
      </c>
      <c r="I1643" s="599"/>
      <c r="J1643" s="599"/>
      <c r="K1643" s="615" t="s">
        <v>93</v>
      </c>
      <c r="L1643" s="679" t="s">
        <v>516</v>
      </c>
      <c r="M1643" s="621"/>
      <c r="N1643" s="621"/>
      <c r="O1643" s="621"/>
      <c r="P1643" s="706"/>
      <c r="Q1643" s="682" t="s">
        <v>1250</v>
      </c>
      <c r="R1643" s="74"/>
      <c r="S1643" s="74"/>
      <c r="T1643" s="74"/>
      <c r="U1643" s="74"/>
      <c r="V1643" s="74"/>
      <c r="W1643" s="74"/>
      <c r="X1643" s="74"/>
      <c r="Y1643" s="74"/>
      <c r="Z1643" s="74"/>
      <c r="AA1643" s="74"/>
      <c r="AB1643" s="74"/>
      <c r="AC1643" s="74"/>
      <c r="AD1643" s="74"/>
      <c r="AE1643" s="74"/>
      <c r="AF1643" s="74"/>
      <c r="AG1643" s="74"/>
      <c r="AH1643" s="74"/>
      <c r="AI1643" s="74"/>
    </row>
    <row r="1644" ht="22.5" customHeight="1">
      <c r="A1644" s="614">
        <v>45966.0</v>
      </c>
      <c r="B1644" s="139" t="s">
        <v>2218</v>
      </c>
      <c r="C1644" s="609"/>
      <c r="D1644" s="610">
        <v>25440.5</v>
      </c>
      <c r="E1644" s="703" t="s">
        <v>28</v>
      </c>
      <c r="F1644" s="607" t="s">
        <v>1002</v>
      </c>
      <c r="G1644" s="597">
        <v>5.0</v>
      </c>
      <c r="H1644" s="689">
        <f t="shared" si="84"/>
        <v>1211.452381</v>
      </c>
      <c r="I1644" s="599"/>
      <c r="J1644" s="599"/>
      <c r="K1644" s="615" t="s">
        <v>101</v>
      </c>
      <c r="L1644" s="698" t="s">
        <v>671</v>
      </c>
      <c r="M1644" s="621"/>
      <c r="N1644" s="621"/>
      <c r="O1644" s="621"/>
      <c r="P1644" s="706"/>
      <c r="Q1644" s="682" t="s">
        <v>1278</v>
      </c>
      <c r="R1644" s="74"/>
      <c r="S1644" s="74"/>
      <c r="T1644" s="74"/>
      <c r="U1644" s="74"/>
      <c r="V1644" s="74"/>
      <c r="W1644" s="74"/>
      <c r="X1644" s="74"/>
      <c r="Y1644" s="74"/>
      <c r="Z1644" s="74"/>
      <c r="AA1644" s="74"/>
      <c r="AB1644" s="74"/>
      <c r="AC1644" s="74"/>
      <c r="AD1644" s="74"/>
      <c r="AE1644" s="74"/>
      <c r="AF1644" s="74"/>
      <c r="AG1644" s="74"/>
      <c r="AH1644" s="74"/>
      <c r="AI1644" s="74"/>
    </row>
    <row r="1645" ht="22.5" customHeight="1">
      <c r="A1645" s="614">
        <v>45966.0</v>
      </c>
      <c r="B1645" s="139" t="s">
        <v>2218</v>
      </c>
      <c r="C1645" s="609"/>
      <c r="D1645" s="610">
        <v>420717.6</v>
      </c>
      <c r="E1645" s="703" t="s">
        <v>28</v>
      </c>
      <c r="F1645" s="607" t="s">
        <v>1002</v>
      </c>
      <c r="G1645" s="597">
        <v>20.0</v>
      </c>
      <c r="H1645" s="689">
        <f t="shared" si="84"/>
        <v>70119.6</v>
      </c>
      <c r="I1645" s="599"/>
      <c r="J1645" s="599"/>
      <c r="K1645" s="615" t="s">
        <v>101</v>
      </c>
      <c r="L1645" s="698" t="s">
        <v>670</v>
      </c>
      <c r="M1645" s="621"/>
      <c r="N1645" s="621"/>
      <c r="O1645" s="621"/>
      <c r="P1645" s="706"/>
      <c r="Q1645" s="682" t="s">
        <v>1279</v>
      </c>
      <c r="R1645" s="74"/>
      <c r="S1645" s="74"/>
      <c r="T1645" s="74"/>
      <c r="U1645" s="74"/>
      <c r="V1645" s="74"/>
      <c r="W1645" s="74"/>
      <c r="X1645" s="74"/>
      <c r="Y1645" s="74"/>
      <c r="Z1645" s="74"/>
      <c r="AA1645" s="74"/>
      <c r="AB1645" s="74"/>
      <c r="AC1645" s="74"/>
      <c r="AD1645" s="74"/>
      <c r="AE1645" s="74"/>
      <c r="AF1645" s="74"/>
      <c r="AG1645" s="74"/>
      <c r="AH1645" s="74"/>
      <c r="AI1645" s="74"/>
    </row>
    <row r="1646" ht="22.5" customHeight="1">
      <c r="A1646" s="614">
        <v>45966.0</v>
      </c>
      <c r="B1646" s="139" t="s">
        <v>2218</v>
      </c>
      <c r="C1646" s="609"/>
      <c r="D1646" s="610">
        <v>533898.3</v>
      </c>
      <c r="E1646" s="703" t="s">
        <v>28</v>
      </c>
      <c r="F1646" s="607" t="s">
        <v>1002</v>
      </c>
      <c r="G1646" s="597">
        <v>20.0</v>
      </c>
      <c r="H1646" s="689">
        <f t="shared" si="84"/>
        <v>88983.05</v>
      </c>
      <c r="I1646" s="599"/>
      <c r="J1646" s="599"/>
      <c r="K1646" s="615" t="s">
        <v>101</v>
      </c>
      <c r="L1646" s="698" t="s">
        <v>1280</v>
      </c>
      <c r="M1646" s="621"/>
      <c r="N1646" s="621"/>
      <c r="O1646" s="621"/>
      <c r="P1646" s="706"/>
      <c r="Q1646" s="682" t="s">
        <v>1281</v>
      </c>
      <c r="R1646" s="74"/>
      <c r="S1646" s="74"/>
      <c r="T1646" s="74"/>
      <c r="U1646" s="74"/>
      <c r="V1646" s="74"/>
      <c r="W1646" s="74"/>
      <c r="X1646" s="74"/>
      <c r="Y1646" s="74"/>
      <c r="Z1646" s="74"/>
      <c r="AA1646" s="74"/>
      <c r="AB1646" s="74"/>
      <c r="AC1646" s="74"/>
      <c r="AD1646" s="74"/>
      <c r="AE1646" s="74"/>
      <c r="AF1646" s="74"/>
      <c r="AG1646" s="74"/>
      <c r="AH1646" s="74"/>
      <c r="AI1646" s="74"/>
    </row>
    <row r="1647" ht="22.5" customHeight="1">
      <c r="A1647" s="614">
        <v>45966.0</v>
      </c>
      <c r="B1647" s="139" t="s">
        <v>2218</v>
      </c>
      <c r="C1647" s="609"/>
      <c r="D1647" s="610">
        <v>717556.66</v>
      </c>
      <c r="E1647" s="703" t="s">
        <v>28</v>
      </c>
      <c r="F1647" s="607" t="s">
        <v>1002</v>
      </c>
      <c r="G1647" s="597">
        <v>20.0</v>
      </c>
      <c r="H1647" s="689">
        <f t="shared" si="84"/>
        <v>119592.7767</v>
      </c>
      <c r="I1647" s="599"/>
      <c r="J1647" s="599"/>
      <c r="K1647" s="615" t="s">
        <v>101</v>
      </c>
      <c r="L1647" s="698" t="s">
        <v>597</v>
      </c>
      <c r="M1647" s="621"/>
      <c r="N1647" s="621"/>
      <c r="O1647" s="621"/>
      <c r="P1647" s="706"/>
      <c r="Q1647" s="682" t="s">
        <v>1282</v>
      </c>
      <c r="R1647" s="74"/>
      <c r="S1647" s="74"/>
      <c r="T1647" s="74"/>
      <c r="U1647" s="74"/>
      <c r="V1647" s="74"/>
      <c r="W1647" s="74"/>
      <c r="X1647" s="74"/>
      <c r="Y1647" s="74"/>
      <c r="Z1647" s="74"/>
      <c r="AA1647" s="74"/>
      <c r="AB1647" s="74"/>
      <c r="AC1647" s="74"/>
      <c r="AD1647" s="74"/>
      <c r="AE1647" s="74"/>
      <c r="AF1647" s="74"/>
      <c r="AG1647" s="74"/>
      <c r="AH1647" s="74"/>
      <c r="AI1647" s="74"/>
    </row>
    <row r="1648" ht="22.5" customHeight="1">
      <c r="A1648" s="614">
        <v>45966.0</v>
      </c>
      <c r="B1648" s="139" t="s">
        <v>2218</v>
      </c>
      <c r="C1648" s="609"/>
      <c r="D1648" s="610">
        <v>141352.36</v>
      </c>
      <c r="E1648" s="703" t="s">
        <v>28</v>
      </c>
      <c r="F1648" s="607" t="s">
        <v>1002</v>
      </c>
      <c r="G1648" s="597">
        <v>20.0</v>
      </c>
      <c r="H1648" s="689">
        <f t="shared" si="84"/>
        <v>23558.72667</v>
      </c>
      <c r="I1648" s="599"/>
      <c r="J1648" s="599"/>
      <c r="K1648" s="615" t="s">
        <v>101</v>
      </c>
      <c r="L1648" s="698" t="s">
        <v>643</v>
      </c>
      <c r="M1648" s="621"/>
      <c r="N1648" s="621"/>
      <c r="O1648" s="621"/>
      <c r="P1648" s="706"/>
      <c r="Q1648" s="682" t="s">
        <v>1283</v>
      </c>
      <c r="R1648" s="74"/>
      <c r="S1648" s="74"/>
      <c r="T1648" s="74"/>
      <c r="U1648" s="74"/>
      <c r="V1648" s="74"/>
      <c r="W1648" s="74"/>
      <c r="X1648" s="74"/>
      <c r="Y1648" s="74"/>
      <c r="Z1648" s="74"/>
      <c r="AA1648" s="74"/>
      <c r="AB1648" s="74"/>
      <c r="AC1648" s="74"/>
      <c r="AD1648" s="74"/>
      <c r="AE1648" s="74"/>
      <c r="AF1648" s="74"/>
      <c r="AG1648" s="74"/>
      <c r="AH1648" s="74"/>
      <c r="AI1648" s="74"/>
    </row>
    <row r="1649" ht="22.5" customHeight="1">
      <c r="A1649" s="614">
        <v>45966.0</v>
      </c>
      <c r="B1649" s="139" t="s">
        <v>2218</v>
      </c>
      <c r="C1649" s="609"/>
      <c r="D1649" s="610">
        <v>161326.8</v>
      </c>
      <c r="E1649" s="703" t="s">
        <v>28</v>
      </c>
      <c r="F1649" s="607" t="s">
        <v>1002</v>
      </c>
      <c r="G1649" s="597">
        <v>20.0</v>
      </c>
      <c r="H1649" s="689">
        <f t="shared" si="84"/>
        <v>26887.8</v>
      </c>
      <c r="I1649" s="599"/>
      <c r="J1649" s="599"/>
      <c r="K1649" s="615" t="s">
        <v>101</v>
      </c>
      <c r="L1649" s="698" t="s">
        <v>1284</v>
      </c>
      <c r="M1649" s="621"/>
      <c r="N1649" s="621"/>
      <c r="O1649" s="621"/>
      <c r="P1649" s="706"/>
      <c r="Q1649" s="682" t="s">
        <v>1285</v>
      </c>
      <c r="R1649" s="74"/>
      <c r="S1649" s="74"/>
      <c r="T1649" s="74"/>
      <c r="U1649" s="74"/>
      <c r="V1649" s="74"/>
      <c r="W1649" s="74"/>
      <c r="X1649" s="74"/>
      <c r="Y1649" s="74"/>
      <c r="Z1649" s="74"/>
      <c r="AA1649" s="74"/>
      <c r="AB1649" s="74"/>
      <c r="AC1649" s="74"/>
      <c r="AD1649" s="74"/>
      <c r="AE1649" s="74"/>
      <c r="AF1649" s="74"/>
      <c r="AG1649" s="74"/>
      <c r="AH1649" s="74"/>
      <c r="AI1649" s="74"/>
    </row>
    <row r="1650" ht="22.5" customHeight="1">
      <c r="A1650" s="614">
        <v>45966.0</v>
      </c>
      <c r="B1650" s="710" t="s">
        <v>2218</v>
      </c>
      <c r="C1650" s="609"/>
      <c r="D1650" s="610">
        <v>162513.0</v>
      </c>
      <c r="E1650" s="703" t="s">
        <v>28</v>
      </c>
      <c r="F1650" s="607" t="s">
        <v>1002</v>
      </c>
      <c r="G1650" s="597">
        <v>0.0</v>
      </c>
      <c r="H1650" s="689">
        <f t="shared" si="84"/>
        <v>0</v>
      </c>
      <c r="I1650" s="599"/>
      <c r="J1650" s="599"/>
      <c r="K1650" s="615" t="s">
        <v>101</v>
      </c>
      <c r="L1650" s="711" t="s">
        <v>631</v>
      </c>
      <c r="M1650" s="621"/>
      <c r="N1650" s="621"/>
      <c r="O1650" s="621"/>
      <c r="P1650" s="706"/>
      <c r="Q1650" s="682" t="s">
        <v>1286</v>
      </c>
      <c r="R1650" s="74"/>
      <c r="S1650" s="74"/>
      <c r="T1650" s="74"/>
      <c r="U1650" s="74"/>
      <c r="V1650" s="74"/>
      <c r="W1650" s="74"/>
      <c r="X1650" s="74"/>
      <c r="Y1650" s="74"/>
      <c r="Z1650" s="74"/>
      <c r="AA1650" s="74"/>
      <c r="AB1650" s="74"/>
      <c r="AC1650" s="74"/>
      <c r="AD1650" s="74"/>
      <c r="AE1650" s="74"/>
      <c r="AF1650" s="74"/>
      <c r="AG1650" s="74"/>
      <c r="AH1650" s="74"/>
      <c r="AI1650" s="74"/>
    </row>
    <row r="1651" ht="22.5" customHeight="1">
      <c r="A1651" s="614">
        <v>45966.0</v>
      </c>
      <c r="B1651" s="139" t="s">
        <v>2218</v>
      </c>
      <c r="C1651" s="609"/>
      <c r="D1651" s="610">
        <v>25344.7</v>
      </c>
      <c r="E1651" s="703" t="s">
        <v>28</v>
      </c>
      <c r="F1651" s="607" t="s">
        <v>1002</v>
      </c>
      <c r="G1651" s="597">
        <v>0.0</v>
      </c>
      <c r="H1651" s="689">
        <f t="shared" si="84"/>
        <v>0</v>
      </c>
      <c r="I1651" s="599"/>
      <c r="J1651" s="599"/>
      <c r="K1651" s="615" t="s">
        <v>101</v>
      </c>
      <c r="L1651" s="698" t="s">
        <v>1287</v>
      </c>
      <c r="M1651" s="621"/>
      <c r="N1651" s="621"/>
      <c r="O1651" s="621"/>
      <c r="P1651" s="706"/>
      <c r="Q1651" s="682" t="s">
        <v>1288</v>
      </c>
      <c r="R1651" s="74"/>
      <c r="S1651" s="74"/>
      <c r="T1651" s="74"/>
      <c r="U1651" s="74"/>
      <c r="V1651" s="74"/>
      <c r="W1651" s="74"/>
      <c r="X1651" s="74"/>
      <c r="Y1651" s="74"/>
      <c r="Z1651" s="74"/>
      <c r="AA1651" s="74"/>
      <c r="AB1651" s="74"/>
      <c r="AC1651" s="74"/>
      <c r="AD1651" s="74"/>
      <c r="AE1651" s="74"/>
      <c r="AF1651" s="74"/>
      <c r="AG1651" s="74"/>
      <c r="AH1651" s="74"/>
      <c r="AI1651" s="74"/>
    </row>
    <row r="1652" ht="22.5" customHeight="1">
      <c r="A1652" s="614">
        <v>45966.0</v>
      </c>
      <c r="B1652" s="710" t="s">
        <v>2218</v>
      </c>
      <c r="C1652" s="609"/>
      <c r="D1652" s="610">
        <v>32730.29</v>
      </c>
      <c r="E1652" s="703" t="s">
        <v>28</v>
      </c>
      <c r="F1652" s="607" t="s">
        <v>1002</v>
      </c>
      <c r="G1652" s="597">
        <v>5.0</v>
      </c>
      <c r="H1652" s="689">
        <f t="shared" si="84"/>
        <v>1558.585238</v>
      </c>
      <c r="I1652" s="599"/>
      <c r="J1652" s="599"/>
      <c r="K1652" s="615" t="s">
        <v>101</v>
      </c>
      <c r="L1652" s="698" t="s">
        <v>1032</v>
      </c>
      <c r="M1652" s="621"/>
      <c r="N1652" s="621"/>
      <c r="O1652" s="621"/>
      <c r="P1652" s="706"/>
      <c r="Q1652" s="682" t="s">
        <v>1289</v>
      </c>
      <c r="R1652" s="74"/>
      <c r="S1652" s="74"/>
      <c r="T1652" s="74"/>
      <c r="U1652" s="74"/>
      <c r="V1652" s="74"/>
      <c r="W1652" s="74"/>
      <c r="X1652" s="74"/>
      <c r="Y1652" s="74"/>
      <c r="Z1652" s="74"/>
      <c r="AA1652" s="74"/>
      <c r="AB1652" s="74"/>
      <c r="AC1652" s="74"/>
      <c r="AD1652" s="74"/>
      <c r="AE1652" s="74"/>
      <c r="AF1652" s="74"/>
      <c r="AG1652" s="74"/>
      <c r="AH1652" s="74"/>
      <c r="AI1652" s="74"/>
    </row>
    <row r="1653" ht="22.5" customHeight="1">
      <c r="A1653" s="614">
        <v>45966.0</v>
      </c>
      <c r="B1653" s="710" t="s">
        <v>2218</v>
      </c>
      <c r="C1653" s="609"/>
      <c r="D1653" s="610">
        <v>33053.64</v>
      </c>
      <c r="E1653" s="703" t="s">
        <v>28</v>
      </c>
      <c r="F1653" s="607" t="s">
        <v>1002</v>
      </c>
      <c r="G1653" s="597">
        <v>20.0</v>
      </c>
      <c r="H1653" s="689">
        <f t="shared" si="84"/>
        <v>5508.94</v>
      </c>
      <c r="I1653" s="599"/>
      <c r="J1653" s="599"/>
      <c r="K1653" s="615" t="s">
        <v>101</v>
      </c>
      <c r="L1653" s="711" t="s">
        <v>1290</v>
      </c>
      <c r="M1653" s="621"/>
      <c r="N1653" s="621"/>
      <c r="O1653" s="621"/>
      <c r="P1653" s="706"/>
      <c r="Q1653" s="682" t="s">
        <v>1291</v>
      </c>
      <c r="R1653" s="74"/>
      <c r="S1653" s="74"/>
      <c r="T1653" s="74"/>
      <c r="U1653" s="74"/>
      <c r="V1653" s="74"/>
      <c r="W1653" s="74"/>
      <c r="X1653" s="74"/>
      <c r="Y1653" s="74"/>
      <c r="Z1653" s="74"/>
      <c r="AA1653" s="74"/>
      <c r="AB1653" s="74"/>
      <c r="AC1653" s="74"/>
      <c r="AD1653" s="74"/>
      <c r="AE1653" s="74"/>
      <c r="AF1653" s="74"/>
      <c r="AG1653" s="74"/>
      <c r="AH1653" s="74"/>
      <c r="AI1653" s="74"/>
    </row>
    <row r="1654" ht="22.5" customHeight="1">
      <c r="A1654" s="614">
        <v>45966.0</v>
      </c>
      <c r="B1654" s="710" t="s">
        <v>2218</v>
      </c>
      <c r="C1654" s="609"/>
      <c r="D1654" s="610">
        <v>132801.9</v>
      </c>
      <c r="E1654" s="703" t="s">
        <v>28</v>
      </c>
      <c r="F1654" s="607" t="s">
        <v>1002</v>
      </c>
      <c r="G1654" s="597">
        <v>0.0</v>
      </c>
      <c r="H1654" s="689">
        <f t="shared" si="84"/>
        <v>0</v>
      </c>
      <c r="I1654" s="599"/>
      <c r="J1654" s="599"/>
      <c r="K1654" s="615" t="s">
        <v>101</v>
      </c>
      <c r="L1654" s="698" t="s">
        <v>818</v>
      </c>
      <c r="M1654" s="621"/>
      <c r="N1654" s="621"/>
      <c r="O1654" s="621"/>
      <c r="P1654" s="706"/>
      <c r="Q1654" s="682" t="s">
        <v>1292</v>
      </c>
      <c r="R1654" s="74"/>
      <c r="S1654" s="74"/>
      <c r="T1654" s="74"/>
      <c r="U1654" s="74"/>
      <c r="V1654" s="74"/>
      <c r="W1654" s="74"/>
      <c r="X1654" s="74"/>
      <c r="Y1654" s="74"/>
      <c r="Z1654" s="74"/>
      <c r="AA1654" s="74"/>
      <c r="AB1654" s="74"/>
      <c r="AC1654" s="74"/>
      <c r="AD1654" s="74"/>
      <c r="AE1654" s="74"/>
      <c r="AF1654" s="74"/>
      <c r="AG1654" s="74"/>
      <c r="AH1654" s="74"/>
      <c r="AI1654" s="74"/>
    </row>
    <row r="1655" ht="22.5" customHeight="1">
      <c r="A1655" s="614">
        <v>45966.0</v>
      </c>
      <c r="B1655" s="710" t="s">
        <v>2218</v>
      </c>
      <c r="C1655" s="609"/>
      <c r="D1655" s="610">
        <v>16066.92</v>
      </c>
      <c r="E1655" s="703" t="s">
        <v>28</v>
      </c>
      <c r="F1655" s="607" t="s">
        <v>1002</v>
      </c>
      <c r="G1655" s="597">
        <v>0.0</v>
      </c>
      <c r="H1655" s="689">
        <f t="shared" si="84"/>
        <v>0</v>
      </c>
      <c r="I1655" s="599"/>
      <c r="J1655" s="599"/>
      <c r="K1655" s="615" t="s">
        <v>101</v>
      </c>
      <c r="L1655" s="698" t="s">
        <v>973</v>
      </c>
      <c r="M1655" s="621"/>
      <c r="N1655" s="621"/>
      <c r="O1655" s="621"/>
      <c r="P1655" s="706"/>
      <c r="Q1655" s="682" t="s">
        <v>1293</v>
      </c>
      <c r="R1655" s="74"/>
      <c r="S1655" s="74"/>
      <c r="T1655" s="74"/>
      <c r="U1655" s="74"/>
      <c r="V1655" s="74"/>
      <c r="W1655" s="74"/>
      <c r="X1655" s="74"/>
      <c r="Y1655" s="74"/>
      <c r="Z1655" s="74"/>
      <c r="AA1655" s="74"/>
      <c r="AB1655" s="74"/>
      <c r="AC1655" s="74"/>
      <c r="AD1655" s="74"/>
      <c r="AE1655" s="74"/>
      <c r="AF1655" s="74"/>
      <c r="AG1655" s="74"/>
      <c r="AH1655" s="74"/>
      <c r="AI1655" s="74"/>
    </row>
    <row r="1656" ht="22.5" customHeight="1">
      <c r="A1656" s="614">
        <v>45966.0</v>
      </c>
      <c r="B1656" s="710" t="s">
        <v>2218</v>
      </c>
      <c r="C1656" s="609"/>
      <c r="D1656" s="610">
        <v>19120.8</v>
      </c>
      <c r="E1656" s="703" t="s">
        <v>28</v>
      </c>
      <c r="F1656" s="607" t="s">
        <v>1002</v>
      </c>
      <c r="G1656" s="597">
        <v>20.0</v>
      </c>
      <c r="H1656" s="689">
        <f t="shared" si="84"/>
        <v>3186.8</v>
      </c>
      <c r="I1656" s="599"/>
      <c r="J1656" s="599"/>
      <c r="K1656" s="615" t="s">
        <v>101</v>
      </c>
      <c r="L1656" s="698" t="s">
        <v>976</v>
      </c>
      <c r="M1656" s="621"/>
      <c r="N1656" s="621"/>
      <c r="O1656" s="621"/>
      <c r="P1656" s="706"/>
      <c r="Q1656" s="682" t="s">
        <v>1294</v>
      </c>
      <c r="R1656" s="74"/>
      <c r="S1656" s="74"/>
      <c r="T1656" s="74"/>
      <c r="U1656" s="74"/>
      <c r="V1656" s="74"/>
      <c r="W1656" s="74"/>
      <c r="X1656" s="74"/>
      <c r="Y1656" s="74"/>
      <c r="Z1656" s="74"/>
      <c r="AA1656" s="74"/>
      <c r="AB1656" s="74"/>
      <c r="AC1656" s="74"/>
      <c r="AD1656" s="74"/>
      <c r="AE1656" s="74"/>
      <c r="AF1656" s="74"/>
      <c r="AG1656" s="74"/>
      <c r="AH1656" s="74"/>
      <c r="AI1656" s="74"/>
    </row>
    <row r="1657" ht="22.5" customHeight="1">
      <c r="A1657" s="614">
        <v>45966.0</v>
      </c>
      <c r="B1657" s="710" t="s">
        <v>2218</v>
      </c>
      <c r="C1657" s="609"/>
      <c r="D1657" s="610">
        <v>32730.29</v>
      </c>
      <c r="E1657" s="703" t="s">
        <v>28</v>
      </c>
      <c r="F1657" s="607" t="s">
        <v>1002</v>
      </c>
      <c r="G1657" s="597">
        <v>5.0</v>
      </c>
      <c r="H1657" s="689">
        <f t="shared" si="84"/>
        <v>1558.585238</v>
      </c>
      <c r="I1657" s="599"/>
      <c r="J1657" s="599"/>
      <c r="K1657" s="615" t="s">
        <v>101</v>
      </c>
      <c r="L1657" s="698" t="s">
        <v>1032</v>
      </c>
      <c r="M1657" s="621"/>
      <c r="N1657" s="621"/>
      <c r="O1657" s="621"/>
      <c r="P1657" s="706"/>
      <c r="Q1657" s="682" t="s">
        <v>1289</v>
      </c>
      <c r="R1657" s="74"/>
      <c r="S1657" s="74"/>
      <c r="T1657" s="74"/>
      <c r="U1657" s="74"/>
      <c r="V1657" s="74"/>
      <c r="W1657" s="74"/>
      <c r="X1657" s="74"/>
      <c r="Y1657" s="74"/>
      <c r="Z1657" s="74"/>
      <c r="AA1657" s="74"/>
      <c r="AB1657" s="74"/>
      <c r="AC1657" s="74"/>
      <c r="AD1657" s="74"/>
      <c r="AE1657" s="74"/>
      <c r="AF1657" s="74"/>
      <c r="AG1657" s="74"/>
      <c r="AH1657" s="74"/>
      <c r="AI1657" s="74"/>
    </row>
    <row r="1658" ht="22.5" customHeight="1">
      <c r="A1658" s="614">
        <v>45966.0</v>
      </c>
      <c r="B1658" s="139" t="s">
        <v>2218</v>
      </c>
      <c r="C1658" s="609"/>
      <c r="D1658" s="610">
        <v>151824.65</v>
      </c>
      <c r="E1658" s="703" t="s">
        <v>28</v>
      </c>
      <c r="F1658" s="607" t="s">
        <v>1002</v>
      </c>
      <c r="G1658" s="597">
        <v>20.0</v>
      </c>
      <c r="H1658" s="689">
        <f t="shared" si="84"/>
        <v>25304.10833</v>
      </c>
      <c r="I1658" s="599"/>
      <c r="J1658" s="599"/>
      <c r="K1658" s="615" t="s">
        <v>2237</v>
      </c>
      <c r="L1658" s="615" t="s">
        <v>509</v>
      </c>
      <c r="M1658" s="621"/>
      <c r="N1658" s="621"/>
      <c r="O1658" s="621"/>
      <c r="P1658" s="706"/>
      <c r="Q1658" s="682" t="s">
        <v>1295</v>
      </c>
      <c r="R1658" s="74"/>
      <c r="S1658" s="74"/>
      <c r="T1658" s="74"/>
      <c r="U1658" s="74"/>
      <c r="V1658" s="74"/>
      <c r="W1658" s="74"/>
      <c r="X1658" s="74"/>
      <c r="Y1658" s="74"/>
      <c r="Z1658" s="74"/>
      <c r="AA1658" s="74"/>
      <c r="AB1658" s="74"/>
      <c r="AC1658" s="74"/>
      <c r="AD1658" s="74"/>
      <c r="AE1658" s="74"/>
      <c r="AF1658" s="74"/>
      <c r="AG1658" s="74"/>
      <c r="AH1658" s="74"/>
      <c r="AI1658" s="74"/>
    </row>
    <row r="1659" ht="22.5" customHeight="1">
      <c r="A1659" s="614">
        <v>45966.0</v>
      </c>
      <c r="B1659" s="137" t="s">
        <v>2218</v>
      </c>
      <c r="C1659" s="609"/>
      <c r="D1659" s="610">
        <v>324529.92</v>
      </c>
      <c r="E1659" s="703" t="s">
        <v>28</v>
      </c>
      <c r="F1659" s="607" t="s">
        <v>1002</v>
      </c>
      <c r="G1659" s="597">
        <v>20.0</v>
      </c>
      <c r="H1659" s="689">
        <f t="shared" si="84"/>
        <v>54088.32</v>
      </c>
      <c r="I1659" s="599"/>
      <c r="J1659" s="599"/>
      <c r="K1659" s="615" t="s">
        <v>2237</v>
      </c>
      <c r="L1659" s="671" t="s">
        <v>228</v>
      </c>
      <c r="M1659" s="621"/>
      <c r="N1659" s="621"/>
      <c r="O1659" s="621"/>
      <c r="P1659" s="706"/>
      <c r="Q1659" s="682" t="s">
        <v>1296</v>
      </c>
      <c r="R1659" s="74"/>
      <c r="S1659" s="74"/>
      <c r="T1659" s="74"/>
      <c r="U1659" s="74"/>
      <c r="V1659" s="74"/>
      <c r="W1659" s="74"/>
      <c r="X1659" s="74"/>
      <c r="Y1659" s="74"/>
      <c r="Z1659" s="74"/>
      <c r="AA1659" s="74"/>
      <c r="AB1659" s="74"/>
      <c r="AC1659" s="74"/>
      <c r="AD1659" s="74"/>
      <c r="AE1659" s="74"/>
      <c r="AF1659" s="74"/>
      <c r="AG1659" s="74"/>
      <c r="AH1659" s="74"/>
      <c r="AI1659" s="74"/>
    </row>
    <row r="1660" ht="22.5" customHeight="1">
      <c r="A1660" s="614">
        <v>45966.0</v>
      </c>
      <c r="B1660" s="137" t="s">
        <v>2218</v>
      </c>
      <c r="C1660" s="609"/>
      <c r="D1660" s="610">
        <v>160885.26</v>
      </c>
      <c r="E1660" s="703" t="s">
        <v>28</v>
      </c>
      <c r="F1660" s="607" t="s">
        <v>1002</v>
      </c>
      <c r="G1660" s="597">
        <v>20.0</v>
      </c>
      <c r="H1660" s="689">
        <f t="shared" si="84"/>
        <v>26814.21</v>
      </c>
      <c r="I1660" s="599"/>
      <c r="J1660" s="599"/>
      <c r="K1660" s="615" t="s">
        <v>44</v>
      </c>
      <c r="L1660" s="615" t="s">
        <v>2247</v>
      </c>
      <c r="M1660" s="621"/>
      <c r="N1660" s="621"/>
      <c r="O1660" s="621"/>
      <c r="P1660" s="706"/>
      <c r="Q1660" s="682" t="s">
        <v>1297</v>
      </c>
      <c r="R1660" s="74"/>
      <c r="S1660" s="74"/>
      <c r="T1660" s="74"/>
      <c r="U1660" s="74"/>
      <c r="V1660" s="74"/>
      <c r="W1660" s="74"/>
      <c r="X1660" s="74"/>
      <c r="Y1660" s="74"/>
      <c r="Z1660" s="74"/>
      <c r="AA1660" s="74"/>
      <c r="AB1660" s="74"/>
      <c r="AC1660" s="74"/>
      <c r="AD1660" s="74"/>
      <c r="AE1660" s="74"/>
      <c r="AF1660" s="74"/>
      <c r="AG1660" s="74"/>
      <c r="AH1660" s="74"/>
      <c r="AI1660" s="74"/>
    </row>
    <row r="1661" ht="22.5" customHeight="1">
      <c r="A1661" s="614">
        <v>45966.0</v>
      </c>
      <c r="B1661" s="137" t="s">
        <v>2218</v>
      </c>
      <c r="C1661" s="609"/>
      <c r="D1661" s="610">
        <v>88000.0</v>
      </c>
      <c r="E1661" s="703" t="s">
        <v>28</v>
      </c>
      <c r="F1661" s="607" t="s">
        <v>1002</v>
      </c>
      <c r="G1661" s="597">
        <v>0.0</v>
      </c>
      <c r="H1661" s="689">
        <f t="shared" si="84"/>
        <v>0</v>
      </c>
      <c r="I1661" s="599"/>
      <c r="J1661" s="599"/>
      <c r="K1661" s="615" t="s">
        <v>286</v>
      </c>
      <c r="L1661" s="615" t="s">
        <v>454</v>
      </c>
      <c r="M1661" s="621"/>
      <c r="N1661" s="621"/>
      <c r="O1661" s="621"/>
      <c r="P1661" s="706"/>
      <c r="Q1661" s="682" t="s">
        <v>1298</v>
      </c>
      <c r="R1661" s="74"/>
      <c r="S1661" s="74"/>
      <c r="T1661" s="74"/>
      <c r="U1661" s="74"/>
      <c r="V1661" s="74"/>
      <c r="W1661" s="74"/>
      <c r="X1661" s="74"/>
      <c r="Y1661" s="74"/>
      <c r="Z1661" s="74"/>
      <c r="AA1661" s="74"/>
      <c r="AB1661" s="74"/>
      <c r="AC1661" s="74"/>
      <c r="AD1661" s="74"/>
      <c r="AE1661" s="74"/>
      <c r="AF1661" s="74"/>
      <c r="AG1661" s="74"/>
      <c r="AH1661" s="74"/>
      <c r="AI1661" s="74"/>
    </row>
    <row r="1662" ht="22.5" customHeight="1">
      <c r="A1662" s="614">
        <v>45966.0</v>
      </c>
      <c r="B1662" s="137" t="s">
        <v>2218</v>
      </c>
      <c r="C1662" s="609"/>
      <c r="D1662" s="610">
        <v>122778.6</v>
      </c>
      <c r="E1662" s="703" t="s">
        <v>28</v>
      </c>
      <c r="F1662" s="627" t="s">
        <v>941</v>
      </c>
      <c r="G1662" s="597">
        <v>20.0</v>
      </c>
      <c r="H1662" s="689">
        <f t="shared" si="84"/>
        <v>20463.1</v>
      </c>
      <c r="I1662" s="599"/>
      <c r="J1662" s="599"/>
      <c r="K1662" s="615" t="s">
        <v>101</v>
      </c>
      <c r="L1662" s="712" t="s">
        <v>1277</v>
      </c>
      <c r="M1662" s="621"/>
      <c r="N1662" s="621"/>
      <c r="O1662" s="621"/>
      <c r="P1662" s="706"/>
      <c r="Q1662" s="622"/>
      <c r="R1662" s="74"/>
      <c r="S1662" s="74"/>
      <c r="T1662" s="74"/>
      <c r="U1662" s="74"/>
      <c r="V1662" s="74"/>
      <c r="W1662" s="74"/>
      <c r="X1662" s="74"/>
      <c r="Y1662" s="74"/>
      <c r="Z1662" s="74"/>
      <c r="AA1662" s="74"/>
      <c r="AB1662" s="74"/>
      <c r="AC1662" s="74"/>
      <c r="AD1662" s="74"/>
      <c r="AE1662" s="74"/>
      <c r="AF1662" s="74"/>
      <c r="AG1662" s="74"/>
      <c r="AH1662" s="74"/>
      <c r="AI1662" s="74"/>
    </row>
    <row r="1663" ht="22.5" customHeight="1">
      <c r="A1663" s="614">
        <v>45966.0</v>
      </c>
      <c r="B1663" s="139" t="s">
        <v>2218</v>
      </c>
      <c r="C1663" s="609"/>
      <c r="D1663" s="610">
        <v>37621.56</v>
      </c>
      <c r="E1663" s="604" t="s">
        <v>28</v>
      </c>
      <c r="F1663" s="607" t="s">
        <v>1002</v>
      </c>
      <c r="G1663" s="597">
        <v>20.0</v>
      </c>
      <c r="H1663" s="689">
        <f t="shared" si="84"/>
        <v>6270.26</v>
      </c>
      <c r="I1663" s="599"/>
      <c r="J1663" s="599"/>
      <c r="K1663" s="615" t="s">
        <v>101</v>
      </c>
      <c r="L1663" s="698" t="s">
        <v>1030</v>
      </c>
      <c r="M1663" s="621"/>
      <c r="N1663" s="621"/>
      <c r="O1663" s="621"/>
      <c r="P1663" s="706"/>
      <c r="Q1663" s="682" t="s">
        <v>1299</v>
      </c>
      <c r="R1663" s="74"/>
      <c r="S1663" s="74"/>
      <c r="T1663" s="74"/>
      <c r="U1663" s="74"/>
      <c r="V1663" s="74"/>
      <c r="W1663" s="74"/>
      <c r="X1663" s="74"/>
      <c r="Y1663" s="74"/>
      <c r="Z1663" s="74"/>
      <c r="AA1663" s="74"/>
      <c r="AB1663" s="74"/>
      <c r="AC1663" s="74"/>
      <c r="AD1663" s="74"/>
      <c r="AE1663" s="74"/>
      <c r="AF1663" s="74"/>
      <c r="AG1663" s="74"/>
      <c r="AH1663" s="74"/>
      <c r="AI1663" s="74"/>
    </row>
    <row r="1664" ht="22.5" customHeight="1">
      <c r="A1664" s="614">
        <v>45966.0</v>
      </c>
      <c r="B1664" s="137" t="s">
        <v>2218</v>
      </c>
      <c r="C1664" s="609"/>
      <c r="D1664" s="610">
        <v>185287.0</v>
      </c>
      <c r="E1664" s="604" t="s">
        <v>28</v>
      </c>
      <c r="F1664" s="607" t="s">
        <v>1262</v>
      </c>
      <c r="G1664" s="597">
        <v>0.0</v>
      </c>
      <c r="H1664" s="689">
        <f t="shared" si="84"/>
        <v>0</v>
      </c>
      <c r="I1664" s="599"/>
      <c r="J1664" s="599"/>
      <c r="K1664" s="615" t="s">
        <v>236</v>
      </c>
      <c r="L1664" s="615" t="s">
        <v>72</v>
      </c>
      <c r="M1664" s="621"/>
      <c r="N1664" s="621"/>
      <c r="O1664" s="621"/>
      <c r="P1664" s="706"/>
      <c r="Q1664" s="613" t="s">
        <v>748</v>
      </c>
      <c r="R1664" s="74"/>
      <c r="S1664" s="74"/>
      <c r="T1664" s="74"/>
      <c r="U1664" s="74"/>
      <c r="V1664" s="74"/>
      <c r="W1664" s="74"/>
      <c r="X1664" s="74"/>
      <c r="Y1664" s="74"/>
      <c r="Z1664" s="74"/>
      <c r="AA1664" s="74"/>
      <c r="AB1664" s="74"/>
      <c r="AC1664" s="74"/>
      <c r="AD1664" s="74"/>
      <c r="AE1664" s="74"/>
      <c r="AF1664" s="74"/>
      <c r="AG1664" s="74"/>
      <c r="AH1664" s="74"/>
      <c r="AI1664" s="74"/>
    </row>
    <row r="1665" ht="22.5" customHeight="1">
      <c r="A1665" s="614">
        <v>45966.0</v>
      </c>
      <c r="B1665" s="137" t="s">
        <v>2218</v>
      </c>
      <c r="C1665" s="609"/>
      <c r="D1665" s="610">
        <v>6887.04</v>
      </c>
      <c r="E1665" s="604" t="s">
        <v>28</v>
      </c>
      <c r="F1665" s="607" t="s">
        <v>1262</v>
      </c>
      <c r="G1665" s="597">
        <v>0.0</v>
      </c>
      <c r="H1665" s="689">
        <f t="shared" si="84"/>
        <v>0</v>
      </c>
      <c r="I1665" s="599"/>
      <c r="J1665" s="599"/>
      <c r="K1665" s="615" t="s">
        <v>203</v>
      </c>
      <c r="L1665" s="615" t="s">
        <v>1300</v>
      </c>
      <c r="M1665" s="621"/>
      <c r="N1665" s="621"/>
      <c r="O1665" s="621"/>
      <c r="P1665" s="706"/>
      <c r="Q1665" s="622"/>
      <c r="R1665" s="74"/>
      <c r="S1665" s="74"/>
      <c r="T1665" s="74"/>
      <c r="U1665" s="74"/>
      <c r="V1665" s="74"/>
      <c r="W1665" s="74"/>
      <c r="X1665" s="74"/>
      <c r="Y1665" s="74"/>
      <c r="Z1665" s="74"/>
      <c r="AA1665" s="74"/>
      <c r="AB1665" s="74"/>
      <c r="AC1665" s="74"/>
      <c r="AD1665" s="74"/>
      <c r="AE1665" s="74"/>
      <c r="AF1665" s="74"/>
      <c r="AG1665" s="74"/>
      <c r="AH1665" s="74"/>
      <c r="AI1665" s="74"/>
    </row>
    <row r="1666" ht="22.5" customHeight="1">
      <c r="A1666" s="614">
        <v>45966.0</v>
      </c>
      <c r="B1666" s="157" t="s">
        <v>2218</v>
      </c>
      <c r="C1666" s="610">
        <v>600600.0</v>
      </c>
      <c r="D1666" s="609"/>
      <c r="E1666" s="604" t="s">
        <v>28</v>
      </c>
      <c r="F1666" s="627" t="s">
        <v>800</v>
      </c>
      <c r="G1666" s="597">
        <v>20.0</v>
      </c>
      <c r="H1666" s="689">
        <f t="shared" si="84"/>
        <v>100100</v>
      </c>
      <c r="I1666" s="599"/>
      <c r="J1666" s="599"/>
      <c r="K1666" s="615" t="s">
        <v>51</v>
      </c>
      <c r="L1666" s="616" t="s">
        <v>1014</v>
      </c>
      <c r="M1666" s="612" t="s">
        <v>1301</v>
      </c>
      <c r="N1666" s="612">
        <v>220.0</v>
      </c>
      <c r="O1666" s="662">
        <v>45818.0</v>
      </c>
      <c r="P1666" s="706">
        <f t="shared" ref="P1666:P1668" si="103">TODAY()-O1666-60</f>
        <v>310</v>
      </c>
      <c r="Q1666" s="622"/>
      <c r="R1666" s="74"/>
      <c r="S1666" s="74"/>
      <c r="T1666" s="74"/>
      <c r="U1666" s="74"/>
      <c r="V1666" s="74"/>
      <c r="W1666" s="74"/>
      <c r="X1666" s="74"/>
      <c r="Y1666" s="74"/>
      <c r="Z1666" s="74"/>
      <c r="AA1666" s="74"/>
      <c r="AB1666" s="74"/>
      <c r="AC1666" s="74"/>
      <c r="AD1666" s="74"/>
      <c r="AE1666" s="74"/>
      <c r="AF1666" s="74"/>
      <c r="AG1666" s="74"/>
      <c r="AH1666" s="74"/>
      <c r="AI1666" s="74"/>
    </row>
    <row r="1667" ht="22.5" customHeight="1">
      <c r="A1667" s="614">
        <v>45966.0</v>
      </c>
      <c r="B1667" s="157" t="s">
        <v>2218</v>
      </c>
      <c r="C1667" s="610">
        <v>608160.0</v>
      </c>
      <c r="D1667" s="609"/>
      <c r="E1667" s="604" t="s">
        <v>28</v>
      </c>
      <c r="F1667" s="627" t="s">
        <v>800</v>
      </c>
      <c r="G1667" s="597">
        <v>20.0</v>
      </c>
      <c r="H1667" s="689">
        <f t="shared" si="84"/>
        <v>101360</v>
      </c>
      <c r="I1667" s="599"/>
      <c r="J1667" s="599"/>
      <c r="K1667" s="615" t="s">
        <v>51</v>
      </c>
      <c r="L1667" s="616" t="s">
        <v>1014</v>
      </c>
      <c r="M1667" s="612" t="s">
        <v>1302</v>
      </c>
      <c r="N1667" s="612">
        <v>225.0</v>
      </c>
      <c r="O1667" s="662">
        <v>45818.0</v>
      </c>
      <c r="P1667" s="706">
        <f t="shared" si="103"/>
        <v>310</v>
      </c>
      <c r="Q1667" s="622"/>
      <c r="R1667" s="74"/>
      <c r="S1667" s="74"/>
      <c r="T1667" s="74"/>
      <c r="U1667" s="74"/>
      <c r="V1667" s="74"/>
      <c r="W1667" s="74"/>
      <c r="X1667" s="74"/>
      <c r="Y1667" s="74"/>
      <c r="Z1667" s="74"/>
      <c r="AA1667" s="74"/>
      <c r="AB1667" s="74"/>
      <c r="AC1667" s="74"/>
      <c r="AD1667" s="74"/>
      <c r="AE1667" s="74"/>
      <c r="AF1667" s="74"/>
      <c r="AG1667" s="74"/>
      <c r="AH1667" s="74"/>
      <c r="AI1667" s="74"/>
    </row>
    <row r="1668" ht="22.5" customHeight="1">
      <c r="A1668" s="614">
        <v>45966.0</v>
      </c>
      <c r="B1668" s="157" t="s">
        <v>2218</v>
      </c>
      <c r="C1668" s="610">
        <v>534727.01</v>
      </c>
      <c r="D1668" s="609"/>
      <c r="E1668" s="604" t="s">
        <v>28</v>
      </c>
      <c r="F1668" s="627" t="s">
        <v>800</v>
      </c>
      <c r="G1668" s="597">
        <v>20.0</v>
      </c>
      <c r="H1668" s="689">
        <f t="shared" si="84"/>
        <v>89121.16833</v>
      </c>
      <c r="I1668" s="599"/>
      <c r="J1668" s="599"/>
      <c r="K1668" s="615" t="s">
        <v>51</v>
      </c>
      <c r="L1668" s="616" t="s">
        <v>1014</v>
      </c>
      <c r="M1668" s="612" t="s">
        <v>1303</v>
      </c>
      <c r="N1668" s="612">
        <v>229.0</v>
      </c>
      <c r="O1668" s="662">
        <v>45818.0</v>
      </c>
      <c r="P1668" s="706">
        <f t="shared" si="103"/>
        <v>310</v>
      </c>
      <c r="Q1668" s="622"/>
      <c r="R1668" s="74"/>
      <c r="S1668" s="74"/>
      <c r="T1668" s="74"/>
      <c r="U1668" s="74"/>
      <c r="V1668" s="74"/>
      <c r="W1668" s="74"/>
      <c r="X1668" s="74"/>
      <c r="Y1668" s="74"/>
      <c r="Z1668" s="74"/>
      <c r="AA1668" s="74"/>
      <c r="AB1668" s="74"/>
      <c r="AC1668" s="74"/>
      <c r="AD1668" s="74"/>
      <c r="AE1668" s="74"/>
      <c r="AF1668" s="74"/>
      <c r="AG1668" s="74"/>
      <c r="AH1668" s="74"/>
      <c r="AI1668" s="74"/>
    </row>
    <row r="1669" ht="22.5" customHeight="1">
      <c r="A1669" s="614">
        <v>45967.0</v>
      </c>
      <c r="B1669" s="137" t="s">
        <v>2218</v>
      </c>
      <c r="C1669" s="609"/>
      <c r="D1669" s="609"/>
      <c r="E1669" s="604" t="s">
        <v>33</v>
      </c>
      <c r="F1669" s="607" t="s">
        <v>1099</v>
      </c>
      <c r="G1669" s="597">
        <v>0.0</v>
      </c>
      <c r="H1669" s="689">
        <f t="shared" si="84"/>
        <v>0</v>
      </c>
      <c r="I1669" s="599"/>
      <c r="J1669" s="605">
        <v>50000.0</v>
      </c>
      <c r="K1669" s="615" t="s">
        <v>591</v>
      </c>
      <c r="L1669" s="615" t="s">
        <v>1304</v>
      </c>
      <c r="M1669" s="621"/>
      <c r="N1669" s="621"/>
      <c r="O1669" s="621"/>
      <c r="P1669" s="706"/>
      <c r="Q1669" s="622"/>
      <c r="R1669" s="74"/>
      <c r="S1669" s="74"/>
      <c r="T1669" s="74"/>
      <c r="U1669" s="74"/>
      <c r="V1669" s="74"/>
      <c r="W1669" s="74"/>
      <c r="X1669" s="74"/>
      <c r="Y1669" s="74"/>
      <c r="Z1669" s="74"/>
      <c r="AA1669" s="74"/>
      <c r="AB1669" s="74"/>
      <c r="AC1669" s="74"/>
      <c r="AD1669" s="74"/>
      <c r="AE1669" s="74"/>
      <c r="AF1669" s="74"/>
      <c r="AG1669" s="74"/>
      <c r="AH1669" s="74"/>
      <c r="AI1669" s="74"/>
    </row>
    <row r="1670" ht="22.5" customHeight="1">
      <c r="A1670" s="614">
        <v>45967.0</v>
      </c>
      <c r="B1670" s="137" t="s">
        <v>2218</v>
      </c>
      <c r="C1670" s="609"/>
      <c r="D1670" s="609"/>
      <c r="E1670" s="604" t="s">
        <v>33</v>
      </c>
      <c r="F1670" s="607" t="s">
        <v>1262</v>
      </c>
      <c r="G1670" s="597">
        <v>0.0</v>
      </c>
      <c r="H1670" s="689">
        <f t="shared" si="84"/>
        <v>0</v>
      </c>
      <c r="I1670" s="599"/>
      <c r="J1670" s="605">
        <v>25000.0</v>
      </c>
      <c r="K1670" s="615" t="s">
        <v>108</v>
      </c>
      <c r="L1670" s="615" t="s">
        <v>1305</v>
      </c>
      <c r="M1670" s="621"/>
      <c r="N1670" s="621"/>
      <c r="O1670" s="621"/>
      <c r="P1670" s="706"/>
      <c r="Q1670" s="622"/>
      <c r="R1670" s="74"/>
      <c r="S1670" s="74"/>
      <c r="T1670" s="74"/>
      <c r="U1670" s="74"/>
      <c r="V1670" s="74"/>
      <c r="W1670" s="74"/>
      <c r="X1670" s="74"/>
      <c r="Y1670" s="74"/>
      <c r="Z1670" s="74"/>
      <c r="AA1670" s="74"/>
      <c r="AB1670" s="74"/>
      <c r="AC1670" s="74"/>
      <c r="AD1670" s="74"/>
      <c r="AE1670" s="74"/>
      <c r="AF1670" s="74"/>
      <c r="AG1670" s="74"/>
      <c r="AH1670" s="74"/>
      <c r="AI1670" s="74"/>
    </row>
    <row r="1671" ht="22.5" customHeight="1">
      <c r="A1671" s="614">
        <v>45971.0</v>
      </c>
      <c r="B1671" s="139" t="s">
        <v>2218</v>
      </c>
      <c r="C1671" s="610"/>
      <c r="D1671" s="610">
        <v>2000000.0</v>
      </c>
      <c r="E1671" s="703" t="s">
        <v>28</v>
      </c>
      <c r="F1671" s="627" t="s">
        <v>839</v>
      </c>
      <c r="G1671" s="597">
        <v>20.0</v>
      </c>
      <c r="H1671" s="689">
        <f t="shared" si="84"/>
        <v>333333.3333</v>
      </c>
      <c r="I1671" s="599"/>
      <c r="J1671" s="599"/>
      <c r="K1671" s="615" t="s">
        <v>322</v>
      </c>
      <c r="L1671" s="694" t="s">
        <v>878</v>
      </c>
      <c r="M1671" s="621"/>
      <c r="N1671" s="621"/>
      <c r="O1671" s="621"/>
      <c r="P1671" s="706"/>
      <c r="Q1671" s="682" t="s">
        <v>1306</v>
      </c>
      <c r="R1671" s="74"/>
      <c r="S1671" s="74"/>
      <c r="T1671" s="74"/>
      <c r="U1671" s="74"/>
      <c r="V1671" s="74"/>
      <c r="W1671" s="74"/>
      <c r="X1671" s="74"/>
      <c r="Y1671" s="74"/>
      <c r="Z1671" s="74"/>
      <c r="AA1671" s="74"/>
      <c r="AB1671" s="74"/>
      <c r="AC1671" s="74"/>
      <c r="AD1671" s="74"/>
      <c r="AE1671" s="74"/>
      <c r="AF1671" s="74"/>
      <c r="AG1671" s="74"/>
      <c r="AH1671" s="74"/>
      <c r="AI1671" s="74"/>
    </row>
    <row r="1672" ht="22.5" customHeight="1">
      <c r="A1672" s="614">
        <v>45971.0</v>
      </c>
      <c r="B1672" s="137" t="s">
        <v>2218</v>
      </c>
      <c r="C1672" s="609"/>
      <c r="D1672" s="610">
        <v>360000.0</v>
      </c>
      <c r="E1672" s="703" t="s">
        <v>28</v>
      </c>
      <c r="F1672" s="607" t="s">
        <v>1099</v>
      </c>
      <c r="G1672" s="597">
        <v>20.0</v>
      </c>
      <c r="H1672" s="689">
        <f t="shared" si="84"/>
        <v>60000</v>
      </c>
      <c r="I1672" s="599"/>
      <c r="J1672" s="599"/>
      <c r="K1672" s="615" t="s">
        <v>2237</v>
      </c>
      <c r="L1672" s="615" t="s">
        <v>609</v>
      </c>
      <c r="M1672" s="621"/>
      <c r="N1672" s="621"/>
      <c r="O1672" s="621"/>
      <c r="P1672" s="706"/>
      <c r="Q1672" s="682" t="s">
        <v>1307</v>
      </c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</row>
    <row r="1673" ht="22.5" customHeight="1">
      <c r="A1673" s="614">
        <v>45971.0</v>
      </c>
      <c r="B1673" s="137" t="s">
        <v>2218</v>
      </c>
      <c r="C1673" s="609"/>
      <c r="D1673" s="610">
        <v>96000.0</v>
      </c>
      <c r="E1673" s="703" t="s">
        <v>28</v>
      </c>
      <c r="F1673" s="607" t="s">
        <v>1099</v>
      </c>
      <c r="G1673" s="597">
        <v>20.0</v>
      </c>
      <c r="H1673" s="689">
        <f t="shared" si="84"/>
        <v>16000</v>
      </c>
      <c r="I1673" s="599"/>
      <c r="J1673" s="599"/>
      <c r="K1673" s="615" t="s">
        <v>101</v>
      </c>
      <c r="L1673" s="698" t="s">
        <v>1045</v>
      </c>
      <c r="M1673" s="621"/>
      <c r="N1673" s="621"/>
      <c r="O1673" s="621"/>
      <c r="P1673" s="706"/>
      <c r="Q1673" s="682" t="s">
        <v>1308</v>
      </c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</row>
    <row r="1674" ht="22.5" customHeight="1">
      <c r="A1674" s="614">
        <v>45971.0</v>
      </c>
      <c r="B1674" s="137" t="s">
        <v>2218</v>
      </c>
      <c r="C1674" s="609"/>
      <c r="D1674" s="610">
        <v>320064.0</v>
      </c>
      <c r="E1674" s="703" t="s">
        <v>28</v>
      </c>
      <c r="F1674" s="607" t="s">
        <v>1099</v>
      </c>
      <c r="G1674" s="597">
        <v>20.0</v>
      </c>
      <c r="H1674" s="689">
        <f t="shared" si="84"/>
        <v>53344</v>
      </c>
      <c r="I1674" s="599"/>
      <c r="J1674" s="599"/>
      <c r="K1674" s="615" t="s">
        <v>101</v>
      </c>
      <c r="L1674" s="698" t="s">
        <v>1045</v>
      </c>
      <c r="M1674" s="621"/>
      <c r="N1674" s="621"/>
      <c r="O1674" s="621"/>
      <c r="P1674" s="706"/>
      <c r="Q1674" s="682" t="s">
        <v>1309</v>
      </c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</row>
    <row r="1675" ht="22.5" customHeight="1">
      <c r="A1675" s="614">
        <v>45971.0</v>
      </c>
      <c r="B1675" s="137" t="s">
        <v>2218</v>
      </c>
      <c r="C1675" s="609"/>
      <c r="D1675" s="610">
        <v>149688.69</v>
      </c>
      <c r="E1675" s="703" t="s">
        <v>28</v>
      </c>
      <c r="F1675" s="607" t="s">
        <v>1099</v>
      </c>
      <c r="G1675" s="597">
        <v>20.0</v>
      </c>
      <c r="H1675" s="689">
        <f t="shared" si="84"/>
        <v>24948.115</v>
      </c>
      <c r="I1675" s="599"/>
      <c r="J1675" s="599"/>
      <c r="K1675" s="615" t="s">
        <v>101</v>
      </c>
      <c r="L1675" s="698" t="s">
        <v>1045</v>
      </c>
      <c r="M1675" s="621"/>
      <c r="N1675" s="621"/>
      <c r="O1675" s="621"/>
      <c r="P1675" s="706"/>
      <c r="Q1675" s="682" t="s">
        <v>1310</v>
      </c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</row>
    <row r="1676" ht="22.5" customHeight="1">
      <c r="A1676" s="614">
        <v>45971.0</v>
      </c>
      <c r="B1676" s="137" t="s">
        <v>2218</v>
      </c>
      <c r="C1676" s="609"/>
      <c r="D1676" s="610">
        <v>245235.79</v>
      </c>
      <c r="E1676" s="703" t="s">
        <v>28</v>
      </c>
      <c r="F1676" s="607" t="s">
        <v>1099</v>
      </c>
      <c r="G1676" s="597">
        <v>20.0</v>
      </c>
      <c r="H1676" s="689">
        <f t="shared" si="84"/>
        <v>40872.63167</v>
      </c>
      <c r="I1676" s="599"/>
      <c r="J1676" s="599"/>
      <c r="K1676" s="615" t="s">
        <v>2237</v>
      </c>
      <c r="L1676" s="700" t="s">
        <v>2232</v>
      </c>
      <c r="M1676" s="621"/>
      <c r="N1676" s="621"/>
      <c r="O1676" s="621"/>
      <c r="P1676" s="706"/>
      <c r="Q1676" s="682" t="s">
        <v>1311</v>
      </c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</row>
    <row r="1677" ht="22.5" customHeight="1">
      <c r="A1677" s="614">
        <v>45971.0</v>
      </c>
      <c r="B1677" s="137" t="s">
        <v>2218</v>
      </c>
      <c r="C1677" s="609"/>
      <c r="D1677" s="610">
        <v>1200.0</v>
      </c>
      <c r="E1677" s="703" t="s">
        <v>28</v>
      </c>
      <c r="F1677" s="607" t="s">
        <v>1099</v>
      </c>
      <c r="G1677" s="597">
        <v>20.0</v>
      </c>
      <c r="H1677" s="689">
        <f t="shared" si="84"/>
        <v>200</v>
      </c>
      <c r="I1677" s="599"/>
      <c r="J1677" s="599"/>
      <c r="K1677" s="615" t="s">
        <v>44</v>
      </c>
      <c r="L1677" s="700" t="s">
        <v>2247</v>
      </c>
      <c r="M1677" s="621"/>
      <c r="N1677" s="621"/>
      <c r="O1677" s="621"/>
      <c r="P1677" s="706"/>
      <c r="Q1677" s="682" t="s">
        <v>1312</v>
      </c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</row>
    <row r="1678" ht="22.5" customHeight="1">
      <c r="A1678" s="614">
        <v>45971.0</v>
      </c>
      <c r="B1678" s="137" t="s">
        <v>2218</v>
      </c>
      <c r="C1678" s="609"/>
      <c r="D1678" s="610">
        <v>600.0</v>
      </c>
      <c r="E1678" s="703" t="s">
        <v>28</v>
      </c>
      <c r="F1678" s="607" t="s">
        <v>1099</v>
      </c>
      <c r="G1678" s="597">
        <v>20.0</v>
      </c>
      <c r="H1678" s="689">
        <f t="shared" si="84"/>
        <v>100</v>
      </c>
      <c r="I1678" s="599"/>
      <c r="J1678" s="599"/>
      <c r="K1678" s="615" t="s">
        <v>2237</v>
      </c>
      <c r="L1678" s="616" t="s">
        <v>942</v>
      </c>
      <c r="M1678" s="621"/>
      <c r="N1678" s="621"/>
      <c r="O1678" s="621"/>
      <c r="P1678" s="706"/>
      <c r="Q1678" s="682" t="s">
        <v>1313</v>
      </c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</row>
    <row r="1679" ht="22.5" customHeight="1">
      <c r="A1679" s="614">
        <v>45971.0</v>
      </c>
      <c r="B1679" s="137" t="s">
        <v>2218</v>
      </c>
      <c r="C1679" s="609"/>
      <c r="D1679" s="610">
        <v>242400.0</v>
      </c>
      <c r="E1679" s="703" t="s">
        <v>28</v>
      </c>
      <c r="F1679" s="607" t="s">
        <v>1099</v>
      </c>
      <c r="G1679" s="597">
        <v>20.0</v>
      </c>
      <c r="H1679" s="689">
        <f t="shared" si="84"/>
        <v>40400</v>
      </c>
      <c r="I1679" s="599"/>
      <c r="J1679" s="599"/>
      <c r="K1679" s="615" t="s">
        <v>2237</v>
      </c>
      <c r="L1679" s="616" t="s">
        <v>942</v>
      </c>
      <c r="M1679" s="621"/>
      <c r="N1679" s="621"/>
      <c r="O1679" s="621"/>
      <c r="P1679" s="706"/>
      <c r="Q1679" s="682" t="s">
        <v>1314</v>
      </c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</row>
    <row r="1680" ht="22.5" customHeight="1">
      <c r="A1680" s="614">
        <v>45971.0</v>
      </c>
      <c r="B1680" s="137" t="s">
        <v>2218</v>
      </c>
      <c r="C1680" s="609"/>
      <c r="D1680" s="610">
        <v>23690.69</v>
      </c>
      <c r="E1680" s="703" t="s">
        <v>28</v>
      </c>
      <c r="F1680" s="627" t="s">
        <v>897</v>
      </c>
      <c r="G1680" s="597">
        <v>20.0</v>
      </c>
      <c r="H1680" s="689">
        <f t="shared" si="84"/>
        <v>3948.448333</v>
      </c>
      <c r="I1680" s="599"/>
      <c r="J1680" s="599"/>
      <c r="K1680" s="615" t="s">
        <v>101</v>
      </c>
      <c r="L1680" s="698" t="s">
        <v>1045</v>
      </c>
      <c r="M1680" s="621"/>
      <c r="N1680" s="621"/>
      <c r="O1680" s="621"/>
      <c r="P1680" s="706"/>
      <c r="Q1680" s="682" t="s">
        <v>1315</v>
      </c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</row>
    <row r="1681" ht="22.5" customHeight="1">
      <c r="A1681" s="614">
        <v>45971.0</v>
      </c>
      <c r="B1681" s="137" t="s">
        <v>2218</v>
      </c>
      <c r="C1681" s="609"/>
      <c r="D1681" s="610">
        <v>19200.05</v>
      </c>
      <c r="E1681" s="703" t="s">
        <v>28</v>
      </c>
      <c r="F1681" s="627" t="s">
        <v>897</v>
      </c>
      <c r="G1681" s="597">
        <v>20.0</v>
      </c>
      <c r="H1681" s="689">
        <f t="shared" si="84"/>
        <v>3200.008333</v>
      </c>
      <c r="I1681" s="599"/>
      <c r="J1681" s="599"/>
      <c r="K1681" s="615" t="s">
        <v>101</v>
      </c>
      <c r="L1681" s="698" t="s">
        <v>1045</v>
      </c>
      <c r="M1681" s="621"/>
      <c r="N1681" s="621"/>
      <c r="O1681" s="621"/>
      <c r="P1681" s="706"/>
      <c r="Q1681" s="682" t="s">
        <v>1316</v>
      </c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</row>
    <row r="1682" ht="22.5" customHeight="1">
      <c r="A1682" s="614">
        <v>45971.0</v>
      </c>
      <c r="B1682" s="137" t="s">
        <v>2218</v>
      </c>
      <c r="C1682" s="609"/>
      <c r="D1682" s="610">
        <v>20160.0</v>
      </c>
      <c r="E1682" s="703" t="s">
        <v>28</v>
      </c>
      <c r="F1682" s="627" t="s">
        <v>897</v>
      </c>
      <c r="G1682" s="597">
        <v>20.0</v>
      </c>
      <c r="H1682" s="689">
        <f t="shared" si="84"/>
        <v>3360</v>
      </c>
      <c r="I1682" s="599"/>
      <c r="J1682" s="599"/>
      <c r="K1682" s="615" t="s">
        <v>101</v>
      </c>
      <c r="L1682" s="698" t="s">
        <v>1045</v>
      </c>
      <c r="M1682" s="621"/>
      <c r="N1682" s="621"/>
      <c r="O1682" s="621"/>
      <c r="P1682" s="706"/>
      <c r="Q1682" s="682" t="s">
        <v>1317</v>
      </c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</row>
    <row r="1683" ht="22.5" customHeight="1">
      <c r="A1683" s="614">
        <v>45971.0</v>
      </c>
      <c r="B1683" s="137" t="s">
        <v>2218</v>
      </c>
      <c r="C1683" s="609"/>
      <c r="D1683" s="610">
        <v>167500.0</v>
      </c>
      <c r="E1683" s="703" t="s">
        <v>28</v>
      </c>
      <c r="F1683" s="607" t="s">
        <v>1179</v>
      </c>
      <c r="G1683" s="597">
        <v>0.0</v>
      </c>
      <c r="H1683" s="689">
        <f t="shared" si="84"/>
        <v>0</v>
      </c>
      <c r="I1683" s="599"/>
      <c r="J1683" s="599"/>
      <c r="K1683" s="615" t="s">
        <v>2010</v>
      </c>
      <c r="L1683" s="615" t="s">
        <v>505</v>
      </c>
      <c r="M1683" s="621"/>
      <c r="N1683" s="621"/>
      <c r="O1683" s="621"/>
      <c r="P1683" s="706"/>
      <c r="Q1683" s="682" t="s">
        <v>1318</v>
      </c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</row>
    <row r="1684" ht="22.5" customHeight="1">
      <c r="A1684" s="614">
        <v>45971.0</v>
      </c>
      <c r="B1684" s="137" t="s">
        <v>2218</v>
      </c>
      <c r="C1684" s="609"/>
      <c r="D1684" s="609"/>
      <c r="E1684" s="604" t="s">
        <v>33</v>
      </c>
      <c r="F1684" s="607" t="s">
        <v>1179</v>
      </c>
      <c r="G1684" s="597">
        <v>0.0</v>
      </c>
      <c r="H1684" s="689">
        <f t="shared" si="84"/>
        <v>0</v>
      </c>
      <c r="I1684" s="599"/>
      <c r="J1684" s="605">
        <v>22000.0</v>
      </c>
      <c r="K1684" s="615" t="s">
        <v>494</v>
      </c>
      <c r="L1684" s="615" t="s">
        <v>1319</v>
      </c>
      <c r="M1684" s="621"/>
      <c r="N1684" s="621"/>
      <c r="O1684" s="621"/>
      <c r="P1684" s="706"/>
      <c r="Q1684" s="622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</row>
    <row r="1685" ht="22.5" customHeight="1">
      <c r="A1685" s="614">
        <v>45971.0</v>
      </c>
      <c r="B1685" s="137" t="s">
        <v>2218</v>
      </c>
      <c r="C1685" s="609"/>
      <c r="D1685" s="609"/>
      <c r="E1685" s="604" t="s">
        <v>33</v>
      </c>
      <c r="F1685" s="607" t="s">
        <v>1262</v>
      </c>
      <c r="G1685" s="597">
        <v>0.0</v>
      </c>
      <c r="H1685" s="689">
        <f t="shared" si="84"/>
        <v>0</v>
      </c>
      <c r="I1685" s="599"/>
      <c r="J1685" s="605">
        <v>8000.0</v>
      </c>
      <c r="K1685" s="615" t="s">
        <v>494</v>
      </c>
      <c r="L1685" s="615" t="s">
        <v>1320</v>
      </c>
      <c r="M1685" s="621"/>
      <c r="N1685" s="621"/>
      <c r="O1685" s="621"/>
      <c r="P1685" s="706"/>
      <c r="Q1685" s="622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</row>
    <row r="1686" ht="22.5" customHeight="1">
      <c r="A1686" s="614">
        <v>45971.0</v>
      </c>
      <c r="B1686" s="137" t="s">
        <v>2218</v>
      </c>
      <c r="C1686" s="609"/>
      <c r="D1686" s="609">
        <f>1821624.9+24038+511.68</f>
        <v>1846174.58</v>
      </c>
      <c r="E1686" s="604" t="s">
        <v>28</v>
      </c>
      <c r="F1686" s="607" t="s">
        <v>1179</v>
      </c>
      <c r="G1686" s="597">
        <v>0.0</v>
      </c>
      <c r="H1686" s="689">
        <f t="shared" si="84"/>
        <v>0</v>
      </c>
      <c r="I1686" s="599"/>
      <c r="J1686" s="599"/>
      <c r="K1686" s="615" t="s">
        <v>203</v>
      </c>
      <c r="L1686" s="615" t="s">
        <v>1321</v>
      </c>
      <c r="M1686" s="621"/>
      <c r="N1686" s="621"/>
      <c r="O1686" s="621"/>
      <c r="P1686" s="706"/>
      <c r="Q1686" s="622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</row>
    <row r="1687" ht="22.5" customHeight="1">
      <c r="A1687" s="614">
        <v>45971.0</v>
      </c>
      <c r="B1687" s="137" t="s">
        <v>2218</v>
      </c>
      <c r="C1687" s="609"/>
      <c r="D1687" s="610">
        <v>191500.0</v>
      </c>
      <c r="E1687" s="604" t="s">
        <v>28</v>
      </c>
      <c r="F1687" s="607" t="s">
        <v>1179</v>
      </c>
      <c r="G1687" s="597">
        <v>0.0</v>
      </c>
      <c r="H1687" s="689">
        <f t="shared" si="84"/>
        <v>0</v>
      </c>
      <c r="I1687" s="599"/>
      <c r="J1687" s="599"/>
      <c r="K1687" s="615" t="s">
        <v>2237</v>
      </c>
      <c r="L1687" s="615" t="s">
        <v>901</v>
      </c>
      <c r="M1687" s="621"/>
      <c r="N1687" s="621"/>
      <c r="O1687" s="621"/>
      <c r="P1687" s="706"/>
      <c r="Q1687" s="622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</row>
    <row r="1688" ht="22.5" customHeight="1">
      <c r="A1688" s="614">
        <v>45971.0</v>
      </c>
      <c r="B1688" s="137" t="s">
        <v>2218</v>
      </c>
      <c r="C1688" s="609"/>
      <c r="D1688" s="609"/>
      <c r="E1688" s="604" t="s">
        <v>33</v>
      </c>
      <c r="F1688" s="607" t="s">
        <v>1179</v>
      </c>
      <c r="G1688" s="597">
        <v>0.0</v>
      </c>
      <c r="H1688" s="689">
        <f t="shared" si="84"/>
        <v>0</v>
      </c>
      <c r="I1688" s="599"/>
      <c r="J1688" s="605">
        <v>100000.0</v>
      </c>
      <c r="K1688" s="615" t="s">
        <v>591</v>
      </c>
      <c r="L1688" s="615" t="s">
        <v>1322</v>
      </c>
      <c r="M1688" s="621"/>
      <c r="N1688" s="621"/>
      <c r="O1688" s="621"/>
      <c r="P1688" s="706"/>
      <c r="Q1688" s="622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</row>
    <row r="1689" ht="22.5" customHeight="1">
      <c r="A1689" s="614">
        <v>45971.0</v>
      </c>
      <c r="B1689" s="137" t="s">
        <v>2218</v>
      </c>
      <c r="C1689" s="609"/>
      <c r="D1689" s="610"/>
      <c r="E1689" s="604" t="s">
        <v>33</v>
      </c>
      <c r="F1689" s="607" t="s">
        <v>1262</v>
      </c>
      <c r="G1689" s="597">
        <v>0.0</v>
      </c>
      <c r="H1689" s="689">
        <f t="shared" si="84"/>
        <v>0</v>
      </c>
      <c r="I1689" s="599"/>
      <c r="J1689" s="605">
        <v>92000.0</v>
      </c>
      <c r="K1689" s="615" t="s">
        <v>1181</v>
      </c>
      <c r="L1689" s="615" t="s">
        <v>1323</v>
      </c>
      <c r="M1689" s="621"/>
      <c r="N1689" s="621"/>
      <c r="O1689" s="621"/>
      <c r="P1689" s="706"/>
      <c r="Q1689" s="622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</row>
    <row r="1690" ht="22.5" customHeight="1">
      <c r="A1690" s="614">
        <v>45972.0</v>
      </c>
      <c r="B1690" s="137" t="s">
        <v>2218</v>
      </c>
      <c r="C1690" s="609"/>
      <c r="D1690" s="610">
        <v>20400.0</v>
      </c>
      <c r="E1690" s="604" t="s">
        <v>28</v>
      </c>
      <c r="F1690" s="607" t="s">
        <v>1262</v>
      </c>
      <c r="G1690" s="597">
        <v>20.0</v>
      </c>
      <c r="H1690" s="689">
        <f t="shared" si="84"/>
        <v>3400</v>
      </c>
      <c r="I1690" s="599"/>
      <c r="J1690" s="599"/>
      <c r="K1690" s="615" t="s">
        <v>494</v>
      </c>
      <c r="L1690" s="615" t="s">
        <v>910</v>
      </c>
      <c r="M1690" s="621"/>
      <c r="N1690" s="621"/>
      <c r="O1690" s="621"/>
      <c r="P1690" s="706"/>
      <c r="Q1690" s="682" t="s">
        <v>1325</v>
      </c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</row>
    <row r="1691" ht="22.5" customHeight="1">
      <c r="A1691" s="614">
        <v>45972.0</v>
      </c>
      <c r="B1691" s="137" t="s">
        <v>2218</v>
      </c>
      <c r="C1691" s="609"/>
      <c r="D1691" s="610">
        <v>2280.44</v>
      </c>
      <c r="E1691" s="604" t="s">
        <v>28</v>
      </c>
      <c r="F1691" s="607" t="s">
        <v>1099</v>
      </c>
      <c r="G1691" s="597">
        <v>0.0</v>
      </c>
      <c r="H1691" s="689">
        <f t="shared" si="84"/>
        <v>0</v>
      </c>
      <c r="I1691" s="599"/>
      <c r="J1691" s="599"/>
      <c r="K1691" s="615" t="s">
        <v>494</v>
      </c>
      <c r="L1691" s="615" t="s">
        <v>745</v>
      </c>
      <c r="M1691" s="621"/>
      <c r="N1691" s="621"/>
      <c r="O1691" s="621"/>
      <c r="P1691" s="706"/>
      <c r="Q1691" s="622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</row>
    <row r="1692" ht="22.5" customHeight="1">
      <c r="A1692" s="614">
        <v>45972.0</v>
      </c>
      <c r="B1692" s="137" t="s">
        <v>2218</v>
      </c>
      <c r="C1692" s="609"/>
      <c r="D1692" s="610">
        <v>1016.6</v>
      </c>
      <c r="E1692" s="604" t="s">
        <v>28</v>
      </c>
      <c r="F1692" s="607" t="s">
        <v>1262</v>
      </c>
      <c r="G1692" s="597">
        <v>0.0</v>
      </c>
      <c r="H1692" s="689">
        <f t="shared" si="84"/>
        <v>0</v>
      </c>
      <c r="I1692" s="599"/>
      <c r="J1692" s="599"/>
      <c r="K1692" s="615" t="s">
        <v>494</v>
      </c>
      <c r="L1692" s="615" t="s">
        <v>745</v>
      </c>
      <c r="M1692" s="621"/>
      <c r="N1692" s="621"/>
      <c r="O1692" s="621"/>
      <c r="P1692" s="706"/>
      <c r="Q1692" s="622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</row>
    <row r="1693" ht="22.5" customHeight="1">
      <c r="A1693" s="614">
        <v>45972.0</v>
      </c>
      <c r="B1693" s="137" t="s">
        <v>2218</v>
      </c>
      <c r="C1693" s="609"/>
      <c r="D1693" s="610">
        <v>2000.0</v>
      </c>
      <c r="E1693" s="604" t="s">
        <v>28</v>
      </c>
      <c r="F1693" s="607" t="s">
        <v>1262</v>
      </c>
      <c r="G1693" s="597">
        <v>0.0</v>
      </c>
      <c r="H1693" s="689">
        <f t="shared" si="84"/>
        <v>0</v>
      </c>
      <c r="I1693" s="599"/>
      <c r="J1693" s="599"/>
      <c r="K1693" s="615" t="s">
        <v>494</v>
      </c>
      <c r="L1693" s="615" t="s">
        <v>745</v>
      </c>
      <c r="M1693" s="621"/>
      <c r="N1693" s="621"/>
      <c r="O1693" s="621"/>
      <c r="P1693" s="706"/>
      <c r="Q1693" s="622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</row>
    <row r="1694" ht="22.5" customHeight="1">
      <c r="A1694" s="614">
        <v>45972.0</v>
      </c>
      <c r="B1694" s="137" t="s">
        <v>2218</v>
      </c>
      <c r="C1694" s="609"/>
      <c r="D1694" s="610">
        <v>217200.0</v>
      </c>
      <c r="E1694" s="604" t="s">
        <v>28</v>
      </c>
      <c r="F1694" s="607" t="s">
        <v>1262</v>
      </c>
      <c r="G1694" s="597">
        <v>0.0</v>
      </c>
      <c r="H1694" s="689">
        <f t="shared" si="84"/>
        <v>0</v>
      </c>
      <c r="I1694" s="599"/>
      <c r="J1694" s="599"/>
      <c r="K1694" s="615" t="s">
        <v>494</v>
      </c>
      <c r="L1694" s="615" t="s">
        <v>691</v>
      </c>
      <c r="M1694" s="621"/>
      <c r="N1694" s="621"/>
      <c r="O1694" s="621"/>
      <c r="P1694" s="706"/>
      <c r="Q1694" s="622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</row>
    <row r="1695" ht="22.5" customHeight="1">
      <c r="A1695" s="614">
        <v>45972.0</v>
      </c>
      <c r="B1695" s="137" t="s">
        <v>2218</v>
      </c>
      <c r="C1695" s="609"/>
      <c r="D1695" s="609"/>
      <c r="E1695" s="604" t="s">
        <v>33</v>
      </c>
      <c r="F1695" s="607" t="s">
        <v>1179</v>
      </c>
      <c r="G1695" s="597">
        <v>0.0</v>
      </c>
      <c r="H1695" s="689">
        <f t="shared" si="84"/>
        <v>0</v>
      </c>
      <c r="I1695" s="599"/>
      <c r="J1695" s="605">
        <v>40000.0</v>
      </c>
      <c r="K1695" s="615" t="s">
        <v>591</v>
      </c>
      <c r="L1695" s="615" t="s">
        <v>1326</v>
      </c>
      <c r="M1695" s="621"/>
      <c r="N1695" s="621"/>
      <c r="O1695" s="621"/>
      <c r="P1695" s="706"/>
      <c r="Q1695" s="622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</row>
    <row r="1696" ht="22.5" customHeight="1">
      <c r="A1696" s="614">
        <v>45972.0</v>
      </c>
      <c r="B1696" s="137" t="s">
        <v>2218</v>
      </c>
      <c r="C1696" s="609"/>
      <c r="D1696" s="609"/>
      <c r="E1696" s="604" t="s">
        <v>33</v>
      </c>
      <c r="F1696" s="607" t="s">
        <v>1179</v>
      </c>
      <c r="G1696" s="597">
        <v>0.0</v>
      </c>
      <c r="H1696" s="689">
        <f t="shared" si="84"/>
        <v>0</v>
      </c>
      <c r="I1696" s="599"/>
      <c r="J1696" s="605">
        <v>15000.0</v>
      </c>
      <c r="K1696" s="615" t="s">
        <v>591</v>
      </c>
      <c r="L1696" s="615" t="s">
        <v>1327</v>
      </c>
      <c r="M1696" s="621"/>
      <c r="N1696" s="621"/>
      <c r="O1696" s="621"/>
      <c r="P1696" s="706"/>
      <c r="Q1696" s="622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</row>
    <row r="1697" ht="22.5" customHeight="1">
      <c r="A1697" s="614">
        <v>45972.0</v>
      </c>
      <c r="B1697" s="137" t="s">
        <v>2218</v>
      </c>
      <c r="C1697" s="609"/>
      <c r="D1697" s="609"/>
      <c r="E1697" s="604" t="s">
        <v>33</v>
      </c>
      <c r="F1697" s="607" t="s">
        <v>1179</v>
      </c>
      <c r="G1697" s="597">
        <v>0.0</v>
      </c>
      <c r="H1697" s="689">
        <f t="shared" si="84"/>
        <v>0</v>
      </c>
      <c r="I1697" s="599"/>
      <c r="J1697" s="605">
        <v>10000.0</v>
      </c>
      <c r="K1697" s="615" t="s">
        <v>591</v>
      </c>
      <c r="L1697" s="615" t="s">
        <v>171</v>
      </c>
      <c r="M1697" s="621"/>
      <c r="N1697" s="621"/>
      <c r="O1697" s="621"/>
      <c r="P1697" s="706"/>
      <c r="Q1697" s="622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</row>
    <row r="1698" ht="22.5" customHeight="1">
      <c r="A1698" s="614">
        <v>45972.0</v>
      </c>
      <c r="B1698" s="137" t="s">
        <v>2218</v>
      </c>
      <c r="C1698" s="609"/>
      <c r="D1698" s="609"/>
      <c r="E1698" s="604" t="s">
        <v>33</v>
      </c>
      <c r="F1698" s="607" t="s">
        <v>1179</v>
      </c>
      <c r="G1698" s="597">
        <v>0.0</v>
      </c>
      <c r="H1698" s="689">
        <f t="shared" si="84"/>
        <v>0</v>
      </c>
      <c r="I1698" s="599"/>
      <c r="J1698" s="605">
        <v>80000.0</v>
      </c>
      <c r="K1698" s="615" t="s">
        <v>591</v>
      </c>
      <c r="L1698" s="615" t="s">
        <v>467</v>
      </c>
      <c r="M1698" s="621"/>
      <c r="N1698" s="621"/>
      <c r="O1698" s="621"/>
      <c r="P1698" s="706"/>
      <c r="Q1698" s="622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</row>
    <row r="1699" ht="22.5" customHeight="1">
      <c r="A1699" s="614">
        <v>45972.0</v>
      </c>
      <c r="B1699" s="137" t="s">
        <v>2218</v>
      </c>
      <c r="C1699" s="609"/>
      <c r="D1699" s="609"/>
      <c r="E1699" s="604" t="s">
        <v>33</v>
      </c>
      <c r="F1699" s="607" t="s">
        <v>1179</v>
      </c>
      <c r="G1699" s="597">
        <v>0.0</v>
      </c>
      <c r="H1699" s="689">
        <f t="shared" si="84"/>
        <v>0</v>
      </c>
      <c r="I1699" s="599"/>
      <c r="J1699" s="605">
        <v>20000.0</v>
      </c>
      <c r="K1699" s="615" t="s">
        <v>591</v>
      </c>
      <c r="L1699" s="615" t="s">
        <v>147</v>
      </c>
      <c r="M1699" s="621"/>
      <c r="N1699" s="621"/>
      <c r="O1699" s="621"/>
      <c r="P1699" s="706"/>
      <c r="Q1699" s="622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</row>
    <row r="1700" ht="22.5" customHeight="1">
      <c r="A1700" s="614">
        <v>45972.0</v>
      </c>
      <c r="B1700" s="137" t="s">
        <v>2218</v>
      </c>
      <c r="C1700" s="609"/>
      <c r="D1700" s="609"/>
      <c r="E1700" s="604" t="s">
        <v>33</v>
      </c>
      <c r="F1700" s="607" t="s">
        <v>1179</v>
      </c>
      <c r="G1700" s="597">
        <v>0.0</v>
      </c>
      <c r="H1700" s="689">
        <f t="shared" si="84"/>
        <v>0</v>
      </c>
      <c r="I1700" s="599"/>
      <c r="J1700" s="605">
        <v>18600.0</v>
      </c>
      <c r="K1700" s="615" t="s">
        <v>108</v>
      </c>
      <c r="L1700" s="615" t="s">
        <v>1328</v>
      </c>
      <c r="M1700" s="621"/>
      <c r="N1700" s="621"/>
      <c r="O1700" s="621"/>
      <c r="P1700" s="706"/>
      <c r="Q1700" s="622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</row>
    <row r="1701" ht="22.5" customHeight="1">
      <c r="A1701" s="614">
        <v>45973.0</v>
      </c>
      <c r="B1701" s="137" t="s">
        <v>2218</v>
      </c>
      <c r="C1701" s="609"/>
      <c r="D1701" s="609"/>
      <c r="E1701" s="604" t="s">
        <v>33</v>
      </c>
      <c r="F1701" s="607" t="s">
        <v>1179</v>
      </c>
      <c r="G1701" s="597">
        <v>0.0</v>
      </c>
      <c r="H1701" s="689">
        <f t="shared" si="84"/>
        <v>0</v>
      </c>
      <c r="I1701" s="599"/>
      <c r="J1701" s="605">
        <v>15000.0</v>
      </c>
      <c r="K1701" s="615" t="s">
        <v>591</v>
      </c>
      <c r="L1701" s="615" t="s">
        <v>1329</v>
      </c>
      <c r="M1701" s="621"/>
      <c r="N1701" s="621"/>
      <c r="O1701" s="621"/>
      <c r="P1701" s="706"/>
      <c r="Q1701" s="622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</row>
    <row r="1702" ht="22.5" customHeight="1">
      <c r="A1702" s="614">
        <v>45974.0</v>
      </c>
      <c r="B1702" s="157" t="s">
        <v>2218</v>
      </c>
      <c r="C1702" s="610">
        <v>69300.0</v>
      </c>
      <c r="D1702" s="609"/>
      <c r="E1702" s="604" t="s">
        <v>28</v>
      </c>
      <c r="F1702" s="627" t="s">
        <v>800</v>
      </c>
      <c r="G1702" s="597">
        <v>20.0</v>
      </c>
      <c r="H1702" s="689">
        <f t="shared" si="84"/>
        <v>11550</v>
      </c>
      <c r="I1702" s="599"/>
      <c r="J1702" s="599"/>
      <c r="K1702" s="615" t="s">
        <v>51</v>
      </c>
      <c r="L1702" s="616" t="s">
        <v>944</v>
      </c>
      <c r="M1702" s="612" t="s">
        <v>607</v>
      </c>
      <c r="N1702" s="612">
        <v>237.0</v>
      </c>
      <c r="O1702" s="662">
        <v>45826.0</v>
      </c>
      <c r="P1702" s="706">
        <f t="shared" ref="P1702:P1709" si="104">TODAY()-O1702-120</f>
        <v>242</v>
      </c>
      <c r="Q1702" s="622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</row>
    <row r="1703" ht="22.5" customHeight="1">
      <c r="A1703" s="614">
        <v>45974.0</v>
      </c>
      <c r="B1703" s="157" t="s">
        <v>2218</v>
      </c>
      <c r="C1703" s="610">
        <v>330000.0</v>
      </c>
      <c r="D1703" s="609"/>
      <c r="E1703" s="604" t="s">
        <v>28</v>
      </c>
      <c r="F1703" s="627" t="s">
        <v>800</v>
      </c>
      <c r="G1703" s="597">
        <v>20.0</v>
      </c>
      <c r="H1703" s="689">
        <f t="shared" si="84"/>
        <v>55000</v>
      </c>
      <c r="I1703" s="599"/>
      <c r="J1703" s="599"/>
      <c r="K1703" s="615" t="s">
        <v>51</v>
      </c>
      <c r="L1703" s="616" t="s">
        <v>944</v>
      </c>
      <c r="M1703" s="612" t="s">
        <v>889</v>
      </c>
      <c r="N1703" s="612">
        <v>238.0</v>
      </c>
      <c r="O1703" s="662">
        <v>45826.0</v>
      </c>
      <c r="P1703" s="706">
        <f t="shared" si="104"/>
        <v>242</v>
      </c>
      <c r="Q1703" s="622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</row>
    <row r="1704" ht="22.5" customHeight="1">
      <c r="A1704" s="614">
        <v>45974.0</v>
      </c>
      <c r="B1704" s="157" t="s">
        <v>2218</v>
      </c>
      <c r="C1704" s="610">
        <v>139293.0</v>
      </c>
      <c r="D1704" s="609"/>
      <c r="E1704" s="604" t="s">
        <v>28</v>
      </c>
      <c r="F1704" s="627" t="s">
        <v>800</v>
      </c>
      <c r="G1704" s="597">
        <v>20.0</v>
      </c>
      <c r="H1704" s="689">
        <f t="shared" si="84"/>
        <v>23215.5</v>
      </c>
      <c r="I1704" s="599"/>
      <c r="J1704" s="599"/>
      <c r="K1704" s="615" t="s">
        <v>51</v>
      </c>
      <c r="L1704" s="616" t="s">
        <v>944</v>
      </c>
      <c r="M1704" s="612" t="s">
        <v>889</v>
      </c>
      <c r="N1704" s="612">
        <v>239.0</v>
      </c>
      <c r="O1704" s="662">
        <v>45826.0</v>
      </c>
      <c r="P1704" s="706">
        <f t="shared" si="104"/>
        <v>242</v>
      </c>
      <c r="Q1704" s="622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</row>
    <row r="1705" ht="22.5" customHeight="1">
      <c r="A1705" s="614">
        <v>45974.0</v>
      </c>
      <c r="B1705" s="157" t="s">
        <v>2218</v>
      </c>
      <c r="C1705" s="610">
        <v>533280.0</v>
      </c>
      <c r="D1705" s="609"/>
      <c r="E1705" s="604" t="s">
        <v>28</v>
      </c>
      <c r="F1705" s="627" t="s">
        <v>800</v>
      </c>
      <c r="G1705" s="597">
        <v>20.0</v>
      </c>
      <c r="H1705" s="689">
        <f t="shared" si="84"/>
        <v>88880</v>
      </c>
      <c r="I1705" s="599"/>
      <c r="J1705" s="599"/>
      <c r="K1705" s="615" t="s">
        <v>51</v>
      </c>
      <c r="L1705" s="616" t="s">
        <v>944</v>
      </c>
      <c r="M1705" s="612" t="s">
        <v>889</v>
      </c>
      <c r="N1705" s="612">
        <v>240.0</v>
      </c>
      <c r="O1705" s="662">
        <v>45826.0</v>
      </c>
      <c r="P1705" s="706">
        <f t="shared" si="104"/>
        <v>242</v>
      </c>
      <c r="Q1705" s="622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</row>
    <row r="1706" ht="22.5" customHeight="1">
      <c r="A1706" s="614">
        <v>45974.0</v>
      </c>
      <c r="B1706" s="157" t="s">
        <v>2218</v>
      </c>
      <c r="C1706" s="610">
        <v>468173.37</v>
      </c>
      <c r="D1706" s="609"/>
      <c r="E1706" s="604" t="s">
        <v>28</v>
      </c>
      <c r="F1706" s="627" t="s">
        <v>800</v>
      </c>
      <c r="G1706" s="597">
        <v>20.0</v>
      </c>
      <c r="H1706" s="689">
        <f t="shared" si="84"/>
        <v>78028.895</v>
      </c>
      <c r="I1706" s="599"/>
      <c r="J1706" s="599"/>
      <c r="K1706" s="615" t="s">
        <v>51</v>
      </c>
      <c r="L1706" s="616" t="s">
        <v>944</v>
      </c>
      <c r="M1706" s="612" t="s">
        <v>607</v>
      </c>
      <c r="N1706" s="612">
        <v>241.0</v>
      </c>
      <c r="O1706" s="662">
        <v>45826.0</v>
      </c>
      <c r="P1706" s="706">
        <f t="shared" si="104"/>
        <v>242</v>
      </c>
      <c r="Q1706" s="622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</row>
    <row r="1707" ht="22.5" customHeight="1">
      <c r="A1707" s="614">
        <v>45974.0</v>
      </c>
      <c r="B1707" s="157" t="s">
        <v>2218</v>
      </c>
      <c r="C1707" s="610">
        <v>139293.0</v>
      </c>
      <c r="D1707" s="609"/>
      <c r="E1707" s="604" t="s">
        <v>28</v>
      </c>
      <c r="F1707" s="627" t="s">
        <v>800</v>
      </c>
      <c r="G1707" s="597">
        <v>20.0</v>
      </c>
      <c r="H1707" s="689">
        <f t="shared" si="84"/>
        <v>23215.5</v>
      </c>
      <c r="I1707" s="599"/>
      <c r="J1707" s="599"/>
      <c r="K1707" s="615" t="s">
        <v>51</v>
      </c>
      <c r="L1707" s="616" t="s">
        <v>944</v>
      </c>
      <c r="M1707" s="612" t="s">
        <v>889</v>
      </c>
      <c r="N1707" s="612">
        <v>242.0</v>
      </c>
      <c r="O1707" s="662">
        <v>45826.0</v>
      </c>
      <c r="P1707" s="706">
        <f t="shared" si="104"/>
        <v>242</v>
      </c>
      <c r="Q1707" s="622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</row>
    <row r="1708" ht="22.5" customHeight="1">
      <c r="A1708" s="614">
        <v>45974.0</v>
      </c>
      <c r="B1708" s="157" t="s">
        <v>2218</v>
      </c>
      <c r="C1708" s="610">
        <v>574712.11</v>
      </c>
      <c r="D1708" s="609"/>
      <c r="E1708" s="604" t="s">
        <v>28</v>
      </c>
      <c r="F1708" s="627" t="s">
        <v>800</v>
      </c>
      <c r="G1708" s="597">
        <v>20.0</v>
      </c>
      <c r="H1708" s="689">
        <f t="shared" si="84"/>
        <v>95785.35167</v>
      </c>
      <c r="I1708" s="599"/>
      <c r="J1708" s="599"/>
      <c r="K1708" s="615" t="s">
        <v>51</v>
      </c>
      <c r="L1708" s="616" t="s">
        <v>944</v>
      </c>
      <c r="M1708" s="612" t="s">
        <v>889</v>
      </c>
      <c r="N1708" s="612">
        <v>243.0</v>
      </c>
      <c r="O1708" s="662">
        <v>45826.0</v>
      </c>
      <c r="P1708" s="706">
        <f t="shared" si="104"/>
        <v>242</v>
      </c>
      <c r="Q1708" s="622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</row>
    <row r="1709" ht="22.5" customHeight="1">
      <c r="A1709" s="614">
        <v>45974.0</v>
      </c>
      <c r="B1709" s="157" t="s">
        <v>2218</v>
      </c>
      <c r="C1709" s="610">
        <v>489876.72</v>
      </c>
      <c r="D1709" s="609"/>
      <c r="E1709" s="604" t="s">
        <v>28</v>
      </c>
      <c r="F1709" s="627" t="s">
        <v>800</v>
      </c>
      <c r="G1709" s="597">
        <v>20.0</v>
      </c>
      <c r="H1709" s="689">
        <f t="shared" si="84"/>
        <v>81646.12</v>
      </c>
      <c r="I1709" s="599"/>
      <c r="J1709" s="599"/>
      <c r="K1709" s="615" t="s">
        <v>51</v>
      </c>
      <c r="L1709" s="616" t="s">
        <v>944</v>
      </c>
      <c r="M1709" s="612" t="s">
        <v>889</v>
      </c>
      <c r="N1709" s="612">
        <v>244.0</v>
      </c>
      <c r="O1709" s="662">
        <v>45826.0</v>
      </c>
      <c r="P1709" s="706">
        <f t="shared" si="104"/>
        <v>242</v>
      </c>
      <c r="Q1709" s="622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</row>
    <row r="1710" ht="22.5" customHeight="1">
      <c r="A1710" s="614">
        <v>45974.0</v>
      </c>
      <c r="B1710" s="137" t="s">
        <v>2218</v>
      </c>
      <c r="C1710" s="609"/>
      <c r="D1710" s="610">
        <v>600.0</v>
      </c>
      <c r="E1710" s="604" t="s">
        <v>28</v>
      </c>
      <c r="F1710" s="607" t="s">
        <v>1179</v>
      </c>
      <c r="G1710" s="597">
        <v>20.0</v>
      </c>
      <c r="H1710" s="689">
        <f t="shared" si="84"/>
        <v>100</v>
      </c>
      <c r="I1710" s="599"/>
      <c r="J1710" s="599"/>
      <c r="K1710" s="615" t="s">
        <v>2237</v>
      </c>
      <c r="L1710" s="615" t="s">
        <v>942</v>
      </c>
      <c r="M1710" s="621"/>
      <c r="N1710" s="621"/>
      <c r="O1710" s="621"/>
      <c r="P1710" s="706"/>
      <c r="Q1710" s="682" t="s">
        <v>1330</v>
      </c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</row>
    <row r="1711" ht="22.5" customHeight="1">
      <c r="A1711" s="614">
        <v>45974.0</v>
      </c>
      <c r="B1711" s="137" t="s">
        <v>2218</v>
      </c>
      <c r="C1711" s="609"/>
      <c r="D1711" s="610">
        <v>60000.0</v>
      </c>
      <c r="E1711" s="604" t="s">
        <v>28</v>
      </c>
      <c r="F1711" s="607" t="s">
        <v>1262</v>
      </c>
      <c r="G1711" s="597">
        <v>20.0</v>
      </c>
      <c r="H1711" s="689">
        <f t="shared" si="84"/>
        <v>10000</v>
      </c>
      <c r="I1711" s="599"/>
      <c r="J1711" s="599"/>
      <c r="K1711" s="615" t="s">
        <v>2237</v>
      </c>
      <c r="L1711" s="615" t="s">
        <v>942</v>
      </c>
      <c r="M1711" s="621"/>
      <c r="N1711" s="621"/>
      <c r="O1711" s="621"/>
      <c r="P1711" s="706"/>
      <c r="Q1711" s="622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</row>
    <row r="1712" ht="22.5" customHeight="1">
      <c r="A1712" s="614">
        <v>45975.0</v>
      </c>
      <c r="B1712" s="137" t="s">
        <v>2218</v>
      </c>
      <c r="C1712" s="609"/>
      <c r="D1712" s="610"/>
      <c r="E1712" s="604" t="s">
        <v>33</v>
      </c>
      <c r="F1712" s="607" t="s">
        <v>1179</v>
      </c>
      <c r="G1712" s="597">
        <v>0.0</v>
      </c>
      <c r="H1712" s="689">
        <f t="shared" si="84"/>
        <v>0</v>
      </c>
      <c r="I1712" s="599"/>
      <c r="J1712" s="701">
        <v>30000.0</v>
      </c>
      <c r="K1712" s="615" t="s">
        <v>591</v>
      </c>
      <c r="L1712" s="615" t="s">
        <v>1331</v>
      </c>
      <c r="M1712" s="621"/>
      <c r="N1712" s="621"/>
      <c r="O1712" s="621"/>
      <c r="P1712" s="706"/>
      <c r="Q1712" s="622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</row>
    <row r="1713" ht="22.5" customHeight="1">
      <c r="A1713" s="614">
        <v>45975.0</v>
      </c>
      <c r="B1713" s="137" t="s">
        <v>2218</v>
      </c>
      <c r="C1713" s="609"/>
      <c r="D1713" s="610"/>
      <c r="E1713" s="604" t="s">
        <v>33</v>
      </c>
      <c r="F1713" s="607" t="s">
        <v>1179</v>
      </c>
      <c r="G1713" s="597">
        <v>0.0</v>
      </c>
      <c r="H1713" s="689">
        <f t="shared" si="84"/>
        <v>0</v>
      </c>
      <c r="I1713" s="599"/>
      <c r="J1713" s="701">
        <v>15000.0</v>
      </c>
      <c r="K1713" s="615" t="s">
        <v>591</v>
      </c>
      <c r="L1713" s="615" t="s">
        <v>1332</v>
      </c>
      <c r="M1713" s="621"/>
      <c r="N1713" s="621"/>
      <c r="O1713" s="621"/>
      <c r="P1713" s="706"/>
      <c r="Q1713" s="622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</row>
    <row r="1714" ht="22.5" customHeight="1">
      <c r="A1714" s="614">
        <v>45978.0</v>
      </c>
      <c r="B1714" s="137" t="s">
        <v>2218</v>
      </c>
      <c r="C1714" s="609"/>
      <c r="D1714" s="609"/>
      <c r="E1714" s="604" t="s">
        <v>33</v>
      </c>
      <c r="F1714" s="607" t="s">
        <v>1262</v>
      </c>
      <c r="G1714" s="597">
        <v>0.0</v>
      </c>
      <c r="H1714" s="689">
        <f t="shared" si="84"/>
        <v>0</v>
      </c>
      <c r="I1714" s="599"/>
      <c r="J1714" s="605">
        <v>15000.0</v>
      </c>
      <c r="K1714" s="615" t="s">
        <v>108</v>
      </c>
      <c r="L1714" s="615" t="s">
        <v>1333</v>
      </c>
      <c r="M1714" s="621"/>
      <c r="N1714" s="621"/>
      <c r="O1714" s="621"/>
      <c r="P1714" s="706"/>
      <c r="Q1714" s="622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</row>
    <row r="1715" ht="22.5" customHeight="1">
      <c r="A1715" s="614">
        <v>45978.0</v>
      </c>
      <c r="B1715" s="137" t="s">
        <v>2218</v>
      </c>
      <c r="C1715" s="609"/>
      <c r="D1715" s="609"/>
      <c r="E1715" s="604" t="s">
        <v>33</v>
      </c>
      <c r="F1715" s="607" t="s">
        <v>1179</v>
      </c>
      <c r="G1715" s="597">
        <v>0.0</v>
      </c>
      <c r="H1715" s="689">
        <f t="shared" si="84"/>
        <v>0</v>
      </c>
      <c r="I1715" s="599"/>
      <c r="J1715" s="605">
        <v>105000.0</v>
      </c>
      <c r="K1715" s="615" t="s">
        <v>591</v>
      </c>
      <c r="L1715" s="615" t="s">
        <v>1334</v>
      </c>
      <c r="M1715" s="621"/>
      <c r="N1715" s="621"/>
      <c r="O1715" s="621"/>
      <c r="P1715" s="706"/>
      <c r="Q1715" s="622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</row>
    <row r="1716" ht="22.5" customHeight="1">
      <c r="A1716" s="614">
        <v>45978.0</v>
      </c>
      <c r="B1716" s="137" t="s">
        <v>2218</v>
      </c>
      <c r="C1716" s="609"/>
      <c r="D1716" s="609"/>
      <c r="E1716" s="604" t="s">
        <v>33</v>
      </c>
      <c r="F1716" s="607" t="s">
        <v>1262</v>
      </c>
      <c r="G1716" s="597">
        <v>0.0</v>
      </c>
      <c r="H1716" s="689">
        <f t="shared" si="84"/>
        <v>0</v>
      </c>
      <c r="I1716" s="599"/>
      <c r="J1716" s="605">
        <v>50000.0</v>
      </c>
      <c r="K1716" s="615" t="s">
        <v>591</v>
      </c>
      <c r="L1716" s="615" t="s">
        <v>128</v>
      </c>
      <c r="M1716" s="621"/>
      <c r="N1716" s="621"/>
      <c r="O1716" s="621"/>
      <c r="P1716" s="706"/>
      <c r="Q1716" s="622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</row>
    <row r="1717" ht="22.5" customHeight="1">
      <c r="A1717" s="614">
        <v>45979.0</v>
      </c>
      <c r="B1717" s="137" t="s">
        <v>2218</v>
      </c>
      <c r="C1717" s="609"/>
      <c r="D1717" s="610">
        <v>184417.19</v>
      </c>
      <c r="E1717" s="604" t="s">
        <v>28</v>
      </c>
      <c r="F1717" s="607" t="s">
        <v>1179</v>
      </c>
      <c r="G1717" s="597">
        <v>20.0</v>
      </c>
      <c r="H1717" s="689">
        <f t="shared" si="84"/>
        <v>30736.19833</v>
      </c>
      <c r="I1717" s="599"/>
      <c r="J1717" s="599"/>
      <c r="K1717" s="615" t="s">
        <v>2237</v>
      </c>
      <c r="L1717" s="615" t="s">
        <v>1335</v>
      </c>
      <c r="M1717" s="621"/>
      <c r="N1717" s="621"/>
      <c r="O1717" s="621"/>
      <c r="P1717" s="706"/>
      <c r="Q1717" s="622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</row>
    <row r="1718" ht="22.5" customHeight="1">
      <c r="A1718" s="614">
        <v>45979.0</v>
      </c>
      <c r="B1718" s="137" t="s">
        <v>2218</v>
      </c>
      <c r="C1718" s="609"/>
      <c r="D1718" s="610">
        <v>125374.0</v>
      </c>
      <c r="E1718" s="604" t="s">
        <v>28</v>
      </c>
      <c r="F1718" s="607" t="s">
        <v>608</v>
      </c>
      <c r="G1718" s="597">
        <v>0.0</v>
      </c>
      <c r="H1718" s="689">
        <f t="shared" si="84"/>
        <v>0</v>
      </c>
      <c r="I1718" s="599"/>
      <c r="J1718" s="599"/>
      <c r="K1718" s="615" t="s">
        <v>2240</v>
      </c>
      <c r="L1718" s="615" t="s">
        <v>1336</v>
      </c>
      <c r="M1718" s="621"/>
      <c r="N1718" s="621"/>
      <c r="O1718" s="621"/>
      <c r="P1718" s="706"/>
      <c r="Q1718" s="622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</row>
    <row r="1719" ht="22.5" customHeight="1">
      <c r="A1719" s="614">
        <v>45979.0</v>
      </c>
      <c r="B1719" s="137" t="s">
        <v>2218</v>
      </c>
      <c r="C1719" s="609"/>
      <c r="D1719" s="610">
        <v>516000.0</v>
      </c>
      <c r="E1719" s="604" t="s">
        <v>28</v>
      </c>
      <c r="F1719" s="607" t="s">
        <v>1179</v>
      </c>
      <c r="G1719" s="597">
        <v>20.0</v>
      </c>
      <c r="H1719" s="689">
        <f t="shared" si="84"/>
        <v>86000</v>
      </c>
      <c r="I1719" s="599"/>
      <c r="J1719" s="599"/>
      <c r="K1719" s="615" t="s">
        <v>2237</v>
      </c>
      <c r="L1719" s="615" t="s">
        <v>942</v>
      </c>
      <c r="M1719" s="621"/>
      <c r="N1719" s="621"/>
      <c r="O1719" s="621"/>
      <c r="P1719" s="706"/>
      <c r="Q1719" s="682" t="s">
        <v>1337</v>
      </c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</row>
    <row r="1720" ht="22.5" customHeight="1">
      <c r="A1720" s="614">
        <v>45981.0</v>
      </c>
      <c r="B1720" s="157" t="s">
        <v>2218</v>
      </c>
      <c r="C1720" s="610">
        <v>626466.53</v>
      </c>
      <c r="D1720" s="609"/>
      <c r="E1720" s="703" t="s">
        <v>28</v>
      </c>
      <c r="F1720" s="627" t="s">
        <v>897</v>
      </c>
      <c r="G1720" s="597">
        <v>20.0</v>
      </c>
      <c r="H1720" s="689">
        <f t="shared" si="84"/>
        <v>104411.0883</v>
      </c>
      <c r="I1720" s="599"/>
      <c r="J1720" s="599"/>
      <c r="K1720" s="672" t="s">
        <v>51</v>
      </c>
      <c r="L1720" s="616" t="s">
        <v>1014</v>
      </c>
      <c r="M1720" s="612" t="s">
        <v>1338</v>
      </c>
      <c r="N1720" s="612">
        <v>248.0</v>
      </c>
      <c r="O1720" s="662">
        <v>45842.0</v>
      </c>
      <c r="P1720" s="706">
        <f t="shared" ref="P1720:P1725" si="105">TODAY()-O1720-60</f>
        <v>286</v>
      </c>
      <c r="Q1720" s="622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</row>
    <row r="1721" ht="22.5" customHeight="1">
      <c r="A1721" s="614">
        <v>45981.0</v>
      </c>
      <c r="B1721" s="157" t="s">
        <v>2218</v>
      </c>
      <c r="C1721" s="610">
        <v>604968.0</v>
      </c>
      <c r="D1721" s="609"/>
      <c r="E1721" s="703" t="s">
        <v>28</v>
      </c>
      <c r="F1721" s="627" t="s">
        <v>897</v>
      </c>
      <c r="G1721" s="597">
        <v>20.0</v>
      </c>
      <c r="H1721" s="689">
        <f t="shared" si="84"/>
        <v>100828</v>
      </c>
      <c r="I1721" s="599"/>
      <c r="J1721" s="599"/>
      <c r="K1721" s="615" t="s">
        <v>51</v>
      </c>
      <c r="L1721" s="616" t="s">
        <v>1014</v>
      </c>
      <c r="M1721" s="612" t="s">
        <v>1339</v>
      </c>
      <c r="N1721" s="612">
        <v>252.0</v>
      </c>
      <c r="O1721" s="662">
        <v>45842.0</v>
      </c>
      <c r="P1721" s="706">
        <f t="shared" si="105"/>
        <v>286</v>
      </c>
      <c r="Q1721" s="622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</row>
    <row r="1722" ht="22.5" customHeight="1">
      <c r="A1722" s="614">
        <v>45981.0</v>
      </c>
      <c r="B1722" s="157" t="s">
        <v>2218</v>
      </c>
      <c r="C1722" s="610">
        <v>600432.0</v>
      </c>
      <c r="D1722" s="609"/>
      <c r="E1722" s="703" t="s">
        <v>28</v>
      </c>
      <c r="F1722" s="627" t="s">
        <v>897</v>
      </c>
      <c r="G1722" s="597">
        <v>20.0</v>
      </c>
      <c r="H1722" s="689">
        <f t="shared" si="84"/>
        <v>100072</v>
      </c>
      <c r="I1722" s="599"/>
      <c r="J1722" s="599"/>
      <c r="K1722" s="615" t="s">
        <v>51</v>
      </c>
      <c r="L1722" s="616" t="s">
        <v>1014</v>
      </c>
      <c r="M1722" s="612" t="s">
        <v>1340</v>
      </c>
      <c r="N1722" s="612">
        <v>253.0</v>
      </c>
      <c r="O1722" s="662">
        <v>45842.0</v>
      </c>
      <c r="P1722" s="706">
        <f t="shared" si="105"/>
        <v>286</v>
      </c>
      <c r="Q1722" s="622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</row>
    <row r="1723" ht="22.5" customHeight="1">
      <c r="A1723" s="614">
        <v>45981.0</v>
      </c>
      <c r="B1723" s="157" t="s">
        <v>2218</v>
      </c>
      <c r="C1723" s="610">
        <v>608160.0</v>
      </c>
      <c r="D1723" s="609"/>
      <c r="E1723" s="703" t="s">
        <v>28</v>
      </c>
      <c r="F1723" s="627" t="s">
        <v>897</v>
      </c>
      <c r="G1723" s="597">
        <v>20.0</v>
      </c>
      <c r="H1723" s="689">
        <f t="shared" si="84"/>
        <v>101360</v>
      </c>
      <c r="I1723" s="599"/>
      <c r="J1723" s="599"/>
      <c r="K1723" s="615" t="s">
        <v>51</v>
      </c>
      <c r="L1723" s="616" t="s">
        <v>1014</v>
      </c>
      <c r="M1723" s="612" t="s">
        <v>1341</v>
      </c>
      <c r="N1723" s="612">
        <v>254.0</v>
      </c>
      <c r="O1723" s="662">
        <v>45842.0</v>
      </c>
      <c r="P1723" s="706">
        <f t="shared" si="105"/>
        <v>286</v>
      </c>
      <c r="Q1723" s="622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</row>
    <row r="1724" ht="22.5" customHeight="1">
      <c r="A1724" s="614">
        <v>45981.0</v>
      </c>
      <c r="B1724" s="157" t="s">
        <v>2218</v>
      </c>
      <c r="C1724" s="610">
        <v>608160.0</v>
      </c>
      <c r="D1724" s="609"/>
      <c r="E1724" s="703" t="s">
        <v>28</v>
      </c>
      <c r="F1724" s="627" t="s">
        <v>897</v>
      </c>
      <c r="G1724" s="597">
        <v>20.0</v>
      </c>
      <c r="H1724" s="689">
        <f t="shared" si="84"/>
        <v>101360</v>
      </c>
      <c r="I1724" s="599"/>
      <c r="J1724" s="599"/>
      <c r="K1724" s="615" t="s">
        <v>51</v>
      </c>
      <c r="L1724" s="616" t="s">
        <v>1014</v>
      </c>
      <c r="M1724" s="612" t="s">
        <v>1342</v>
      </c>
      <c r="N1724" s="612">
        <v>255.0</v>
      </c>
      <c r="O1724" s="662">
        <v>45842.0</v>
      </c>
      <c r="P1724" s="706">
        <f t="shared" si="105"/>
        <v>286</v>
      </c>
      <c r="Q1724" s="622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</row>
    <row r="1725" ht="22.5" customHeight="1">
      <c r="A1725" s="614">
        <v>45981.0</v>
      </c>
      <c r="B1725" s="157" t="s">
        <v>2218</v>
      </c>
      <c r="C1725" s="610">
        <v>604800.0</v>
      </c>
      <c r="D1725" s="609"/>
      <c r="E1725" s="703" t="s">
        <v>28</v>
      </c>
      <c r="F1725" s="627" t="s">
        <v>897</v>
      </c>
      <c r="G1725" s="597">
        <v>20.0</v>
      </c>
      <c r="H1725" s="689">
        <f t="shared" si="84"/>
        <v>100800</v>
      </c>
      <c r="I1725" s="599"/>
      <c r="J1725" s="599"/>
      <c r="K1725" s="615" t="s">
        <v>51</v>
      </c>
      <c r="L1725" s="616" t="s">
        <v>1014</v>
      </c>
      <c r="M1725" s="612" t="s">
        <v>1343</v>
      </c>
      <c r="N1725" s="612">
        <v>256.0</v>
      </c>
      <c r="O1725" s="662">
        <v>45842.0</v>
      </c>
      <c r="P1725" s="706">
        <f t="shared" si="105"/>
        <v>286</v>
      </c>
      <c r="Q1725" s="622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</row>
    <row r="1726" ht="22.5" customHeight="1">
      <c r="A1726" s="614">
        <v>45981.0</v>
      </c>
      <c r="B1726" s="137" t="s">
        <v>2218</v>
      </c>
      <c r="C1726" s="609"/>
      <c r="D1726" s="610">
        <v>180000.0</v>
      </c>
      <c r="E1726" s="604" t="s">
        <v>28</v>
      </c>
      <c r="F1726" s="607" t="s">
        <v>1179</v>
      </c>
      <c r="G1726" s="664"/>
      <c r="H1726" s="665"/>
      <c r="I1726" s="599"/>
      <c r="J1726" s="599"/>
      <c r="K1726" s="615" t="s">
        <v>2240</v>
      </c>
      <c r="L1726" s="615" t="s">
        <v>1344</v>
      </c>
      <c r="M1726" s="621"/>
      <c r="N1726" s="621"/>
      <c r="O1726" s="621"/>
      <c r="P1726" s="706"/>
      <c r="Q1726" s="613" t="s">
        <v>1345</v>
      </c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</row>
    <row r="1727" ht="22.5" customHeight="1">
      <c r="A1727" s="614">
        <v>45985.0</v>
      </c>
      <c r="B1727" s="137" t="s">
        <v>2218</v>
      </c>
      <c r="C1727" s="610">
        <v>1050000.0</v>
      </c>
      <c r="D1727" s="609"/>
      <c r="E1727" s="604" t="s">
        <v>28</v>
      </c>
      <c r="F1727" s="607" t="s">
        <v>1179</v>
      </c>
      <c r="G1727" s="597">
        <v>20.0</v>
      </c>
      <c r="H1727" s="689">
        <f t="shared" ref="H1727:H1762" si="106">SUM(C1727:D1727)*G1727/(G1727+100)</f>
        <v>175000</v>
      </c>
      <c r="I1727" s="599"/>
      <c r="J1727" s="599"/>
      <c r="K1727" s="672" t="s">
        <v>51</v>
      </c>
      <c r="L1727" s="615" t="s">
        <v>605</v>
      </c>
      <c r="M1727" s="612" t="s">
        <v>754</v>
      </c>
      <c r="N1727" s="612">
        <v>368.0</v>
      </c>
      <c r="O1727" s="662">
        <v>45968.0</v>
      </c>
      <c r="P1727" s="706"/>
      <c r="Q1727" s="622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</row>
    <row r="1728" ht="22.5" customHeight="1">
      <c r="A1728" s="614">
        <v>45985.0</v>
      </c>
      <c r="B1728" s="137" t="s">
        <v>2218</v>
      </c>
      <c r="C1728" s="609"/>
      <c r="D1728" s="610">
        <f>1191002.89+16026+367.47</f>
        <v>1207396.36</v>
      </c>
      <c r="E1728" s="604" t="s">
        <v>28</v>
      </c>
      <c r="F1728" s="607" t="s">
        <v>608</v>
      </c>
      <c r="G1728" s="597">
        <v>0.0</v>
      </c>
      <c r="H1728" s="689">
        <f t="shared" si="106"/>
        <v>0</v>
      </c>
      <c r="I1728" s="599"/>
      <c r="J1728" s="599"/>
      <c r="K1728" s="615" t="s">
        <v>190</v>
      </c>
      <c r="L1728" s="615" t="s">
        <v>190</v>
      </c>
      <c r="M1728" s="621"/>
      <c r="N1728" s="621"/>
      <c r="O1728" s="621"/>
      <c r="P1728" s="706"/>
      <c r="Q1728" s="622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</row>
    <row r="1729" ht="22.5" customHeight="1">
      <c r="A1729" s="614">
        <v>45985.0</v>
      </c>
      <c r="B1729" s="137" t="s">
        <v>2218</v>
      </c>
      <c r="C1729" s="609"/>
      <c r="D1729" s="609"/>
      <c r="E1729" s="604" t="s">
        <v>33</v>
      </c>
      <c r="F1729" s="607" t="s">
        <v>1179</v>
      </c>
      <c r="G1729" s="597">
        <v>0.0</v>
      </c>
      <c r="H1729" s="689">
        <f t="shared" si="106"/>
        <v>0</v>
      </c>
      <c r="I1729" s="599"/>
      <c r="J1729" s="605">
        <v>30000.0</v>
      </c>
      <c r="K1729" s="615" t="s">
        <v>591</v>
      </c>
      <c r="L1729" s="615" t="s">
        <v>1347</v>
      </c>
      <c r="M1729" s="621"/>
      <c r="N1729" s="621"/>
      <c r="O1729" s="621"/>
      <c r="P1729" s="706"/>
      <c r="Q1729" s="622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</row>
    <row r="1730" ht="22.5" customHeight="1">
      <c r="A1730" s="614">
        <v>45985.0</v>
      </c>
      <c r="B1730" s="137" t="s">
        <v>2218</v>
      </c>
      <c r="C1730" s="609"/>
      <c r="D1730" s="609"/>
      <c r="E1730" s="604" t="s">
        <v>33</v>
      </c>
      <c r="F1730" s="607" t="s">
        <v>608</v>
      </c>
      <c r="G1730" s="597">
        <v>0.0</v>
      </c>
      <c r="H1730" s="689">
        <f t="shared" si="106"/>
        <v>0</v>
      </c>
      <c r="I1730" s="599"/>
      <c r="J1730" s="605">
        <v>60000.0</v>
      </c>
      <c r="K1730" s="615" t="s">
        <v>1181</v>
      </c>
      <c r="L1730" s="615" t="s">
        <v>1348</v>
      </c>
      <c r="M1730" s="621"/>
      <c r="N1730" s="621"/>
      <c r="O1730" s="621"/>
      <c r="P1730" s="706"/>
      <c r="Q1730" s="622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</row>
    <row r="1731" ht="22.5" customHeight="1">
      <c r="A1731" s="614">
        <v>45987.0</v>
      </c>
      <c r="B1731" s="137" t="s">
        <v>2218</v>
      </c>
      <c r="C1731" s="609"/>
      <c r="D1731" s="610">
        <v>300000.0</v>
      </c>
      <c r="E1731" s="604" t="s">
        <v>28</v>
      </c>
      <c r="F1731" s="607" t="s">
        <v>608</v>
      </c>
      <c r="G1731" s="597">
        <v>20.0</v>
      </c>
      <c r="H1731" s="689">
        <f t="shared" si="106"/>
        <v>50000</v>
      </c>
      <c r="I1731" s="599"/>
      <c r="J1731" s="599"/>
      <c r="K1731" s="615" t="s">
        <v>2237</v>
      </c>
      <c r="L1731" s="615" t="s">
        <v>942</v>
      </c>
      <c r="M1731" s="621"/>
      <c r="N1731" s="621"/>
      <c r="O1731" s="621"/>
      <c r="P1731" s="706"/>
      <c r="Q1731" s="622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</row>
    <row r="1732" ht="22.5" customHeight="1">
      <c r="A1732" s="614">
        <v>45987.0</v>
      </c>
      <c r="B1732" s="137" t="s">
        <v>2218</v>
      </c>
      <c r="C1732" s="609"/>
      <c r="D1732" s="610">
        <v>32100.0</v>
      </c>
      <c r="E1732" s="604" t="s">
        <v>28</v>
      </c>
      <c r="F1732" s="607" t="s">
        <v>608</v>
      </c>
      <c r="G1732" s="597">
        <v>0.0</v>
      </c>
      <c r="H1732" s="689">
        <f t="shared" si="106"/>
        <v>0</v>
      </c>
      <c r="I1732" s="599"/>
      <c r="J1732" s="599"/>
      <c r="K1732" s="615" t="s">
        <v>2240</v>
      </c>
      <c r="L1732" s="615" t="s">
        <v>1349</v>
      </c>
      <c r="M1732" s="621"/>
      <c r="N1732" s="621"/>
      <c r="O1732" s="621"/>
      <c r="P1732" s="706"/>
      <c r="Q1732" s="613" t="s">
        <v>1350</v>
      </c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</row>
    <row r="1733" ht="22.5" customHeight="1">
      <c r="A1733" s="614">
        <v>45989.0</v>
      </c>
      <c r="B1733" s="157" t="s">
        <v>2218</v>
      </c>
      <c r="C1733" s="610">
        <v>367403.85</v>
      </c>
      <c r="D1733" s="610"/>
      <c r="E1733" s="604" t="s">
        <v>28</v>
      </c>
      <c r="F1733" s="627" t="s">
        <v>941</v>
      </c>
      <c r="G1733" s="597">
        <v>20.0</v>
      </c>
      <c r="H1733" s="689">
        <f t="shared" si="106"/>
        <v>61233.975</v>
      </c>
      <c r="I1733" s="599"/>
      <c r="J1733" s="599"/>
      <c r="K1733" s="615" t="s">
        <v>51</v>
      </c>
      <c r="L1733" s="616" t="s">
        <v>944</v>
      </c>
      <c r="M1733" s="612" t="s">
        <v>1131</v>
      </c>
      <c r="N1733" s="612">
        <v>302.0</v>
      </c>
      <c r="O1733" s="662">
        <v>45884.0</v>
      </c>
      <c r="P1733" s="706">
        <f t="shared" ref="P1733:P1734" si="107">TODAY()-O1733-120</f>
        <v>184</v>
      </c>
      <c r="Q1733" s="622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</row>
    <row r="1734" ht="22.5" customHeight="1">
      <c r="A1734" s="614">
        <v>45989.0</v>
      </c>
      <c r="B1734" s="157" t="s">
        <v>2218</v>
      </c>
      <c r="C1734" s="610">
        <v>660000.0</v>
      </c>
      <c r="D1734" s="610"/>
      <c r="E1734" s="604" t="s">
        <v>28</v>
      </c>
      <c r="F1734" s="627" t="s">
        <v>941</v>
      </c>
      <c r="G1734" s="597">
        <v>20.0</v>
      </c>
      <c r="H1734" s="689">
        <f t="shared" si="106"/>
        <v>110000</v>
      </c>
      <c r="I1734" s="599"/>
      <c r="J1734" s="599"/>
      <c r="K1734" s="615" t="s">
        <v>51</v>
      </c>
      <c r="L1734" s="616" t="s">
        <v>944</v>
      </c>
      <c r="M1734" s="612" t="s">
        <v>1131</v>
      </c>
      <c r="N1734" s="612">
        <v>303.0</v>
      </c>
      <c r="O1734" s="662">
        <v>45884.0</v>
      </c>
      <c r="P1734" s="706">
        <f t="shared" si="107"/>
        <v>184</v>
      </c>
      <c r="Q1734" s="622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</row>
    <row r="1735" ht="22.5" customHeight="1">
      <c r="A1735" s="614">
        <v>45989.0</v>
      </c>
      <c r="B1735" s="137" t="s">
        <v>2218</v>
      </c>
      <c r="C1735" s="610">
        <v>842000.44</v>
      </c>
      <c r="D1735" s="610"/>
      <c r="E1735" s="604" t="s">
        <v>28</v>
      </c>
      <c r="F1735" s="607" t="s">
        <v>1002</v>
      </c>
      <c r="G1735" s="597">
        <v>20.0</v>
      </c>
      <c r="H1735" s="689">
        <f t="shared" si="106"/>
        <v>140333.4067</v>
      </c>
      <c r="I1735" s="599"/>
      <c r="J1735" s="599"/>
      <c r="K1735" s="615" t="s">
        <v>51</v>
      </c>
      <c r="L1735" s="615" t="s">
        <v>539</v>
      </c>
      <c r="M1735" s="612" t="s">
        <v>1351</v>
      </c>
      <c r="N1735" s="612">
        <v>314.0</v>
      </c>
      <c r="O1735" s="662">
        <v>45910.0</v>
      </c>
      <c r="P1735" s="706">
        <f t="shared" ref="P1735:P1736" si="108">TODAY()-O1735-60</f>
        <v>218</v>
      </c>
      <c r="Q1735" s="622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</row>
    <row r="1736" ht="22.5" customHeight="1">
      <c r="A1736" s="614">
        <v>45989.0</v>
      </c>
      <c r="B1736" s="137" t="s">
        <v>2218</v>
      </c>
      <c r="C1736" s="610">
        <v>842000.44</v>
      </c>
      <c r="D1736" s="609"/>
      <c r="E1736" s="604" t="s">
        <v>28</v>
      </c>
      <c r="F1736" s="607" t="s">
        <v>1099</v>
      </c>
      <c r="G1736" s="597">
        <v>20.0</v>
      </c>
      <c r="H1736" s="689">
        <f t="shared" si="106"/>
        <v>140333.4067</v>
      </c>
      <c r="I1736" s="599"/>
      <c r="J1736" s="599"/>
      <c r="K1736" s="672" t="s">
        <v>51</v>
      </c>
      <c r="L1736" s="615" t="s">
        <v>539</v>
      </c>
      <c r="M1736" s="612" t="s">
        <v>1352</v>
      </c>
      <c r="N1736" s="612">
        <v>347.0</v>
      </c>
      <c r="O1736" s="668">
        <v>45940.0</v>
      </c>
      <c r="P1736" s="706">
        <f t="shared" si="108"/>
        <v>188</v>
      </c>
      <c r="Q1736" s="622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</row>
    <row r="1737" ht="22.5" customHeight="1">
      <c r="A1737" s="614">
        <v>45989.0</v>
      </c>
      <c r="B1737" s="137" t="s">
        <v>2218</v>
      </c>
      <c r="C1737" s="610">
        <v>696005.4</v>
      </c>
      <c r="D1737" s="609"/>
      <c r="E1737" s="604" t="s">
        <v>28</v>
      </c>
      <c r="F1737" s="607" t="s">
        <v>1179</v>
      </c>
      <c r="G1737" s="597">
        <v>20.0</v>
      </c>
      <c r="H1737" s="689">
        <f t="shared" si="106"/>
        <v>116000.9</v>
      </c>
      <c r="I1737" s="599"/>
      <c r="J1737" s="599"/>
      <c r="K1737" s="672" t="s">
        <v>51</v>
      </c>
      <c r="L1737" s="615" t="s">
        <v>539</v>
      </c>
      <c r="M1737" s="612" t="s">
        <v>1353</v>
      </c>
      <c r="N1737" s="612">
        <v>388.0</v>
      </c>
      <c r="O1737" s="668">
        <v>45972.0</v>
      </c>
      <c r="P1737" s="706"/>
      <c r="Q1737" s="622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</row>
    <row r="1738" ht="22.5" customHeight="1">
      <c r="A1738" s="614">
        <v>45989.0</v>
      </c>
      <c r="B1738" s="137" t="s">
        <v>2218</v>
      </c>
      <c r="C1738" s="609"/>
      <c r="D1738" s="610">
        <v>292626.0</v>
      </c>
      <c r="E1738" s="604" t="s">
        <v>28</v>
      </c>
      <c r="F1738" s="607" t="s">
        <v>608</v>
      </c>
      <c r="G1738" s="597">
        <v>0.0</v>
      </c>
      <c r="H1738" s="689">
        <f t="shared" si="106"/>
        <v>0</v>
      </c>
      <c r="I1738" s="599"/>
      <c r="J1738" s="599"/>
      <c r="K1738" s="615" t="s">
        <v>236</v>
      </c>
      <c r="L1738" s="615" t="s">
        <v>72</v>
      </c>
      <c r="M1738" s="621"/>
      <c r="N1738" s="621"/>
      <c r="O1738" s="621"/>
      <c r="P1738" s="706"/>
      <c r="Q1738" s="613" t="s">
        <v>748</v>
      </c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</row>
    <row r="1739" ht="22.5" customHeight="1">
      <c r="A1739" s="614">
        <v>45989.0</v>
      </c>
      <c r="B1739" s="139" t="s">
        <v>2218</v>
      </c>
      <c r="C1739" s="609"/>
      <c r="D1739" s="610">
        <v>2800000.0</v>
      </c>
      <c r="E1739" s="604" t="s">
        <v>28</v>
      </c>
      <c r="F1739" s="627" t="s">
        <v>674</v>
      </c>
      <c r="G1739" s="597">
        <v>20.0</v>
      </c>
      <c r="H1739" s="689">
        <f t="shared" si="106"/>
        <v>466666.6667</v>
      </c>
      <c r="I1739" s="599"/>
      <c r="J1739" s="599"/>
      <c r="K1739" s="615" t="s">
        <v>101</v>
      </c>
      <c r="L1739" s="698" t="s">
        <v>725</v>
      </c>
      <c r="M1739" s="621"/>
      <c r="N1739" s="621"/>
      <c r="O1739" s="621"/>
      <c r="P1739" s="706"/>
      <c r="Q1739" s="682" t="s">
        <v>1354</v>
      </c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</row>
    <row r="1740" ht="22.5" customHeight="1">
      <c r="A1740" s="614">
        <v>45989.0</v>
      </c>
      <c r="B1740" s="137" t="s">
        <v>2218</v>
      </c>
      <c r="C1740" s="609"/>
      <c r="D1740" s="610">
        <v>356127.54</v>
      </c>
      <c r="E1740" s="604" t="s">
        <v>28</v>
      </c>
      <c r="F1740" s="627" t="s">
        <v>897</v>
      </c>
      <c r="G1740" s="597">
        <v>0.0</v>
      </c>
      <c r="H1740" s="689">
        <f t="shared" si="106"/>
        <v>0</v>
      </c>
      <c r="I1740" s="599"/>
      <c r="J1740" s="599"/>
      <c r="K1740" s="615" t="s">
        <v>93</v>
      </c>
      <c r="L1740" s="713" t="s">
        <v>516</v>
      </c>
      <c r="M1740" s="621"/>
      <c r="N1740" s="621"/>
      <c r="O1740" s="621"/>
      <c r="P1740" s="706"/>
      <c r="Q1740" s="622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</row>
    <row r="1741" ht="22.5" customHeight="1">
      <c r="A1741" s="614">
        <v>45989.0</v>
      </c>
      <c r="B1741" s="137" t="s">
        <v>2218</v>
      </c>
      <c r="C1741" s="609"/>
      <c r="D1741" s="610">
        <v>550000.0</v>
      </c>
      <c r="E1741" s="604" t="s">
        <v>28</v>
      </c>
      <c r="F1741" s="607" t="s">
        <v>1179</v>
      </c>
      <c r="G1741" s="597">
        <v>0.0</v>
      </c>
      <c r="H1741" s="689">
        <f t="shared" si="106"/>
        <v>0</v>
      </c>
      <c r="I1741" s="599"/>
      <c r="J1741" s="599"/>
      <c r="K1741" s="615" t="s">
        <v>2010</v>
      </c>
      <c r="L1741" s="615" t="s">
        <v>505</v>
      </c>
      <c r="M1741" s="621"/>
      <c r="N1741" s="621"/>
      <c r="O1741" s="621"/>
      <c r="P1741" s="706"/>
      <c r="Q1741" s="682" t="s">
        <v>1355</v>
      </c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</row>
    <row r="1742" ht="22.5" customHeight="1">
      <c r="A1742" s="614">
        <v>45989.0</v>
      </c>
      <c r="B1742" s="137" t="s">
        <v>2218</v>
      </c>
      <c r="C1742" s="610">
        <v>1200150.0</v>
      </c>
      <c r="D1742" s="609"/>
      <c r="E1742" s="604" t="s">
        <v>376</v>
      </c>
      <c r="F1742" s="607" t="s">
        <v>1179</v>
      </c>
      <c r="G1742" s="597">
        <v>20.0</v>
      </c>
      <c r="H1742" s="689">
        <f t="shared" si="106"/>
        <v>200025</v>
      </c>
      <c r="I1742" s="599"/>
      <c r="J1742" s="599"/>
      <c r="K1742" s="672" t="s">
        <v>51</v>
      </c>
      <c r="L1742" s="615" t="s">
        <v>641</v>
      </c>
      <c r="M1742" s="612" t="s">
        <v>1077</v>
      </c>
      <c r="N1742" s="612">
        <v>375.0</v>
      </c>
      <c r="O1742" s="662">
        <v>45968.0</v>
      </c>
      <c r="P1742" s="706"/>
      <c r="Q1742" s="622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</row>
    <row r="1743" ht="22.5" customHeight="1">
      <c r="A1743" s="614">
        <v>45989.0</v>
      </c>
      <c r="B1743" s="137" t="s">
        <v>2218</v>
      </c>
      <c r="C1743" s="609"/>
      <c r="D1743" s="610">
        <v>2400000.0</v>
      </c>
      <c r="E1743" s="604" t="s">
        <v>28</v>
      </c>
      <c r="F1743" s="607" t="s">
        <v>608</v>
      </c>
      <c r="G1743" s="597">
        <v>20.0</v>
      </c>
      <c r="H1743" s="689">
        <f t="shared" si="106"/>
        <v>400000</v>
      </c>
      <c r="I1743" s="599"/>
      <c r="J1743" s="599"/>
      <c r="K1743" s="615" t="s">
        <v>48</v>
      </c>
      <c r="L1743" s="611"/>
      <c r="M1743" s="621"/>
      <c r="N1743" s="621"/>
      <c r="O1743" s="621"/>
      <c r="P1743" s="706"/>
      <c r="Q1743" s="622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</row>
    <row r="1744" ht="22.5" customHeight="1">
      <c r="A1744" s="614">
        <v>45989.0</v>
      </c>
      <c r="B1744" s="137" t="s">
        <v>2218</v>
      </c>
      <c r="C1744" s="609"/>
      <c r="D1744" s="609"/>
      <c r="E1744" s="604" t="s">
        <v>33</v>
      </c>
      <c r="F1744" s="607" t="s">
        <v>608</v>
      </c>
      <c r="G1744" s="597">
        <v>0.0</v>
      </c>
      <c r="H1744" s="689">
        <f t="shared" si="106"/>
        <v>0</v>
      </c>
      <c r="I1744" s="714">
        <v>1780000.0</v>
      </c>
      <c r="J1744" s="599"/>
      <c r="K1744" s="615" t="s">
        <v>48</v>
      </c>
      <c r="L1744" s="611"/>
      <c r="M1744" s="621"/>
      <c r="N1744" s="621"/>
      <c r="O1744" s="621"/>
      <c r="P1744" s="706"/>
      <c r="Q1744" s="622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</row>
    <row r="1745" ht="22.5" customHeight="1">
      <c r="A1745" s="614">
        <v>45989.0</v>
      </c>
      <c r="B1745" s="157" t="s">
        <v>2218</v>
      </c>
      <c r="C1745" s="610">
        <v>688128.0</v>
      </c>
      <c r="D1745" s="609"/>
      <c r="E1745" s="604" t="s">
        <v>28</v>
      </c>
      <c r="F1745" s="627" t="s">
        <v>941</v>
      </c>
      <c r="G1745" s="597">
        <v>20.0</v>
      </c>
      <c r="H1745" s="689">
        <f t="shared" si="106"/>
        <v>114688</v>
      </c>
      <c r="I1745" s="599"/>
      <c r="J1745" s="599"/>
      <c r="K1745" s="615" t="s">
        <v>51</v>
      </c>
      <c r="L1745" s="616" t="s">
        <v>1014</v>
      </c>
      <c r="M1745" s="612" t="s">
        <v>1356</v>
      </c>
      <c r="N1745" s="612">
        <v>290.0</v>
      </c>
      <c r="O1745" s="662">
        <v>45880.0</v>
      </c>
      <c r="P1745" s="706">
        <f t="shared" ref="P1745:P1751" si="109">TODAY()-O1745-60</f>
        <v>248</v>
      </c>
      <c r="Q1745" s="622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</row>
    <row r="1746" ht="22.5" customHeight="1">
      <c r="A1746" s="614">
        <v>45989.0</v>
      </c>
      <c r="B1746" s="157" t="s">
        <v>2218</v>
      </c>
      <c r="C1746" s="610">
        <v>600432.0</v>
      </c>
      <c r="D1746" s="609"/>
      <c r="E1746" s="604" t="s">
        <v>28</v>
      </c>
      <c r="F1746" s="627" t="s">
        <v>941</v>
      </c>
      <c r="G1746" s="597">
        <v>20.0</v>
      </c>
      <c r="H1746" s="689">
        <f t="shared" si="106"/>
        <v>100072</v>
      </c>
      <c r="I1746" s="599"/>
      <c r="J1746" s="599"/>
      <c r="K1746" s="615" t="s">
        <v>51</v>
      </c>
      <c r="L1746" s="616" t="s">
        <v>1014</v>
      </c>
      <c r="M1746" s="612" t="s">
        <v>1357</v>
      </c>
      <c r="N1746" s="612">
        <v>291.0</v>
      </c>
      <c r="O1746" s="662">
        <v>45880.0</v>
      </c>
      <c r="P1746" s="706">
        <f t="shared" si="109"/>
        <v>248</v>
      </c>
      <c r="Q1746" s="622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</row>
    <row r="1747" ht="22.5" customHeight="1">
      <c r="A1747" s="614">
        <v>45989.0</v>
      </c>
      <c r="B1747" s="157" t="s">
        <v>2218</v>
      </c>
      <c r="C1747" s="610">
        <v>608160.0</v>
      </c>
      <c r="D1747" s="609"/>
      <c r="E1747" s="604" t="s">
        <v>28</v>
      </c>
      <c r="F1747" s="627" t="s">
        <v>941</v>
      </c>
      <c r="G1747" s="597">
        <v>20.0</v>
      </c>
      <c r="H1747" s="689">
        <f t="shared" si="106"/>
        <v>101360</v>
      </c>
      <c r="I1747" s="599"/>
      <c r="J1747" s="599"/>
      <c r="K1747" s="615" t="s">
        <v>51</v>
      </c>
      <c r="L1747" s="616" t="s">
        <v>1014</v>
      </c>
      <c r="M1747" s="612" t="s">
        <v>1358</v>
      </c>
      <c r="N1747" s="612">
        <v>292.0</v>
      </c>
      <c r="O1747" s="662">
        <v>45880.0</v>
      </c>
      <c r="P1747" s="706">
        <f t="shared" si="109"/>
        <v>248</v>
      </c>
      <c r="Q1747" s="622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</row>
    <row r="1748" ht="22.5" customHeight="1">
      <c r="A1748" s="614">
        <v>45989.0</v>
      </c>
      <c r="B1748" s="157" t="s">
        <v>2218</v>
      </c>
      <c r="C1748" s="610">
        <v>686085.12</v>
      </c>
      <c r="D1748" s="609"/>
      <c r="E1748" s="604" t="s">
        <v>28</v>
      </c>
      <c r="F1748" s="627" t="s">
        <v>941</v>
      </c>
      <c r="G1748" s="597">
        <v>20.0</v>
      </c>
      <c r="H1748" s="689">
        <f t="shared" si="106"/>
        <v>114347.52</v>
      </c>
      <c r="I1748" s="599"/>
      <c r="J1748" s="599"/>
      <c r="K1748" s="615" t="s">
        <v>51</v>
      </c>
      <c r="L1748" s="616" t="s">
        <v>1014</v>
      </c>
      <c r="M1748" s="612" t="s">
        <v>1359</v>
      </c>
      <c r="N1748" s="612">
        <v>293.0</v>
      </c>
      <c r="O1748" s="662">
        <v>45880.0</v>
      </c>
      <c r="P1748" s="706">
        <f t="shared" si="109"/>
        <v>248</v>
      </c>
      <c r="Q1748" s="622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</row>
    <row r="1749" ht="22.5" customHeight="1">
      <c r="A1749" s="614">
        <v>45989.0</v>
      </c>
      <c r="B1749" s="157" t="s">
        <v>2218</v>
      </c>
      <c r="C1749" s="610">
        <v>604800.0</v>
      </c>
      <c r="D1749" s="609"/>
      <c r="E1749" s="604" t="s">
        <v>28</v>
      </c>
      <c r="F1749" s="627" t="s">
        <v>941</v>
      </c>
      <c r="G1749" s="597">
        <v>20.0</v>
      </c>
      <c r="H1749" s="689">
        <f t="shared" si="106"/>
        <v>100800</v>
      </c>
      <c r="I1749" s="599"/>
      <c r="J1749" s="599"/>
      <c r="K1749" s="672" t="s">
        <v>51</v>
      </c>
      <c r="L1749" s="616" t="s">
        <v>1014</v>
      </c>
      <c r="M1749" s="612" t="s">
        <v>1360</v>
      </c>
      <c r="N1749" s="612">
        <v>294.0</v>
      </c>
      <c r="O1749" s="662">
        <v>45880.0</v>
      </c>
      <c r="P1749" s="706">
        <f t="shared" si="109"/>
        <v>248</v>
      </c>
      <c r="Q1749" s="622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</row>
    <row r="1750" ht="22.5" customHeight="1">
      <c r="A1750" s="614">
        <v>45989.0</v>
      </c>
      <c r="B1750" s="157" t="s">
        <v>2218</v>
      </c>
      <c r="C1750" s="610">
        <v>608160.0</v>
      </c>
      <c r="D1750" s="609"/>
      <c r="E1750" s="604" t="s">
        <v>28</v>
      </c>
      <c r="F1750" s="627" t="s">
        <v>941</v>
      </c>
      <c r="G1750" s="597">
        <v>20.0</v>
      </c>
      <c r="H1750" s="689">
        <f t="shared" si="106"/>
        <v>101360</v>
      </c>
      <c r="I1750" s="599"/>
      <c r="J1750" s="599"/>
      <c r="K1750" s="673" t="s">
        <v>51</v>
      </c>
      <c r="L1750" s="616" t="s">
        <v>1014</v>
      </c>
      <c r="M1750" s="612" t="s">
        <v>1361</v>
      </c>
      <c r="N1750" s="612">
        <v>295.0</v>
      </c>
      <c r="O1750" s="662">
        <v>45880.0</v>
      </c>
      <c r="P1750" s="706">
        <f t="shared" si="109"/>
        <v>248</v>
      </c>
      <c r="Q1750" s="622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</row>
    <row r="1751" ht="22.5" customHeight="1">
      <c r="A1751" s="614">
        <v>45989.0</v>
      </c>
      <c r="B1751" s="157" t="s">
        <v>2218</v>
      </c>
      <c r="C1751" s="610">
        <v>604800.0</v>
      </c>
      <c r="D1751" s="609"/>
      <c r="E1751" s="604" t="s">
        <v>28</v>
      </c>
      <c r="F1751" s="627" t="s">
        <v>941</v>
      </c>
      <c r="G1751" s="597">
        <v>20.0</v>
      </c>
      <c r="H1751" s="689">
        <f t="shared" si="106"/>
        <v>100800</v>
      </c>
      <c r="I1751" s="599"/>
      <c r="J1751" s="599"/>
      <c r="K1751" s="674" t="s">
        <v>51</v>
      </c>
      <c r="L1751" s="616" t="s">
        <v>1014</v>
      </c>
      <c r="M1751" s="612" t="s">
        <v>1362</v>
      </c>
      <c r="N1751" s="612">
        <v>296.0</v>
      </c>
      <c r="O1751" s="662">
        <v>45880.0</v>
      </c>
      <c r="P1751" s="706">
        <f t="shared" si="109"/>
        <v>248</v>
      </c>
      <c r="Q1751" s="622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</row>
    <row r="1752" ht="22.5" customHeight="1">
      <c r="A1752" s="614">
        <v>45992.0</v>
      </c>
      <c r="B1752" s="137" t="s">
        <v>2218</v>
      </c>
      <c r="C1752" s="609"/>
      <c r="D1752" s="609"/>
      <c r="E1752" s="604" t="s">
        <v>33</v>
      </c>
      <c r="F1752" s="607" t="s">
        <v>608</v>
      </c>
      <c r="G1752" s="597">
        <v>0.0</v>
      </c>
      <c r="H1752" s="689">
        <f t="shared" si="106"/>
        <v>0</v>
      </c>
      <c r="I1752" s="599"/>
      <c r="J1752" s="605">
        <v>15000.0</v>
      </c>
      <c r="K1752" s="615" t="s">
        <v>2240</v>
      </c>
      <c r="L1752" s="615" t="s">
        <v>1363</v>
      </c>
      <c r="M1752" s="621"/>
      <c r="N1752" s="621"/>
      <c r="O1752" s="621"/>
      <c r="P1752" s="602"/>
      <c r="Q1752" s="622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</row>
    <row r="1753" ht="22.5" customHeight="1">
      <c r="A1753" s="614">
        <v>45992.0</v>
      </c>
      <c r="B1753" s="137" t="s">
        <v>2218</v>
      </c>
      <c r="C1753" s="610">
        <v>960000.0</v>
      </c>
      <c r="D1753" s="609"/>
      <c r="E1753" s="604" t="s">
        <v>28</v>
      </c>
      <c r="F1753" s="607" t="s">
        <v>1099</v>
      </c>
      <c r="G1753" s="597">
        <v>20.0</v>
      </c>
      <c r="H1753" s="689">
        <f t="shared" si="106"/>
        <v>160000</v>
      </c>
      <c r="I1753" s="599"/>
      <c r="J1753" s="599"/>
      <c r="K1753" s="672" t="s">
        <v>51</v>
      </c>
      <c r="L1753" s="615" t="s">
        <v>624</v>
      </c>
      <c r="M1753" s="612" t="s">
        <v>1131</v>
      </c>
      <c r="N1753" s="612">
        <v>352.0</v>
      </c>
      <c r="O1753" s="668">
        <v>45940.0</v>
      </c>
      <c r="P1753" s="602">
        <f>TODAY()-O1753-60</f>
        <v>188</v>
      </c>
      <c r="Q1753" s="622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</row>
    <row r="1754" ht="22.5" customHeight="1">
      <c r="A1754" s="614">
        <v>45993.0</v>
      </c>
      <c r="B1754" s="137" t="s">
        <v>2218</v>
      </c>
      <c r="C1754" s="609"/>
      <c r="D1754" s="609"/>
      <c r="E1754" s="604" t="s">
        <v>33</v>
      </c>
      <c r="F1754" s="607" t="s">
        <v>604</v>
      </c>
      <c r="G1754" s="597">
        <v>0.0</v>
      </c>
      <c r="H1754" s="689">
        <f t="shared" si="106"/>
        <v>0</v>
      </c>
      <c r="I1754" s="599"/>
      <c r="J1754" s="605">
        <v>40000.0</v>
      </c>
      <c r="K1754" s="615" t="s">
        <v>1181</v>
      </c>
      <c r="L1754" s="615" t="s">
        <v>1364</v>
      </c>
      <c r="M1754" s="621"/>
      <c r="N1754" s="621"/>
      <c r="O1754" s="621"/>
      <c r="P1754" s="602"/>
      <c r="Q1754" s="622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</row>
    <row r="1755" ht="22.5" customHeight="1">
      <c r="A1755" s="614">
        <v>45993.0</v>
      </c>
      <c r="B1755" s="137" t="s">
        <v>2218</v>
      </c>
      <c r="C1755" s="609"/>
      <c r="D1755" s="610">
        <v>98040.0</v>
      </c>
      <c r="E1755" s="604" t="s">
        <v>28</v>
      </c>
      <c r="F1755" s="607" t="s">
        <v>604</v>
      </c>
      <c r="G1755" s="597">
        <v>0.0</v>
      </c>
      <c r="H1755" s="689">
        <f t="shared" si="106"/>
        <v>0</v>
      </c>
      <c r="I1755" s="599"/>
      <c r="J1755" s="599"/>
      <c r="K1755" s="615" t="s">
        <v>1181</v>
      </c>
      <c r="L1755" s="615" t="s">
        <v>1365</v>
      </c>
      <c r="M1755" s="621"/>
      <c r="N1755" s="621"/>
      <c r="O1755" s="621"/>
      <c r="P1755" s="602"/>
      <c r="Q1755" s="622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</row>
    <row r="1756" ht="22.5" customHeight="1">
      <c r="A1756" s="614">
        <v>45993.0</v>
      </c>
      <c r="B1756" s="137" t="s">
        <v>2218</v>
      </c>
      <c r="C1756" s="609"/>
      <c r="D1756" s="609"/>
      <c r="E1756" s="604" t="s">
        <v>33</v>
      </c>
      <c r="F1756" s="607" t="s">
        <v>604</v>
      </c>
      <c r="G1756" s="597">
        <v>0.0</v>
      </c>
      <c r="H1756" s="689">
        <f t="shared" si="106"/>
        <v>0</v>
      </c>
      <c r="I1756" s="599"/>
      <c r="J1756" s="599">
        <f>36000+9000</f>
        <v>45000</v>
      </c>
      <c r="K1756" s="615" t="s">
        <v>108</v>
      </c>
      <c r="L1756" s="615" t="s">
        <v>1366</v>
      </c>
      <c r="M1756" s="621"/>
      <c r="N1756" s="621"/>
      <c r="O1756" s="621"/>
      <c r="P1756" s="602"/>
      <c r="Q1756" s="622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</row>
    <row r="1757" ht="22.5" customHeight="1">
      <c r="A1757" s="614">
        <v>45993.0</v>
      </c>
      <c r="B1757" s="137" t="s">
        <v>2218</v>
      </c>
      <c r="C1757" s="609"/>
      <c r="D1757" s="609"/>
      <c r="E1757" s="604" t="s">
        <v>33</v>
      </c>
      <c r="F1757" s="607" t="s">
        <v>608</v>
      </c>
      <c r="G1757" s="597">
        <v>0.0</v>
      </c>
      <c r="H1757" s="689">
        <f t="shared" si="106"/>
        <v>0</v>
      </c>
      <c r="I1757" s="599"/>
      <c r="J1757" s="605">
        <v>80000.0</v>
      </c>
      <c r="K1757" s="615" t="s">
        <v>591</v>
      </c>
      <c r="L1757" s="615" t="s">
        <v>467</v>
      </c>
      <c r="M1757" s="621"/>
      <c r="N1757" s="621"/>
      <c r="O1757" s="621"/>
      <c r="P1757" s="602"/>
      <c r="Q1757" s="622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</row>
    <row r="1758" ht="22.5" customHeight="1">
      <c r="A1758" s="614">
        <v>45993.0</v>
      </c>
      <c r="B1758" s="137" t="s">
        <v>2218</v>
      </c>
      <c r="C1758" s="609"/>
      <c r="D1758" s="609"/>
      <c r="E1758" s="604" t="s">
        <v>33</v>
      </c>
      <c r="F1758" s="607" t="s">
        <v>608</v>
      </c>
      <c r="G1758" s="597">
        <v>0.0</v>
      </c>
      <c r="H1758" s="689">
        <f t="shared" si="106"/>
        <v>0</v>
      </c>
      <c r="I1758" s="599"/>
      <c r="J1758" s="605">
        <v>20000.0</v>
      </c>
      <c r="K1758" s="615" t="s">
        <v>591</v>
      </c>
      <c r="L1758" s="615" t="s">
        <v>147</v>
      </c>
      <c r="M1758" s="621"/>
      <c r="N1758" s="621"/>
      <c r="O1758" s="621"/>
      <c r="P1758" s="602"/>
      <c r="Q1758" s="622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</row>
    <row r="1759" ht="22.5" customHeight="1">
      <c r="A1759" s="614">
        <v>45993.0</v>
      </c>
      <c r="B1759" s="137" t="s">
        <v>2218</v>
      </c>
      <c r="C1759" s="609"/>
      <c r="D1759" s="609"/>
      <c r="E1759" s="604" t="s">
        <v>33</v>
      </c>
      <c r="F1759" s="607" t="s">
        <v>608</v>
      </c>
      <c r="G1759" s="597">
        <v>0.0</v>
      </c>
      <c r="H1759" s="689">
        <f t="shared" si="106"/>
        <v>0</v>
      </c>
      <c r="I1759" s="599"/>
      <c r="J1759" s="605">
        <v>40000.0</v>
      </c>
      <c r="K1759" s="615" t="s">
        <v>591</v>
      </c>
      <c r="L1759" s="615" t="s">
        <v>1326</v>
      </c>
      <c r="M1759" s="621"/>
      <c r="N1759" s="621"/>
      <c r="O1759" s="621"/>
      <c r="P1759" s="602"/>
      <c r="Q1759" s="622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</row>
    <row r="1760" ht="22.5" customHeight="1">
      <c r="A1760" s="614">
        <v>45993.0</v>
      </c>
      <c r="B1760" s="137" t="s">
        <v>2218</v>
      </c>
      <c r="C1760" s="609"/>
      <c r="D1760" s="609"/>
      <c r="E1760" s="604" t="s">
        <v>33</v>
      </c>
      <c r="F1760" s="607" t="s">
        <v>608</v>
      </c>
      <c r="G1760" s="597">
        <v>0.0</v>
      </c>
      <c r="H1760" s="689">
        <f t="shared" si="106"/>
        <v>0</v>
      </c>
      <c r="I1760" s="599"/>
      <c r="J1760" s="605">
        <v>15000.0</v>
      </c>
      <c r="K1760" s="615" t="s">
        <v>591</v>
      </c>
      <c r="L1760" s="615" t="s">
        <v>1327</v>
      </c>
      <c r="M1760" s="621"/>
      <c r="N1760" s="621"/>
      <c r="O1760" s="621"/>
      <c r="P1760" s="602"/>
      <c r="Q1760" s="622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</row>
    <row r="1761" ht="22.5" customHeight="1">
      <c r="A1761" s="614">
        <v>45993.0</v>
      </c>
      <c r="B1761" s="137" t="s">
        <v>2218</v>
      </c>
      <c r="C1761" s="609"/>
      <c r="D1761" s="609"/>
      <c r="E1761" s="604" t="s">
        <v>33</v>
      </c>
      <c r="F1761" s="607" t="s">
        <v>608</v>
      </c>
      <c r="G1761" s="597">
        <v>0.0</v>
      </c>
      <c r="H1761" s="689">
        <f t="shared" si="106"/>
        <v>0</v>
      </c>
      <c r="I1761" s="599"/>
      <c r="J1761" s="605">
        <v>10000.0</v>
      </c>
      <c r="K1761" s="615" t="s">
        <v>591</v>
      </c>
      <c r="L1761" s="615" t="s">
        <v>171</v>
      </c>
      <c r="M1761" s="621"/>
      <c r="N1761" s="621"/>
      <c r="O1761" s="621"/>
      <c r="P1761" s="602"/>
      <c r="Q1761" s="622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</row>
    <row r="1762" ht="22.5" customHeight="1">
      <c r="A1762" s="614">
        <v>45993.0</v>
      </c>
      <c r="B1762" s="137" t="s">
        <v>2218</v>
      </c>
      <c r="C1762" s="609"/>
      <c r="D1762" s="609"/>
      <c r="E1762" s="604" t="s">
        <v>33</v>
      </c>
      <c r="F1762" s="607" t="s">
        <v>604</v>
      </c>
      <c r="G1762" s="597">
        <v>0.0</v>
      </c>
      <c r="H1762" s="689">
        <f t="shared" si="106"/>
        <v>0</v>
      </c>
      <c r="I1762" s="599"/>
      <c r="J1762" s="605">
        <v>5000.0</v>
      </c>
      <c r="K1762" s="615" t="s">
        <v>108</v>
      </c>
      <c r="L1762" s="615" t="s">
        <v>1367</v>
      </c>
      <c r="M1762" s="621"/>
      <c r="N1762" s="621"/>
      <c r="O1762" s="621"/>
      <c r="P1762" s="602"/>
      <c r="Q1762" s="622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</row>
    <row r="1763" ht="22.5" customHeight="1">
      <c r="A1763" s="614">
        <v>45994.0</v>
      </c>
      <c r="B1763" s="137" t="s">
        <v>2218</v>
      </c>
      <c r="C1763" s="609"/>
      <c r="D1763" s="610">
        <v>1500000.0</v>
      </c>
      <c r="E1763" s="715" t="s">
        <v>28</v>
      </c>
      <c r="F1763" s="716" t="s">
        <v>941</v>
      </c>
      <c r="G1763" s="664">
        <v>20.0</v>
      </c>
      <c r="H1763" s="598">
        <v>277161.94333333336</v>
      </c>
      <c r="I1763" s="599"/>
      <c r="J1763" s="599"/>
      <c r="K1763" s="615" t="s">
        <v>101</v>
      </c>
      <c r="L1763" s="717" t="s">
        <v>102</v>
      </c>
      <c r="M1763" s="718"/>
      <c r="N1763" s="718"/>
      <c r="O1763" s="718"/>
      <c r="P1763" s="719"/>
      <c r="Q1763" s="720" t="s">
        <v>1368</v>
      </c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</row>
    <row r="1764" ht="22.5" customHeight="1">
      <c r="A1764" s="614">
        <v>45995.0</v>
      </c>
      <c r="B1764" s="137" t="s">
        <v>2218</v>
      </c>
      <c r="C1764" s="609"/>
      <c r="D1764" s="610">
        <v>250000.0</v>
      </c>
      <c r="E1764" s="604" t="s">
        <v>1346</v>
      </c>
      <c r="F1764" s="607" t="s">
        <v>608</v>
      </c>
      <c r="G1764" s="597">
        <v>0.0</v>
      </c>
      <c r="H1764" s="689">
        <f t="shared" ref="H1764:H1772" si="110">SUM(C1764:D1764)*G1764/(G1764+100)</f>
        <v>0</v>
      </c>
      <c r="I1764" s="599"/>
      <c r="J1764" s="599"/>
      <c r="K1764" s="615" t="s">
        <v>2255</v>
      </c>
      <c r="L1764" s="615" t="s">
        <v>1369</v>
      </c>
      <c r="M1764" s="621"/>
      <c r="N1764" s="621"/>
      <c r="O1764" s="621"/>
      <c r="P1764" s="706"/>
      <c r="Q1764" s="613" t="s">
        <v>1370</v>
      </c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</row>
    <row r="1765" ht="22.5" customHeight="1">
      <c r="A1765" s="614">
        <v>45995.0</v>
      </c>
      <c r="B1765" s="137" t="s">
        <v>2218</v>
      </c>
      <c r="C1765" s="609"/>
      <c r="D1765" s="610">
        <v>325000.0</v>
      </c>
      <c r="E1765" s="604" t="s">
        <v>28</v>
      </c>
      <c r="F1765" s="607" t="s">
        <v>608</v>
      </c>
      <c r="G1765" s="597">
        <v>0.0</v>
      </c>
      <c r="H1765" s="689">
        <f t="shared" si="110"/>
        <v>0</v>
      </c>
      <c r="I1765" s="599"/>
      <c r="J1765" s="599"/>
      <c r="K1765" s="615" t="s">
        <v>48</v>
      </c>
      <c r="L1765" s="611"/>
      <c r="M1765" s="621"/>
      <c r="N1765" s="621"/>
      <c r="O1765" s="621"/>
      <c r="P1765" s="706"/>
      <c r="Q1765" s="622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</row>
    <row r="1766" ht="22.5" customHeight="1">
      <c r="A1766" s="614">
        <v>45995.0</v>
      </c>
      <c r="B1766" s="137" t="s">
        <v>2218</v>
      </c>
      <c r="C1766" s="610">
        <v>325000.0</v>
      </c>
      <c r="D1766" s="609"/>
      <c r="E1766" s="604" t="s">
        <v>1346</v>
      </c>
      <c r="F1766" s="607" t="s">
        <v>608</v>
      </c>
      <c r="G1766" s="597">
        <v>0.0</v>
      </c>
      <c r="H1766" s="689">
        <f t="shared" si="110"/>
        <v>0</v>
      </c>
      <c r="I1766" s="599"/>
      <c r="J1766" s="599"/>
      <c r="K1766" s="615" t="s">
        <v>48</v>
      </c>
      <c r="L1766" s="611"/>
      <c r="M1766" s="621"/>
      <c r="N1766" s="621"/>
      <c r="O1766" s="621"/>
      <c r="P1766" s="706"/>
      <c r="Q1766" s="622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</row>
    <row r="1767" ht="22.5" customHeight="1">
      <c r="A1767" s="614">
        <v>45996.0</v>
      </c>
      <c r="B1767" s="137" t="s">
        <v>2218</v>
      </c>
      <c r="C1767" s="609"/>
      <c r="D1767" s="610">
        <v>1091863.23</v>
      </c>
      <c r="E1767" s="604" t="s">
        <v>28</v>
      </c>
      <c r="F1767" s="627" t="s">
        <v>1160</v>
      </c>
      <c r="G1767" s="597">
        <v>0.0</v>
      </c>
      <c r="H1767" s="689">
        <f t="shared" si="110"/>
        <v>0</v>
      </c>
      <c r="I1767" s="599"/>
      <c r="J1767" s="599"/>
      <c r="K1767" s="615" t="s">
        <v>236</v>
      </c>
      <c r="L1767" s="615" t="s">
        <v>1098</v>
      </c>
      <c r="M1767" s="621"/>
      <c r="N1767" s="621"/>
      <c r="O1767" s="621"/>
      <c r="P1767" s="706"/>
      <c r="Q1767" s="622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</row>
    <row r="1768" ht="22.5" customHeight="1">
      <c r="A1768" s="614">
        <v>45996.0</v>
      </c>
      <c r="B1768" s="137" t="s">
        <v>2218</v>
      </c>
      <c r="C1768" s="609"/>
      <c r="D1768" s="610">
        <v>300000.0</v>
      </c>
      <c r="E1768" s="604" t="s">
        <v>28</v>
      </c>
      <c r="F1768" s="627" t="s">
        <v>897</v>
      </c>
      <c r="G1768" s="688">
        <v>0.0</v>
      </c>
      <c r="H1768" s="689">
        <f t="shared" si="110"/>
        <v>0</v>
      </c>
      <c r="I1768" s="599"/>
      <c r="J1768" s="599"/>
      <c r="K1768" s="615" t="s">
        <v>93</v>
      </c>
      <c r="L1768" s="679" t="s">
        <v>516</v>
      </c>
      <c r="M1768" s="621"/>
      <c r="N1768" s="621"/>
      <c r="O1768" s="621"/>
      <c r="P1768" s="706"/>
      <c r="Q1768" s="682" t="s">
        <v>1371</v>
      </c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</row>
    <row r="1769" ht="22.5" customHeight="1">
      <c r="A1769" s="614">
        <v>45996.0</v>
      </c>
      <c r="B1769" s="137" t="s">
        <v>2218</v>
      </c>
      <c r="C1769" s="609"/>
      <c r="D1769" s="609"/>
      <c r="E1769" s="604" t="s">
        <v>33</v>
      </c>
      <c r="F1769" s="607" t="s">
        <v>608</v>
      </c>
      <c r="G1769" s="688">
        <v>0.0</v>
      </c>
      <c r="H1769" s="689">
        <f t="shared" si="110"/>
        <v>0</v>
      </c>
      <c r="I1769" s="599"/>
      <c r="J1769" s="605">
        <v>20000.0</v>
      </c>
      <c r="K1769" s="615" t="s">
        <v>1181</v>
      </c>
      <c r="L1769" s="615" t="s">
        <v>1372</v>
      </c>
      <c r="M1769" s="621"/>
      <c r="N1769" s="621"/>
      <c r="O1769" s="621"/>
      <c r="P1769" s="602"/>
      <c r="Q1769" s="622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</row>
    <row r="1770" ht="22.5" customHeight="1">
      <c r="A1770" s="614">
        <v>45996.0</v>
      </c>
      <c r="B1770" s="137" t="s">
        <v>2218</v>
      </c>
      <c r="C1770" s="609"/>
      <c r="D1770" s="609"/>
      <c r="E1770" s="604" t="s">
        <v>33</v>
      </c>
      <c r="F1770" s="607" t="s">
        <v>1179</v>
      </c>
      <c r="G1770" s="688">
        <v>0.0</v>
      </c>
      <c r="H1770" s="689">
        <f t="shared" si="110"/>
        <v>0</v>
      </c>
      <c r="I1770" s="599"/>
      <c r="J1770" s="605">
        <v>50000.0</v>
      </c>
      <c r="K1770" s="615" t="s">
        <v>591</v>
      </c>
      <c r="L1770" s="615" t="s">
        <v>1304</v>
      </c>
      <c r="M1770" s="621"/>
      <c r="N1770" s="621"/>
      <c r="O1770" s="621"/>
      <c r="P1770" s="602"/>
      <c r="Q1770" s="622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</row>
    <row r="1771" ht="22.5" customHeight="1">
      <c r="A1771" s="614">
        <v>45996.0</v>
      </c>
      <c r="B1771" s="137" t="s">
        <v>2218</v>
      </c>
      <c r="C1771" s="610">
        <v>5000000.0</v>
      </c>
      <c r="D1771" s="609"/>
      <c r="E1771" s="604" t="s">
        <v>1346</v>
      </c>
      <c r="F1771" s="607" t="s">
        <v>608</v>
      </c>
      <c r="G1771" s="597">
        <v>0.0</v>
      </c>
      <c r="H1771" s="689">
        <f t="shared" si="110"/>
        <v>0</v>
      </c>
      <c r="I1771" s="599"/>
      <c r="J1771" s="599"/>
      <c r="K1771" s="615" t="s">
        <v>1373</v>
      </c>
      <c r="L1771" s="615" t="s">
        <v>1369</v>
      </c>
      <c r="M1771" s="621"/>
      <c r="N1771" s="621"/>
      <c r="O1771" s="621"/>
      <c r="P1771" s="602"/>
      <c r="Q1771" s="622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</row>
    <row r="1772" ht="22.5" customHeight="1">
      <c r="A1772" s="614">
        <v>45996.0</v>
      </c>
      <c r="B1772" s="137" t="s">
        <v>2218</v>
      </c>
      <c r="C1772" s="609"/>
      <c r="D1772" s="609"/>
      <c r="E1772" s="604" t="s">
        <v>33</v>
      </c>
      <c r="F1772" s="607" t="s">
        <v>604</v>
      </c>
      <c r="G1772" s="597">
        <v>0.0</v>
      </c>
      <c r="H1772" s="689">
        <f t="shared" si="110"/>
        <v>0</v>
      </c>
      <c r="I1772" s="599"/>
      <c r="J1772" s="605">
        <v>60000.0</v>
      </c>
      <c r="K1772" s="615" t="s">
        <v>2237</v>
      </c>
      <c r="L1772" s="615" t="s">
        <v>1132</v>
      </c>
      <c r="M1772" s="621"/>
      <c r="N1772" s="621"/>
      <c r="O1772" s="621"/>
      <c r="P1772" s="602"/>
      <c r="Q1772" s="622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</row>
    <row r="1773" ht="22.5" customHeight="1">
      <c r="A1773" s="614">
        <v>45999.0</v>
      </c>
      <c r="B1773" s="137" t="s">
        <v>2218</v>
      </c>
      <c r="C1773" s="609"/>
      <c r="D1773" s="609"/>
      <c r="E1773" s="604" t="s">
        <v>33</v>
      </c>
      <c r="F1773" s="607" t="s">
        <v>604</v>
      </c>
      <c r="G1773" s="664"/>
      <c r="H1773" s="665"/>
      <c r="I1773" s="599"/>
      <c r="J1773" s="605">
        <v>12000.0</v>
      </c>
      <c r="K1773" s="615" t="s">
        <v>30</v>
      </c>
      <c r="L1773" s="615" t="s">
        <v>1374</v>
      </c>
      <c r="M1773" s="621"/>
      <c r="N1773" s="621"/>
      <c r="O1773" s="621"/>
      <c r="P1773" s="602"/>
      <c r="Q1773" s="622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</row>
    <row r="1774" ht="22.5" customHeight="1">
      <c r="A1774" s="640">
        <v>45999.0</v>
      </c>
      <c r="B1774" s="137" t="s">
        <v>2218</v>
      </c>
      <c r="C1774" s="609"/>
      <c r="D1774" s="609"/>
      <c r="E1774" s="604" t="s">
        <v>33</v>
      </c>
      <c r="F1774" s="596"/>
      <c r="G1774" s="664"/>
      <c r="H1774" s="665"/>
      <c r="I1774" s="599"/>
      <c r="J1774" s="605">
        <v>6500.0</v>
      </c>
      <c r="K1774" s="615" t="s">
        <v>494</v>
      </c>
      <c r="L1774" s="615" t="s">
        <v>1375</v>
      </c>
      <c r="M1774" s="621"/>
      <c r="N1774" s="621"/>
      <c r="O1774" s="621"/>
      <c r="P1774" s="706"/>
      <c r="Q1774" s="622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</row>
    <row r="1775" ht="22.5" customHeight="1">
      <c r="A1775" s="614">
        <v>46000.0</v>
      </c>
      <c r="B1775" s="137" t="s">
        <v>2218</v>
      </c>
      <c r="C1775" s="609"/>
      <c r="D1775" s="610">
        <v>1465699.4</v>
      </c>
      <c r="E1775" s="604" t="s">
        <v>28</v>
      </c>
      <c r="F1775" s="607" t="s">
        <v>1099</v>
      </c>
      <c r="G1775" s="597">
        <v>20.0</v>
      </c>
      <c r="H1775" s="689">
        <f t="shared" ref="H1775:H2024" si="111">SUM(C1775:D1775)*G1775/(G1775+100)</f>
        <v>244283.2333</v>
      </c>
      <c r="I1775" s="599"/>
      <c r="J1775" s="599"/>
      <c r="K1775" s="615" t="s">
        <v>101</v>
      </c>
      <c r="L1775" s="698" t="s">
        <v>1280</v>
      </c>
      <c r="M1775" s="621"/>
      <c r="N1775" s="621"/>
      <c r="O1775" s="621"/>
      <c r="P1775" s="602"/>
      <c r="Q1775" s="682" t="s">
        <v>1376</v>
      </c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</row>
    <row r="1776" ht="22.5" customHeight="1">
      <c r="A1776" s="614">
        <v>46000.0</v>
      </c>
      <c r="B1776" s="137" t="s">
        <v>2218</v>
      </c>
      <c r="C1776" s="609"/>
      <c r="D1776" s="610">
        <v>32695.56</v>
      </c>
      <c r="E1776" s="604" t="s">
        <v>28</v>
      </c>
      <c r="F1776" s="607" t="s">
        <v>1099</v>
      </c>
      <c r="G1776" s="597">
        <v>20.0</v>
      </c>
      <c r="H1776" s="689">
        <f t="shared" si="111"/>
        <v>5449.26</v>
      </c>
      <c r="I1776" s="599"/>
      <c r="J1776" s="599"/>
      <c r="K1776" s="615" t="s">
        <v>101</v>
      </c>
      <c r="L1776" s="698" t="s">
        <v>1030</v>
      </c>
      <c r="M1776" s="621"/>
      <c r="N1776" s="621"/>
      <c r="O1776" s="621"/>
      <c r="P1776" s="602"/>
      <c r="Q1776" s="682" t="s">
        <v>1377</v>
      </c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</row>
    <row r="1777" ht="22.5" customHeight="1">
      <c r="A1777" s="614">
        <v>46000.0</v>
      </c>
      <c r="B1777" s="137" t="s">
        <v>2218</v>
      </c>
      <c r="C1777" s="609"/>
      <c r="D1777" s="610">
        <v>791404.94</v>
      </c>
      <c r="E1777" s="604" t="s">
        <v>28</v>
      </c>
      <c r="F1777" s="607" t="s">
        <v>1099</v>
      </c>
      <c r="G1777" s="597">
        <v>20.0</v>
      </c>
      <c r="H1777" s="689">
        <f t="shared" si="111"/>
        <v>131900.8233</v>
      </c>
      <c r="I1777" s="599"/>
      <c r="J1777" s="599"/>
      <c r="K1777" s="615" t="s">
        <v>101</v>
      </c>
      <c r="L1777" s="698" t="s">
        <v>670</v>
      </c>
      <c r="M1777" s="621"/>
      <c r="N1777" s="621"/>
      <c r="O1777" s="621"/>
      <c r="P1777" s="602"/>
      <c r="Q1777" s="682" t="s">
        <v>1378</v>
      </c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</row>
    <row r="1778" ht="22.5" customHeight="1">
      <c r="A1778" s="614">
        <v>46000.0</v>
      </c>
      <c r="B1778" s="137" t="s">
        <v>2218</v>
      </c>
      <c r="C1778" s="609"/>
      <c r="D1778" s="610">
        <v>37572.36</v>
      </c>
      <c r="E1778" s="604" t="s">
        <v>28</v>
      </c>
      <c r="F1778" s="607" t="s">
        <v>1099</v>
      </c>
      <c r="G1778" s="597">
        <v>20.0</v>
      </c>
      <c r="H1778" s="689">
        <f t="shared" si="111"/>
        <v>6262.06</v>
      </c>
      <c r="I1778" s="599"/>
      <c r="J1778" s="599"/>
      <c r="K1778" s="615" t="s">
        <v>101</v>
      </c>
      <c r="L1778" s="711" t="s">
        <v>1290</v>
      </c>
      <c r="M1778" s="621"/>
      <c r="N1778" s="621"/>
      <c r="O1778" s="621"/>
      <c r="P1778" s="602"/>
      <c r="Q1778" s="682" t="s">
        <v>1379</v>
      </c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</row>
    <row r="1779" ht="22.5" customHeight="1">
      <c r="A1779" s="614">
        <v>46000.0</v>
      </c>
      <c r="B1779" s="137" t="s">
        <v>2218</v>
      </c>
      <c r="C1779" s="609"/>
      <c r="D1779" s="610">
        <v>737516.4</v>
      </c>
      <c r="E1779" s="604" t="s">
        <v>28</v>
      </c>
      <c r="F1779" s="607" t="s">
        <v>1099</v>
      </c>
      <c r="G1779" s="597">
        <v>20.0</v>
      </c>
      <c r="H1779" s="689">
        <f t="shared" si="111"/>
        <v>122919.4</v>
      </c>
      <c r="I1779" s="599"/>
      <c r="J1779" s="599"/>
      <c r="K1779" s="615" t="s">
        <v>101</v>
      </c>
      <c r="L1779" s="698" t="s">
        <v>1284</v>
      </c>
      <c r="M1779" s="621"/>
      <c r="N1779" s="621"/>
      <c r="O1779" s="621"/>
      <c r="P1779" s="602"/>
      <c r="Q1779" s="682" t="s">
        <v>1380</v>
      </c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</row>
    <row r="1780" ht="22.5" customHeight="1">
      <c r="A1780" s="614">
        <v>46000.0</v>
      </c>
      <c r="B1780" s="137" t="s">
        <v>2218</v>
      </c>
      <c r="C1780" s="609"/>
      <c r="D1780" s="610">
        <v>388308.3</v>
      </c>
      <c r="E1780" s="604" t="s">
        <v>28</v>
      </c>
      <c r="F1780" s="607" t="s">
        <v>1099</v>
      </c>
      <c r="G1780" s="597">
        <v>20.0</v>
      </c>
      <c r="H1780" s="689">
        <f t="shared" si="111"/>
        <v>64718.05</v>
      </c>
      <c r="I1780" s="599"/>
      <c r="J1780" s="599"/>
      <c r="K1780" s="615" t="s">
        <v>101</v>
      </c>
      <c r="L1780" s="698" t="s">
        <v>1277</v>
      </c>
      <c r="M1780" s="621"/>
      <c r="N1780" s="621"/>
      <c r="O1780" s="621"/>
      <c r="P1780" s="602"/>
      <c r="Q1780" s="682" t="s">
        <v>1381</v>
      </c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</row>
    <row r="1781" ht="22.5" customHeight="1">
      <c r="A1781" s="614">
        <v>46000.0</v>
      </c>
      <c r="B1781" s="137" t="s">
        <v>2218</v>
      </c>
      <c r="C1781" s="609"/>
      <c r="D1781" s="610">
        <v>255506.7</v>
      </c>
      <c r="E1781" s="604" t="s">
        <v>28</v>
      </c>
      <c r="F1781" s="607" t="s">
        <v>1099</v>
      </c>
      <c r="G1781" s="597">
        <v>20.0</v>
      </c>
      <c r="H1781" s="689">
        <f t="shared" si="111"/>
        <v>42584.45</v>
      </c>
      <c r="I1781" s="599"/>
      <c r="J1781" s="599"/>
      <c r="K1781" s="615" t="s">
        <v>101</v>
      </c>
      <c r="L1781" s="698" t="s">
        <v>643</v>
      </c>
      <c r="M1781" s="621"/>
      <c r="N1781" s="621"/>
      <c r="O1781" s="621"/>
      <c r="P1781" s="602"/>
      <c r="Q1781" s="682" t="s">
        <v>1382</v>
      </c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</row>
    <row r="1782" ht="22.5" customHeight="1">
      <c r="A1782" s="614">
        <v>46000.0</v>
      </c>
      <c r="B1782" s="137" t="s">
        <v>2218</v>
      </c>
      <c r="C1782" s="609"/>
      <c r="D1782" s="610">
        <v>1275898.96</v>
      </c>
      <c r="E1782" s="604" t="s">
        <v>28</v>
      </c>
      <c r="F1782" s="607" t="s">
        <v>1099</v>
      </c>
      <c r="G1782" s="597">
        <v>20.0</v>
      </c>
      <c r="H1782" s="689">
        <f t="shared" si="111"/>
        <v>212649.8267</v>
      </c>
      <c r="I1782" s="599"/>
      <c r="J1782" s="599"/>
      <c r="K1782" s="615" t="s">
        <v>101</v>
      </c>
      <c r="L1782" s="698" t="s">
        <v>597</v>
      </c>
      <c r="M1782" s="621"/>
      <c r="N1782" s="621"/>
      <c r="O1782" s="621"/>
      <c r="P1782" s="602"/>
      <c r="Q1782" s="682" t="s">
        <v>1383</v>
      </c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</row>
    <row r="1783" ht="22.5" customHeight="1">
      <c r="A1783" s="614">
        <v>46000.0</v>
      </c>
      <c r="B1783" s="137" t="s">
        <v>2218</v>
      </c>
      <c r="C1783" s="609"/>
      <c r="D1783" s="610">
        <v>86121.74</v>
      </c>
      <c r="E1783" s="604" t="s">
        <v>28</v>
      </c>
      <c r="F1783" s="607" t="s">
        <v>1099</v>
      </c>
      <c r="G1783" s="597">
        <v>5.0</v>
      </c>
      <c r="H1783" s="689">
        <f t="shared" si="111"/>
        <v>4101.035238</v>
      </c>
      <c r="I1783" s="599"/>
      <c r="J1783" s="599"/>
      <c r="K1783" s="615" t="s">
        <v>101</v>
      </c>
      <c r="L1783" s="698" t="s">
        <v>1032</v>
      </c>
      <c r="M1783" s="621"/>
      <c r="N1783" s="621"/>
      <c r="O1783" s="621"/>
      <c r="P1783" s="602"/>
      <c r="Q1783" s="682" t="s">
        <v>1384</v>
      </c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</row>
    <row r="1784" ht="22.5" customHeight="1">
      <c r="A1784" s="614">
        <v>46000.0</v>
      </c>
      <c r="B1784" s="137" t="s">
        <v>2218</v>
      </c>
      <c r="C1784" s="609"/>
      <c r="D1784" s="610">
        <v>140000.0</v>
      </c>
      <c r="E1784" s="604" t="s">
        <v>28</v>
      </c>
      <c r="F1784" s="607" t="s">
        <v>1099</v>
      </c>
      <c r="G1784" s="597">
        <v>0.0</v>
      </c>
      <c r="H1784" s="689">
        <f t="shared" si="111"/>
        <v>0</v>
      </c>
      <c r="I1784" s="599"/>
      <c r="J1784" s="599"/>
      <c r="K1784" s="615" t="s">
        <v>286</v>
      </c>
      <c r="L1784" s="615" t="s">
        <v>454</v>
      </c>
      <c r="M1784" s="621"/>
      <c r="N1784" s="621"/>
      <c r="O1784" s="621"/>
      <c r="P1784" s="602"/>
      <c r="Q1784" s="682" t="s">
        <v>1385</v>
      </c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</row>
    <row r="1785" ht="22.5" customHeight="1">
      <c r="A1785" s="614">
        <v>46000.0</v>
      </c>
      <c r="B1785" s="137" t="s">
        <v>2218</v>
      </c>
      <c r="C1785" s="609"/>
      <c r="D1785" s="610">
        <v>154730.0</v>
      </c>
      <c r="E1785" s="604" t="s">
        <v>28</v>
      </c>
      <c r="F1785" s="607" t="s">
        <v>1099</v>
      </c>
      <c r="G1785" s="597">
        <v>0.0</v>
      </c>
      <c r="H1785" s="689">
        <f t="shared" si="111"/>
        <v>0</v>
      </c>
      <c r="I1785" s="599"/>
      <c r="J1785" s="599"/>
      <c r="K1785" s="615" t="s">
        <v>101</v>
      </c>
      <c r="L1785" s="698" t="s">
        <v>818</v>
      </c>
      <c r="M1785" s="621"/>
      <c r="N1785" s="621"/>
      <c r="O1785" s="621"/>
      <c r="P1785" s="602"/>
      <c r="Q1785" s="682" t="s">
        <v>1386</v>
      </c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</row>
    <row r="1786" ht="22.5" customHeight="1">
      <c r="A1786" s="614">
        <v>46000.0</v>
      </c>
      <c r="B1786" s="137" t="s">
        <v>2218</v>
      </c>
      <c r="C1786" s="609"/>
      <c r="D1786" s="610">
        <v>14796.72</v>
      </c>
      <c r="E1786" s="604" t="s">
        <v>28</v>
      </c>
      <c r="F1786" s="607" t="s">
        <v>1099</v>
      </c>
      <c r="G1786" s="597">
        <v>20.0</v>
      </c>
      <c r="H1786" s="689">
        <f t="shared" si="111"/>
        <v>2466.12</v>
      </c>
      <c r="I1786" s="599"/>
      <c r="J1786" s="599"/>
      <c r="K1786" s="615" t="s">
        <v>101</v>
      </c>
      <c r="L1786" s="698" t="s">
        <v>973</v>
      </c>
      <c r="M1786" s="621"/>
      <c r="N1786" s="621"/>
      <c r="O1786" s="621"/>
      <c r="P1786" s="602"/>
      <c r="Q1786" s="682" t="s">
        <v>1387</v>
      </c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</row>
    <row r="1787" ht="22.5" customHeight="1">
      <c r="A1787" s="614">
        <v>46000.0</v>
      </c>
      <c r="B1787" s="137" t="s">
        <v>2218</v>
      </c>
      <c r="C1787" s="609"/>
      <c r="D1787" s="610">
        <v>15309.0</v>
      </c>
      <c r="E1787" s="604" t="s">
        <v>28</v>
      </c>
      <c r="F1787" s="607" t="s">
        <v>1099</v>
      </c>
      <c r="G1787" s="597">
        <v>20.0</v>
      </c>
      <c r="H1787" s="689">
        <f t="shared" si="111"/>
        <v>2551.5</v>
      </c>
      <c r="I1787" s="599"/>
      <c r="J1787" s="599"/>
      <c r="K1787" s="615" t="s">
        <v>101</v>
      </c>
      <c r="L1787" s="698" t="s">
        <v>976</v>
      </c>
      <c r="M1787" s="621"/>
      <c r="N1787" s="621"/>
      <c r="O1787" s="621"/>
      <c r="P1787" s="602"/>
      <c r="Q1787" s="682" t="s">
        <v>1388</v>
      </c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</row>
    <row r="1788" ht="22.5" customHeight="1">
      <c r="A1788" s="614">
        <v>46000.0</v>
      </c>
      <c r="B1788" s="137" t="s">
        <v>2218</v>
      </c>
      <c r="C1788" s="609"/>
      <c r="D1788" s="610">
        <v>36881.7</v>
      </c>
      <c r="E1788" s="604" t="s">
        <v>28</v>
      </c>
      <c r="F1788" s="607" t="s">
        <v>1099</v>
      </c>
      <c r="G1788" s="597">
        <v>0.0</v>
      </c>
      <c r="H1788" s="689">
        <f t="shared" si="111"/>
        <v>0</v>
      </c>
      <c r="I1788" s="599"/>
      <c r="J1788" s="599"/>
      <c r="K1788" s="615" t="s">
        <v>101</v>
      </c>
      <c r="L1788" s="698" t="s">
        <v>1287</v>
      </c>
      <c r="M1788" s="621"/>
      <c r="N1788" s="621"/>
      <c r="O1788" s="621"/>
      <c r="P1788" s="602"/>
      <c r="Q1788" s="682" t="s">
        <v>1389</v>
      </c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</row>
    <row r="1789" ht="22.5" customHeight="1">
      <c r="A1789" s="614">
        <v>46000.0</v>
      </c>
      <c r="B1789" s="137" t="s">
        <v>2218</v>
      </c>
      <c r="C1789" s="609"/>
      <c r="D1789" s="610">
        <v>29182.87</v>
      </c>
      <c r="E1789" s="604" t="s">
        <v>28</v>
      </c>
      <c r="F1789" s="607" t="s">
        <v>1099</v>
      </c>
      <c r="G1789" s="597">
        <v>5.0</v>
      </c>
      <c r="H1789" s="689">
        <f t="shared" si="111"/>
        <v>1389.660476</v>
      </c>
      <c r="I1789" s="599"/>
      <c r="J1789" s="599"/>
      <c r="K1789" s="615" t="s">
        <v>101</v>
      </c>
      <c r="L1789" s="698" t="s">
        <v>671</v>
      </c>
      <c r="M1789" s="621"/>
      <c r="N1789" s="621"/>
      <c r="O1789" s="621"/>
      <c r="P1789" s="602"/>
      <c r="Q1789" s="682" t="s">
        <v>1390</v>
      </c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</row>
    <row r="1790" ht="22.5" customHeight="1">
      <c r="A1790" s="614">
        <v>46000.0</v>
      </c>
      <c r="B1790" s="137" t="s">
        <v>2218</v>
      </c>
      <c r="C1790" s="609"/>
      <c r="D1790" s="610">
        <v>25865.18</v>
      </c>
      <c r="E1790" s="604" t="s">
        <v>28</v>
      </c>
      <c r="F1790" s="607" t="s">
        <v>1099</v>
      </c>
      <c r="G1790" s="597">
        <v>5.0</v>
      </c>
      <c r="H1790" s="689">
        <f t="shared" si="111"/>
        <v>1231.675238</v>
      </c>
      <c r="I1790" s="599"/>
      <c r="J1790" s="599"/>
      <c r="K1790" s="615" t="s">
        <v>101</v>
      </c>
      <c r="L1790" s="711" t="s">
        <v>1391</v>
      </c>
      <c r="M1790" s="621"/>
      <c r="N1790" s="621"/>
      <c r="O1790" s="621"/>
      <c r="P1790" s="602"/>
      <c r="Q1790" s="682" t="s">
        <v>1392</v>
      </c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</row>
    <row r="1791" ht="22.5" customHeight="1">
      <c r="A1791" s="614">
        <v>46000.0</v>
      </c>
      <c r="B1791" s="137" t="s">
        <v>2218</v>
      </c>
      <c r="C1791" s="609"/>
      <c r="D1791" s="610">
        <v>630890.5</v>
      </c>
      <c r="E1791" s="604" t="s">
        <v>28</v>
      </c>
      <c r="F1791" s="607" t="s">
        <v>1099</v>
      </c>
      <c r="G1791" s="597">
        <v>0.0</v>
      </c>
      <c r="H1791" s="689">
        <f t="shared" si="111"/>
        <v>0</v>
      </c>
      <c r="I1791" s="599"/>
      <c r="J1791" s="599"/>
      <c r="K1791" s="615" t="s">
        <v>101</v>
      </c>
      <c r="L1791" s="711" t="s">
        <v>631</v>
      </c>
      <c r="M1791" s="621"/>
      <c r="N1791" s="621"/>
      <c r="O1791" s="621"/>
      <c r="P1791" s="602"/>
      <c r="Q1791" s="682" t="s">
        <v>1393</v>
      </c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</row>
    <row r="1792" ht="22.5" customHeight="1">
      <c r="A1792" s="614">
        <v>46000.0</v>
      </c>
      <c r="B1792" s="137" t="s">
        <v>2218</v>
      </c>
      <c r="C1792" s="609"/>
      <c r="D1792" s="609"/>
      <c r="E1792" s="604" t="s">
        <v>33</v>
      </c>
      <c r="F1792" s="607" t="s">
        <v>608</v>
      </c>
      <c r="G1792" s="597">
        <v>0.0</v>
      </c>
      <c r="H1792" s="689">
        <f t="shared" si="111"/>
        <v>0</v>
      </c>
      <c r="I1792" s="599"/>
      <c r="J1792" s="605">
        <v>20000.0</v>
      </c>
      <c r="K1792" s="615" t="s">
        <v>1181</v>
      </c>
      <c r="L1792" s="615" t="s">
        <v>1394</v>
      </c>
      <c r="M1792" s="621"/>
      <c r="N1792" s="621"/>
      <c r="O1792" s="621"/>
      <c r="P1792" s="602"/>
      <c r="Q1792" s="622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</row>
    <row r="1793" ht="22.5" customHeight="1">
      <c r="A1793" s="614">
        <v>46001.0</v>
      </c>
      <c r="B1793" s="137" t="s">
        <v>2218</v>
      </c>
      <c r="C1793" s="609"/>
      <c r="D1793" s="609"/>
      <c r="E1793" s="604" t="s">
        <v>33</v>
      </c>
      <c r="F1793" s="607" t="s">
        <v>608</v>
      </c>
      <c r="G1793" s="597">
        <v>0.0</v>
      </c>
      <c r="H1793" s="689">
        <f t="shared" si="111"/>
        <v>0</v>
      </c>
      <c r="I1793" s="599"/>
      <c r="J1793" s="605">
        <v>19630.0</v>
      </c>
      <c r="K1793" s="615" t="s">
        <v>1181</v>
      </c>
      <c r="L1793" s="615" t="s">
        <v>1395</v>
      </c>
      <c r="M1793" s="621"/>
      <c r="N1793" s="621"/>
      <c r="O1793" s="621"/>
      <c r="P1793" s="602"/>
      <c r="Q1793" s="622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</row>
    <row r="1794" ht="22.5" customHeight="1">
      <c r="A1794" s="614">
        <v>46001.0</v>
      </c>
      <c r="B1794" s="137" t="s">
        <v>2218</v>
      </c>
      <c r="C1794" s="609"/>
      <c r="D1794" s="609"/>
      <c r="E1794" s="604" t="s">
        <v>33</v>
      </c>
      <c r="F1794" s="607" t="s">
        <v>608</v>
      </c>
      <c r="G1794" s="597">
        <v>0.0</v>
      </c>
      <c r="H1794" s="689">
        <f t="shared" si="111"/>
        <v>0</v>
      </c>
      <c r="I1794" s="599"/>
      <c r="J1794" s="605">
        <v>15000.0</v>
      </c>
      <c r="K1794" s="615" t="s">
        <v>591</v>
      </c>
      <c r="L1794" s="615" t="s">
        <v>1175</v>
      </c>
      <c r="M1794" s="621"/>
      <c r="N1794" s="621"/>
      <c r="O1794" s="621"/>
      <c r="P1794" s="602"/>
      <c r="Q1794" s="622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</row>
    <row r="1795" ht="22.5" customHeight="1">
      <c r="A1795" s="614">
        <v>46001.0</v>
      </c>
      <c r="B1795" s="137" t="s">
        <v>2218</v>
      </c>
      <c r="C1795" s="609"/>
      <c r="D1795" s="609"/>
      <c r="E1795" s="604" t="s">
        <v>33</v>
      </c>
      <c r="F1795" s="607" t="s">
        <v>608</v>
      </c>
      <c r="G1795" s="597">
        <v>0.0</v>
      </c>
      <c r="H1795" s="689">
        <f t="shared" si="111"/>
        <v>0</v>
      </c>
      <c r="I1795" s="599"/>
      <c r="J1795" s="605">
        <v>30000.0</v>
      </c>
      <c r="K1795" s="615" t="s">
        <v>591</v>
      </c>
      <c r="L1795" s="615" t="s">
        <v>1176</v>
      </c>
      <c r="M1795" s="621"/>
      <c r="N1795" s="621"/>
      <c r="O1795" s="621"/>
      <c r="P1795" s="602"/>
      <c r="Q1795" s="622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</row>
    <row r="1796" ht="22.5" customHeight="1">
      <c r="A1796" s="614">
        <v>46001.0</v>
      </c>
      <c r="B1796" s="137" t="s">
        <v>2218</v>
      </c>
      <c r="C1796" s="609"/>
      <c r="D1796" s="609"/>
      <c r="E1796" s="604" t="s">
        <v>33</v>
      </c>
      <c r="F1796" s="607" t="s">
        <v>608</v>
      </c>
      <c r="G1796" s="597">
        <v>0.0</v>
      </c>
      <c r="H1796" s="689">
        <f t="shared" si="111"/>
        <v>0</v>
      </c>
      <c r="I1796" s="599"/>
      <c r="J1796" s="605">
        <v>50000.0</v>
      </c>
      <c r="K1796" s="615" t="s">
        <v>294</v>
      </c>
      <c r="L1796" s="615" t="s">
        <v>1396</v>
      </c>
      <c r="M1796" s="621"/>
      <c r="N1796" s="621"/>
      <c r="O1796" s="621"/>
      <c r="P1796" s="602"/>
      <c r="Q1796" s="622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</row>
    <row r="1797" ht="22.5" customHeight="1">
      <c r="A1797" s="614">
        <v>46001.0</v>
      </c>
      <c r="B1797" s="137" t="s">
        <v>2218</v>
      </c>
      <c r="C1797" s="609"/>
      <c r="D1797" s="610">
        <v>1482798.29</v>
      </c>
      <c r="E1797" s="604" t="s">
        <v>28</v>
      </c>
      <c r="F1797" s="607" t="s">
        <v>608</v>
      </c>
      <c r="G1797" s="597">
        <v>0.0</v>
      </c>
      <c r="H1797" s="689">
        <f t="shared" si="111"/>
        <v>0</v>
      </c>
      <c r="I1797" s="599"/>
      <c r="J1797" s="599"/>
      <c r="K1797" s="615" t="s">
        <v>203</v>
      </c>
      <c r="L1797" s="615" t="s">
        <v>565</v>
      </c>
      <c r="M1797" s="621"/>
      <c r="N1797" s="621"/>
      <c r="O1797" s="621"/>
      <c r="P1797" s="602"/>
      <c r="Q1797" s="622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</row>
    <row r="1798" ht="22.5" customHeight="1">
      <c r="A1798" s="614">
        <v>46001.0</v>
      </c>
      <c r="B1798" s="137" t="s">
        <v>2218</v>
      </c>
      <c r="C1798" s="609"/>
      <c r="D1798" s="609"/>
      <c r="E1798" s="604" t="s">
        <v>33</v>
      </c>
      <c r="F1798" s="607" t="s">
        <v>608</v>
      </c>
      <c r="G1798" s="597">
        <v>0.0</v>
      </c>
      <c r="H1798" s="689">
        <f t="shared" si="111"/>
        <v>0</v>
      </c>
      <c r="I1798" s="599"/>
      <c r="J1798" s="605">
        <v>30000.0</v>
      </c>
      <c r="K1798" s="615" t="s">
        <v>591</v>
      </c>
      <c r="L1798" s="615" t="s">
        <v>240</v>
      </c>
      <c r="M1798" s="621"/>
      <c r="N1798" s="621"/>
      <c r="O1798" s="621"/>
      <c r="P1798" s="602"/>
      <c r="Q1798" s="622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</row>
    <row r="1799" ht="22.5" customHeight="1">
      <c r="A1799" s="614">
        <v>46001.0</v>
      </c>
      <c r="B1799" s="137" t="s">
        <v>2218</v>
      </c>
      <c r="C1799" s="609"/>
      <c r="D1799" s="610">
        <v>69000.0</v>
      </c>
      <c r="E1799" s="604" t="s">
        <v>1346</v>
      </c>
      <c r="F1799" s="607" t="s">
        <v>604</v>
      </c>
      <c r="G1799" s="597">
        <v>0.0</v>
      </c>
      <c r="H1799" s="689">
        <f t="shared" si="111"/>
        <v>0</v>
      </c>
      <c r="I1799" s="599"/>
      <c r="J1799" s="599"/>
      <c r="K1799" s="615" t="s">
        <v>48</v>
      </c>
      <c r="L1799" s="611"/>
      <c r="M1799" s="621"/>
      <c r="N1799" s="621"/>
      <c r="O1799" s="621"/>
      <c r="P1799" s="602"/>
      <c r="Q1799" s="622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</row>
    <row r="1800" ht="22.5" customHeight="1">
      <c r="A1800" s="614">
        <v>46001.0</v>
      </c>
      <c r="B1800" s="137" t="s">
        <v>2218</v>
      </c>
      <c r="C1800" s="610">
        <v>69000.0</v>
      </c>
      <c r="D1800" s="609"/>
      <c r="E1800" s="604" t="s">
        <v>28</v>
      </c>
      <c r="F1800" s="607" t="s">
        <v>604</v>
      </c>
      <c r="G1800" s="597">
        <v>0.0</v>
      </c>
      <c r="H1800" s="689">
        <f t="shared" si="111"/>
        <v>0</v>
      </c>
      <c r="I1800" s="599"/>
      <c r="J1800" s="599"/>
      <c r="K1800" s="615" t="s">
        <v>48</v>
      </c>
      <c r="L1800" s="611"/>
      <c r="M1800" s="621"/>
      <c r="N1800" s="621"/>
      <c r="O1800" s="621"/>
      <c r="P1800" s="602"/>
      <c r="Q1800" s="622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</row>
    <row r="1801" ht="22.5" customHeight="1">
      <c r="A1801" s="614">
        <v>46002.0</v>
      </c>
      <c r="B1801" s="137" t="s">
        <v>2218</v>
      </c>
      <c r="C1801" s="610">
        <v>1200000.0</v>
      </c>
      <c r="D1801" s="609"/>
      <c r="E1801" s="595"/>
      <c r="F1801" s="607" t="s">
        <v>1099</v>
      </c>
      <c r="G1801" s="597">
        <v>20.0</v>
      </c>
      <c r="H1801" s="689">
        <f t="shared" si="111"/>
        <v>200000</v>
      </c>
      <c r="I1801" s="599"/>
      <c r="J1801" s="599"/>
      <c r="K1801" s="672" t="s">
        <v>51</v>
      </c>
      <c r="L1801" s="615" t="s">
        <v>675</v>
      </c>
      <c r="M1801" s="612" t="s">
        <v>758</v>
      </c>
      <c r="N1801" s="612">
        <v>358.0</v>
      </c>
      <c r="O1801" s="668">
        <v>45941.0</v>
      </c>
      <c r="P1801" s="602">
        <f>TODAY()-O1801-60</f>
        <v>187</v>
      </c>
      <c r="Q1801" s="622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</row>
    <row r="1802" ht="22.5" customHeight="1">
      <c r="A1802" s="614">
        <v>46003.0</v>
      </c>
      <c r="B1802" s="137" t="s">
        <v>2218</v>
      </c>
      <c r="C1802" s="609"/>
      <c r="D1802" s="610">
        <v>307912.0</v>
      </c>
      <c r="E1802" s="604" t="s">
        <v>28</v>
      </c>
      <c r="F1802" s="607" t="s">
        <v>608</v>
      </c>
      <c r="G1802" s="597">
        <v>0.0</v>
      </c>
      <c r="H1802" s="689">
        <f t="shared" si="111"/>
        <v>0</v>
      </c>
      <c r="I1802" s="599"/>
      <c r="J1802" s="599"/>
      <c r="K1802" s="615" t="s">
        <v>203</v>
      </c>
      <c r="L1802" s="615" t="s">
        <v>565</v>
      </c>
      <c r="M1802" s="621"/>
      <c r="N1802" s="621"/>
      <c r="O1802" s="621"/>
      <c r="P1802" s="602"/>
      <c r="Q1802" s="622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</row>
    <row r="1803" ht="22.5" customHeight="1">
      <c r="A1803" s="614">
        <v>46003.0</v>
      </c>
      <c r="B1803" s="137" t="s">
        <v>2218</v>
      </c>
      <c r="C1803" s="610">
        <v>261660.0</v>
      </c>
      <c r="D1803" s="609"/>
      <c r="E1803" s="604" t="s">
        <v>28</v>
      </c>
      <c r="F1803" s="607" t="s">
        <v>1099</v>
      </c>
      <c r="G1803" s="597">
        <v>20.0</v>
      </c>
      <c r="H1803" s="689">
        <f t="shared" si="111"/>
        <v>43610</v>
      </c>
      <c r="I1803" s="599"/>
      <c r="J1803" s="599"/>
      <c r="K1803" s="672" t="s">
        <v>51</v>
      </c>
      <c r="L1803" s="615" t="s">
        <v>539</v>
      </c>
      <c r="M1803" s="612" t="s">
        <v>1398</v>
      </c>
      <c r="N1803" s="612">
        <v>348.0</v>
      </c>
      <c r="O1803" s="668">
        <v>45940.0</v>
      </c>
      <c r="P1803" s="602">
        <f t="shared" ref="P1803:P1804" si="112">TODAY()-O1803-60</f>
        <v>188</v>
      </c>
      <c r="Q1803" s="622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</row>
    <row r="1804" ht="22.5" customHeight="1">
      <c r="A1804" s="614">
        <v>46003.0</v>
      </c>
      <c r="B1804" s="137" t="s">
        <v>2218</v>
      </c>
      <c r="C1804" s="610">
        <v>636048.0</v>
      </c>
      <c r="D1804" s="609"/>
      <c r="E1804" s="604" t="s">
        <v>28</v>
      </c>
      <c r="F1804" s="607" t="s">
        <v>1099</v>
      </c>
      <c r="G1804" s="597">
        <v>20.0</v>
      </c>
      <c r="H1804" s="689">
        <f t="shared" si="111"/>
        <v>106008</v>
      </c>
      <c r="I1804" s="599"/>
      <c r="J1804" s="599"/>
      <c r="K1804" s="672" t="s">
        <v>51</v>
      </c>
      <c r="L1804" s="615" t="s">
        <v>539</v>
      </c>
      <c r="M1804" s="612" t="s">
        <v>1399</v>
      </c>
      <c r="N1804" s="612">
        <v>349.0</v>
      </c>
      <c r="O1804" s="668">
        <v>45940.0</v>
      </c>
      <c r="P1804" s="602">
        <f t="shared" si="112"/>
        <v>188</v>
      </c>
      <c r="Q1804" s="622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</row>
    <row r="1805" ht="22.5" customHeight="1">
      <c r="A1805" s="614">
        <v>46003.0</v>
      </c>
      <c r="B1805" s="137" t="s">
        <v>2218</v>
      </c>
      <c r="C1805" s="609"/>
      <c r="D1805" s="610">
        <v>360000.0</v>
      </c>
      <c r="E1805" s="604" t="s">
        <v>1346</v>
      </c>
      <c r="F1805" s="607" t="s">
        <v>1179</v>
      </c>
      <c r="G1805" s="597">
        <v>20.0</v>
      </c>
      <c r="H1805" s="689">
        <f t="shared" si="111"/>
        <v>60000</v>
      </c>
      <c r="I1805" s="599"/>
      <c r="J1805" s="599"/>
      <c r="K1805" s="615" t="s">
        <v>2237</v>
      </c>
      <c r="L1805" s="615" t="s">
        <v>609</v>
      </c>
      <c r="M1805" s="621"/>
      <c r="N1805" s="621"/>
      <c r="O1805" s="621"/>
      <c r="P1805" s="602"/>
      <c r="Q1805" s="682" t="s">
        <v>1400</v>
      </c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</row>
    <row r="1806" ht="22.5" customHeight="1">
      <c r="A1806" s="614">
        <v>46003.0</v>
      </c>
      <c r="B1806" s="137" t="s">
        <v>2218</v>
      </c>
      <c r="C1806" s="610">
        <v>261314.38</v>
      </c>
      <c r="D1806" s="609"/>
      <c r="E1806" s="604" t="s">
        <v>28</v>
      </c>
      <c r="F1806" s="607" t="s">
        <v>1179</v>
      </c>
      <c r="G1806" s="597">
        <v>20.0</v>
      </c>
      <c r="H1806" s="689">
        <f t="shared" si="111"/>
        <v>43552.39667</v>
      </c>
      <c r="I1806" s="599"/>
      <c r="J1806" s="599"/>
      <c r="K1806" s="672" t="s">
        <v>51</v>
      </c>
      <c r="L1806" s="615" t="s">
        <v>539</v>
      </c>
      <c r="M1806" s="612" t="s">
        <v>1401</v>
      </c>
      <c r="N1806" s="612">
        <v>373.0</v>
      </c>
      <c r="O1806" s="662">
        <v>45968.0</v>
      </c>
      <c r="P1806" s="602"/>
      <c r="Q1806" s="622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</row>
    <row r="1807" ht="22.5" customHeight="1">
      <c r="A1807" s="614">
        <v>46003.0</v>
      </c>
      <c r="B1807" s="137" t="s">
        <v>2218</v>
      </c>
      <c r="C1807" s="610">
        <v>636048.0</v>
      </c>
      <c r="D1807" s="609"/>
      <c r="E1807" s="604" t="s">
        <v>28</v>
      </c>
      <c r="F1807" s="607" t="s">
        <v>1179</v>
      </c>
      <c r="G1807" s="597">
        <v>20.0</v>
      </c>
      <c r="H1807" s="689">
        <f t="shared" si="111"/>
        <v>106008</v>
      </c>
      <c r="I1807" s="599"/>
      <c r="J1807" s="599"/>
      <c r="K1807" s="672" t="s">
        <v>51</v>
      </c>
      <c r="L1807" s="615" t="s">
        <v>539</v>
      </c>
      <c r="M1807" s="612" t="s">
        <v>1402</v>
      </c>
      <c r="N1807" s="612">
        <v>374.0</v>
      </c>
      <c r="O1807" s="662">
        <v>45968.0</v>
      </c>
      <c r="P1807" s="602"/>
      <c r="Q1807" s="622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</row>
    <row r="1808" ht="22.5" customHeight="1">
      <c r="A1808" s="614">
        <v>46003.0</v>
      </c>
      <c r="B1808" s="137" t="s">
        <v>2218</v>
      </c>
      <c r="C1808" s="610">
        <v>413013.16</v>
      </c>
      <c r="D1808" s="609"/>
      <c r="E1808" s="604" t="s">
        <v>28</v>
      </c>
      <c r="F1808" s="607" t="s">
        <v>1179</v>
      </c>
      <c r="G1808" s="597">
        <v>20.0</v>
      </c>
      <c r="H1808" s="689">
        <f t="shared" si="111"/>
        <v>68835.52667</v>
      </c>
      <c r="I1808" s="599"/>
      <c r="J1808" s="599"/>
      <c r="K1808" s="672" t="s">
        <v>51</v>
      </c>
      <c r="L1808" s="615" t="s">
        <v>539</v>
      </c>
      <c r="M1808" s="612" t="s">
        <v>1403</v>
      </c>
      <c r="N1808" s="612">
        <v>379.0</v>
      </c>
      <c r="O1808" s="668">
        <v>45972.0</v>
      </c>
      <c r="P1808" s="602"/>
      <c r="Q1808" s="622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</row>
    <row r="1809" ht="22.5" customHeight="1">
      <c r="A1809" s="614">
        <v>46003.0</v>
      </c>
      <c r="B1809" s="137" t="s">
        <v>2218</v>
      </c>
      <c r="C1809" s="609"/>
      <c r="D1809" s="610">
        <v>238920.0</v>
      </c>
      <c r="E1809" s="604" t="s">
        <v>1346</v>
      </c>
      <c r="F1809" s="607" t="s">
        <v>604</v>
      </c>
      <c r="G1809" s="597">
        <v>0.0</v>
      </c>
      <c r="H1809" s="689">
        <f t="shared" si="111"/>
        <v>0</v>
      </c>
      <c r="I1809" s="599"/>
      <c r="J1809" s="599"/>
      <c r="K1809" s="615" t="s">
        <v>494</v>
      </c>
      <c r="L1809" s="615" t="s">
        <v>691</v>
      </c>
      <c r="M1809" s="621"/>
      <c r="N1809" s="621"/>
      <c r="O1809" s="621"/>
      <c r="P1809" s="602"/>
      <c r="Q1809" s="622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</row>
    <row r="1810" ht="22.5" customHeight="1">
      <c r="A1810" s="614">
        <v>46003.0</v>
      </c>
      <c r="B1810" s="139" t="s">
        <v>2218</v>
      </c>
      <c r="C1810" s="609"/>
      <c r="D1810" s="610">
        <f>3162971.66-1500000</f>
        <v>1662971.66</v>
      </c>
      <c r="E1810" s="604" t="s">
        <v>1346</v>
      </c>
      <c r="F1810" s="627" t="s">
        <v>941</v>
      </c>
      <c r="G1810" s="597">
        <v>20.0</v>
      </c>
      <c r="H1810" s="689">
        <f t="shared" si="111"/>
        <v>277161.9433</v>
      </c>
      <c r="I1810" s="599"/>
      <c r="J1810" s="599"/>
      <c r="K1810" s="615" t="s">
        <v>101</v>
      </c>
      <c r="L1810" s="700" t="s">
        <v>102</v>
      </c>
      <c r="M1810" s="621"/>
      <c r="N1810" s="621"/>
      <c r="O1810" s="621"/>
      <c r="P1810" s="602"/>
      <c r="Q1810" s="682" t="s">
        <v>1368</v>
      </c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</row>
    <row r="1811" ht="22.5" customHeight="1">
      <c r="A1811" s="614">
        <v>46003.0</v>
      </c>
      <c r="B1811" s="137" t="s">
        <v>2218</v>
      </c>
      <c r="C1811" s="609"/>
      <c r="D1811" s="610">
        <v>1287801.99</v>
      </c>
      <c r="E1811" s="604" t="s">
        <v>1346</v>
      </c>
      <c r="F1811" s="607" t="s">
        <v>1002</v>
      </c>
      <c r="G1811" s="597">
        <v>20.0</v>
      </c>
      <c r="H1811" s="689">
        <f t="shared" si="111"/>
        <v>214633.665</v>
      </c>
      <c r="I1811" s="599"/>
      <c r="J1811" s="599"/>
      <c r="K1811" s="615" t="s">
        <v>101</v>
      </c>
      <c r="L1811" s="700" t="s">
        <v>102</v>
      </c>
      <c r="M1811" s="621"/>
      <c r="N1811" s="621"/>
      <c r="O1811" s="621"/>
      <c r="P1811" s="602"/>
      <c r="Q1811" s="682" t="s">
        <v>1404</v>
      </c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</row>
    <row r="1812" ht="22.5" customHeight="1">
      <c r="A1812" s="614">
        <v>46003.0</v>
      </c>
      <c r="B1812" s="137" t="s">
        <v>2218</v>
      </c>
      <c r="C1812" s="609"/>
      <c r="D1812" s="610">
        <v>550000.0</v>
      </c>
      <c r="E1812" s="604" t="s">
        <v>28</v>
      </c>
      <c r="F1812" s="607" t="s">
        <v>608</v>
      </c>
      <c r="G1812" s="597">
        <v>0.0</v>
      </c>
      <c r="H1812" s="689">
        <f t="shared" si="111"/>
        <v>0</v>
      </c>
      <c r="I1812" s="599"/>
      <c r="J1812" s="599"/>
      <c r="K1812" s="615" t="s">
        <v>2010</v>
      </c>
      <c r="L1812" s="615" t="s">
        <v>505</v>
      </c>
      <c r="M1812" s="621"/>
      <c r="N1812" s="621"/>
      <c r="O1812" s="621"/>
      <c r="P1812" s="602"/>
      <c r="Q1812" s="682" t="s">
        <v>1405</v>
      </c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</row>
    <row r="1813" ht="22.5" customHeight="1">
      <c r="A1813" s="614">
        <v>46006.0</v>
      </c>
      <c r="B1813" s="139" t="s">
        <v>2218</v>
      </c>
      <c r="C1813" s="609"/>
      <c r="D1813" s="610">
        <v>350000.0</v>
      </c>
      <c r="E1813" s="604" t="s">
        <v>28</v>
      </c>
      <c r="F1813" s="627" t="s">
        <v>897</v>
      </c>
      <c r="G1813" s="688">
        <v>0.0</v>
      </c>
      <c r="H1813" s="689">
        <f t="shared" si="111"/>
        <v>0</v>
      </c>
      <c r="I1813" s="605"/>
      <c r="J1813" s="599"/>
      <c r="K1813" s="615" t="s">
        <v>93</v>
      </c>
      <c r="L1813" s="679" t="s">
        <v>516</v>
      </c>
      <c r="M1813" s="621"/>
      <c r="N1813" s="621"/>
      <c r="O1813" s="621"/>
      <c r="P1813" s="602"/>
      <c r="Q1813" s="682" t="s">
        <v>1371</v>
      </c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</row>
    <row r="1814" ht="22.5" customHeight="1">
      <c r="A1814" s="614">
        <v>46006.0</v>
      </c>
      <c r="B1814" s="137" t="s">
        <v>2218</v>
      </c>
      <c r="C1814" s="609"/>
      <c r="D1814" s="610">
        <v>18000.0</v>
      </c>
      <c r="E1814" s="604" t="s">
        <v>28</v>
      </c>
      <c r="F1814" s="607" t="s">
        <v>608</v>
      </c>
      <c r="G1814" s="597">
        <v>0.0</v>
      </c>
      <c r="H1814" s="689">
        <f t="shared" si="111"/>
        <v>0</v>
      </c>
      <c r="I1814" s="599"/>
      <c r="J1814" s="599"/>
      <c r="K1814" s="615" t="s">
        <v>30</v>
      </c>
      <c r="L1814" s="615" t="s">
        <v>1406</v>
      </c>
      <c r="M1814" s="621"/>
      <c r="N1814" s="621"/>
      <c r="O1814" s="621"/>
      <c r="P1814" s="602"/>
      <c r="Q1814" s="682" t="s">
        <v>1407</v>
      </c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</row>
    <row r="1815" ht="22.5" customHeight="1">
      <c r="A1815" s="614">
        <v>46006.0</v>
      </c>
      <c r="B1815" s="137" t="s">
        <v>2218</v>
      </c>
      <c r="C1815" s="609"/>
      <c r="D1815" s="610">
        <v>16000.0</v>
      </c>
      <c r="E1815" s="604" t="s">
        <v>28</v>
      </c>
      <c r="F1815" s="607" t="s">
        <v>1002</v>
      </c>
      <c r="G1815" s="597">
        <v>0.0</v>
      </c>
      <c r="H1815" s="689">
        <f t="shared" si="111"/>
        <v>0</v>
      </c>
      <c r="I1815" s="599"/>
      <c r="J1815" s="599"/>
      <c r="K1815" s="615" t="s">
        <v>30</v>
      </c>
      <c r="L1815" s="615" t="s">
        <v>1406</v>
      </c>
      <c r="M1815" s="621"/>
      <c r="N1815" s="621"/>
      <c r="O1815" s="621"/>
      <c r="P1815" s="602"/>
      <c r="Q1815" s="682" t="s">
        <v>1408</v>
      </c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</row>
    <row r="1816" ht="22.5" customHeight="1">
      <c r="A1816" s="614">
        <v>46006.0</v>
      </c>
      <c r="B1816" s="137" t="s">
        <v>2218</v>
      </c>
      <c r="C1816" s="609"/>
      <c r="D1816" s="610">
        <v>14000.0</v>
      </c>
      <c r="E1816" s="604" t="s">
        <v>28</v>
      </c>
      <c r="F1816" s="607" t="s">
        <v>1179</v>
      </c>
      <c r="G1816" s="597">
        <v>0.0</v>
      </c>
      <c r="H1816" s="689">
        <f t="shared" si="111"/>
        <v>0</v>
      </c>
      <c r="I1816" s="599"/>
      <c r="J1816" s="599"/>
      <c r="K1816" s="615" t="s">
        <v>30</v>
      </c>
      <c r="L1816" s="615" t="s">
        <v>1406</v>
      </c>
      <c r="M1816" s="621"/>
      <c r="N1816" s="621"/>
      <c r="O1816" s="621"/>
      <c r="P1816" s="602"/>
      <c r="Q1816" s="682" t="s">
        <v>1409</v>
      </c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</row>
    <row r="1817" ht="22.5" customHeight="1">
      <c r="A1817" s="614">
        <v>46006.0</v>
      </c>
      <c r="B1817" s="137" t="s">
        <v>2218</v>
      </c>
      <c r="C1817" s="609"/>
      <c r="D1817" s="610">
        <v>18000.0</v>
      </c>
      <c r="E1817" s="604" t="s">
        <v>28</v>
      </c>
      <c r="F1817" s="607" t="s">
        <v>1099</v>
      </c>
      <c r="G1817" s="597">
        <v>0.0</v>
      </c>
      <c r="H1817" s="689">
        <f t="shared" si="111"/>
        <v>0</v>
      </c>
      <c r="I1817" s="599"/>
      <c r="J1817" s="599"/>
      <c r="K1817" s="615" t="s">
        <v>30</v>
      </c>
      <c r="L1817" s="615" t="s">
        <v>1406</v>
      </c>
      <c r="M1817" s="621"/>
      <c r="N1817" s="621"/>
      <c r="O1817" s="621"/>
      <c r="P1817" s="602"/>
      <c r="Q1817" s="682" t="s">
        <v>1410</v>
      </c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</row>
    <row r="1818" ht="22.5" customHeight="1">
      <c r="A1818" s="721"/>
      <c r="B1818" s="139" t="s">
        <v>2256</v>
      </c>
      <c r="C1818" s="609"/>
      <c r="D1818" s="610">
        <v>623700.0</v>
      </c>
      <c r="E1818" s="606"/>
      <c r="F1818" s="627" t="s">
        <v>951</v>
      </c>
      <c r="G1818" s="597">
        <v>0.0</v>
      </c>
      <c r="H1818" s="689">
        <f t="shared" si="111"/>
        <v>0</v>
      </c>
      <c r="I1818" s="599"/>
      <c r="J1818" s="599"/>
      <c r="K1818" s="615" t="s">
        <v>322</v>
      </c>
      <c r="L1818" s="704" t="s">
        <v>1438</v>
      </c>
      <c r="M1818" s="621"/>
      <c r="N1818" s="621"/>
      <c r="O1818" s="621"/>
      <c r="P1818" s="602"/>
      <c r="Q1818" s="682" t="s">
        <v>1439</v>
      </c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</row>
    <row r="1819" ht="22.5" customHeight="1">
      <c r="A1819" s="721"/>
      <c r="B1819" s="139" t="s">
        <v>2256</v>
      </c>
      <c r="C1819" s="609"/>
      <c r="D1819" s="610">
        <v>120000.0</v>
      </c>
      <c r="E1819" s="606"/>
      <c r="F1819" s="627" t="s">
        <v>951</v>
      </c>
      <c r="G1819" s="597">
        <v>0.0</v>
      </c>
      <c r="H1819" s="689">
        <f t="shared" si="111"/>
        <v>0</v>
      </c>
      <c r="I1819" s="599"/>
      <c r="J1819" s="599"/>
      <c r="K1819" s="615" t="s">
        <v>322</v>
      </c>
      <c r="L1819" s="704" t="s">
        <v>2257</v>
      </c>
      <c r="M1819" s="621"/>
      <c r="N1819" s="621"/>
      <c r="O1819" s="621"/>
      <c r="P1819" s="602"/>
      <c r="Q1819" s="622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</row>
    <row r="1820" ht="22.5" customHeight="1">
      <c r="A1820" s="721"/>
      <c r="B1820" s="722" t="s">
        <v>2256</v>
      </c>
      <c r="C1820" s="609"/>
      <c r="D1820" s="610">
        <v>1347302.04</v>
      </c>
      <c r="E1820" s="606"/>
      <c r="F1820" s="627" t="s">
        <v>951</v>
      </c>
      <c r="G1820" s="597">
        <v>0.0</v>
      </c>
      <c r="H1820" s="689">
        <f t="shared" si="111"/>
        <v>0</v>
      </c>
      <c r="I1820" s="599"/>
      <c r="J1820" s="599"/>
      <c r="K1820" s="615" t="s">
        <v>322</v>
      </c>
      <c r="L1820" s="704" t="s">
        <v>317</v>
      </c>
      <c r="M1820" s="621"/>
      <c r="N1820" s="621"/>
      <c r="O1820" s="621"/>
      <c r="P1820" s="602"/>
      <c r="Q1820" s="682" t="s">
        <v>1440</v>
      </c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</row>
    <row r="1821" ht="22.5" customHeight="1">
      <c r="A1821" s="721"/>
      <c r="B1821" s="722" t="s">
        <v>2256</v>
      </c>
      <c r="C1821" s="609"/>
      <c r="D1821" s="610">
        <v>1669260.2</v>
      </c>
      <c r="E1821" s="606"/>
      <c r="F1821" s="627" t="s">
        <v>951</v>
      </c>
      <c r="G1821" s="597">
        <v>0.0</v>
      </c>
      <c r="H1821" s="689">
        <f t="shared" si="111"/>
        <v>0</v>
      </c>
      <c r="I1821" s="599"/>
      <c r="J1821" s="599"/>
      <c r="K1821" s="615" t="s">
        <v>322</v>
      </c>
      <c r="L1821" s="704" t="s">
        <v>2229</v>
      </c>
      <c r="M1821" s="621"/>
      <c r="N1821" s="621"/>
      <c r="O1821" s="621"/>
      <c r="P1821" s="602"/>
      <c r="Q1821" s="682" t="s">
        <v>1412</v>
      </c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</row>
    <row r="1822" ht="22.5" customHeight="1">
      <c r="A1822" s="721"/>
      <c r="B1822" s="722" t="s">
        <v>2256</v>
      </c>
      <c r="C1822" s="609"/>
      <c r="D1822" s="610">
        <v>764037.72</v>
      </c>
      <c r="E1822" s="606"/>
      <c r="F1822" s="627" t="s">
        <v>951</v>
      </c>
      <c r="G1822" s="597">
        <v>0.0</v>
      </c>
      <c r="H1822" s="689">
        <f t="shared" si="111"/>
        <v>0</v>
      </c>
      <c r="I1822" s="599"/>
      <c r="J1822" s="599"/>
      <c r="K1822" s="615" t="s">
        <v>322</v>
      </c>
      <c r="L1822" s="616" t="s">
        <v>1014</v>
      </c>
      <c r="M1822" s="621"/>
      <c r="N1822" s="621"/>
      <c r="O1822" s="621"/>
      <c r="P1822" s="602"/>
      <c r="Q1822" s="682" t="s">
        <v>1842</v>
      </c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</row>
    <row r="1823" ht="22.5" customHeight="1">
      <c r="A1823" s="721"/>
      <c r="B1823" s="722" t="s">
        <v>2256</v>
      </c>
      <c r="C1823" s="609"/>
      <c r="D1823" s="610">
        <v>1383478.54</v>
      </c>
      <c r="E1823" s="606"/>
      <c r="F1823" s="627" t="s">
        <v>951</v>
      </c>
      <c r="G1823" s="597">
        <v>0.0</v>
      </c>
      <c r="H1823" s="689">
        <f t="shared" si="111"/>
        <v>0</v>
      </c>
      <c r="I1823" s="599"/>
      <c r="J1823" s="599"/>
      <c r="K1823" s="615" t="s">
        <v>322</v>
      </c>
      <c r="L1823" s="704" t="s">
        <v>110</v>
      </c>
      <c r="M1823" s="621"/>
      <c r="N1823" s="621"/>
      <c r="O1823" s="621"/>
      <c r="P1823" s="602"/>
      <c r="Q1823" s="622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</row>
    <row r="1824" ht="22.5" customHeight="1">
      <c r="A1824" s="721"/>
      <c r="B1824" s="139" t="s">
        <v>2256</v>
      </c>
      <c r="C1824" s="609"/>
      <c r="D1824" s="610">
        <v>4000000.0</v>
      </c>
      <c r="E1824" s="606"/>
      <c r="F1824" s="627" t="s">
        <v>674</v>
      </c>
      <c r="G1824" s="597">
        <v>20.0</v>
      </c>
      <c r="H1824" s="689">
        <f t="shared" si="111"/>
        <v>666666.6667</v>
      </c>
      <c r="I1824" s="599"/>
      <c r="J1824" s="599"/>
      <c r="K1824" s="615" t="s">
        <v>101</v>
      </c>
      <c r="L1824" s="698" t="s">
        <v>725</v>
      </c>
      <c r="M1824" s="621"/>
      <c r="N1824" s="621"/>
      <c r="O1824" s="621"/>
      <c r="P1824" s="602"/>
      <c r="Q1824" s="682" t="s">
        <v>1442</v>
      </c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</row>
    <row r="1825" ht="22.5" customHeight="1">
      <c r="A1825" s="721"/>
      <c r="B1825" s="139" t="s">
        <v>2256</v>
      </c>
      <c r="C1825" s="609"/>
      <c r="D1825" s="610">
        <v>4000000.0</v>
      </c>
      <c r="E1825" s="606"/>
      <c r="F1825" s="627" t="s">
        <v>722</v>
      </c>
      <c r="G1825" s="597">
        <v>20.0</v>
      </c>
      <c r="H1825" s="689">
        <f t="shared" si="111"/>
        <v>666666.6667</v>
      </c>
      <c r="I1825" s="599"/>
      <c r="J1825" s="599"/>
      <c r="K1825" s="615" t="s">
        <v>101</v>
      </c>
      <c r="L1825" s="698" t="s">
        <v>725</v>
      </c>
      <c r="M1825" s="621"/>
      <c r="N1825" s="621"/>
      <c r="O1825" s="621"/>
      <c r="P1825" s="602"/>
      <c r="Q1825" s="613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</row>
    <row r="1826" ht="22.5" customHeight="1">
      <c r="A1826" s="614"/>
      <c r="B1826" s="157" t="s">
        <v>2258</v>
      </c>
      <c r="C1826" s="610">
        <v>2289637.51</v>
      </c>
      <c r="D1826" s="609"/>
      <c r="E1826" s="606"/>
      <c r="F1826" s="627" t="s">
        <v>941</v>
      </c>
      <c r="G1826" s="597">
        <v>20.0</v>
      </c>
      <c r="H1826" s="689">
        <f t="shared" si="111"/>
        <v>381606.2517</v>
      </c>
      <c r="I1826" s="599"/>
      <c r="J1826" s="599"/>
      <c r="K1826" s="673" t="s">
        <v>51</v>
      </c>
      <c r="L1826" s="616" t="s">
        <v>1167</v>
      </c>
      <c r="M1826" s="612" t="s">
        <v>1428</v>
      </c>
      <c r="N1826" s="612">
        <v>284.0</v>
      </c>
      <c r="O1826" s="662">
        <v>45876.0</v>
      </c>
      <c r="P1826" s="602">
        <f t="shared" ref="P1826:P1827" si="113">TODAY()-O1826-90</f>
        <v>222</v>
      </c>
      <c r="Q1826" s="622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</row>
    <row r="1827" ht="22.5" customHeight="1">
      <c r="A1827" s="721"/>
      <c r="B1827" s="157" t="s">
        <v>2258</v>
      </c>
      <c r="C1827" s="610">
        <v>600000.0</v>
      </c>
      <c r="D1827" s="609"/>
      <c r="E1827" s="606"/>
      <c r="F1827" s="627" t="s">
        <v>941</v>
      </c>
      <c r="G1827" s="597">
        <v>20.0</v>
      </c>
      <c r="H1827" s="689">
        <f t="shared" si="111"/>
        <v>100000</v>
      </c>
      <c r="I1827" s="599"/>
      <c r="J1827" s="599"/>
      <c r="K1827" s="674" t="s">
        <v>51</v>
      </c>
      <c r="L1827" s="616" t="s">
        <v>1167</v>
      </c>
      <c r="M1827" s="612" t="s">
        <v>1429</v>
      </c>
      <c r="N1827" s="612">
        <v>285.0</v>
      </c>
      <c r="O1827" s="662">
        <v>45877.0</v>
      </c>
      <c r="P1827" s="602">
        <f t="shared" si="113"/>
        <v>221</v>
      </c>
      <c r="Q1827" s="622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</row>
    <row r="1828" ht="22.5" customHeight="1">
      <c r="A1828" s="721"/>
      <c r="B1828" s="722" t="s">
        <v>2256</v>
      </c>
      <c r="C1828" s="609"/>
      <c r="D1828" s="610">
        <v>284469.0</v>
      </c>
      <c r="E1828" s="606"/>
      <c r="F1828" s="627" t="s">
        <v>941</v>
      </c>
      <c r="G1828" s="597">
        <v>20.0</v>
      </c>
      <c r="H1828" s="689">
        <f t="shared" si="111"/>
        <v>47411.5</v>
      </c>
      <c r="I1828" s="599"/>
      <c r="J1828" s="599"/>
      <c r="K1828" s="615" t="s">
        <v>101</v>
      </c>
      <c r="L1828" s="698" t="s">
        <v>1548</v>
      </c>
      <c r="M1828" s="621"/>
      <c r="N1828" s="621"/>
      <c r="O1828" s="621"/>
      <c r="P1828" s="602"/>
      <c r="Q1828" s="682" t="s">
        <v>1510</v>
      </c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</row>
    <row r="1829" ht="22.5" customHeight="1">
      <c r="A1829" s="614"/>
      <c r="B1829" s="139" t="s">
        <v>2256</v>
      </c>
      <c r="C1829" s="609"/>
      <c r="D1829" s="610">
        <v>520000.0</v>
      </c>
      <c r="E1829" s="606"/>
      <c r="F1829" s="627" t="s">
        <v>594</v>
      </c>
      <c r="G1829" s="597">
        <v>20.0</v>
      </c>
      <c r="H1829" s="689">
        <f t="shared" si="111"/>
        <v>86666.66667</v>
      </c>
      <c r="I1829" s="599"/>
      <c r="J1829" s="599"/>
      <c r="K1829" s="615" t="s">
        <v>101</v>
      </c>
      <c r="L1829" s="698" t="s">
        <v>1548</v>
      </c>
      <c r="M1829" s="621"/>
      <c r="N1829" s="621"/>
      <c r="O1829" s="621"/>
      <c r="P1829" s="602"/>
      <c r="Q1829" s="682" t="s">
        <v>1549</v>
      </c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</row>
    <row r="1830" ht="22.5" customHeight="1">
      <c r="A1830" s="721"/>
      <c r="B1830" s="157" t="s">
        <v>2258</v>
      </c>
      <c r="C1830" s="610">
        <v>594323.52</v>
      </c>
      <c r="D1830" s="609"/>
      <c r="E1830" s="606"/>
      <c r="F1830" s="627" t="s">
        <v>941</v>
      </c>
      <c r="G1830" s="597">
        <v>20.0</v>
      </c>
      <c r="H1830" s="689">
        <f t="shared" si="111"/>
        <v>99053.92</v>
      </c>
      <c r="I1830" s="599"/>
      <c r="J1830" s="599"/>
      <c r="K1830" s="615" t="s">
        <v>51</v>
      </c>
      <c r="L1830" s="616" t="s">
        <v>1167</v>
      </c>
      <c r="M1830" s="612" t="s">
        <v>1430</v>
      </c>
      <c r="N1830" s="612">
        <v>297.0</v>
      </c>
      <c r="O1830" s="662">
        <v>45880.0</v>
      </c>
      <c r="P1830" s="706">
        <f t="shared" ref="P1830:P1836" si="114">TODAY()-O1830-90</f>
        <v>218</v>
      </c>
      <c r="Q1830" s="622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</row>
    <row r="1831" ht="22.5" customHeight="1">
      <c r="A1831" s="721"/>
      <c r="B1831" s="157" t="s">
        <v>2258</v>
      </c>
      <c r="C1831" s="610">
        <v>205694.42</v>
      </c>
      <c r="D1831" s="609"/>
      <c r="E1831" s="606"/>
      <c r="F1831" s="627" t="s">
        <v>941</v>
      </c>
      <c r="G1831" s="597">
        <v>20.0</v>
      </c>
      <c r="H1831" s="689">
        <f t="shared" si="111"/>
        <v>34282.40333</v>
      </c>
      <c r="I1831" s="599"/>
      <c r="J1831" s="599"/>
      <c r="K1831" s="615" t="s">
        <v>51</v>
      </c>
      <c r="L1831" s="616" t="s">
        <v>1167</v>
      </c>
      <c r="M1831" s="612" t="s">
        <v>1431</v>
      </c>
      <c r="N1831" s="612">
        <v>298.0</v>
      </c>
      <c r="O1831" s="662">
        <v>45880.0</v>
      </c>
      <c r="P1831" s="602">
        <f t="shared" si="114"/>
        <v>218</v>
      </c>
      <c r="Q1831" s="622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</row>
    <row r="1832" ht="22.5" customHeight="1">
      <c r="A1832" s="721"/>
      <c r="B1832" s="137" t="s">
        <v>2258</v>
      </c>
      <c r="C1832" s="610">
        <v>518467.18</v>
      </c>
      <c r="D1832" s="610"/>
      <c r="E1832" s="606"/>
      <c r="F1832" s="607" t="s">
        <v>1002</v>
      </c>
      <c r="G1832" s="597">
        <v>20.0</v>
      </c>
      <c r="H1832" s="689">
        <f t="shared" si="111"/>
        <v>86411.19667</v>
      </c>
      <c r="I1832" s="599"/>
      <c r="J1832" s="599"/>
      <c r="K1832" s="615" t="s">
        <v>51</v>
      </c>
      <c r="L1832" s="615" t="s">
        <v>1167</v>
      </c>
      <c r="M1832" s="612" t="s">
        <v>1432</v>
      </c>
      <c r="N1832" s="612">
        <v>310.0</v>
      </c>
      <c r="O1832" s="662">
        <v>45910.0</v>
      </c>
      <c r="P1832" s="602">
        <f t="shared" si="114"/>
        <v>188</v>
      </c>
      <c r="Q1832" s="622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</row>
    <row r="1833" ht="22.5" customHeight="1">
      <c r="A1833" s="721"/>
      <c r="B1833" s="137" t="s">
        <v>2258</v>
      </c>
      <c r="C1833" s="610">
        <v>600040.0</v>
      </c>
      <c r="D1833" s="610"/>
      <c r="E1833" s="606"/>
      <c r="F1833" s="607" t="s">
        <v>1002</v>
      </c>
      <c r="G1833" s="597">
        <v>20.0</v>
      </c>
      <c r="H1833" s="689">
        <f t="shared" si="111"/>
        <v>100006.6667</v>
      </c>
      <c r="I1833" s="599"/>
      <c r="J1833" s="599"/>
      <c r="K1833" s="615" t="s">
        <v>51</v>
      </c>
      <c r="L1833" s="615" t="s">
        <v>1167</v>
      </c>
      <c r="M1833" s="612" t="s">
        <v>1433</v>
      </c>
      <c r="N1833" s="612">
        <v>311.0</v>
      </c>
      <c r="O1833" s="662">
        <v>45910.0</v>
      </c>
      <c r="P1833" s="602">
        <f t="shared" si="114"/>
        <v>188</v>
      </c>
      <c r="Q1833" s="622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</row>
    <row r="1834" ht="22.5" customHeight="1">
      <c r="A1834" s="721"/>
      <c r="B1834" s="137" t="s">
        <v>2258</v>
      </c>
      <c r="C1834" s="610">
        <v>600000.0</v>
      </c>
      <c r="D1834" s="610"/>
      <c r="E1834" s="606"/>
      <c r="F1834" s="607" t="s">
        <v>1002</v>
      </c>
      <c r="G1834" s="597">
        <v>20.0</v>
      </c>
      <c r="H1834" s="689">
        <f t="shared" si="111"/>
        <v>100000</v>
      </c>
      <c r="I1834" s="599"/>
      <c r="J1834" s="599"/>
      <c r="K1834" s="615" t="s">
        <v>51</v>
      </c>
      <c r="L1834" s="615" t="s">
        <v>1167</v>
      </c>
      <c r="M1834" s="612" t="s">
        <v>1434</v>
      </c>
      <c r="N1834" s="612">
        <v>312.0</v>
      </c>
      <c r="O1834" s="662">
        <v>45910.0</v>
      </c>
      <c r="P1834" s="602">
        <f t="shared" si="114"/>
        <v>188</v>
      </c>
      <c r="Q1834" s="622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</row>
    <row r="1835" ht="22.5" customHeight="1">
      <c r="A1835" s="721"/>
      <c r="B1835" s="137" t="s">
        <v>2258</v>
      </c>
      <c r="C1835" s="610">
        <v>1200000.0</v>
      </c>
      <c r="D1835" s="610"/>
      <c r="E1835" s="606"/>
      <c r="F1835" s="607" t="s">
        <v>1002</v>
      </c>
      <c r="G1835" s="597">
        <v>20.0</v>
      </c>
      <c r="H1835" s="689">
        <f t="shared" si="111"/>
        <v>200000</v>
      </c>
      <c r="I1835" s="599"/>
      <c r="J1835" s="599"/>
      <c r="K1835" s="615" t="s">
        <v>51</v>
      </c>
      <c r="L1835" s="615" t="s">
        <v>1167</v>
      </c>
      <c r="M1835" s="612" t="s">
        <v>1435</v>
      </c>
      <c r="N1835" s="612">
        <v>313.0</v>
      </c>
      <c r="O1835" s="662">
        <v>45910.0</v>
      </c>
      <c r="P1835" s="602">
        <f t="shared" si="114"/>
        <v>188</v>
      </c>
      <c r="Q1835" s="622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</row>
    <row r="1836" ht="22.5" customHeight="1">
      <c r="A1836" s="721"/>
      <c r="B1836" s="137" t="s">
        <v>2258</v>
      </c>
      <c r="C1836" s="610">
        <v>600000.0</v>
      </c>
      <c r="D1836" s="610"/>
      <c r="E1836" s="606"/>
      <c r="F1836" s="607" t="s">
        <v>1002</v>
      </c>
      <c r="G1836" s="597">
        <v>20.0</v>
      </c>
      <c r="H1836" s="689">
        <f t="shared" si="111"/>
        <v>100000</v>
      </c>
      <c r="I1836" s="599"/>
      <c r="J1836" s="599"/>
      <c r="K1836" s="615" t="s">
        <v>51</v>
      </c>
      <c r="L1836" s="615" t="s">
        <v>1167</v>
      </c>
      <c r="M1836" s="612" t="s">
        <v>1436</v>
      </c>
      <c r="N1836" s="612">
        <v>315.0</v>
      </c>
      <c r="O1836" s="662">
        <v>45910.0</v>
      </c>
      <c r="P1836" s="602">
        <f t="shared" si="114"/>
        <v>188</v>
      </c>
      <c r="Q1836" s="622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</row>
    <row r="1837" ht="22.5" customHeight="1">
      <c r="A1837" s="721"/>
      <c r="B1837" s="137" t="s">
        <v>2258</v>
      </c>
      <c r="C1837" s="610">
        <v>672000.0</v>
      </c>
      <c r="D1837" s="610"/>
      <c r="E1837" s="606"/>
      <c r="F1837" s="607" t="s">
        <v>1002</v>
      </c>
      <c r="G1837" s="597">
        <v>20.0</v>
      </c>
      <c r="H1837" s="689">
        <f t="shared" si="111"/>
        <v>112000</v>
      </c>
      <c r="I1837" s="599"/>
      <c r="J1837" s="599"/>
      <c r="K1837" s="615" t="s">
        <v>51</v>
      </c>
      <c r="L1837" s="615" t="s">
        <v>1014</v>
      </c>
      <c r="M1837" s="612" t="s">
        <v>1459</v>
      </c>
      <c r="N1837" s="612">
        <v>316.0</v>
      </c>
      <c r="O1837" s="662">
        <v>45910.0</v>
      </c>
      <c r="P1837" s="602">
        <f t="shared" ref="P1837:P1844" si="115">TODAY()-O1837-60</f>
        <v>218</v>
      </c>
      <c r="Q1837" s="622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</row>
    <row r="1838" ht="22.5" customHeight="1">
      <c r="A1838" s="721"/>
      <c r="B1838" s="137" t="s">
        <v>2258</v>
      </c>
      <c r="C1838" s="610">
        <v>688800.0</v>
      </c>
      <c r="D1838" s="610"/>
      <c r="E1838" s="606"/>
      <c r="F1838" s="607" t="s">
        <v>1002</v>
      </c>
      <c r="G1838" s="597">
        <v>20.0</v>
      </c>
      <c r="H1838" s="689">
        <f t="shared" si="111"/>
        <v>114800</v>
      </c>
      <c r="I1838" s="599"/>
      <c r="J1838" s="599"/>
      <c r="K1838" s="615" t="s">
        <v>51</v>
      </c>
      <c r="L1838" s="615" t="s">
        <v>1014</v>
      </c>
      <c r="M1838" s="612" t="s">
        <v>1460</v>
      </c>
      <c r="N1838" s="612">
        <v>317.0</v>
      </c>
      <c r="O1838" s="662">
        <v>45910.0</v>
      </c>
      <c r="P1838" s="602">
        <f t="shared" si="115"/>
        <v>218</v>
      </c>
      <c r="Q1838" s="622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</row>
    <row r="1839" ht="22.5" customHeight="1">
      <c r="A1839" s="721"/>
      <c r="B1839" s="137" t="s">
        <v>2258</v>
      </c>
      <c r="C1839" s="610">
        <v>604800.0</v>
      </c>
      <c r="D1839" s="610"/>
      <c r="E1839" s="606"/>
      <c r="F1839" s="607" t="s">
        <v>1002</v>
      </c>
      <c r="G1839" s="597">
        <v>20.0</v>
      </c>
      <c r="H1839" s="689">
        <f t="shared" si="111"/>
        <v>100800</v>
      </c>
      <c r="I1839" s="599"/>
      <c r="J1839" s="599"/>
      <c r="K1839" s="615" t="s">
        <v>51</v>
      </c>
      <c r="L1839" s="615" t="s">
        <v>1014</v>
      </c>
      <c r="M1839" s="612" t="s">
        <v>1461</v>
      </c>
      <c r="N1839" s="612">
        <v>318.0</v>
      </c>
      <c r="O1839" s="662">
        <v>45910.0</v>
      </c>
      <c r="P1839" s="602">
        <f t="shared" si="115"/>
        <v>218</v>
      </c>
      <c r="Q1839" s="622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</row>
    <row r="1840" ht="22.5" customHeight="1">
      <c r="A1840" s="721"/>
      <c r="B1840" s="137" t="s">
        <v>2258</v>
      </c>
      <c r="C1840" s="610">
        <v>608160.0</v>
      </c>
      <c r="D1840" s="610"/>
      <c r="E1840" s="606"/>
      <c r="F1840" s="607" t="s">
        <v>1002</v>
      </c>
      <c r="G1840" s="597">
        <v>20.0</v>
      </c>
      <c r="H1840" s="689">
        <f t="shared" si="111"/>
        <v>101360</v>
      </c>
      <c r="I1840" s="599"/>
      <c r="J1840" s="599"/>
      <c r="K1840" s="615" t="s">
        <v>51</v>
      </c>
      <c r="L1840" s="615" t="s">
        <v>1014</v>
      </c>
      <c r="M1840" s="612" t="s">
        <v>1462</v>
      </c>
      <c r="N1840" s="612">
        <v>319.0</v>
      </c>
      <c r="O1840" s="662">
        <v>45910.0</v>
      </c>
      <c r="P1840" s="602">
        <f t="shared" si="115"/>
        <v>218</v>
      </c>
      <c r="Q1840" s="622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</row>
    <row r="1841" ht="22.5" customHeight="1">
      <c r="A1841" s="721"/>
      <c r="B1841" s="137" t="s">
        <v>2258</v>
      </c>
      <c r="C1841" s="610">
        <v>600000.24</v>
      </c>
      <c r="D1841" s="610"/>
      <c r="E1841" s="606"/>
      <c r="F1841" s="607" t="s">
        <v>1002</v>
      </c>
      <c r="G1841" s="597">
        <v>20.0</v>
      </c>
      <c r="H1841" s="689">
        <f t="shared" si="111"/>
        <v>100000.04</v>
      </c>
      <c r="I1841" s="599"/>
      <c r="J1841" s="599"/>
      <c r="K1841" s="615" t="s">
        <v>51</v>
      </c>
      <c r="L1841" s="615" t="s">
        <v>474</v>
      </c>
      <c r="M1841" s="612" t="s">
        <v>1351</v>
      </c>
      <c r="N1841" s="612">
        <v>320.0</v>
      </c>
      <c r="O1841" s="662">
        <v>45910.0</v>
      </c>
      <c r="P1841" s="602">
        <f t="shared" si="115"/>
        <v>218</v>
      </c>
      <c r="Q1841" s="622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</row>
    <row r="1842" ht="22.5" customHeight="1">
      <c r="A1842" s="721"/>
      <c r="B1842" s="137" t="s">
        <v>2258</v>
      </c>
      <c r="C1842" s="610">
        <v>600000.24</v>
      </c>
      <c r="D1842" s="610"/>
      <c r="E1842" s="606"/>
      <c r="F1842" s="607" t="s">
        <v>1002</v>
      </c>
      <c r="G1842" s="597">
        <v>20.0</v>
      </c>
      <c r="H1842" s="689">
        <f t="shared" si="111"/>
        <v>100000.04</v>
      </c>
      <c r="I1842" s="599"/>
      <c r="J1842" s="599"/>
      <c r="K1842" s="615" t="s">
        <v>51</v>
      </c>
      <c r="L1842" s="615" t="s">
        <v>474</v>
      </c>
      <c r="M1842" s="612" t="s">
        <v>1241</v>
      </c>
      <c r="N1842" s="612">
        <v>322.0</v>
      </c>
      <c r="O1842" s="662">
        <v>45910.0</v>
      </c>
      <c r="P1842" s="602">
        <f t="shared" si="115"/>
        <v>218</v>
      </c>
      <c r="Q1842" s="622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</row>
    <row r="1843" ht="22.5" customHeight="1">
      <c r="A1843" s="721"/>
      <c r="B1843" s="137" t="s">
        <v>2258</v>
      </c>
      <c r="C1843" s="610">
        <v>600000.24</v>
      </c>
      <c r="D1843" s="610"/>
      <c r="E1843" s="606"/>
      <c r="F1843" s="607" t="s">
        <v>1002</v>
      </c>
      <c r="G1843" s="597">
        <v>20.0</v>
      </c>
      <c r="H1843" s="689">
        <f t="shared" si="111"/>
        <v>100000.04</v>
      </c>
      <c r="I1843" s="599"/>
      <c r="J1843" s="599"/>
      <c r="K1843" s="615" t="s">
        <v>51</v>
      </c>
      <c r="L1843" s="615" t="s">
        <v>474</v>
      </c>
      <c r="M1843" s="612" t="s">
        <v>1223</v>
      </c>
      <c r="N1843" s="612">
        <v>323.0</v>
      </c>
      <c r="O1843" s="662">
        <v>45910.0</v>
      </c>
      <c r="P1843" s="602">
        <f t="shared" si="115"/>
        <v>218</v>
      </c>
      <c r="Q1843" s="622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</row>
    <row r="1844" ht="22.5" customHeight="1">
      <c r="A1844" s="721"/>
      <c r="B1844" s="137" t="s">
        <v>2258</v>
      </c>
      <c r="C1844" s="610">
        <v>28289.09</v>
      </c>
      <c r="D1844" s="610"/>
      <c r="E1844" s="606"/>
      <c r="F1844" s="607" t="s">
        <v>1002</v>
      </c>
      <c r="G1844" s="597">
        <v>20.0</v>
      </c>
      <c r="H1844" s="689">
        <f t="shared" si="111"/>
        <v>4714.848333</v>
      </c>
      <c r="I1844" s="599"/>
      <c r="J1844" s="599"/>
      <c r="K1844" s="672" t="s">
        <v>51</v>
      </c>
      <c r="L1844" s="615" t="s">
        <v>1167</v>
      </c>
      <c r="M1844" s="612" t="s">
        <v>1437</v>
      </c>
      <c r="N1844" s="612">
        <v>324.0</v>
      </c>
      <c r="O1844" s="662">
        <v>45910.0</v>
      </c>
      <c r="P1844" s="602">
        <f t="shared" si="115"/>
        <v>218</v>
      </c>
      <c r="Q1844" s="622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</row>
    <row r="1845" ht="22.5" customHeight="1">
      <c r="A1845" s="721"/>
      <c r="B1845" s="137" t="s">
        <v>2258</v>
      </c>
      <c r="C1845" s="610">
        <v>330000.24</v>
      </c>
      <c r="D1845" s="610"/>
      <c r="E1845" s="606"/>
      <c r="F1845" s="607" t="s">
        <v>1002</v>
      </c>
      <c r="G1845" s="597">
        <v>20.0</v>
      </c>
      <c r="H1845" s="689">
        <f t="shared" si="111"/>
        <v>55000.04</v>
      </c>
      <c r="I1845" s="599"/>
      <c r="J1845" s="599"/>
      <c r="K1845" s="615" t="s">
        <v>51</v>
      </c>
      <c r="L1845" s="615" t="s">
        <v>944</v>
      </c>
      <c r="M1845" s="612" t="s">
        <v>1234</v>
      </c>
      <c r="N1845" s="612">
        <v>321.0</v>
      </c>
      <c r="O1845" s="662">
        <v>45910.0</v>
      </c>
      <c r="P1845" s="602">
        <f>TODAY()-O1845-120</f>
        <v>158</v>
      </c>
      <c r="Q1845" s="622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</row>
    <row r="1846" ht="22.5" customHeight="1">
      <c r="A1846" s="721"/>
      <c r="B1846" s="137" t="s">
        <v>2256</v>
      </c>
      <c r="C1846" s="609"/>
      <c r="D1846" s="610">
        <v>1523731.81</v>
      </c>
      <c r="E1846" s="595"/>
      <c r="F1846" s="607" t="s">
        <v>1099</v>
      </c>
      <c r="G1846" s="597">
        <v>20.0</v>
      </c>
      <c r="H1846" s="689">
        <f t="shared" si="111"/>
        <v>253955.3017</v>
      </c>
      <c r="I1846" s="599"/>
      <c r="J1846" s="599"/>
      <c r="K1846" s="615" t="s">
        <v>2238</v>
      </c>
      <c r="L1846" s="671" t="s">
        <v>228</v>
      </c>
      <c r="M1846" s="621"/>
      <c r="N1846" s="621"/>
      <c r="O1846" s="621"/>
      <c r="P1846" s="602"/>
      <c r="Q1846" s="682" t="s">
        <v>1414</v>
      </c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</row>
    <row r="1847" ht="22.5" customHeight="1">
      <c r="A1847" s="721"/>
      <c r="B1847" s="137" t="s">
        <v>2258</v>
      </c>
      <c r="C1847" s="610">
        <v>350000.11</v>
      </c>
      <c r="D1847" s="609"/>
      <c r="E1847" s="595"/>
      <c r="F1847" s="607" t="s">
        <v>1002</v>
      </c>
      <c r="G1847" s="597">
        <v>20.0</v>
      </c>
      <c r="H1847" s="689">
        <f t="shared" si="111"/>
        <v>58333.35167</v>
      </c>
      <c r="I1847" s="599"/>
      <c r="J1847" s="599"/>
      <c r="K1847" s="672" t="s">
        <v>51</v>
      </c>
      <c r="L1847" s="615" t="s">
        <v>1159</v>
      </c>
      <c r="M1847" s="612" t="s">
        <v>1093</v>
      </c>
      <c r="N1847" s="612">
        <v>325.0</v>
      </c>
      <c r="O1847" s="662">
        <v>45912.0</v>
      </c>
      <c r="P1847" s="602">
        <f t="shared" ref="P1847:P1855" si="116">TODAY()-O1847-60</f>
        <v>216</v>
      </c>
      <c r="Q1847" s="622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</row>
    <row r="1848" ht="22.5" customHeight="1">
      <c r="A1848" s="721"/>
      <c r="B1848" s="137" t="s">
        <v>2258</v>
      </c>
      <c r="C1848" s="610">
        <v>600000.24</v>
      </c>
      <c r="D1848" s="609"/>
      <c r="E1848" s="595"/>
      <c r="F1848" s="607" t="s">
        <v>1099</v>
      </c>
      <c r="G1848" s="597">
        <v>20.0</v>
      </c>
      <c r="H1848" s="689">
        <f t="shared" si="111"/>
        <v>100000.04</v>
      </c>
      <c r="I1848" s="599"/>
      <c r="J1848" s="599"/>
      <c r="K1848" s="672" t="s">
        <v>51</v>
      </c>
      <c r="L1848" s="615" t="s">
        <v>1271</v>
      </c>
      <c r="M1848" s="612" t="s">
        <v>844</v>
      </c>
      <c r="N1848" s="612">
        <v>335.0</v>
      </c>
      <c r="O1848" s="662">
        <v>45935.0</v>
      </c>
      <c r="P1848" s="602">
        <f t="shared" si="116"/>
        <v>193</v>
      </c>
      <c r="Q1848" s="622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</row>
    <row r="1849" ht="22.5" customHeight="1">
      <c r="A1849" s="721"/>
      <c r="B1849" s="137" t="s">
        <v>2258</v>
      </c>
      <c r="C1849" s="610">
        <v>689270.4</v>
      </c>
      <c r="D1849" s="609"/>
      <c r="E1849" s="595"/>
      <c r="F1849" s="607" t="s">
        <v>1099</v>
      </c>
      <c r="G1849" s="597">
        <v>20.0</v>
      </c>
      <c r="H1849" s="689">
        <f t="shared" si="111"/>
        <v>114878.4</v>
      </c>
      <c r="I1849" s="599"/>
      <c r="J1849" s="599"/>
      <c r="K1849" s="672" t="s">
        <v>51</v>
      </c>
      <c r="L1849" s="615" t="s">
        <v>1271</v>
      </c>
      <c r="M1849" s="612" t="s">
        <v>1093</v>
      </c>
      <c r="N1849" s="612">
        <v>336.0</v>
      </c>
      <c r="O1849" s="662">
        <v>45935.0</v>
      </c>
      <c r="P1849" s="602">
        <f t="shared" si="116"/>
        <v>193</v>
      </c>
      <c r="Q1849" s="622"/>
    </row>
    <row r="1850" ht="22.5" customHeight="1">
      <c r="A1850" s="721"/>
      <c r="B1850" s="137" t="s">
        <v>2258</v>
      </c>
      <c r="C1850" s="610">
        <v>1531799.64</v>
      </c>
      <c r="D1850" s="609"/>
      <c r="E1850" s="595"/>
      <c r="F1850" s="607" t="s">
        <v>1099</v>
      </c>
      <c r="G1850" s="597">
        <v>20.0</v>
      </c>
      <c r="H1850" s="689">
        <f t="shared" si="111"/>
        <v>255299.94</v>
      </c>
      <c r="I1850" s="599"/>
      <c r="J1850" s="599"/>
      <c r="K1850" s="672" t="s">
        <v>51</v>
      </c>
      <c r="L1850" s="615" t="s">
        <v>1271</v>
      </c>
      <c r="M1850" s="612" t="s">
        <v>753</v>
      </c>
      <c r="N1850" s="612">
        <v>337.0</v>
      </c>
      <c r="O1850" s="662">
        <v>45935.0</v>
      </c>
      <c r="P1850" s="602">
        <f t="shared" si="116"/>
        <v>193</v>
      </c>
      <c r="Q1850" s="622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</row>
    <row r="1851" ht="22.5" customHeight="1">
      <c r="A1851" s="721"/>
      <c r="B1851" s="137" t="s">
        <v>2258</v>
      </c>
      <c r="C1851" s="610">
        <v>2714635.56</v>
      </c>
      <c r="D1851" s="609"/>
      <c r="E1851" s="595"/>
      <c r="F1851" s="607" t="s">
        <v>1099</v>
      </c>
      <c r="G1851" s="597">
        <v>20.0</v>
      </c>
      <c r="H1851" s="689">
        <f t="shared" si="111"/>
        <v>452439.26</v>
      </c>
      <c r="I1851" s="599"/>
      <c r="J1851" s="599"/>
      <c r="K1851" s="672" t="s">
        <v>51</v>
      </c>
      <c r="L1851" s="615" t="s">
        <v>1271</v>
      </c>
      <c r="M1851" s="612" t="s">
        <v>753</v>
      </c>
      <c r="N1851" s="612">
        <v>339.0</v>
      </c>
      <c r="O1851" s="662">
        <v>45935.0</v>
      </c>
      <c r="P1851" s="602">
        <f t="shared" si="116"/>
        <v>193</v>
      </c>
      <c r="Q1851" s="622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</row>
    <row r="1852" ht="22.5" customHeight="1">
      <c r="A1852" s="721"/>
      <c r="B1852" s="137" t="s">
        <v>2258</v>
      </c>
      <c r="C1852" s="610">
        <v>150000.11</v>
      </c>
      <c r="D1852" s="609"/>
      <c r="E1852" s="595"/>
      <c r="F1852" s="607" t="s">
        <v>1002</v>
      </c>
      <c r="G1852" s="597">
        <v>20.0</v>
      </c>
      <c r="H1852" s="689">
        <f t="shared" si="111"/>
        <v>25000.01833</v>
      </c>
      <c r="I1852" s="599"/>
      <c r="J1852" s="599"/>
      <c r="K1852" s="672" t="s">
        <v>51</v>
      </c>
      <c r="L1852" s="615" t="s">
        <v>1159</v>
      </c>
      <c r="M1852" s="612" t="s">
        <v>754</v>
      </c>
      <c r="N1852" s="612">
        <v>326.0</v>
      </c>
      <c r="O1852" s="662">
        <v>45912.0</v>
      </c>
      <c r="P1852" s="602">
        <f t="shared" si="116"/>
        <v>216</v>
      </c>
      <c r="Q1852" s="622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</row>
    <row r="1853" ht="22.5" customHeight="1">
      <c r="A1853" s="721"/>
      <c r="B1853" s="137" t="s">
        <v>2258</v>
      </c>
      <c r="C1853" s="610">
        <v>600000.0</v>
      </c>
      <c r="D1853" s="609"/>
      <c r="E1853" s="595"/>
      <c r="F1853" s="607" t="s">
        <v>1099</v>
      </c>
      <c r="G1853" s="597">
        <v>20.0</v>
      </c>
      <c r="H1853" s="689">
        <f t="shared" si="111"/>
        <v>100000</v>
      </c>
      <c r="I1853" s="599"/>
      <c r="J1853" s="599"/>
      <c r="K1853" s="672" t="s">
        <v>51</v>
      </c>
      <c r="L1853" s="615" t="s">
        <v>675</v>
      </c>
      <c r="M1853" s="612" t="s">
        <v>755</v>
      </c>
      <c r="N1853" s="612">
        <v>341.0</v>
      </c>
      <c r="O1853" s="662">
        <v>45935.0</v>
      </c>
      <c r="P1853" s="602">
        <f t="shared" si="116"/>
        <v>193</v>
      </c>
      <c r="Q1853" s="622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</row>
    <row r="1854" ht="22.5" customHeight="1">
      <c r="A1854" s="721"/>
      <c r="B1854" s="137" t="s">
        <v>2258</v>
      </c>
      <c r="C1854" s="610">
        <v>300000.12</v>
      </c>
      <c r="D1854" s="609"/>
      <c r="E1854" s="595"/>
      <c r="F1854" s="607" t="s">
        <v>1099</v>
      </c>
      <c r="G1854" s="597">
        <v>20.0</v>
      </c>
      <c r="H1854" s="689">
        <f t="shared" si="111"/>
        <v>50000.02</v>
      </c>
      <c r="I1854" s="599"/>
      <c r="J1854" s="599"/>
      <c r="K1854" s="672" t="s">
        <v>51</v>
      </c>
      <c r="L1854" s="615" t="s">
        <v>807</v>
      </c>
      <c r="M1854" s="612" t="s">
        <v>1093</v>
      </c>
      <c r="N1854" s="612">
        <v>340.0</v>
      </c>
      <c r="O1854" s="662">
        <v>45935.0</v>
      </c>
      <c r="P1854" s="602">
        <f t="shared" si="116"/>
        <v>193</v>
      </c>
      <c r="Q1854" s="622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</row>
    <row r="1855" ht="22.5" customHeight="1">
      <c r="A1855" s="721"/>
      <c r="B1855" s="137" t="s">
        <v>2258</v>
      </c>
      <c r="C1855" s="610">
        <v>600040.0</v>
      </c>
      <c r="D1855" s="609"/>
      <c r="E1855" s="595"/>
      <c r="F1855" s="607" t="s">
        <v>1099</v>
      </c>
      <c r="G1855" s="597">
        <v>20.0</v>
      </c>
      <c r="H1855" s="689">
        <f t="shared" si="111"/>
        <v>100006.6667</v>
      </c>
      <c r="I1855" s="599"/>
      <c r="J1855" s="599"/>
      <c r="K1855" s="672" t="s">
        <v>51</v>
      </c>
      <c r="L1855" s="615" t="s">
        <v>1167</v>
      </c>
      <c r="M1855" s="612" t="s">
        <v>1585</v>
      </c>
      <c r="N1855" s="612">
        <v>343.0</v>
      </c>
      <c r="O1855" s="662">
        <v>45937.0</v>
      </c>
      <c r="P1855" s="602">
        <f t="shared" si="116"/>
        <v>191</v>
      </c>
      <c r="Q1855" s="622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</row>
    <row r="1856" ht="22.5" customHeight="1">
      <c r="A1856" s="721"/>
      <c r="B1856" s="137" t="s">
        <v>2258</v>
      </c>
      <c r="C1856" s="610">
        <v>639000.0</v>
      </c>
      <c r="D1856" s="609"/>
      <c r="E1856" s="595"/>
      <c r="F1856" s="607" t="s">
        <v>1099</v>
      </c>
      <c r="G1856" s="597">
        <v>20.0</v>
      </c>
      <c r="H1856" s="689">
        <f t="shared" si="111"/>
        <v>106500</v>
      </c>
      <c r="I1856" s="599"/>
      <c r="J1856" s="599"/>
      <c r="K1856" s="672" t="s">
        <v>51</v>
      </c>
      <c r="L1856" s="615" t="s">
        <v>1167</v>
      </c>
      <c r="M1856" s="612" t="s">
        <v>1586</v>
      </c>
      <c r="N1856" s="612">
        <v>344.0</v>
      </c>
      <c r="O1856" s="662">
        <v>45938.0</v>
      </c>
      <c r="P1856" s="602">
        <f t="shared" ref="P1856:P1857" si="117">TODAY()-O1856-90</f>
        <v>160</v>
      </c>
      <c r="Q1856" s="622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</row>
    <row r="1857" ht="22.5" customHeight="1">
      <c r="A1857" s="721"/>
      <c r="B1857" s="137" t="s">
        <v>2258</v>
      </c>
      <c r="C1857" s="610">
        <v>600000.0</v>
      </c>
      <c r="D1857" s="609"/>
      <c r="E1857" s="595"/>
      <c r="F1857" s="607" t="s">
        <v>1099</v>
      </c>
      <c r="G1857" s="597">
        <v>20.0</v>
      </c>
      <c r="H1857" s="689">
        <f t="shared" si="111"/>
        <v>100000</v>
      </c>
      <c r="I1857" s="599"/>
      <c r="J1857" s="599"/>
      <c r="K1857" s="672" t="s">
        <v>51</v>
      </c>
      <c r="L1857" s="615" t="s">
        <v>1167</v>
      </c>
      <c r="M1857" s="612" t="s">
        <v>1587</v>
      </c>
      <c r="N1857" s="612">
        <v>345.0</v>
      </c>
      <c r="O1857" s="662">
        <v>45938.0</v>
      </c>
      <c r="P1857" s="602">
        <f t="shared" si="117"/>
        <v>160</v>
      </c>
      <c r="Q1857" s="622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</row>
    <row r="1858" ht="22.5" customHeight="1">
      <c r="A1858" s="721"/>
      <c r="B1858" s="137" t="s">
        <v>2258</v>
      </c>
      <c r="C1858" s="610">
        <v>608160.0</v>
      </c>
      <c r="D1858" s="609"/>
      <c r="E1858" s="595"/>
      <c r="F1858" s="607" t="s">
        <v>1099</v>
      </c>
      <c r="G1858" s="597">
        <v>20.0</v>
      </c>
      <c r="H1858" s="689">
        <f t="shared" si="111"/>
        <v>101360</v>
      </c>
      <c r="I1858" s="599"/>
      <c r="J1858" s="599"/>
      <c r="K1858" s="672" t="s">
        <v>51</v>
      </c>
      <c r="L1858" s="615" t="s">
        <v>1014</v>
      </c>
      <c r="M1858" s="612" t="s">
        <v>1463</v>
      </c>
      <c r="N1858" s="612">
        <v>346.0</v>
      </c>
      <c r="O1858" s="662">
        <v>45938.0</v>
      </c>
      <c r="P1858" s="602">
        <f t="shared" ref="P1858:P1863" si="118">TODAY()-O1858-60</f>
        <v>190</v>
      </c>
      <c r="Q1858" s="622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</row>
    <row r="1859" ht="22.5" customHeight="1">
      <c r="A1859" s="721"/>
      <c r="B1859" s="137" t="s">
        <v>2258</v>
      </c>
      <c r="C1859" s="610">
        <v>688800.0</v>
      </c>
      <c r="D1859" s="609"/>
      <c r="E1859" s="595"/>
      <c r="F1859" s="607" t="s">
        <v>1099</v>
      </c>
      <c r="G1859" s="597">
        <v>20.0</v>
      </c>
      <c r="H1859" s="689">
        <f t="shared" si="111"/>
        <v>114800</v>
      </c>
      <c r="I1859" s="599"/>
      <c r="J1859" s="599"/>
      <c r="K1859" s="672" t="s">
        <v>51</v>
      </c>
      <c r="L1859" s="615" t="s">
        <v>1014</v>
      </c>
      <c r="M1859" s="612" t="s">
        <v>1464</v>
      </c>
      <c r="N1859" s="612">
        <v>353.0</v>
      </c>
      <c r="O1859" s="668">
        <v>45941.0</v>
      </c>
      <c r="P1859" s="602">
        <f t="shared" si="118"/>
        <v>187</v>
      </c>
      <c r="Q1859" s="622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</row>
    <row r="1860" ht="22.5" customHeight="1">
      <c r="A1860" s="721"/>
      <c r="B1860" s="137" t="s">
        <v>2258</v>
      </c>
      <c r="C1860" s="610">
        <v>600000.24</v>
      </c>
      <c r="D1860" s="609"/>
      <c r="E1860" s="595"/>
      <c r="F1860" s="607" t="s">
        <v>1099</v>
      </c>
      <c r="G1860" s="597">
        <v>20.0</v>
      </c>
      <c r="H1860" s="689">
        <f t="shared" si="111"/>
        <v>100000.04</v>
      </c>
      <c r="I1860" s="599"/>
      <c r="J1860" s="599"/>
      <c r="K1860" s="672" t="s">
        <v>51</v>
      </c>
      <c r="L1860" s="615" t="s">
        <v>1014</v>
      </c>
      <c r="M1860" s="612" t="s">
        <v>1465</v>
      </c>
      <c r="N1860" s="612">
        <v>354.0</v>
      </c>
      <c r="O1860" s="668">
        <v>45941.0</v>
      </c>
      <c r="P1860" s="602">
        <f t="shared" si="118"/>
        <v>187</v>
      </c>
      <c r="Q1860" s="622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</row>
    <row r="1861" ht="22.5" customHeight="1">
      <c r="A1861" s="721"/>
      <c r="B1861" s="137" t="s">
        <v>2258</v>
      </c>
      <c r="C1861" s="610">
        <v>991200.0</v>
      </c>
      <c r="D1861" s="609"/>
      <c r="E1861" s="595"/>
      <c r="F1861" s="607" t="s">
        <v>1099</v>
      </c>
      <c r="G1861" s="597">
        <v>20.0</v>
      </c>
      <c r="H1861" s="689">
        <f t="shared" si="111"/>
        <v>165200</v>
      </c>
      <c r="I1861" s="599"/>
      <c r="J1861" s="599"/>
      <c r="K1861" s="672" t="s">
        <v>51</v>
      </c>
      <c r="L1861" s="615" t="s">
        <v>1014</v>
      </c>
      <c r="M1861" s="612" t="s">
        <v>1466</v>
      </c>
      <c r="N1861" s="612">
        <v>355.0</v>
      </c>
      <c r="O1861" s="668">
        <v>45941.0</v>
      </c>
      <c r="P1861" s="602">
        <f t="shared" si="118"/>
        <v>187</v>
      </c>
      <c r="Q1861" s="622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</row>
    <row r="1862" ht="22.5" customHeight="1">
      <c r="A1862" s="721"/>
      <c r="B1862" s="137" t="s">
        <v>2258</v>
      </c>
      <c r="C1862" s="610">
        <v>751968.0</v>
      </c>
      <c r="D1862" s="609"/>
      <c r="E1862" s="595"/>
      <c r="F1862" s="607" t="s">
        <v>1099</v>
      </c>
      <c r="G1862" s="597">
        <v>20.0</v>
      </c>
      <c r="H1862" s="689">
        <f t="shared" si="111"/>
        <v>125328</v>
      </c>
      <c r="I1862" s="599"/>
      <c r="J1862" s="599"/>
      <c r="K1862" s="672" t="s">
        <v>51</v>
      </c>
      <c r="L1862" s="615" t="s">
        <v>1014</v>
      </c>
      <c r="M1862" s="612" t="s">
        <v>1467</v>
      </c>
      <c r="N1862" s="612">
        <v>356.0</v>
      </c>
      <c r="O1862" s="668">
        <v>45941.0</v>
      </c>
      <c r="P1862" s="602">
        <f t="shared" si="118"/>
        <v>187</v>
      </c>
      <c r="Q1862" s="622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</row>
    <row r="1863" ht="22.5" customHeight="1">
      <c r="A1863" s="721"/>
      <c r="B1863" s="137" t="s">
        <v>2258</v>
      </c>
      <c r="C1863" s="610">
        <v>840000.0</v>
      </c>
      <c r="D1863" s="609"/>
      <c r="E1863" s="595"/>
      <c r="F1863" s="607" t="s">
        <v>1099</v>
      </c>
      <c r="G1863" s="597">
        <v>20.0</v>
      </c>
      <c r="H1863" s="689">
        <f t="shared" si="111"/>
        <v>140000</v>
      </c>
      <c r="I1863" s="599"/>
      <c r="J1863" s="599"/>
      <c r="K1863" s="672" t="s">
        <v>51</v>
      </c>
      <c r="L1863" s="615" t="s">
        <v>1014</v>
      </c>
      <c r="M1863" s="612" t="s">
        <v>1468</v>
      </c>
      <c r="N1863" s="612">
        <v>357.0</v>
      </c>
      <c r="O1863" s="668">
        <v>45941.0</v>
      </c>
      <c r="P1863" s="602">
        <f t="shared" si="118"/>
        <v>187</v>
      </c>
      <c r="Q1863" s="622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</row>
    <row r="1864" ht="22.5" customHeight="1">
      <c r="A1864" s="721"/>
      <c r="B1864" s="139" t="s">
        <v>2256</v>
      </c>
      <c r="C1864" s="609"/>
      <c r="D1864" s="610">
        <v>306000.0</v>
      </c>
      <c r="E1864" s="606"/>
      <c r="F1864" s="607" t="s">
        <v>1002</v>
      </c>
      <c r="G1864" s="597">
        <v>20.0</v>
      </c>
      <c r="H1864" s="689">
        <f t="shared" si="111"/>
        <v>51000</v>
      </c>
      <c r="I1864" s="599"/>
      <c r="J1864" s="599"/>
      <c r="K1864" s="615" t="s">
        <v>2237</v>
      </c>
      <c r="L1864" s="616" t="s">
        <v>1415</v>
      </c>
      <c r="M1864" s="621"/>
      <c r="N1864" s="621"/>
      <c r="O1864" s="621"/>
      <c r="P1864" s="602"/>
      <c r="Q1864" s="682" t="s">
        <v>1416</v>
      </c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</row>
    <row r="1865" ht="22.5" customHeight="1">
      <c r="A1865" s="721"/>
      <c r="B1865" s="137" t="s">
        <v>2258</v>
      </c>
      <c r="C1865" s="610">
        <v>600000.43</v>
      </c>
      <c r="D1865" s="609"/>
      <c r="E1865" s="595"/>
      <c r="F1865" s="607" t="s">
        <v>1099</v>
      </c>
      <c r="G1865" s="597">
        <v>20.0</v>
      </c>
      <c r="H1865" s="689">
        <f t="shared" si="111"/>
        <v>100000.0717</v>
      </c>
      <c r="I1865" s="599"/>
      <c r="J1865" s="599"/>
      <c r="K1865" s="672" t="s">
        <v>51</v>
      </c>
      <c r="L1865" s="615" t="s">
        <v>627</v>
      </c>
      <c r="M1865" s="612" t="s">
        <v>830</v>
      </c>
      <c r="N1865" s="612">
        <v>342.0</v>
      </c>
      <c r="O1865" s="662">
        <v>45936.0</v>
      </c>
      <c r="P1865" s="602">
        <f>TODAY()-O1865-60</f>
        <v>192</v>
      </c>
      <c r="Q1865" s="622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</row>
    <row r="1866" ht="22.5" customHeight="1">
      <c r="A1866" s="721"/>
      <c r="B1866" s="137" t="s">
        <v>2258</v>
      </c>
      <c r="C1866" s="610">
        <v>358694.03</v>
      </c>
      <c r="D1866" s="610"/>
      <c r="E1866" s="595"/>
      <c r="F1866" s="607" t="s">
        <v>1099</v>
      </c>
      <c r="G1866" s="597">
        <v>20.0</v>
      </c>
      <c r="H1866" s="689">
        <f t="shared" si="111"/>
        <v>59782.33833</v>
      </c>
      <c r="I1866" s="599"/>
      <c r="J1866" s="599"/>
      <c r="K1866" s="672" t="s">
        <v>51</v>
      </c>
      <c r="L1866" s="615" t="s">
        <v>1167</v>
      </c>
      <c r="M1866" s="612" t="s">
        <v>1588</v>
      </c>
      <c r="N1866" s="612">
        <v>359.0</v>
      </c>
      <c r="O1866" s="668">
        <v>45944.0</v>
      </c>
      <c r="P1866" s="602">
        <f>TODAY()-O1866-90</f>
        <v>154</v>
      </c>
      <c r="Q1866" s="622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</row>
    <row r="1867" ht="22.5" customHeight="1">
      <c r="A1867" s="721"/>
      <c r="B1867" s="137" t="s">
        <v>2256</v>
      </c>
      <c r="C1867" s="609"/>
      <c r="D1867" s="610">
        <v>500000.2</v>
      </c>
      <c r="E1867" s="595"/>
      <c r="F1867" s="627" t="s">
        <v>1160</v>
      </c>
      <c r="G1867" s="597">
        <v>0.0</v>
      </c>
      <c r="H1867" s="689">
        <f t="shared" si="111"/>
        <v>0</v>
      </c>
      <c r="I1867" s="599"/>
      <c r="J1867" s="599"/>
      <c r="K1867" s="615" t="s">
        <v>322</v>
      </c>
      <c r="L1867" s="615" t="s">
        <v>474</v>
      </c>
      <c r="M1867" s="621"/>
      <c r="N1867" s="621"/>
      <c r="O1867" s="621"/>
      <c r="P1867" s="602"/>
      <c r="Q1867" s="682" t="s">
        <v>1844</v>
      </c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</row>
    <row r="1868" ht="22.5" customHeight="1">
      <c r="A1868" s="721"/>
      <c r="B1868" s="137" t="s">
        <v>2256</v>
      </c>
      <c r="C1868" s="609"/>
      <c r="D1868" s="610">
        <v>1533926.52</v>
      </c>
      <c r="E1868" s="595"/>
      <c r="F1868" s="627" t="s">
        <v>1160</v>
      </c>
      <c r="G1868" s="597">
        <v>0.0</v>
      </c>
      <c r="H1868" s="689">
        <f t="shared" si="111"/>
        <v>0</v>
      </c>
      <c r="I1868" s="599"/>
      <c r="J1868" s="599"/>
      <c r="K1868" s="615" t="s">
        <v>322</v>
      </c>
      <c r="L1868" s="615" t="s">
        <v>1271</v>
      </c>
      <c r="M1868" s="621"/>
      <c r="N1868" s="621"/>
      <c r="O1868" s="621"/>
      <c r="P1868" s="602"/>
      <c r="Q1868" s="682" t="s">
        <v>1675</v>
      </c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</row>
    <row r="1869" ht="22.5" customHeight="1">
      <c r="A1869" s="721"/>
      <c r="B1869" s="137" t="s">
        <v>2256</v>
      </c>
      <c r="C1869" s="609"/>
      <c r="D1869" s="610">
        <v>320000.0</v>
      </c>
      <c r="E1869" s="595"/>
      <c r="F1869" s="627" t="s">
        <v>1160</v>
      </c>
      <c r="G1869" s="597">
        <v>0.0</v>
      </c>
      <c r="H1869" s="689">
        <f t="shared" si="111"/>
        <v>0</v>
      </c>
      <c r="I1869" s="599"/>
      <c r="J1869" s="599"/>
      <c r="K1869" s="615" t="s">
        <v>322</v>
      </c>
      <c r="L1869" s="615" t="s">
        <v>624</v>
      </c>
      <c r="M1869" s="621"/>
      <c r="N1869" s="621"/>
      <c r="O1869" s="621"/>
      <c r="P1869" s="602"/>
      <c r="Q1869" s="682" t="s">
        <v>1722</v>
      </c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</row>
    <row r="1870" ht="22.5" customHeight="1">
      <c r="A1870" s="721"/>
      <c r="B1870" s="137" t="s">
        <v>2256</v>
      </c>
      <c r="C1870" s="609"/>
      <c r="D1870" s="610">
        <v>1200000.0</v>
      </c>
      <c r="E1870" s="595"/>
      <c r="F1870" s="627" t="s">
        <v>1160</v>
      </c>
      <c r="G1870" s="597">
        <v>0.0</v>
      </c>
      <c r="H1870" s="689">
        <f t="shared" si="111"/>
        <v>0</v>
      </c>
      <c r="I1870" s="599"/>
      <c r="J1870" s="599"/>
      <c r="K1870" s="615" t="s">
        <v>322</v>
      </c>
      <c r="L1870" s="615" t="s">
        <v>675</v>
      </c>
      <c r="M1870" s="621"/>
      <c r="N1870" s="621"/>
      <c r="O1870" s="621"/>
      <c r="P1870" s="602"/>
      <c r="Q1870" s="682" t="s">
        <v>1600</v>
      </c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</row>
    <row r="1871" ht="22.5" customHeight="1">
      <c r="A1871" s="721"/>
      <c r="B1871" s="137" t="s">
        <v>2256</v>
      </c>
      <c r="C1871" s="609"/>
      <c r="D1871" s="610">
        <v>1266581.48</v>
      </c>
      <c r="E1871" s="595"/>
      <c r="F1871" s="627" t="s">
        <v>1160</v>
      </c>
      <c r="G1871" s="597">
        <v>0.0</v>
      </c>
      <c r="H1871" s="689">
        <f t="shared" si="111"/>
        <v>0</v>
      </c>
      <c r="I1871" s="599"/>
      <c r="J1871" s="599"/>
      <c r="K1871" s="615" t="s">
        <v>322</v>
      </c>
      <c r="L1871" s="615" t="s">
        <v>1167</v>
      </c>
      <c r="M1871" s="621"/>
      <c r="N1871" s="621"/>
      <c r="O1871" s="621"/>
      <c r="P1871" s="602"/>
      <c r="Q1871" s="613" t="s">
        <v>2259</v>
      </c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</row>
    <row r="1872" ht="22.5" customHeight="1">
      <c r="A1872" s="721"/>
      <c r="B1872" s="137" t="s">
        <v>2258</v>
      </c>
      <c r="C1872" s="610">
        <v>532500.16</v>
      </c>
      <c r="D1872" s="610"/>
      <c r="E1872" s="595"/>
      <c r="F1872" s="607" t="s">
        <v>1099</v>
      </c>
      <c r="G1872" s="597">
        <v>20.0</v>
      </c>
      <c r="H1872" s="689">
        <f t="shared" si="111"/>
        <v>88750.02667</v>
      </c>
      <c r="I1872" s="599"/>
      <c r="J1872" s="599"/>
      <c r="K1872" s="672" t="s">
        <v>51</v>
      </c>
      <c r="L1872" s="615" t="s">
        <v>1167</v>
      </c>
      <c r="M1872" s="612" t="s">
        <v>1589</v>
      </c>
      <c r="N1872" s="612">
        <v>360.0</v>
      </c>
      <c r="O1872" s="668">
        <v>45944.0</v>
      </c>
      <c r="P1872" s="602">
        <f>TODAY()-O1872-90</f>
        <v>154</v>
      </c>
      <c r="Q1872" s="622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</row>
    <row r="1873" ht="22.5" customHeight="1">
      <c r="A1873" s="721"/>
      <c r="B1873" s="137" t="s">
        <v>2258</v>
      </c>
      <c r="C1873" s="610">
        <v>330000.24</v>
      </c>
      <c r="D1873" s="610"/>
      <c r="E1873" s="595"/>
      <c r="F1873" s="607" t="s">
        <v>1099</v>
      </c>
      <c r="G1873" s="597">
        <v>20.0</v>
      </c>
      <c r="H1873" s="689">
        <f t="shared" si="111"/>
        <v>55000.04</v>
      </c>
      <c r="I1873" s="599"/>
      <c r="J1873" s="599"/>
      <c r="K1873" s="672" t="s">
        <v>51</v>
      </c>
      <c r="L1873" s="615" t="s">
        <v>944</v>
      </c>
      <c r="M1873" s="612" t="s">
        <v>1130</v>
      </c>
      <c r="N1873" s="612">
        <v>361.0</v>
      </c>
      <c r="O1873" s="668">
        <v>45945.0</v>
      </c>
      <c r="P1873" s="602">
        <f t="shared" ref="P1873:P1874" si="119">TODAY()-O1873-120</f>
        <v>123</v>
      </c>
      <c r="Q1873" s="622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</row>
    <row r="1874" ht="22.5" customHeight="1">
      <c r="A1874" s="721"/>
      <c r="B1874" s="137" t="s">
        <v>2258</v>
      </c>
      <c r="C1874" s="610">
        <v>330000.13</v>
      </c>
      <c r="D1874" s="610"/>
      <c r="E1874" s="595"/>
      <c r="F1874" s="607" t="s">
        <v>1099</v>
      </c>
      <c r="G1874" s="597">
        <v>20.0</v>
      </c>
      <c r="H1874" s="689">
        <f t="shared" si="111"/>
        <v>55000.02167</v>
      </c>
      <c r="I1874" s="599"/>
      <c r="J1874" s="599"/>
      <c r="K1874" s="672" t="s">
        <v>51</v>
      </c>
      <c r="L1874" s="615" t="s">
        <v>944</v>
      </c>
      <c r="M1874" s="612" t="s">
        <v>1130</v>
      </c>
      <c r="N1874" s="612">
        <v>362.0</v>
      </c>
      <c r="O1874" s="668">
        <v>45945.0</v>
      </c>
      <c r="P1874" s="602">
        <f t="shared" si="119"/>
        <v>123</v>
      </c>
      <c r="Q1874" s="622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</row>
    <row r="1875" ht="22.5" customHeight="1">
      <c r="A1875" s="721"/>
      <c r="B1875" s="137" t="s">
        <v>2256</v>
      </c>
      <c r="C1875" s="609"/>
      <c r="D1875" s="610">
        <v>1009092.0</v>
      </c>
      <c r="E1875" s="595"/>
      <c r="F1875" s="627" t="s">
        <v>1160</v>
      </c>
      <c r="G1875" s="597">
        <v>0.0</v>
      </c>
      <c r="H1875" s="689">
        <f t="shared" si="111"/>
        <v>0</v>
      </c>
      <c r="I1875" s="599"/>
      <c r="J1875" s="599"/>
      <c r="K1875" s="615" t="s">
        <v>322</v>
      </c>
      <c r="L1875" s="615" t="s">
        <v>1014</v>
      </c>
      <c r="M1875" s="621"/>
      <c r="N1875" s="621"/>
      <c r="O1875" s="621"/>
      <c r="P1875" s="602"/>
      <c r="Q1875" s="622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</row>
    <row r="1876" ht="22.5" customHeight="1">
      <c r="A1876" s="614"/>
      <c r="B1876" s="137" t="s">
        <v>2256</v>
      </c>
      <c r="C1876" s="609"/>
      <c r="D1876" s="610">
        <v>2334080.76</v>
      </c>
      <c r="E1876" s="595"/>
      <c r="F1876" s="627" t="s">
        <v>1160</v>
      </c>
      <c r="G1876" s="597">
        <v>0.0</v>
      </c>
      <c r="H1876" s="689">
        <f t="shared" si="111"/>
        <v>0</v>
      </c>
      <c r="I1876" s="599"/>
      <c r="J1876" s="599"/>
      <c r="K1876" s="615" t="s">
        <v>322</v>
      </c>
      <c r="L1876" s="615" t="s">
        <v>2260</v>
      </c>
      <c r="M1876" s="621"/>
      <c r="N1876" s="621"/>
      <c r="O1876" s="621"/>
      <c r="P1876" s="602"/>
      <c r="Q1876" s="682" t="s">
        <v>1721</v>
      </c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</row>
    <row r="1877" ht="22.5" customHeight="1">
      <c r="A1877" s="721"/>
      <c r="B1877" s="137" t="s">
        <v>2256</v>
      </c>
      <c r="C1877" s="609"/>
      <c r="D1877" s="610">
        <v>739498.69</v>
      </c>
      <c r="E1877" s="595"/>
      <c r="F1877" s="607" t="s">
        <v>941</v>
      </c>
      <c r="G1877" s="688">
        <v>0.0</v>
      </c>
      <c r="H1877" s="689">
        <f t="shared" si="111"/>
        <v>0</v>
      </c>
      <c r="I1877" s="599"/>
      <c r="J1877" s="599"/>
      <c r="K1877" s="615" t="s">
        <v>93</v>
      </c>
      <c r="L1877" s="679" t="s">
        <v>516</v>
      </c>
      <c r="M1877" s="621"/>
      <c r="N1877" s="621"/>
      <c r="O1877" s="621"/>
      <c r="P1877" s="602"/>
      <c r="Q1877" s="613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</row>
    <row r="1878" ht="22.5" customHeight="1">
      <c r="A1878" s="721"/>
      <c r="B1878" s="137" t="s">
        <v>2256</v>
      </c>
      <c r="C1878" s="609"/>
      <c r="D1878" s="610">
        <v>765120.0</v>
      </c>
      <c r="E1878" s="595"/>
      <c r="F1878" s="627" t="s">
        <v>1002</v>
      </c>
      <c r="G1878" s="597">
        <v>0.0</v>
      </c>
      <c r="H1878" s="689">
        <f t="shared" si="111"/>
        <v>0</v>
      </c>
      <c r="I1878" s="599"/>
      <c r="J1878" s="599"/>
      <c r="K1878" s="615" t="s">
        <v>93</v>
      </c>
      <c r="L1878" s="679" t="s">
        <v>516</v>
      </c>
      <c r="M1878" s="621"/>
      <c r="N1878" s="621"/>
      <c r="O1878" s="621"/>
      <c r="P1878" s="602"/>
      <c r="Q1878" s="682" t="s">
        <v>1469</v>
      </c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</row>
    <row r="1879" ht="22.5" customHeight="1">
      <c r="A1879" s="721"/>
      <c r="B1879" s="137" t="s">
        <v>2258</v>
      </c>
      <c r="C1879" s="610">
        <v>334683.89</v>
      </c>
      <c r="D1879" s="610"/>
      <c r="E1879" s="595"/>
      <c r="F1879" s="607" t="s">
        <v>1099</v>
      </c>
      <c r="G1879" s="597">
        <v>20.0</v>
      </c>
      <c r="H1879" s="689">
        <f t="shared" si="111"/>
        <v>55780.64833</v>
      </c>
      <c r="I1879" s="599"/>
      <c r="J1879" s="599"/>
      <c r="K1879" s="672" t="s">
        <v>51</v>
      </c>
      <c r="L1879" s="615" t="s">
        <v>944</v>
      </c>
      <c r="M1879" s="612" t="s">
        <v>1130</v>
      </c>
      <c r="N1879" s="612">
        <v>363.0</v>
      </c>
      <c r="O1879" s="668">
        <v>45945.0</v>
      </c>
      <c r="P1879" s="602">
        <f t="shared" ref="P1879:P1882" si="120">TODAY()-O1879-120</f>
        <v>123</v>
      </c>
      <c r="Q1879" s="622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</row>
    <row r="1880" ht="22.5" customHeight="1">
      <c r="A1880" s="721"/>
      <c r="B1880" s="137" t="s">
        <v>2258</v>
      </c>
      <c r="C1880" s="610">
        <v>367403.88</v>
      </c>
      <c r="D1880" s="610"/>
      <c r="E1880" s="595"/>
      <c r="F1880" s="607" t="s">
        <v>1099</v>
      </c>
      <c r="G1880" s="597">
        <v>20.0</v>
      </c>
      <c r="H1880" s="689">
        <f t="shared" si="111"/>
        <v>61233.98</v>
      </c>
      <c r="I1880" s="599"/>
      <c r="J1880" s="599"/>
      <c r="K1880" s="672" t="s">
        <v>51</v>
      </c>
      <c r="L1880" s="615" t="s">
        <v>944</v>
      </c>
      <c r="M1880" s="612" t="s">
        <v>1130</v>
      </c>
      <c r="N1880" s="612">
        <v>364.0</v>
      </c>
      <c r="O1880" s="668">
        <v>45945.0</v>
      </c>
      <c r="P1880" s="602">
        <f t="shared" si="120"/>
        <v>123</v>
      </c>
      <c r="Q1880" s="622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</row>
    <row r="1881" ht="22.5" customHeight="1">
      <c r="A1881" s="721"/>
      <c r="B1881" s="137" t="s">
        <v>2258</v>
      </c>
      <c r="C1881" s="610">
        <v>148500.0</v>
      </c>
      <c r="D1881" s="610"/>
      <c r="E1881" s="595"/>
      <c r="F1881" s="607" t="s">
        <v>1099</v>
      </c>
      <c r="G1881" s="597">
        <v>20.0</v>
      </c>
      <c r="H1881" s="689">
        <f t="shared" si="111"/>
        <v>24750</v>
      </c>
      <c r="I1881" s="599"/>
      <c r="J1881" s="599"/>
      <c r="K1881" s="672" t="s">
        <v>51</v>
      </c>
      <c r="L1881" s="615" t="s">
        <v>944</v>
      </c>
      <c r="M1881" s="612" t="s">
        <v>1130</v>
      </c>
      <c r="N1881" s="612">
        <v>365.0</v>
      </c>
      <c r="O1881" s="668">
        <v>45945.0</v>
      </c>
      <c r="P1881" s="602">
        <f t="shared" si="120"/>
        <v>123</v>
      </c>
      <c r="Q1881" s="622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</row>
    <row r="1882" ht="22.5" customHeight="1">
      <c r="A1882" s="721"/>
      <c r="B1882" s="137" t="s">
        <v>2258</v>
      </c>
      <c r="C1882" s="610">
        <v>184800.0</v>
      </c>
      <c r="D1882" s="610"/>
      <c r="E1882" s="595"/>
      <c r="F1882" s="607" t="s">
        <v>1099</v>
      </c>
      <c r="G1882" s="597">
        <v>20.0</v>
      </c>
      <c r="H1882" s="689">
        <f t="shared" si="111"/>
        <v>30800</v>
      </c>
      <c r="I1882" s="599"/>
      <c r="J1882" s="599"/>
      <c r="K1882" s="672" t="s">
        <v>51</v>
      </c>
      <c r="L1882" s="615" t="s">
        <v>944</v>
      </c>
      <c r="M1882" s="612" t="s">
        <v>1130</v>
      </c>
      <c r="N1882" s="612">
        <v>366.0</v>
      </c>
      <c r="O1882" s="668">
        <v>45945.0</v>
      </c>
      <c r="P1882" s="602">
        <f t="shared" si="120"/>
        <v>123</v>
      </c>
      <c r="Q1882" s="622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</row>
    <row r="1883" ht="22.5" customHeight="1">
      <c r="A1883" s="721"/>
      <c r="B1883" s="137" t="s">
        <v>2256</v>
      </c>
      <c r="C1883" s="609"/>
      <c r="D1883" s="610">
        <v>107520.0</v>
      </c>
      <c r="E1883" s="595"/>
      <c r="F1883" s="607" t="s">
        <v>1179</v>
      </c>
      <c r="G1883" s="597">
        <v>20.0</v>
      </c>
      <c r="H1883" s="689">
        <f t="shared" si="111"/>
        <v>17920</v>
      </c>
      <c r="I1883" s="599"/>
      <c r="J1883" s="599"/>
      <c r="K1883" s="615" t="s">
        <v>101</v>
      </c>
      <c r="L1883" s="698" t="s">
        <v>1045</v>
      </c>
      <c r="M1883" s="621"/>
      <c r="N1883" s="621"/>
      <c r="O1883" s="621"/>
      <c r="P1883" s="602"/>
      <c r="Q1883" s="682" t="s">
        <v>1470</v>
      </c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</row>
    <row r="1884" ht="22.5" customHeight="1">
      <c r="A1884" s="721"/>
      <c r="B1884" s="137" t="s">
        <v>2256</v>
      </c>
      <c r="C1884" s="609"/>
      <c r="D1884" s="610">
        <v>96000.0</v>
      </c>
      <c r="E1884" s="595"/>
      <c r="F1884" s="607" t="s">
        <v>1179</v>
      </c>
      <c r="G1884" s="597">
        <v>20.0</v>
      </c>
      <c r="H1884" s="689">
        <f t="shared" si="111"/>
        <v>16000</v>
      </c>
      <c r="I1884" s="599"/>
      <c r="J1884" s="599"/>
      <c r="K1884" s="615" t="s">
        <v>101</v>
      </c>
      <c r="L1884" s="698" t="s">
        <v>1045</v>
      </c>
      <c r="M1884" s="621"/>
      <c r="N1884" s="621"/>
      <c r="O1884" s="621"/>
      <c r="P1884" s="602"/>
      <c r="Q1884" s="682" t="s">
        <v>1471</v>
      </c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</row>
    <row r="1885" ht="22.5" customHeight="1">
      <c r="A1885" s="721"/>
      <c r="B1885" s="137" t="s">
        <v>2256</v>
      </c>
      <c r="C1885" s="609"/>
      <c r="D1885" s="610">
        <v>124800.0</v>
      </c>
      <c r="E1885" s="595"/>
      <c r="F1885" s="607" t="s">
        <v>1179</v>
      </c>
      <c r="G1885" s="597">
        <v>20.0</v>
      </c>
      <c r="H1885" s="689">
        <f t="shared" si="111"/>
        <v>20800</v>
      </c>
      <c r="I1885" s="599"/>
      <c r="J1885" s="599"/>
      <c r="K1885" s="615" t="s">
        <v>101</v>
      </c>
      <c r="L1885" s="698" t="s">
        <v>1045</v>
      </c>
      <c r="M1885" s="621"/>
      <c r="N1885" s="621"/>
      <c r="O1885" s="621"/>
      <c r="P1885" s="602"/>
      <c r="Q1885" s="682" t="s">
        <v>1472</v>
      </c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</row>
    <row r="1886" ht="22.5" customHeight="1">
      <c r="A1886" s="721"/>
      <c r="B1886" s="137" t="s">
        <v>2256</v>
      </c>
      <c r="C1886" s="609"/>
      <c r="D1886" s="610">
        <v>106666.75</v>
      </c>
      <c r="E1886" s="595"/>
      <c r="F1886" s="607" t="s">
        <v>1179</v>
      </c>
      <c r="G1886" s="597">
        <v>20.0</v>
      </c>
      <c r="H1886" s="689">
        <f t="shared" si="111"/>
        <v>17777.79167</v>
      </c>
      <c r="I1886" s="599"/>
      <c r="J1886" s="599"/>
      <c r="K1886" s="615" t="s">
        <v>101</v>
      </c>
      <c r="L1886" s="698" t="s">
        <v>1045</v>
      </c>
      <c r="M1886" s="621"/>
      <c r="N1886" s="621"/>
      <c r="O1886" s="621"/>
      <c r="P1886" s="602"/>
      <c r="Q1886" s="682" t="s">
        <v>1473</v>
      </c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</row>
    <row r="1887" ht="22.5" customHeight="1">
      <c r="A1887" s="721"/>
      <c r="B1887" s="137" t="s">
        <v>2256</v>
      </c>
      <c r="C1887" s="609"/>
      <c r="D1887" s="610">
        <v>320064.0</v>
      </c>
      <c r="E1887" s="595"/>
      <c r="F1887" s="607" t="s">
        <v>1179</v>
      </c>
      <c r="G1887" s="597">
        <v>20.0</v>
      </c>
      <c r="H1887" s="689">
        <f t="shared" si="111"/>
        <v>53344</v>
      </c>
      <c r="I1887" s="599"/>
      <c r="J1887" s="599"/>
      <c r="K1887" s="615" t="s">
        <v>101</v>
      </c>
      <c r="L1887" s="698" t="s">
        <v>1045</v>
      </c>
      <c r="M1887" s="621"/>
      <c r="N1887" s="621"/>
      <c r="O1887" s="621"/>
      <c r="P1887" s="602"/>
      <c r="Q1887" s="682" t="s">
        <v>1474</v>
      </c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</row>
    <row r="1888" ht="22.5" customHeight="1">
      <c r="A1888" s="721"/>
      <c r="B1888" s="137" t="s">
        <v>2256</v>
      </c>
      <c r="C1888" s="609"/>
      <c r="D1888" s="610">
        <v>332047.25</v>
      </c>
      <c r="E1888" s="595"/>
      <c r="F1888" s="607" t="s">
        <v>1179</v>
      </c>
      <c r="G1888" s="597">
        <v>20.0</v>
      </c>
      <c r="H1888" s="689">
        <f t="shared" si="111"/>
        <v>55341.20833</v>
      </c>
      <c r="I1888" s="599"/>
      <c r="J1888" s="599"/>
      <c r="K1888" s="615" t="s">
        <v>2237</v>
      </c>
      <c r="L1888" s="615" t="s">
        <v>509</v>
      </c>
      <c r="M1888" s="621"/>
      <c r="N1888" s="621"/>
      <c r="O1888" s="621"/>
      <c r="P1888" s="602"/>
      <c r="Q1888" s="682" t="s">
        <v>1417</v>
      </c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</row>
    <row r="1889" ht="22.5" customHeight="1">
      <c r="A1889" s="721"/>
      <c r="B1889" s="137" t="s">
        <v>2256</v>
      </c>
      <c r="C1889" s="609"/>
      <c r="D1889" s="610">
        <v>816552.76</v>
      </c>
      <c r="E1889" s="595"/>
      <c r="F1889" s="607" t="s">
        <v>1179</v>
      </c>
      <c r="G1889" s="597">
        <v>20.0</v>
      </c>
      <c r="H1889" s="689">
        <f t="shared" si="111"/>
        <v>136092.1267</v>
      </c>
      <c r="I1889" s="599"/>
      <c r="J1889" s="599"/>
      <c r="K1889" s="615" t="s">
        <v>101</v>
      </c>
      <c r="L1889" s="698" t="s">
        <v>670</v>
      </c>
      <c r="M1889" s="621"/>
      <c r="N1889" s="621"/>
      <c r="O1889" s="621"/>
      <c r="P1889" s="602"/>
      <c r="Q1889" s="682" t="s">
        <v>1504</v>
      </c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</row>
    <row r="1890" ht="22.5" customHeight="1">
      <c r="A1890" s="721"/>
      <c r="B1890" s="137" t="s">
        <v>2256</v>
      </c>
      <c r="C1890" s="609"/>
      <c r="D1890" s="610">
        <v>641251.1</v>
      </c>
      <c r="E1890" s="595"/>
      <c r="F1890" s="607" t="s">
        <v>1179</v>
      </c>
      <c r="G1890" s="597">
        <v>0.0</v>
      </c>
      <c r="H1890" s="689">
        <f t="shared" si="111"/>
        <v>0</v>
      </c>
      <c r="I1890" s="599"/>
      <c r="J1890" s="599"/>
      <c r="K1890" s="615" t="s">
        <v>101</v>
      </c>
      <c r="L1890" s="711" t="s">
        <v>631</v>
      </c>
      <c r="M1890" s="621"/>
      <c r="N1890" s="621"/>
      <c r="O1890" s="621"/>
      <c r="P1890" s="602"/>
      <c r="Q1890" s="682" t="s">
        <v>1475</v>
      </c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</row>
    <row r="1891" ht="22.5" customHeight="1">
      <c r="A1891" s="721"/>
      <c r="B1891" s="137" t="s">
        <v>2256</v>
      </c>
      <c r="C1891" s="609"/>
      <c r="D1891" s="610">
        <v>109073.37</v>
      </c>
      <c r="E1891" s="595"/>
      <c r="F1891" s="607" t="s">
        <v>1179</v>
      </c>
      <c r="G1891" s="597">
        <v>5.0</v>
      </c>
      <c r="H1891" s="689">
        <f t="shared" si="111"/>
        <v>5193.97</v>
      </c>
      <c r="I1891" s="599"/>
      <c r="J1891" s="599"/>
      <c r="K1891" s="615" t="s">
        <v>101</v>
      </c>
      <c r="L1891" s="698" t="s">
        <v>1032</v>
      </c>
      <c r="M1891" s="621"/>
      <c r="N1891" s="621"/>
      <c r="O1891" s="621"/>
      <c r="P1891" s="602"/>
      <c r="Q1891" s="682" t="s">
        <v>1476</v>
      </c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</row>
    <row r="1892" ht="22.5" customHeight="1">
      <c r="A1892" s="721"/>
      <c r="B1892" s="137" t="s">
        <v>2256</v>
      </c>
      <c r="C1892" s="609"/>
      <c r="D1892" s="610">
        <v>99381.36</v>
      </c>
      <c r="E1892" s="595"/>
      <c r="F1892" s="607" t="s">
        <v>1179</v>
      </c>
      <c r="G1892" s="597">
        <v>20.0</v>
      </c>
      <c r="H1892" s="689">
        <f t="shared" si="111"/>
        <v>16563.56</v>
      </c>
      <c r="I1892" s="599"/>
      <c r="J1892" s="599"/>
      <c r="K1892" s="615" t="s">
        <v>101</v>
      </c>
      <c r="L1892" s="711" t="s">
        <v>1477</v>
      </c>
      <c r="M1892" s="621"/>
      <c r="N1892" s="621"/>
      <c r="O1892" s="621"/>
      <c r="P1892" s="602"/>
      <c r="Q1892" s="682" t="s">
        <v>1478</v>
      </c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</row>
    <row r="1893" ht="22.5" customHeight="1">
      <c r="A1893" s="721"/>
      <c r="B1893" s="137" t="s">
        <v>2256</v>
      </c>
      <c r="C1893" s="609"/>
      <c r="D1893" s="610">
        <v>65564.6</v>
      </c>
      <c r="E1893" s="595"/>
      <c r="F1893" s="607" t="s">
        <v>1179</v>
      </c>
      <c r="G1893" s="597">
        <v>0.0</v>
      </c>
      <c r="H1893" s="689">
        <f t="shared" si="111"/>
        <v>0</v>
      </c>
      <c r="I1893" s="599"/>
      <c r="J1893" s="599"/>
      <c r="K1893" s="615" t="s">
        <v>101</v>
      </c>
      <c r="L1893" s="698" t="s">
        <v>1287</v>
      </c>
      <c r="M1893" s="621"/>
      <c r="N1893" s="621"/>
      <c r="O1893" s="621"/>
      <c r="P1893" s="602"/>
      <c r="Q1893" s="682" t="s">
        <v>1479</v>
      </c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</row>
    <row r="1894" ht="22.5" customHeight="1">
      <c r="A1894" s="721"/>
      <c r="B1894" s="137" t="s">
        <v>2256</v>
      </c>
      <c r="C1894" s="609"/>
      <c r="D1894" s="610">
        <v>416353.3</v>
      </c>
      <c r="E1894" s="595"/>
      <c r="F1894" s="607" t="s">
        <v>1179</v>
      </c>
      <c r="G1894" s="597">
        <v>0.0</v>
      </c>
      <c r="H1894" s="689">
        <f t="shared" si="111"/>
        <v>0</v>
      </c>
      <c r="I1894" s="599"/>
      <c r="J1894" s="599"/>
      <c r="K1894" s="615" t="s">
        <v>101</v>
      </c>
      <c r="L1894" s="711" t="s">
        <v>1480</v>
      </c>
      <c r="M1894" s="621"/>
      <c r="N1894" s="621"/>
      <c r="O1894" s="621"/>
      <c r="P1894" s="602"/>
      <c r="Q1894" s="682" t="s">
        <v>1481</v>
      </c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</row>
    <row r="1895" ht="22.5" customHeight="1">
      <c r="A1895" s="721"/>
      <c r="B1895" s="137" t="s">
        <v>2256</v>
      </c>
      <c r="C1895" s="609"/>
      <c r="D1895" s="610">
        <v>26600.04</v>
      </c>
      <c r="E1895" s="595"/>
      <c r="F1895" s="607" t="s">
        <v>1179</v>
      </c>
      <c r="G1895" s="597">
        <v>20.0</v>
      </c>
      <c r="H1895" s="689">
        <f t="shared" si="111"/>
        <v>4433.34</v>
      </c>
      <c r="I1895" s="599"/>
      <c r="J1895" s="599"/>
      <c r="K1895" s="615" t="s">
        <v>101</v>
      </c>
      <c r="L1895" s="698" t="s">
        <v>973</v>
      </c>
      <c r="M1895" s="621"/>
      <c r="N1895" s="621"/>
      <c r="O1895" s="621"/>
      <c r="P1895" s="602"/>
      <c r="Q1895" s="682" t="s">
        <v>1482</v>
      </c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</row>
    <row r="1896" ht="22.5" customHeight="1">
      <c r="A1896" s="721"/>
      <c r="B1896" s="137" t="s">
        <v>2256</v>
      </c>
      <c r="C1896" s="609"/>
      <c r="D1896" s="610">
        <v>213954.5</v>
      </c>
      <c r="E1896" s="595"/>
      <c r="F1896" s="607" t="s">
        <v>1179</v>
      </c>
      <c r="G1896" s="597">
        <v>0.0</v>
      </c>
      <c r="H1896" s="689">
        <f t="shared" si="111"/>
        <v>0</v>
      </c>
      <c r="I1896" s="599"/>
      <c r="J1896" s="599"/>
      <c r="K1896" s="615" t="s">
        <v>101</v>
      </c>
      <c r="L1896" s="698" t="s">
        <v>818</v>
      </c>
      <c r="M1896" s="621"/>
      <c r="N1896" s="621"/>
      <c r="O1896" s="621"/>
      <c r="P1896" s="602"/>
      <c r="Q1896" s="682" t="s">
        <v>1483</v>
      </c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</row>
    <row r="1897" ht="22.5" customHeight="1">
      <c r="A1897" s="721"/>
      <c r="B1897" s="137" t="s">
        <v>2256</v>
      </c>
      <c r="C1897" s="609"/>
      <c r="D1897" s="610">
        <v>366922.42</v>
      </c>
      <c r="E1897" s="595"/>
      <c r="F1897" s="607" t="s">
        <v>1179</v>
      </c>
      <c r="G1897" s="597">
        <v>20.0</v>
      </c>
      <c r="H1897" s="689">
        <f t="shared" si="111"/>
        <v>61153.73667</v>
      </c>
      <c r="I1897" s="599"/>
      <c r="J1897" s="599"/>
      <c r="K1897" s="615" t="s">
        <v>44</v>
      </c>
      <c r="L1897" s="700" t="s">
        <v>2247</v>
      </c>
      <c r="M1897" s="621"/>
      <c r="N1897" s="621"/>
      <c r="O1897" s="621"/>
      <c r="P1897" s="602"/>
      <c r="Q1897" s="682" t="s">
        <v>1418</v>
      </c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</row>
    <row r="1898" ht="22.5" customHeight="1">
      <c r="A1898" s="721"/>
      <c r="B1898" s="137" t="s">
        <v>2256</v>
      </c>
      <c r="C1898" s="609"/>
      <c r="D1898" s="610">
        <v>1406828.7</v>
      </c>
      <c r="E1898" s="595"/>
      <c r="F1898" s="607" t="s">
        <v>1179</v>
      </c>
      <c r="G1898" s="597">
        <v>20.0</v>
      </c>
      <c r="H1898" s="689">
        <f t="shared" si="111"/>
        <v>234471.45</v>
      </c>
      <c r="I1898" s="599"/>
      <c r="J1898" s="599"/>
      <c r="K1898" s="615" t="s">
        <v>101</v>
      </c>
      <c r="L1898" s="698" t="s">
        <v>597</v>
      </c>
      <c r="M1898" s="621"/>
      <c r="N1898" s="621"/>
      <c r="O1898" s="621"/>
      <c r="P1898" s="602"/>
      <c r="Q1898" s="682" t="s">
        <v>1484</v>
      </c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</row>
    <row r="1899" ht="22.5" customHeight="1">
      <c r="A1899" s="721"/>
      <c r="B1899" s="137" t="s">
        <v>2256</v>
      </c>
      <c r="C1899" s="609"/>
      <c r="D1899" s="610">
        <v>472898.26</v>
      </c>
      <c r="E1899" s="595"/>
      <c r="F1899" s="607" t="s">
        <v>1179</v>
      </c>
      <c r="G1899" s="597">
        <v>20.0</v>
      </c>
      <c r="H1899" s="689">
        <f t="shared" si="111"/>
        <v>78816.37667</v>
      </c>
      <c r="I1899" s="599"/>
      <c r="J1899" s="599"/>
      <c r="K1899" s="615" t="s">
        <v>101</v>
      </c>
      <c r="L1899" s="698" t="s">
        <v>643</v>
      </c>
      <c r="M1899" s="621"/>
      <c r="N1899" s="621"/>
      <c r="O1899" s="621"/>
      <c r="P1899" s="602"/>
      <c r="Q1899" s="682" t="s">
        <v>1485</v>
      </c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</row>
    <row r="1900" ht="22.5" customHeight="1">
      <c r="A1900" s="721"/>
      <c r="B1900" s="137" t="s">
        <v>2256</v>
      </c>
      <c r="C1900" s="609"/>
      <c r="D1900" s="610">
        <v>305454.16</v>
      </c>
      <c r="E1900" s="595"/>
      <c r="F1900" s="607" t="s">
        <v>1179</v>
      </c>
      <c r="G1900" s="597">
        <v>20.0</v>
      </c>
      <c r="H1900" s="689">
        <f t="shared" si="111"/>
        <v>50909.02667</v>
      </c>
      <c r="I1900" s="599"/>
      <c r="J1900" s="599"/>
      <c r="K1900" s="615" t="s">
        <v>101</v>
      </c>
      <c r="L1900" s="698" t="s">
        <v>1277</v>
      </c>
      <c r="M1900" s="621"/>
      <c r="N1900" s="621"/>
      <c r="O1900" s="621"/>
      <c r="P1900" s="602"/>
      <c r="Q1900" s="682" t="s">
        <v>1486</v>
      </c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</row>
    <row r="1901" ht="22.5" customHeight="1">
      <c r="A1901" s="721"/>
      <c r="B1901" s="137" t="s">
        <v>2256</v>
      </c>
      <c r="C1901" s="609"/>
      <c r="D1901" s="610">
        <v>1699479.29</v>
      </c>
      <c r="E1901" s="595"/>
      <c r="F1901" s="607" t="s">
        <v>1179</v>
      </c>
      <c r="G1901" s="597">
        <v>20.0</v>
      </c>
      <c r="H1901" s="689">
        <f t="shared" si="111"/>
        <v>283246.5483</v>
      </c>
      <c r="I1901" s="599"/>
      <c r="J1901" s="599"/>
      <c r="K1901" s="615" t="s">
        <v>101</v>
      </c>
      <c r="L1901" s="698" t="s">
        <v>1280</v>
      </c>
      <c r="M1901" s="621"/>
      <c r="N1901" s="621"/>
      <c r="O1901" s="621"/>
      <c r="P1901" s="602"/>
      <c r="Q1901" s="682" t="s">
        <v>1487</v>
      </c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</row>
    <row r="1902" ht="22.5" customHeight="1">
      <c r="A1902" s="721"/>
      <c r="B1902" s="137" t="s">
        <v>2256</v>
      </c>
      <c r="C1902" s="609"/>
      <c r="D1902" s="610">
        <v>33879.7</v>
      </c>
      <c r="E1902" s="595"/>
      <c r="F1902" s="607" t="s">
        <v>1179</v>
      </c>
      <c r="G1902" s="597">
        <v>0.0</v>
      </c>
      <c r="H1902" s="689">
        <f t="shared" si="111"/>
        <v>0</v>
      </c>
      <c r="I1902" s="599"/>
      <c r="J1902" s="599"/>
      <c r="K1902" s="615" t="s">
        <v>101</v>
      </c>
      <c r="L1902" s="711" t="s">
        <v>1488</v>
      </c>
      <c r="M1902" s="621"/>
      <c r="N1902" s="621"/>
      <c r="O1902" s="621"/>
      <c r="P1902" s="602"/>
      <c r="Q1902" s="682" t="s">
        <v>1489</v>
      </c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</row>
    <row r="1903" ht="22.5" customHeight="1">
      <c r="A1903" s="721"/>
      <c r="B1903" s="139" t="s">
        <v>2256</v>
      </c>
      <c r="C1903" s="610"/>
      <c r="D1903" s="610">
        <v>1000000.0</v>
      </c>
      <c r="E1903" s="696"/>
      <c r="F1903" s="627" t="s">
        <v>839</v>
      </c>
      <c r="G1903" s="597">
        <v>20.0</v>
      </c>
      <c r="H1903" s="689">
        <f t="shared" si="111"/>
        <v>166666.6667</v>
      </c>
      <c r="I1903" s="599"/>
      <c r="J1903" s="599"/>
      <c r="K1903" s="615" t="s">
        <v>322</v>
      </c>
      <c r="L1903" s="694" t="s">
        <v>878</v>
      </c>
      <c r="M1903" s="621"/>
      <c r="N1903" s="621"/>
      <c r="O1903" s="621"/>
      <c r="P1903" s="602"/>
      <c r="Q1903" s="682" t="s">
        <v>1306</v>
      </c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</row>
    <row r="1904" ht="22.5" customHeight="1">
      <c r="A1904" s="721"/>
      <c r="B1904" s="137" t="s">
        <v>2256</v>
      </c>
      <c r="C1904" s="609"/>
      <c r="D1904" s="610">
        <v>40986.49</v>
      </c>
      <c r="E1904" s="595"/>
      <c r="F1904" s="607" t="s">
        <v>1179</v>
      </c>
      <c r="G1904" s="597">
        <v>20.0</v>
      </c>
      <c r="H1904" s="689">
        <f t="shared" si="111"/>
        <v>6831.081667</v>
      </c>
      <c r="I1904" s="599"/>
      <c r="J1904" s="599"/>
      <c r="K1904" s="615" t="s">
        <v>2246</v>
      </c>
      <c r="L1904" s="615" t="s">
        <v>1505</v>
      </c>
      <c r="M1904" s="621"/>
      <c r="N1904" s="621"/>
      <c r="O1904" s="621"/>
      <c r="P1904" s="602"/>
      <c r="Q1904" s="682" t="s">
        <v>1506</v>
      </c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</row>
    <row r="1905" ht="22.5" customHeight="1">
      <c r="A1905" s="721"/>
      <c r="B1905" s="137" t="s">
        <v>2256</v>
      </c>
      <c r="C1905" s="609"/>
      <c r="D1905" s="610">
        <v>1206846.46</v>
      </c>
      <c r="E1905" s="595"/>
      <c r="F1905" s="607" t="s">
        <v>1179</v>
      </c>
      <c r="G1905" s="597">
        <v>20.0</v>
      </c>
      <c r="H1905" s="689">
        <f t="shared" si="111"/>
        <v>201141.0767</v>
      </c>
      <c r="I1905" s="599"/>
      <c r="J1905" s="599"/>
      <c r="K1905" s="615" t="s">
        <v>101</v>
      </c>
      <c r="L1905" s="698" t="s">
        <v>1284</v>
      </c>
      <c r="M1905" s="621"/>
      <c r="N1905" s="621"/>
      <c r="O1905" s="621"/>
      <c r="P1905" s="602"/>
      <c r="Q1905" s="682" t="s">
        <v>1490</v>
      </c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</row>
    <row r="1906" ht="22.5" customHeight="1">
      <c r="A1906" s="721"/>
      <c r="B1906" s="137" t="s">
        <v>2256</v>
      </c>
      <c r="C1906" s="609"/>
      <c r="D1906" s="610">
        <v>0.24</v>
      </c>
      <c r="E1906" s="595"/>
      <c r="F1906" s="607" t="s">
        <v>1179</v>
      </c>
      <c r="G1906" s="597">
        <v>5.0</v>
      </c>
      <c r="H1906" s="689">
        <f t="shared" si="111"/>
        <v>0.01142857143</v>
      </c>
      <c r="I1906" s="599"/>
      <c r="J1906" s="599"/>
      <c r="K1906" s="615" t="s">
        <v>101</v>
      </c>
      <c r="L1906" s="711" t="s">
        <v>1627</v>
      </c>
      <c r="M1906" s="621"/>
      <c r="N1906" s="621"/>
      <c r="O1906" s="621"/>
      <c r="P1906" s="602"/>
      <c r="Q1906" s="682" t="s">
        <v>2261</v>
      </c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</row>
    <row r="1907" ht="22.5" customHeight="1">
      <c r="A1907" s="721"/>
      <c r="B1907" s="137" t="s">
        <v>2256</v>
      </c>
      <c r="C1907" s="609"/>
      <c r="D1907" s="610">
        <v>85000.38</v>
      </c>
      <c r="E1907" s="595"/>
      <c r="F1907" s="607" t="s">
        <v>1179</v>
      </c>
      <c r="G1907" s="597">
        <v>5.0</v>
      </c>
      <c r="H1907" s="689">
        <f t="shared" si="111"/>
        <v>4047.637143</v>
      </c>
      <c r="I1907" s="599"/>
      <c r="J1907" s="599"/>
      <c r="K1907" s="615" t="s">
        <v>101</v>
      </c>
      <c r="L1907" s="698" t="s">
        <v>671</v>
      </c>
      <c r="M1907" s="621"/>
      <c r="N1907" s="621"/>
      <c r="O1907" s="621"/>
      <c r="P1907" s="602"/>
      <c r="Q1907" s="682" t="s">
        <v>1491</v>
      </c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</row>
    <row r="1908" ht="22.5" customHeight="1">
      <c r="A1908" s="721"/>
      <c r="B1908" s="137" t="s">
        <v>2256</v>
      </c>
      <c r="C1908" s="609"/>
      <c r="D1908" s="610">
        <v>243450.0</v>
      </c>
      <c r="E1908" s="595"/>
      <c r="F1908" s="607" t="s">
        <v>1179</v>
      </c>
      <c r="G1908" s="597">
        <v>0.0</v>
      </c>
      <c r="H1908" s="689">
        <f t="shared" si="111"/>
        <v>0</v>
      </c>
      <c r="I1908" s="599"/>
      <c r="J1908" s="599"/>
      <c r="K1908" s="615" t="s">
        <v>286</v>
      </c>
      <c r="L1908" s="615" t="s">
        <v>454</v>
      </c>
      <c r="M1908" s="621"/>
      <c r="N1908" s="621"/>
      <c r="O1908" s="621"/>
      <c r="P1908" s="602"/>
      <c r="Q1908" s="682" t="s">
        <v>1492</v>
      </c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</row>
    <row r="1909" ht="22.5" customHeight="1">
      <c r="A1909" s="721"/>
      <c r="B1909" s="137" t="s">
        <v>2256</v>
      </c>
      <c r="C1909" s="609"/>
      <c r="D1909" s="610">
        <v>54396.73</v>
      </c>
      <c r="E1909" s="595"/>
      <c r="F1909" s="607" t="s">
        <v>1179</v>
      </c>
      <c r="G1909" s="597">
        <v>20.0</v>
      </c>
      <c r="H1909" s="689">
        <f t="shared" si="111"/>
        <v>9066.121667</v>
      </c>
      <c r="I1909" s="599"/>
      <c r="J1909" s="599"/>
      <c r="K1909" s="615" t="s">
        <v>101</v>
      </c>
      <c r="L1909" s="698" t="s">
        <v>1280</v>
      </c>
      <c r="M1909" s="621"/>
      <c r="N1909" s="621"/>
      <c r="O1909" s="621"/>
      <c r="P1909" s="602"/>
      <c r="Q1909" s="682" t="s">
        <v>1493</v>
      </c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</row>
    <row r="1910" ht="22.5" customHeight="1">
      <c r="A1910" s="721"/>
      <c r="B1910" s="137" t="s">
        <v>2256</v>
      </c>
      <c r="C1910" s="609"/>
      <c r="D1910" s="610">
        <v>6891507.0</v>
      </c>
      <c r="E1910" s="595"/>
      <c r="F1910" s="607" t="s">
        <v>1179</v>
      </c>
      <c r="G1910" s="597">
        <v>0.0</v>
      </c>
      <c r="H1910" s="689">
        <f t="shared" si="111"/>
        <v>0</v>
      </c>
      <c r="I1910" s="599"/>
      <c r="J1910" s="599"/>
      <c r="K1910" s="615" t="s">
        <v>322</v>
      </c>
      <c r="L1910" s="615" t="s">
        <v>2262</v>
      </c>
      <c r="M1910" s="621"/>
      <c r="N1910" s="621"/>
      <c r="O1910" s="621"/>
      <c r="P1910" s="602"/>
      <c r="Q1910" s="622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</row>
    <row r="1911" ht="22.5" customHeight="1">
      <c r="A1911" s="721"/>
      <c r="B1911" s="137" t="s">
        <v>2256</v>
      </c>
      <c r="C1911" s="609"/>
      <c r="D1911" s="610">
        <v>43882.32</v>
      </c>
      <c r="E1911" s="595"/>
      <c r="F1911" s="607" t="s">
        <v>1179</v>
      </c>
      <c r="G1911" s="597">
        <v>20.0</v>
      </c>
      <c r="H1911" s="689">
        <f t="shared" si="111"/>
        <v>7313.72</v>
      </c>
      <c r="I1911" s="599"/>
      <c r="J1911" s="599"/>
      <c r="K1911" s="615" t="s">
        <v>101</v>
      </c>
      <c r="L1911" s="698" t="s">
        <v>976</v>
      </c>
      <c r="M1911" s="621"/>
      <c r="N1911" s="621"/>
      <c r="O1911" s="621"/>
      <c r="P1911" s="602"/>
      <c r="Q1911" s="682" t="s">
        <v>1494</v>
      </c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</row>
    <row r="1912" ht="22.5" customHeight="1">
      <c r="A1912" s="721"/>
      <c r="B1912" s="137" t="s">
        <v>2256</v>
      </c>
      <c r="C1912" s="609"/>
      <c r="D1912" s="610">
        <v>7315.2</v>
      </c>
      <c r="E1912" s="595"/>
      <c r="F1912" s="607" t="s">
        <v>1179</v>
      </c>
      <c r="G1912" s="597">
        <v>20.0</v>
      </c>
      <c r="H1912" s="689">
        <f t="shared" si="111"/>
        <v>1219.2</v>
      </c>
      <c r="I1912" s="599"/>
      <c r="J1912" s="599"/>
      <c r="K1912" s="615" t="s">
        <v>101</v>
      </c>
      <c r="L1912" s="698" t="s">
        <v>1045</v>
      </c>
      <c r="M1912" s="621"/>
      <c r="N1912" s="621"/>
      <c r="O1912" s="621"/>
      <c r="P1912" s="602"/>
      <c r="Q1912" s="682" t="s">
        <v>1495</v>
      </c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</row>
    <row r="1913" ht="22.5" customHeight="1">
      <c r="A1913" s="721"/>
      <c r="B1913" s="137" t="s">
        <v>2256</v>
      </c>
      <c r="C1913" s="609"/>
      <c r="D1913" s="610">
        <v>106666.75</v>
      </c>
      <c r="E1913" s="595"/>
      <c r="F1913" s="607" t="s">
        <v>1179</v>
      </c>
      <c r="G1913" s="597">
        <v>20.0</v>
      </c>
      <c r="H1913" s="689">
        <f t="shared" si="111"/>
        <v>17777.79167</v>
      </c>
      <c r="I1913" s="599"/>
      <c r="J1913" s="599"/>
      <c r="K1913" s="615" t="s">
        <v>101</v>
      </c>
      <c r="L1913" s="698" t="s">
        <v>1045</v>
      </c>
      <c r="M1913" s="621"/>
      <c r="N1913" s="621"/>
      <c r="O1913" s="621"/>
      <c r="P1913" s="602"/>
      <c r="Q1913" s="682" t="s">
        <v>1496</v>
      </c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</row>
    <row r="1914" ht="22.5" customHeight="1">
      <c r="A1914" s="721"/>
      <c r="B1914" s="137" t="s">
        <v>2256</v>
      </c>
      <c r="C1914" s="609"/>
      <c r="D1914" s="610">
        <v>382720.0</v>
      </c>
      <c r="E1914" s="595"/>
      <c r="F1914" s="607" t="s">
        <v>1179</v>
      </c>
      <c r="G1914" s="597">
        <v>20.0</v>
      </c>
      <c r="H1914" s="689">
        <f t="shared" si="111"/>
        <v>63786.66667</v>
      </c>
      <c r="I1914" s="599"/>
      <c r="J1914" s="599"/>
      <c r="K1914" s="615" t="s">
        <v>101</v>
      </c>
      <c r="L1914" s="698" t="s">
        <v>1045</v>
      </c>
      <c r="M1914" s="621"/>
      <c r="N1914" s="621"/>
      <c r="O1914" s="621"/>
      <c r="P1914" s="706"/>
      <c r="Q1914" s="682" t="s">
        <v>1497</v>
      </c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</row>
    <row r="1915" ht="22.5" customHeight="1">
      <c r="A1915" s="721"/>
      <c r="B1915" s="137" t="s">
        <v>2258</v>
      </c>
      <c r="C1915" s="610">
        <v>36050.28</v>
      </c>
      <c r="D1915" s="609"/>
      <c r="E1915" s="595"/>
      <c r="F1915" s="607" t="s">
        <v>1179</v>
      </c>
      <c r="G1915" s="597">
        <v>20.0</v>
      </c>
      <c r="H1915" s="689">
        <f t="shared" si="111"/>
        <v>6008.38</v>
      </c>
      <c r="I1915" s="599"/>
      <c r="J1915" s="599"/>
      <c r="K1915" s="672" t="s">
        <v>51</v>
      </c>
      <c r="L1915" s="615" t="s">
        <v>1324</v>
      </c>
      <c r="M1915" s="612">
        <v>1.0</v>
      </c>
      <c r="N1915" s="612">
        <v>367.0</v>
      </c>
      <c r="O1915" s="668">
        <v>45959.0</v>
      </c>
      <c r="P1915" s="706"/>
      <c r="Q1915" s="622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</row>
    <row r="1916" ht="22.5" customHeight="1">
      <c r="A1916" s="721"/>
      <c r="B1916" s="137" t="s">
        <v>2258</v>
      </c>
      <c r="C1916" s="610">
        <v>1531799.64</v>
      </c>
      <c r="D1916" s="609"/>
      <c r="E1916" s="595"/>
      <c r="F1916" s="607" t="s">
        <v>1179</v>
      </c>
      <c r="G1916" s="597">
        <v>20.0</v>
      </c>
      <c r="H1916" s="689">
        <f t="shared" si="111"/>
        <v>255299.94</v>
      </c>
      <c r="I1916" s="599"/>
      <c r="J1916" s="599"/>
      <c r="K1916" s="672" t="s">
        <v>51</v>
      </c>
      <c r="L1916" s="615" t="s">
        <v>1271</v>
      </c>
      <c r="M1916" s="612" t="s">
        <v>993</v>
      </c>
      <c r="N1916" s="612">
        <v>369.0</v>
      </c>
      <c r="O1916" s="662">
        <v>45968.0</v>
      </c>
      <c r="P1916" s="706"/>
      <c r="Q1916" s="622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</row>
    <row r="1917" ht="22.5" customHeight="1">
      <c r="A1917" s="721"/>
      <c r="B1917" s="137" t="s">
        <v>2258</v>
      </c>
      <c r="C1917" s="610">
        <v>2714635.56</v>
      </c>
      <c r="D1917" s="609"/>
      <c r="E1917" s="595"/>
      <c r="F1917" s="607" t="s">
        <v>1179</v>
      </c>
      <c r="G1917" s="597">
        <v>20.0</v>
      </c>
      <c r="H1917" s="689">
        <f t="shared" si="111"/>
        <v>452439.26</v>
      </c>
      <c r="I1917" s="599"/>
      <c r="J1917" s="599"/>
      <c r="K1917" s="672" t="s">
        <v>51</v>
      </c>
      <c r="L1917" s="615" t="s">
        <v>1271</v>
      </c>
      <c r="M1917" s="612" t="s">
        <v>994</v>
      </c>
      <c r="N1917" s="612">
        <v>370.0</v>
      </c>
      <c r="O1917" s="662">
        <v>45968.0</v>
      </c>
      <c r="P1917" s="706"/>
      <c r="Q1917" s="622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</row>
    <row r="1918" ht="22.5" customHeight="1">
      <c r="A1918" s="721"/>
      <c r="B1918" s="137" t="s">
        <v>2258</v>
      </c>
      <c r="C1918" s="610">
        <v>689270.4</v>
      </c>
      <c r="D1918" s="609"/>
      <c r="E1918" s="595"/>
      <c r="F1918" s="607" t="s">
        <v>1179</v>
      </c>
      <c r="G1918" s="597">
        <v>20.0</v>
      </c>
      <c r="H1918" s="689">
        <f t="shared" si="111"/>
        <v>114878.4</v>
      </c>
      <c r="I1918" s="599"/>
      <c r="J1918" s="599"/>
      <c r="K1918" s="672" t="s">
        <v>51</v>
      </c>
      <c r="L1918" s="615" t="s">
        <v>1271</v>
      </c>
      <c r="M1918" s="612" t="s">
        <v>607</v>
      </c>
      <c r="N1918" s="612">
        <v>371.0</v>
      </c>
      <c r="O1918" s="662">
        <v>45968.0</v>
      </c>
      <c r="P1918" s="706"/>
      <c r="Q1918" s="622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</row>
    <row r="1919" ht="22.5" customHeight="1">
      <c r="A1919" s="721"/>
      <c r="B1919" s="137" t="s">
        <v>2258</v>
      </c>
      <c r="C1919" s="610">
        <v>600000.24</v>
      </c>
      <c r="D1919" s="609"/>
      <c r="E1919" s="595"/>
      <c r="F1919" s="607" t="s">
        <v>1179</v>
      </c>
      <c r="G1919" s="597">
        <v>20.0</v>
      </c>
      <c r="H1919" s="689">
        <f t="shared" si="111"/>
        <v>100000.04</v>
      </c>
      <c r="I1919" s="599"/>
      <c r="J1919" s="599"/>
      <c r="K1919" s="672" t="s">
        <v>51</v>
      </c>
      <c r="L1919" s="615" t="s">
        <v>1271</v>
      </c>
      <c r="M1919" s="612" t="s">
        <v>949</v>
      </c>
      <c r="N1919" s="612">
        <v>372.0</v>
      </c>
      <c r="O1919" s="662">
        <v>45968.0</v>
      </c>
      <c r="P1919" s="706"/>
      <c r="Q1919" s="622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</row>
    <row r="1920" ht="22.5" customHeight="1">
      <c r="A1920" s="721"/>
      <c r="B1920" s="137" t="s">
        <v>2258</v>
      </c>
      <c r="C1920" s="610">
        <v>204000.0</v>
      </c>
      <c r="D1920" s="609"/>
      <c r="E1920" s="595"/>
      <c r="F1920" s="607" t="s">
        <v>1179</v>
      </c>
      <c r="G1920" s="597">
        <v>20.0</v>
      </c>
      <c r="H1920" s="689">
        <f t="shared" si="111"/>
        <v>34000</v>
      </c>
      <c r="I1920" s="599"/>
      <c r="J1920" s="599"/>
      <c r="K1920" s="672" t="s">
        <v>51</v>
      </c>
      <c r="L1920" s="615" t="s">
        <v>675</v>
      </c>
      <c r="M1920" s="612" t="s">
        <v>757</v>
      </c>
      <c r="N1920" s="612">
        <v>376.0</v>
      </c>
      <c r="O1920" s="662">
        <v>45968.0</v>
      </c>
      <c r="P1920" s="706"/>
      <c r="Q1920" s="622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</row>
    <row r="1921" ht="22.5" customHeight="1">
      <c r="A1921" s="721"/>
      <c r="B1921" s="137" t="s">
        <v>2258</v>
      </c>
      <c r="C1921" s="610">
        <v>960000.0</v>
      </c>
      <c r="D1921" s="609"/>
      <c r="E1921" s="595"/>
      <c r="F1921" s="607" t="s">
        <v>1179</v>
      </c>
      <c r="G1921" s="597">
        <v>20.0</v>
      </c>
      <c r="H1921" s="689">
        <f t="shared" si="111"/>
        <v>160000</v>
      </c>
      <c r="I1921" s="599"/>
      <c r="J1921" s="599"/>
      <c r="K1921" s="672" t="s">
        <v>51</v>
      </c>
      <c r="L1921" s="615" t="s">
        <v>624</v>
      </c>
      <c r="M1921" s="612" t="s">
        <v>1234</v>
      </c>
      <c r="N1921" s="612">
        <v>377.0</v>
      </c>
      <c r="O1921" s="668">
        <v>45972.0</v>
      </c>
      <c r="P1921" s="706"/>
      <c r="Q1921" s="622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</row>
    <row r="1922" ht="22.5" customHeight="1">
      <c r="A1922" s="721"/>
      <c r="B1922" s="137" t="s">
        <v>2258</v>
      </c>
      <c r="C1922" s="610">
        <v>636000.24</v>
      </c>
      <c r="D1922" s="609"/>
      <c r="E1922" s="595"/>
      <c r="F1922" s="607" t="s">
        <v>1179</v>
      </c>
      <c r="G1922" s="597">
        <v>20.0</v>
      </c>
      <c r="H1922" s="689">
        <f t="shared" si="111"/>
        <v>106000.04</v>
      </c>
      <c r="I1922" s="599"/>
      <c r="J1922" s="599"/>
      <c r="K1922" s="672" t="s">
        <v>51</v>
      </c>
      <c r="L1922" s="615" t="s">
        <v>675</v>
      </c>
      <c r="M1922" s="612" t="s">
        <v>804</v>
      </c>
      <c r="N1922" s="612">
        <v>378.0</v>
      </c>
      <c r="O1922" s="668">
        <v>45972.0</v>
      </c>
      <c r="P1922" s="706"/>
      <c r="Q1922" s="622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</row>
    <row r="1923" ht="22.5" customHeight="1">
      <c r="A1923" s="721"/>
      <c r="B1923" s="137" t="s">
        <v>2258</v>
      </c>
      <c r="C1923" s="610">
        <v>1929600.0</v>
      </c>
      <c r="D1923" s="609"/>
      <c r="E1923" s="595"/>
      <c r="F1923" s="607" t="s">
        <v>1179</v>
      </c>
      <c r="G1923" s="597">
        <v>20.0</v>
      </c>
      <c r="H1923" s="689">
        <f t="shared" si="111"/>
        <v>321600</v>
      </c>
      <c r="I1923" s="599"/>
      <c r="J1923" s="599"/>
      <c r="K1923" s="672" t="s">
        <v>51</v>
      </c>
      <c r="L1923" s="615" t="s">
        <v>474</v>
      </c>
      <c r="M1923" s="612" t="s">
        <v>1242</v>
      </c>
      <c r="N1923" s="612">
        <v>380.0</v>
      </c>
      <c r="O1923" s="668">
        <v>45972.0</v>
      </c>
      <c r="P1923" s="706"/>
      <c r="Q1923" s="622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</row>
    <row r="1924" ht="22.5" customHeight="1">
      <c r="A1924" s="721"/>
      <c r="B1924" s="137" t="s">
        <v>2258</v>
      </c>
      <c r="C1924" s="610">
        <v>600000.0</v>
      </c>
      <c r="D1924" s="609"/>
      <c r="E1924" s="595"/>
      <c r="F1924" s="607" t="s">
        <v>1179</v>
      </c>
      <c r="G1924" s="597">
        <v>20.0</v>
      </c>
      <c r="H1924" s="689">
        <f t="shared" si="111"/>
        <v>100000</v>
      </c>
      <c r="I1924" s="599"/>
      <c r="J1924" s="599"/>
      <c r="K1924" s="672" t="s">
        <v>51</v>
      </c>
      <c r="L1924" s="615" t="s">
        <v>1167</v>
      </c>
      <c r="M1924" s="612" t="s">
        <v>1593</v>
      </c>
      <c r="N1924" s="612">
        <v>381.0</v>
      </c>
      <c r="O1924" s="668">
        <v>45972.0</v>
      </c>
      <c r="P1924" s="706"/>
      <c r="Q1924" s="622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</row>
    <row r="1925" ht="22.5" customHeight="1">
      <c r="A1925" s="721"/>
      <c r="B1925" s="137" t="s">
        <v>2258</v>
      </c>
      <c r="C1925" s="610">
        <v>639000.0</v>
      </c>
      <c r="D1925" s="609"/>
      <c r="E1925" s="595"/>
      <c r="F1925" s="607" t="s">
        <v>1179</v>
      </c>
      <c r="G1925" s="597">
        <v>20.0</v>
      </c>
      <c r="H1925" s="689">
        <f t="shared" si="111"/>
        <v>106500</v>
      </c>
      <c r="I1925" s="599"/>
      <c r="J1925" s="599"/>
      <c r="K1925" s="672" t="s">
        <v>51</v>
      </c>
      <c r="L1925" s="615" t="s">
        <v>1167</v>
      </c>
      <c r="M1925" s="612" t="s">
        <v>1594</v>
      </c>
      <c r="N1925" s="612">
        <v>382.0</v>
      </c>
      <c r="O1925" s="668">
        <v>45972.0</v>
      </c>
      <c r="P1925" s="706"/>
      <c r="Q1925" s="622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</row>
    <row r="1926" ht="22.5" customHeight="1">
      <c r="A1926" s="721"/>
      <c r="B1926" s="137" t="s">
        <v>2258</v>
      </c>
      <c r="C1926" s="610">
        <v>600000.43</v>
      </c>
      <c r="D1926" s="609"/>
      <c r="E1926" s="595"/>
      <c r="F1926" s="607" t="s">
        <v>1179</v>
      </c>
      <c r="G1926" s="597">
        <v>20.0</v>
      </c>
      <c r="H1926" s="689">
        <f t="shared" si="111"/>
        <v>100000.0717</v>
      </c>
      <c r="I1926" s="599"/>
      <c r="J1926" s="599"/>
      <c r="K1926" s="672" t="s">
        <v>51</v>
      </c>
      <c r="L1926" s="615" t="s">
        <v>474</v>
      </c>
      <c r="M1926" s="612" t="s">
        <v>1240</v>
      </c>
      <c r="N1926" s="612">
        <v>383.0</v>
      </c>
      <c r="O1926" s="668">
        <v>45972.0</v>
      </c>
      <c r="P1926" s="706"/>
      <c r="Q1926" s="622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</row>
    <row r="1927" ht="22.5" customHeight="1">
      <c r="A1927" s="721"/>
      <c r="B1927" s="137" t="s">
        <v>2258</v>
      </c>
      <c r="C1927" s="610">
        <v>600040.0</v>
      </c>
      <c r="D1927" s="609"/>
      <c r="E1927" s="595"/>
      <c r="F1927" s="607" t="s">
        <v>1179</v>
      </c>
      <c r="G1927" s="597">
        <v>20.0</v>
      </c>
      <c r="H1927" s="689">
        <f t="shared" si="111"/>
        <v>100006.6667</v>
      </c>
      <c r="I1927" s="599"/>
      <c r="J1927" s="599"/>
      <c r="K1927" s="672" t="s">
        <v>51</v>
      </c>
      <c r="L1927" s="615" t="s">
        <v>1167</v>
      </c>
      <c r="M1927" s="612" t="s">
        <v>1595</v>
      </c>
      <c r="N1927" s="612">
        <v>384.0</v>
      </c>
      <c r="O1927" s="668">
        <v>45972.0</v>
      </c>
      <c r="P1927" s="706"/>
      <c r="Q1927" s="622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</row>
    <row r="1928" ht="22.5" customHeight="1">
      <c r="A1928" s="721"/>
      <c r="B1928" s="137" t="s">
        <v>2258</v>
      </c>
      <c r="C1928" s="610">
        <v>802070.76</v>
      </c>
      <c r="D1928" s="609"/>
      <c r="E1928" s="595"/>
      <c r="F1928" s="607" t="s">
        <v>1179</v>
      </c>
      <c r="G1928" s="597">
        <v>20.0</v>
      </c>
      <c r="H1928" s="689">
        <f t="shared" si="111"/>
        <v>133678.46</v>
      </c>
      <c r="I1928" s="599"/>
      <c r="J1928" s="599"/>
      <c r="K1928" s="672" t="s">
        <v>51</v>
      </c>
      <c r="L1928" s="615" t="s">
        <v>1167</v>
      </c>
      <c r="M1928" s="612" t="s">
        <v>1596</v>
      </c>
      <c r="N1928" s="612">
        <v>385.0</v>
      </c>
      <c r="O1928" s="668">
        <v>45972.0</v>
      </c>
      <c r="P1928" s="706"/>
      <c r="Q1928" s="622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</row>
    <row r="1929" ht="22.5" customHeight="1">
      <c r="A1929" s="721"/>
      <c r="B1929" s="137" t="s">
        <v>2258</v>
      </c>
      <c r="C1929" s="610">
        <v>2001260.0</v>
      </c>
      <c r="D1929" s="609"/>
      <c r="E1929" s="595"/>
      <c r="F1929" s="607" t="s">
        <v>1179</v>
      </c>
      <c r="G1929" s="597">
        <v>20.0</v>
      </c>
      <c r="H1929" s="689">
        <f t="shared" si="111"/>
        <v>333543.3333</v>
      </c>
      <c r="I1929" s="599"/>
      <c r="J1929" s="599"/>
      <c r="K1929" s="672" t="s">
        <v>51</v>
      </c>
      <c r="L1929" s="615" t="s">
        <v>539</v>
      </c>
      <c r="M1929" s="612" t="s">
        <v>1584</v>
      </c>
      <c r="N1929" s="612">
        <v>386.0</v>
      </c>
      <c r="O1929" s="668">
        <v>45972.0</v>
      </c>
      <c r="P1929" s="706"/>
      <c r="Q1929" s="622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</row>
    <row r="1930" ht="22.5" customHeight="1">
      <c r="A1930" s="721"/>
      <c r="B1930" s="137" t="s">
        <v>2258</v>
      </c>
      <c r="C1930" s="610">
        <v>751632.0</v>
      </c>
      <c r="D1930" s="609"/>
      <c r="E1930" s="595"/>
      <c r="F1930" s="607" t="s">
        <v>1179</v>
      </c>
      <c r="G1930" s="597">
        <v>20.0</v>
      </c>
      <c r="H1930" s="689">
        <f t="shared" si="111"/>
        <v>125272</v>
      </c>
      <c r="I1930" s="599"/>
      <c r="J1930" s="599"/>
      <c r="K1930" s="672" t="s">
        <v>51</v>
      </c>
      <c r="L1930" s="615" t="s">
        <v>1014</v>
      </c>
      <c r="M1930" s="612" t="s">
        <v>1521</v>
      </c>
      <c r="N1930" s="612">
        <v>387.0</v>
      </c>
      <c r="O1930" s="668">
        <v>45972.0</v>
      </c>
      <c r="P1930" s="706"/>
      <c r="Q1930" s="622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</row>
    <row r="1931" ht="22.5" customHeight="1">
      <c r="A1931" s="721"/>
      <c r="B1931" s="137" t="s">
        <v>2258</v>
      </c>
      <c r="C1931" s="610">
        <v>294000.0</v>
      </c>
      <c r="D1931" s="609"/>
      <c r="E1931" s="595"/>
      <c r="F1931" s="607" t="s">
        <v>1179</v>
      </c>
      <c r="G1931" s="597">
        <v>20.0</v>
      </c>
      <c r="H1931" s="689">
        <f t="shared" si="111"/>
        <v>49000</v>
      </c>
      <c r="I1931" s="599"/>
      <c r="J1931" s="599"/>
      <c r="K1931" s="672" t="s">
        <v>51</v>
      </c>
      <c r="L1931" s="615" t="s">
        <v>657</v>
      </c>
      <c r="M1931" s="612" t="s">
        <v>844</v>
      </c>
      <c r="N1931" s="612">
        <v>389.0</v>
      </c>
      <c r="O1931" s="668">
        <v>45972.0</v>
      </c>
      <c r="P1931" s="706"/>
      <c r="Q1931" s="622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</row>
    <row r="1932" ht="22.5" customHeight="1">
      <c r="A1932" s="721"/>
      <c r="B1932" s="137" t="s">
        <v>2258</v>
      </c>
      <c r="C1932" s="610">
        <v>600000.24</v>
      </c>
      <c r="D1932" s="609"/>
      <c r="E1932" s="595"/>
      <c r="F1932" s="607" t="s">
        <v>1179</v>
      </c>
      <c r="G1932" s="597">
        <v>20.0</v>
      </c>
      <c r="H1932" s="689">
        <f t="shared" si="111"/>
        <v>100000.04</v>
      </c>
      <c r="I1932" s="599"/>
      <c r="J1932" s="599"/>
      <c r="K1932" s="672" t="s">
        <v>51</v>
      </c>
      <c r="L1932" s="615" t="s">
        <v>627</v>
      </c>
      <c r="M1932" s="612" t="s">
        <v>850</v>
      </c>
      <c r="N1932" s="612">
        <v>390.0</v>
      </c>
      <c r="O1932" s="668">
        <v>45972.0</v>
      </c>
      <c r="P1932" s="706"/>
      <c r="Q1932" s="622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</row>
    <row r="1933" ht="22.5" customHeight="1">
      <c r="A1933" s="721"/>
      <c r="B1933" s="137" t="s">
        <v>2258</v>
      </c>
      <c r="C1933" s="610">
        <v>1200000.04</v>
      </c>
      <c r="D1933" s="609"/>
      <c r="E1933" s="595"/>
      <c r="F1933" s="607" t="s">
        <v>1179</v>
      </c>
      <c r="G1933" s="597">
        <v>20.0</v>
      </c>
      <c r="H1933" s="689">
        <f t="shared" si="111"/>
        <v>200000.0067</v>
      </c>
      <c r="I1933" s="599"/>
      <c r="J1933" s="599"/>
      <c r="K1933" s="672" t="s">
        <v>51</v>
      </c>
      <c r="L1933" s="615" t="s">
        <v>1167</v>
      </c>
      <c r="M1933" s="612" t="s">
        <v>1597</v>
      </c>
      <c r="N1933" s="612">
        <v>391.0</v>
      </c>
      <c r="O1933" s="668">
        <v>45972.0</v>
      </c>
      <c r="P1933" s="706"/>
      <c r="Q1933" s="622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</row>
    <row r="1934" ht="22.5" customHeight="1">
      <c r="A1934" s="721"/>
      <c r="B1934" s="137" t="s">
        <v>2258</v>
      </c>
      <c r="C1934" s="610">
        <v>631680.0</v>
      </c>
      <c r="D1934" s="609"/>
      <c r="E1934" s="595"/>
      <c r="F1934" s="607" t="s">
        <v>1179</v>
      </c>
      <c r="G1934" s="597">
        <v>20.0</v>
      </c>
      <c r="H1934" s="689">
        <f t="shared" si="111"/>
        <v>105280</v>
      </c>
      <c r="I1934" s="599"/>
      <c r="J1934" s="599"/>
      <c r="K1934" s="672" t="s">
        <v>51</v>
      </c>
      <c r="L1934" s="615" t="s">
        <v>1014</v>
      </c>
      <c r="M1934" s="612" t="s">
        <v>1522</v>
      </c>
      <c r="N1934" s="612">
        <v>392.0</v>
      </c>
      <c r="O1934" s="668">
        <v>45972.0</v>
      </c>
      <c r="P1934" s="706"/>
      <c r="Q1934" s="622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</row>
    <row r="1935" ht="22.5" customHeight="1">
      <c r="A1935" s="721"/>
      <c r="B1935" s="137" t="s">
        <v>2258</v>
      </c>
      <c r="C1935" s="610">
        <v>599760.0</v>
      </c>
      <c r="D1935" s="609"/>
      <c r="E1935" s="595"/>
      <c r="F1935" s="607" t="s">
        <v>1179</v>
      </c>
      <c r="G1935" s="597">
        <v>20.0</v>
      </c>
      <c r="H1935" s="689">
        <f t="shared" si="111"/>
        <v>99960</v>
      </c>
      <c r="I1935" s="599"/>
      <c r="J1935" s="599"/>
      <c r="K1935" s="672" t="s">
        <v>51</v>
      </c>
      <c r="L1935" s="615" t="s">
        <v>849</v>
      </c>
      <c r="M1935" s="612" t="s">
        <v>1077</v>
      </c>
      <c r="N1935" s="612">
        <v>393.0</v>
      </c>
      <c r="O1935" s="668">
        <v>45972.0</v>
      </c>
      <c r="P1935" s="706"/>
      <c r="Q1935" s="622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</row>
    <row r="1936" ht="22.5" customHeight="1">
      <c r="A1936" s="721"/>
      <c r="B1936" s="137" t="s">
        <v>2258</v>
      </c>
      <c r="C1936" s="610">
        <v>1050000.0</v>
      </c>
      <c r="D1936" s="609"/>
      <c r="E1936" s="595"/>
      <c r="F1936" s="607" t="s">
        <v>1179</v>
      </c>
      <c r="G1936" s="597">
        <v>20.0</v>
      </c>
      <c r="H1936" s="689">
        <f t="shared" si="111"/>
        <v>175000</v>
      </c>
      <c r="I1936" s="599"/>
      <c r="J1936" s="599"/>
      <c r="K1936" s="672" t="s">
        <v>51</v>
      </c>
      <c r="L1936" s="615" t="s">
        <v>849</v>
      </c>
      <c r="M1936" s="612" t="s">
        <v>1076</v>
      </c>
      <c r="N1936" s="612">
        <v>394.0</v>
      </c>
      <c r="O1936" s="668">
        <v>45972.0</v>
      </c>
      <c r="P1936" s="706"/>
      <c r="Q1936" s="622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</row>
    <row r="1937" ht="22.5" customHeight="1">
      <c r="A1937" s="721"/>
      <c r="B1937" s="137" t="s">
        <v>2258</v>
      </c>
      <c r="C1937" s="610">
        <v>1200000.0</v>
      </c>
      <c r="D1937" s="609"/>
      <c r="E1937" s="595"/>
      <c r="F1937" s="607" t="s">
        <v>1179</v>
      </c>
      <c r="G1937" s="597">
        <v>20.0</v>
      </c>
      <c r="H1937" s="689">
        <f t="shared" si="111"/>
        <v>200000</v>
      </c>
      <c r="I1937" s="599"/>
      <c r="J1937" s="599"/>
      <c r="K1937" s="672" t="s">
        <v>51</v>
      </c>
      <c r="L1937" s="615" t="s">
        <v>849</v>
      </c>
      <c r="M1937" s="612" t="s">
        <v>1462</v>
      </c>
      <c r="N1937" s="612">
        <v>395.0</v>
      </c>
      <c r="O1937" s="668">
        <v>45972.0</v>
      </c>
      <c r="P1937" s="706"/>
      <c r="Q1937" s="622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</row>
    <row r="1938" ht="22.5" customHeight="1">
      <c r="A1938" s="721"/>
      <c r="B1938" s="137" t="s">
        <v>2258</v>
      </c>
      <c r="C1938" s="610">
        <v>602430.0</v>
      </c>
      <c r="D1938" s="609"/>
      <c r="E1938" s="595"/>
      <c r="F1938" s="607" t="s">
        <v>1179</v>
      </c>
      <c r="G1938" s="597">
        <v>20.0</v>
      </c>
      <c r="H1938" s="689">
        <f t="shared" si="111"/>
        <v>100405</v>
      </c>
      <c r="I1938" s="599"/>
      <c r="J1938" s="599"/>
      <c r="K1938" s="672" t="s">
        <v>51</v>
      </c>
      <c r="L1938" s="615" t="s">
        <v>849</v>
      </c>
      <c r="M1938" s="612" t="s">
        <v>1013</v>
      </c>
      <c r="N1938" s="612">
        <v>396.0</v>
      </c>
      <c r="O1938" s="668">
        <v>45972.0</v>
      </c>
      <c r="P1938" s="706"/>
      <c r="Q1938" s="622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</row>
    <row r="1939" ht="22.5" customHeight="1">
      <c r="A1939" s="721"/>
      <c r="B1939" s="137" t="s">
        <v>2258</v>
      </c>
      <c r="C1939" s="610">
        <v>1807626.0</v>
      </c>
      <c r="D1939" s="609"/>
      <c r="E1939" s="595"/>
      <c r="F1939" s="607" t="s">
        <v>1179</v>
      </c>
      <c r="G1939" s="597">
        <v>20.0</v>
      </c>
      <c r="H1939" s="689">
        <f t="shared" si="111"/>
        <v>301271</v>
      </c>
      <c r="I1939" s="599"/>
      <c r="J1939" s="599"/>
      <c r="K1939" s="672" t="s">
        <v>51</v>
      </c>
      <c r="L1939" s="615" t="s">
        <v>849</v>
      </c>
      <c r="M1939" s="612" t="s">
        <v>950</v>
      </c>
      <c r="N1939" s="612">
        <v>397.0</v>
      </c>
      <c r="O1939" s="668">
        <v>45972.0</v>
      </c>
      <c r="P1939" s="706"/>
      <c r="Q1939" s="622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</row>
    <row r="1940" ht="22.5" customHeight="1">
      <c r="A1940" s="721"/>
      <c r="B1940" s="137" t="s">
        <v>2258</v>
      </c>
      <c r="C1940" s="610">
        <v>1058400.0</v>
      </c>
      <c r="D1940" s="609"/>
      <c r="E1940" s="595"/>
      <c r="F1940" s="607" t="s">
        <v>1179</v>
      </c>
      <c r="G1940" s="597">
        <v>20.0</v>
      </c>
      <c r="H1940" s="689">
        <f t="shared" si="111"/>
        <v>176400</v>
      </c>
      <c r="I1940" s="599"/>
      <c r="J1940" s="599"/>
      <c r="K1940" s="672" t="s">
        <v>51</v>
      </c>
      <c r="L1940" s="615" t="s">
        <v>1014</v>
      </c>
      <c r="M1940" s="612" t="s">
        <v>1523</v>
      </c>
      <c r="N1940" s="612">
        <v>398.0</v>
      </c>
      <c r="O1940" s="668">
        <v>45972.0</v>
      </c>
      <c r="P1940" s="706"/>
      <c r="Q1940" s="622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</row>
    <row r="1941" ht="22.5" customHeight="1">
      <c r="A1941" s="721"/>
      <c r="B1941" s="137" t="s">
        <v>2258</v>
      </c>
      <c r="C1941" s="610">
        <v>608160.0</v>
      </c>
      <c r="D1941" s="609"/>
      <c r="E1941" s="595"/>
      <c r="F1941" s="607" t="s">
        <v>1179</v>
      </c>
      <c r="G1941" s="597">
        <v>20.0</v>
      </c>
      <c r="H1941" s="689">
        <f t="shared" si="111"/>
        <v>101360</v>
      </c>
      <c r="I1941" s="599"/>
      <c r="J1941" s="599"/>
      <c r="K1941" s="672" t="s">
        <v>51</v>
      </c>
      <c r="L1941" s="615" t="s">
        <v>1014</v>
      </c>
      <c r="M1941" s="612" t="s">
        <v>1524</v>
      </c>
      <c r="N1941" s="612">
        <v>399.0</v>
      </c>
      <c r="O1941" s="668">
        <v>45972.0</v>
      </c>
      <c r="P1941" s="706"/>
      <c r="Q1941" s="622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</row>
    <row r="1942" ht="22.5" customHeight="1">
      <c r="A1942" s="721"/>
      <c r="B1942" s="137" t="s">
        <v>2258</v>
      </c>
      <c r="C1942" s="610">
        <v>1200192.0</v>
      </c>
      <c r="D1942" s="609"/>
      <c r="E1942" s="595"/>
      <c r="F1942" s="607" t="s">
        <v>1179</v>
      </c>
      <c r="G1942" s="597">
        <v>20.0</v>
      </c>
      <c r="H1942" s="689">
        <f t="shared" si="111"/>
        <v>200032</v>
      </c>
      <c r="I1942" s="599"/>
      <c r="J1942" s="599"/>
      <c r="K1942" s="672" t="s">
        <v>51</v>
      </c>
      <c r="L1942" s="615" t="s">
        <v>1014</v>
      </c>
      <c r="M1942" s="612" t="s">
        <v>1525</v>
      </c>
      <c r="N1942" s="612">
        <v>400.0</v>
      </c>
      <c r="O1942" s="668">
        <v>45972.0</v>
      </c>
      <c r="P1942" s="706"/>
      <c r="Q1942" s="622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</row>
    <row r="1943" ht="22.5" customHeight="1">
      <c r="A1943" s="721"/>
      <c r="B1943" s="137" t="s">
        <v>2258</v>
      </c>
      <c r="C1943" s="610">
        <v>840000.0</v>
      </c>
      <c r="D1943" s="609"/>
      <c r="E1943" s="595"/>
      <c r="F1943" s="607" t="s">
        <v>1179</v>
      </c>
      <c r="G1943" s="597">
        <v>20.0</v>
      </c>
      <c r="H1943" s="689">
        <f t="shared" si="111"/>
        <v>140000</v>
      </c>
      <c r="I1943" s="599"/>
      <c r="J1943" s="599"/>
      <c r="K1943" s="672" t="s">
        <v>51</v>
      </c>
      <c r="L1943" s="615" t="s">
        <v>1014</v>
      </c>
      <c r="M1943" s="612" t="s">
        <v>1526</v>
      </c>
      <c r="N1943" s="612">
        <v>401.0</v>
      </c>
      <c r="O1943" s="668">
        <v>45973.0</v>
      </c>
      <c r="P1943" s="706"/>
      <c r="Q1943" s="622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</row>
    <row r="1944" ht="22.5" customHeight="1">
      <c r="A1944" s="721"/>
      <c r="B1944" s="137" t="s">
        <v>2258</v>
      </c>
      <c r="C1944" s="610">
        <v>600600.0</v>
      </c>
      <c r="D1944" s="609"/>
      <c r="E1944" s="595"/>
      <c r="F1944" s="607" t="s">
        <v>1179</v>
      </c>
      <c r="G1944" s="597">
        <v>20.0</v>
      </c>
      <c r="H1944" s="689">
        <f t="shared" si="111"/>
        <v>100100</v>
      </c>
      <c r="I1944" s="599"/>
      <c r="J1944" s="599"/>
      <c r="K1944" s="672" t="s">
        <v>51</v>
      </c>
      <c r="L1944" s="615" t="s">
        <v>1014</v>
      </c>
      <c r="M1944" s="612" t="s">
        <v>1527</v>
      </c>
      <c r="N1944" s="612">
        <v>402.0</v>
      </c>
      <c r="O1944" s="668">
        <v>45973.0</v>
      </c>
      <c r="P1944" s="706"/>
      <c r="Q1944" s="622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</row>
    <row r="1945" ht="22.5" customHeight="1">
      <c r="A1945" s="721"/>
      <c r="B1945" s="137" t="s">
        <v>2258</v>
      </c>
      <c r="C1945" s="610">
        <v>688800.0</v>
      </c>
      <c r="D1945" s="609"/>
      <c r="E1945" s="595"/>
      <c r="F1945" s="607" t="s">
        <v>1179</v>
      </c>
      <c r="G1945" s="597">
        <v>20.0</v>
      </c>
      <c r="H1945" s="689">
        <f t="shared" si="111"/>
        <v>114800</v>
      </c>
      <c r="I1945" s="599"/>
      <c r="J1945" s="599"/>
      <c r="K1945" s="672" t="s">
        <v>51</v>
      </c>
      <c r="L1945" s="615" t="s">
        <v>1014</v>
      </c>
      <c r="M1945" s="612" t="s">
        <v>1528</v>
      </c>
      <c r="N1945" s="612">
        <v>403.0</v>
      </c>
      <c r="O1945" s="668">
        <v>45973.0</v>
      </c>
      <c r="P1945" s="706"/>
      <c r="Q1945" s="622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</row>
    <row r="1946" ht="22.5" customHeight="1">
      <c r="A1946" s="721"/>
      <c r="B1946" s="137" t="s">
        <v>2258</v>
      </c>
      <c r="C1946" s="610">
        <v>36000.0</v>
      </c>
      <c r="D1946" s="609"/>
      <c r="E1946" s="595"/>
      <c r="F1946" s="607" t="s">
        <v>1179</v>
      </c>
      <c r="G1946" s="597">
        <v>20.0</v>
      </c>
      <c r="H1946" s="689">
        <f t="shared" si="111"/>
        <v>6000</v>
      </c>
      <c r="I1946" s="599"/>
      <c r="J1946" s="599"/>
      <c r="K1946" s="672" t="s">
        <v>51</v>
      </c>
      <c r="L1946" s="615" t="s">
        <v>1188</v>
      </c>
      <c r="M1946" s="612" t="s">
        <v>1870</v>
      </c>
      <c r="N1946" s="612">
        <v>404.0</v>
      </c>
      <c r="O1946" s="668">
        <v>45973.0</v>
      </c>
      <c r="P1946" s="706"/>
      <c r="Q1946" s="622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</row>
    <row r="1947" ht="22.5" customHeight="1">
      <c r="A1947" s="721"/>
      <c r="B1947" s="137" t="s">
        <v>2258</v>
      </c>
      <c r="C1947" s="610">
        <v>333300.0</v>
      </c>
      <c r="D1947" s="609"/>
      <c r="E1947" s="595"/>
      <c r="F1947" s="607" t="s">
        <v>1179</v>
      </c>
      <c r="G1947" s="597">
        <v>20.0</v>
      </c>
      <c r="H1947" s="689">
        <f t="shared" si="111"/>
        <v>55550</v>
      </c>
      <c r="I1947" s="599"/>
      <c r="J1947" s="599"/>
      <c r="K1947" s="672" t="s">
        <v>51</v>
      </c>
      <c r="L1947" s="615" t="s">
        <v>944</v>
      </c>
      <c r="M1947" s="612" t="s">
        <v>1302</v>
      </c>
      <c r="N1947" s="612">
        <v>405.0</v>
      </c>
      <c r="O1947" s="668">
        <v>45979.0</v>
      </c>
      <c r="P1947" s="706"/>
      <c r="Q1947" s="622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</row>
    <row r="1948" ht="22.5" customHeight="1">
      <c r="A1948" s="721"/>
      <c r="B1948" s="137" t="s">
        <v>2258</v>
      </c>
      <c r="C1948" s="610">
        <v>330000.25</v>
      </c>
      <c r="D1948" s="609"/>
      <c r="E1948" s="595"/>
      <c r="F1948" s="607" t="s">
        <v>1179</v>
      </c>
      <c r="G1948" s="597">
        <v>20.0</v>
      </c>
      <c r="H1948" s="689">
        <f t="shared" si="111"/>
        <v>55000.04167</v>
      </c>
      <c r="I1948" s="599"/>
      <c r="J1948" s="599"/>
      <c r="K1948" s="672" t="s">
        <v>51</v>
      </c>
      <c r="L1948" s="615" t="s">
        <v>944</v>
      </c>
      <c r="M1948" s="612" t="s">
        <v>1302</v>
      </c>
      <c r="N1948" s="612">
        <v>406.0</v>
      </c>
      <c r="O1948" s="668">
        <v>45979.0</v>
      </c>
      <c r="P1948" s="706"/>
      <c r="Q1948" s="622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</row>
    <row r="1949" ht="22.5" customHeight="1">
      <c r="A1949" s="721"/>
      <c r="B1949" s="137" t="s">
        <v>2258</v>
      </c>
      <c r="C1949" s="610">
        <v>178199.64</v>
      </c>
      <c r="D1949" s="609"/>
      <c r="E1949" s="595"/>
      <c r="F1949" s="607" t="s">
        <v>1179</v>
      </c>
      <c r="G1949" s="597">
        <v>20.0</v>
      </c>
      <c r="H1949" s="689">
        <f t="shared" si="111"/>
        <v>29699.94</v>
      </c>
      <c r="I1949" s="599"/>
      <c r="J1949" s="599"/>
      <c r="K1949" s="672" t="s">
        <v>51</v>
      </c>
      <c r="L1949" s="615" t="s">
        <v>944</v>
      </c>
      <c r="M1949" s="612" t="s">
        <v>1302</v>
      </c>
      <c r="N1949" s="612">
        <v>407.0</v>
      </c>
      <c r="O1949" s="668">
        <v>45979.0</v>
      </c>
      <c r="P1949" s="706"/>
      <c r="Q1949" s="622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</row>
    <row r="1950" ht="22.5" customHeight="1">
      <c r="A1950" s="721"/>
      <c r="B1950" s="137" t="s">
        <v>2258</v>
      </c>
      <c r="C1950" s="610">
        <v>659999.99</v>
      </c>
      <c r="D1950" s="609"/>
      <c r="E1950" s="595"/>
      <c r="F1950" s="607" t="s">
        <v>1179</v>
      </c>
      <c r="G1950" s="597">
        <v>20.0</v>
      </c>
      <c r="H1950" s="689">
        <f t="shared" si="111"/>
        <v>109999.9983</v>
      </c>
      <c r="I1950" s="599"/>
      <c r="J1950" s="599"/>
      <c r="K1950" s="672" t="s">
        <v>51</v>
      </c>
      <c r="L1950" s="615" t="s">
        <v>944</v>
      </c>
      <c r="M1950" s="612" t="s">
        <v>1302</v>
      </c>
      <c r="N1950" s="612">
        <v>408.0</v>
      </c>
      <c r="O1950" s="668">
        <v>45979.0</v>
      </c>
      <c r="P1950" s="706"/>
      <c r="Q1950" s="622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</row>
    <row r="1951" ht="22.5" customHeight="1">
      <c r="A1951" s="721"/>
      <c r="B1951" s="137" t="s">
        <v>2258</v>
      </c>
      <c r="C1951" s="610">
        <v>330000.24</v>
      </c>
      <c r="D1951" s="609"/>
      <c r="E1951" s="595"/>
      <c r="F1951" s="607" t="s">
        <v>1179</v>
      </c>
      <c r="G1951" s="597">
        <v>20.0</v>
      </c>
      <c r="H1951" s="689">
        <f t="shared" si="111"/>
        <v>55000.04</v>
      </c>
      <c r="I1951" s="599"/>
      <c r="J1951" s="599"/>
      <c r="K1951" s="672" t="s">
        <v>51</v>
      </c>
      <c r="L1951" s="615" t="s">
        <v>944</v>
      </c>
      <c r="M1951" s="612" t="s">
        <v>1302</v>
      </c>
      <c r="N1951" s="612">
        <v>409.0</v>
      </c>
      <c r="O1951" s="668">
        <v>45979.0</v>
      </c>
      <c r="P1951" s="706"/>
      <c r="Q1951" s="622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</row>
    <row r="1952" ht="22.5" customHeight="1">
      <c r="A1952" s="721"/>
      <c r="B1952" s="137" t="s">
        <v>2258</v>
      </c>
      <c r="C1952" s="610">
        <v>33000.17</v>
      </c>
      <c r="D1952" s="609"/>
      <c r="E1952" s="595"/>
      <c r="F1952" s="607" t="s">
        <v>1179</v>
      </c>
      <c r="G1952" s="597">
        <v>20.0</v>
      </c>
      <c r="H1952" s="689">
        <f t="shared" si="111"/>
        <v>5500.028333</v>
      </c>
      <c r="I1952" s="599"/>
      <c r="J1952" s="599"/>
      <c r="K1952" s="672" t="s">
        <v>51</v>
      </c>
      <c r="L1952" s="615" t="s">
        <v>944</v>
      </c>
      <c r="M1952" s="612" t="s">
        <v>1302</v>
      </c>
      <c r="N1952" s="612">
        <v>410.0</v>
      </c>
      <c r="O1952" s="668">
        <v>45979.0</v>
      </c>
      <c r="P1952" s="706"/>
      <c r="Q1952" s="622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</row>
    <row r="1953" ht="22.5" customHeight="1">
      <c r="A1953" s="721"/>
      <c r="B1953" s="137" t="s">
        <v>2258</v>
      </c>
      <c r="C1953" s="610">
        <v>330000.25</v>
      </c>
      <c r="D1953" s="609"/>
      <c r="E1953" s="595"/>
      <c r="F1953" s="607" t="s">
        <v>1179</v>
      </c>
      <c r="G1953" s="597">
        <v>20.0</v>
      </c>
      <c r="H1953" s="689">
        <f t="shared" si="111"/>
        <v>55000.04167</v>
      </c>
      <c r="I1953" s="599"/>
      <c r="J1953" s="599"/>
      <c r="K1953" s="672" t="s">
        <v>51</v>
      </c>
      <c r="L1953" s="615" t="s">
        <v>944</v>
      </c>
      <c r="M1953" s="612" t="s">
        <v>1302</v>
      </c>
      <c r="N1953" s="612">
        <v>411.0</v>
      </c>
      <c r="O1953" s="668">
        <v>45979.0</v>
      </c>
      <c r="P1953" s="706"/>
      <c r="Q1953" s="622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</row>
    <row r="1954" ht="22.5" customHeight="1">
      <c r="A1954" s="721"/>
      <c r="B1954" s="137" t="s">
        <v>2256</v>
      </c>
      <c r="C1954" s="609"/>
      <c r="D1954" s="610">
        <v>1026295.3</v>
      </c>
      <c r="E1954" s="595"/>
      <c r="F1954" s="607" t="s">
        <v>1099</v>
      </c>
      <c r="G1954" s="597">
        <v>0.0</v>
      </c>
      <c r="H1954" s="689">
        <f t="shared" si="111"/>
        <v>0</v>
      </c>
      <c r="I1954" s="599"/>
      <c r="J1954" s="599"/>
      <c r="K1954" s="615" t="s">
        <v>93</v>
      </c>
      <c r="L1954" s="713" t="s">
        <v>516</v>
      </c>
      <c r="M1954" s="621"/>
      <c r="N1954" s="621"/>
      <c r="O1954" s="621"/>
      <c r="P1954" s="602"/>
      <c r="Q1954" s="682" t="s">
        <v>1547</v>
      </c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</row>
    <row r="1955" ht="22.5" customHeight="1">
      <c r="A1955" s="614"/>
      <c r="B1955" s="137" t="s">
        <v>2256</v>
      </c>
      <c r="C1955" s="609"/>
      <c r="D1955" s="610">
        <v>1596842.76</v>
      </c>
      <c r="E1955" s="595"/>
      <c r="F1955" s="607" t="s">
        <v>608</v>
      </c>
      <c r="G1955" s="597">
        <v>0.0</v>
      </c>
      <c r="H1955" s="689">
        <f t="shared" si="111"/>
        <v>0</v>
      </c>
      <c r="I1955" s="599"/>
      <c r="J1955" s="599"/>
      <c r="K1955" s="615" t="s">
        <v>93</v>
      </c>
      <c r="L1955" s="713" t="s">
        <v>516</v>
      </c>
      <c r="M1955" s="621"/>
      <c r="N1955" s="621"/>
      <c r="O1955" s="621"/>
      <c r="P1955" s="706"/>
      <c r="Q1955" s="622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</row>
    <row r="1956" ht="22.5" customHeight="1">
      <c r="A1956" s="721"/>
      <c r="B1956" s="137" t="s">
        <v>2258</v>
      </c>
      <c r="C1956" s="610">
        <v>255000.0</v>
      </c>
      <c r="D1956" s="610"/>
      <c r="E1956" s="595"/>
      <c r="F1956" s="607" t="s">
        <v>1179</v>
      </c>
      <c r="G1956" s="597">
        <v>20.0</v>
      </c>
      <c r="H1956" s="689">
        <f t="shared" si="111"/>
        <v>42500</v>
      </c>
      <c r="I1956" s="599"/>
      <c r="J1956" s="599"/>
      <c r="K1956" s="672" t="s">
        <v>51</v>
      </c>
      <c r="L1956" s="615" t="s">
        <v>944</v>
      </c>
      <c r="M1956" s="612" t="s">
        <v>1265</v>
      </c>
      <c r="N1956" s="612">
        <v>412.0</v>
      </c>
      <c r="O1956" s="668">
        <v>45979.0</v>
      </c>
      <c r="P1956" s="706"/>
      <c r="Q1956" s="613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</row>
    <row r="1957" ht="22.5" customHeight="1">
      <c r="A1957" s="721"/>
      <c r="B1957" s="137" t="s">
        <v>2256</v>
      </c>
      <c r="C1957" s="609"/>
      <c r="D1957" s="610">
        <v>38258.64</v>
      </c>
      <c r="E1957" s="595"/>
      <c r="F1957" s="607" t="s">
        <v>1179</v>
      </c>
      <c r="G1957" s="597">
        <v>20.0</v>
      </c>
      <c r="H1957" s="689">
        <f t="shared" si="111"/>
        <v>6376.44</v>
      </c>
      <c r="I1957" s="599"/>
      <c r="J1957" s="599"/>
      <c r="K1957" s="615" t="s">
        <v>101</v>
      </c>
      <c r="L1957" s="711" t="s">
        <v>1498</v>
      </c>
      <c r="M1957" s="621"/>
      <c r="N1957" s="621"/>
      <c r="O1957" s="621"/>
      <c r="P1957" s="706"/>
      <c r="Q1957" s="682" t="s">
        <v>1499</v>
      </c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</row>
    <row r="1958" ht="22.5" customHeight="1">
      <c r="A1958" s="721"/>
      <c r="B1958" s="137" t="s">
        <v>2256</v>
      </c>
      <c r="C1958" s="609"/>
      <c r="D1958" s="610">
        <v>719197.44</v>
      </c>
      <c r="E1958" s="595"/>
      <c r="F1958" s="607" t="s">
        <v>1179</v>
      </c>
      <c r="G1958" s="597">
        <v>20.0</v>
      </c>
      <c r="H1958" s="689">
        <f t="shared" si="111"/>
        <v>119866.24</v>
      </c>
      <c r="I1958" s="599"/>
      <c r="J1958" s="599"/>
      <c r="K1958" s="615" t="s">
        <v>2237</v>
      </c>
      <c r="L1958" s="671" t="s">
        <v>228</v>
      </c>
      <c r="M1958" s="621"/>
      <c r="N1958" s="621"/>
      <c r="O1958" s="621"/>
      <c r="P1958" s="706"/>
      <c r="Q1958" s="682" t="s">
        <v>1444</v>
      </c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</row>
    <row r="1959" ht="22.5" customHeight="1">
      <c r="A1959" s="614"/>
      <c r="B1959" s="137" t="s">
        <v>2256</v>
      </c>
      <c r="C1959" s="609"/>
      <c r="D1959" s="610">
        <v>139832.0</v>
      </c>
      <c r="E1959" s="595"/>
      <c r="F1959" s="627" t="s">
        <v>1160</v>
      </c>
      <c r="G1959" s="597">
        <v>0.0</v>
      </c>
      <c r="H1959" s="689">
        <f t="shared" si="111"/>
        <v>0</v>
      </c>
      <c r="I1959" s="599"/>
      <c r="J1959" s="599"/>
      <c r="K1959" s="615" t="s">
        <v>322</v>
      </c>
      <c r="L1959" s="615" t="s">
        <v>1188</v>
      </c>
      <c r="M1959" s="621"/>
      <c r="N1959" s="621"/>
      <c r="O1959" s="621"/>
      <c r="P1959" s="706"/>
      <c r="Q1959" s="682" t="s">
        <v>1847</v>
      </c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</row>
    <row r="1960" ht="22.5" customHeight="1">
      <c r="A1960" s="721"/>
      <c r="B1960" s="137" t="s">
        <v>2256</v>
      </c>
      <c r="C1960" s="609"/>
      <c r="D1960" s="610">
        <v>1348740.56</v>
      </c>
      <c r="E1960" s="595"/>
      <c r="F1960" s="607" t="s">
        <v>1179</v>
      </c>
      <c r="G1960" s="597">
        <v>20.0</v>
      </c>
      <c r="H1960" s="689">
        <f t="shared" si="111"/>
        <v>224790.0933</v>
      </c>
      <c r="I1960" s="599"/>
      <c r="J1960" s="599"/>
      <c r="K1960" s="615" t="s">
        <v>2237</v>
      </c>
      <c r="L1960" s="671" t="s">
        <v>228</v>
      </c>
      <c r="M1960" s="621"/>
      <c r="N1960" s="621"/>
      <c r="O1960" s="621"/>
      <c r="P1960" s="706"/>
      <c r="Q1960" s="682" t="s">
        <v>1583</v>
      </c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</row>
    <row r="1961" ht="22.5" customHeight="1">
      <c r="A1961" s="614"/>
      <c r="B1961" s="137" t="s">
        <v>2258</v>
      </c>
      <c r="C1961" s="610">
        <v>515604.84</v>
      </c>
      <c r="D1961" s="609"/>
      <c r="E1961" s="595"/>
      <c r="F1961" s="607" t="s">
        <v>1179</v>
      </c>
      <c r="G1961" s="597">
        <v>20.0</v>
      </c>
      <c r="H1961" s="689">
        <f t="shared" si="111"/>
        <v>85934.14</v>
      </c>
      <c r="I1961" s="599"/>
      <c r="J1961" s="599"/>
      <c r="K1961" s="615" t="s">
        <v>108</v>
      </c>
      <c r="L1961" s="615" t="s">
        <v>1014</v>
      </c>
      <c r="M1961" s="612" t="s">
        <v>2263</v>
      </c>
      <c r="N1961" s="612">
        <v>413.0</v>
      </c>
      <c r="O1961" s="668">
        <v>45986.0</v>
      </c>
      <c r="P1961" s="706"/>
      <c r="Q1961" s="622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</row>
    <row r="1962" ht="22.5" customHeight="1">
      <c r="A1962" s="614"/>
      <c r="B1962" s="137" t="s">
        <v>2258</v>
      </c>
      <c r="C1962" s="610">
        <v>120000.0</v>
      </c>
      <c r="D1962" s="609"/>
      <c r="E1962" s="595"/>
      <c r="F1962" s="607" t="s">
        <v>1179</v>
      </c>
      <c r="G1962" s="597">
        <v>20.0</v>
      </c>
      <c r="H1962" s="689">
        <f t="shared" si="111"/>
        <v>20000</v>
      </c>
      <c r="I1962" s="599"/>
      <c r="J1962" s="599"/>
      <c r="K1962" s="672" t="s">
        <v>51</v>
      </c>
      <c r="L1962" s="615" t="s">
        <v>675</v>
      </c>
      <c r="M1962" s="612" t="s">
        <v>801</v>
      </c>
      <c r="N1962" s="612">
        <v>414.0</v>
      </c>
      <c r="O1962" s="668">
        <v>45987.0</v>
      </c>
      <c r="P1962" s="706"/>
      <c r="Q1962" s="622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</row>
    <row r="1963" ht="22.5" customHeight="1">
      <c r="A1963" s="614"/>
      <c r="B1963" s="137" t="s">
        <v>2258</v>
      </c>
      <c r="C1963" s="610">
        <v>294000.0</v>
      </c>
      <c r="D1963" s="609"/>
      <c r="E1963" s="595"/>
      <c r="F1963" s="607" t="s">
        <v>608</v>
      </c>
      <c r="G1963" s="597">
        <v>20.0</v>
      </c>
      <c r="H1963" s="689">
        <f t="shared" si="111"/>
        <v>49000</v>
      </c>
      <c r="I1963" s="599"/>
      <c r="J1963" s="599"/>
      <c r="K1963" s="672" t="s">
        <v>51</v>
      </c>
      <c r="L1963" s="615" t="s">
        <v>657</v>
      </c>
      <c r="M1963" s="612" t="s">
        <v>1093</v>
      </c>
      <c r="N1963" s="612">
        <v>415.0</v>
      </c>
      <c r="O1963" s="668">
        <v>45987.0</v>
      </c>
      <c r="P1963" s="706"/>
      <c r="Q1963" s="622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</row>
    <row r="1964" ht="22.5" customHeight="1">
      <c r="A1964" s="614"/>
      <c r="B1964" s="137" t="s">
        <v>2256</v>
      </c>
      <c r="C1964" s="609"/>
      <c r="D1964" s="610">
        <v>2100.0</v>
      </c>
      <c r="E1964" s="595"/>
      <c r="F1964" s="607" t="s">
        <v>604</v>
      </c>
      <c r="G1964" s="597">
        <v>5.0</v>
      </c>
      <c r="H1964" s="689">
        <f t="shared" si="111"/>
        <v>100</v>
      </c>
      <c r="I1964" s="599"/>
      <c r="J1964" s="599"/>
      <c r="K1964" s="615" t="s">
        <v>494</v>
      </c>
      <c r="L1964" s="615" t="s">
        <v>1419</v>
      </c>
      <c r="M1964" s="621"/>
      <c r="N1964" s="621"/>
      <c r="O1964" s="621"/>
      <c r="P1964" s="706"/>
      <c r="Q1964" s="682" t="s">
        <v>1420</v>
      </c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</row>
    <row r="1965" ht="22.5" customHeight="1">
      <c r="A1965" s="614"/>
      <c r="B1965" s="137" t="s">
        <v>2256</v>
      </c>
      <c r="C1965" s="609"/>
      <c r="D1965" s="610">
        <v>22513.4</v>
      </c>
      <c r="E1965" s="595"/>
      <c r="F1965" s="607" t="s">
        <v>604</v>
      </c>
      <c r="G1965" s="597">
        <v>5.0</v>
      </c>
      <c r="H1965" s="689">
        <f t="shared" si="111"/>
        <v>1072.066667</v>
      </c>
      <c r="I1965" s="599"/>
      <c r="J1965" s="599"/>
      <c r="K1965" s="615" t="s">
        <v>494</v>
      </c>
      <c r="L1965" s="615" t="s">
        <v>1419</v>
      </c>
      <c r="M1965" s="621"/>
      <c r="N1965" s="621"/>
      <c r="O1965" s="621"/>
      <c r="P1965" s="706"/>
      <c r="Q1965" s="682" t="s">
        <v>1421</v>
      </c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</row>
    <row r="1966" ht="22.5" customHeight="1">
      <c r="A1966" s="614"/>
      <c r="B1966" s="137" t="s">
        <v>2256</v>
      </c>
      <c r="C1966" s="609"/>
      <c r="D1966" s="610">
        <v>3410.42</v>
      </c>
      <c r="E1966" s="595"/>
      <c r="F1966" s="607" t="s">
        <v>608</v>
      </c>
      <c r="G1966" s="597">
        <v>20.0</v>
      </c>
      <c r="H1966" s="689">
        <f t="shared" si="111"/>
        <v>568.4033333</v>
      </c>
      <c r="I1966" s="599"/>
      <c r="J1966" s="599"/>
      <c r="K1966" s="615" t="s">
        <v>2237</v>
      </c>
      <c r="L1966" s="615" t="s">
        <v>1575</v>
      </c>
      <c r="M1966" s="621"/>
      <c r="N1966" s="621"/>
      <c r="O1966" s="621"/>
      <c r="P1966" s="706"/>
      <c r="Q1966" s="682" t="s">
        <v>1576</v>
      </c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</row>
    <row r="1967" ht="22.5" customHeight="1">
      <c r="A1967" s="614"/>
      <c r="B1967" s="137" t="s">
        <v>2256</v>
      </c>
      <c r="C1967" s="609"/>
      <c r="D1967" s="610">
        <v>10687.92</v>
      </c>
      <c r="E1967" s="595"/>
      <c r="F1967" s="607" t="s">
        <v>1179</v>
      </c>
      <c r="G1967" s="597">
        <v>0.0</v>
      </c>
      <c r="H1967" s="689">
        <f t="shared" si="111"/>
        <v>0</v>
      </c>
      <c r="I1967" s="599"/>
      <c r="J1967" s="599"/>
      <c r="K1967" s="615" t="s">
        <v>494</v>
      </c>
      <c r="L1967" s="615" t="s">
        <v>1419</v>
      </c>
      <c r="M1967" s="621"/>
      <c r="N1967" s="621"/>
      <c r="O1967" s="621"/>
      <c r="P1967" s="706"/>
      <c r="Q1967" s="682" t="s">
        <v>1422</v>
      </c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</row>
    <row r="1968" ht="22.5" customHeight="1">
      <c r="A1968" s="614"/>
      <c r="B1968" s="137" t="s">
        <v>2256</v>
      </c>
      <c r="C1968" s="609"/>
      <c r="D1968" s="610">
        <v>360000.0</v>
      </c>
      <c r="E1968" s="595"/>
      <c r="F1968" s="607" t="s">
        <v>608</v>
      </c>
      <c r="G1968" s="597">
        <v>20.0</v>
      </c>
      <c r="H1968" s="689">
        <f t="shared" si="111"/>
        <v>60000</v>
      </c>
      <c r="I1968" s="599"/>
      <c r="J1968" s="599"/>
      <c r="K1968" s="615" t="s">
        <v>2237</v>
      </c>
      <c r="L1968" s="615" t="s">
        <v>609</v>
      </c>
      <c r="M1968" s="621"/>
      <c r="N1968" s="621"/>
      <c r="O1968" s="621"/>
      <c r="P1968" s="706"/>
      <c r="Q1968" s="682" t="s">
        <v>610</v>
      </c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</row>
    <row r="1969" ht="22.5" customHeight="1">
      <c r="A1969" s="614"/>
      <c r="B1969" s="137" t="s">
        <v>2256</v>
      </c>
      <c r="C1969" s="609"/>
      <c r="D1969" s="610">
        <v>144000.0</v>
      </c>
      <c r="E1969" s="595"/>
      <c r="F1969" s="607" t="s">
        <v>608</v>
      </c>
      <c r="G1969" s="597">
        <v>20.0</v>
      </c>
      <c r="H1969" s="689">
        <f t="shared" si="111"/>
        <v>24000</v>
      </c>
      <c r="I1969" s="599"/>
      <c r="J1969" s="599"/>
      <c r="K1969" s="615" t="s">
        <v>101</v>
      </c>
      <c r="L1969" s="698" t="s">
        <v>1045</v>
      </c>
      <c r="M1969" s="621"/>
      <c r="N1969" s="621"/>
      <c r="O1969" s="621"/>
      <c r="P1969" s="706"/>
      <c r="Q1969" s="682" t="s">
        <v>1536</v>
      </c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</row>
    <row r="1970" ht="22.5" customHeight="1">
      <c r="A1970" s="614"/>
      <c r="B1970" s="137" t="s">
        <v>2256</v>
      </c>
      <c r="C1970" s="609"/>
      <c r="D1970" s="610">
        <v>107520.0</v>
      </c>
      <c r="E1970" s="595"/>
      <c r="F1970" s="607" t="s">
        <v>608</v>
      </c>
      <c r="G1970" s="597">
        <v>20.0</v>
      </c>
      <c r="H1970" s="689">
        <f t="shared" si="111"/>
        <v>17920</v>
      </c>
      <c r="I1970" s="599"/>
      <c r="J1970" s="599"/>
      <c r="K1970" s="615" t="s">
        <v>101</v>
      </c>
      <c r="L1970" s="698" t="s">
        <v>1045</v>
      </c>
      <c r="M1970" s="621"/>
      <c r="N1970" s="621"/>
      <c r="O1970" s="621"/>
      <c r="P1970" s="706"/>
      <c r="Q1970" s="682" t="s">
        <v>1537</v>
      </c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</row>
    <row r="1971" ht="22.5" customHeight="1">
      <c r="A1971" s="614"/>
      <c r="B1971" s="137" t="s">
        <v>2256</v>
      </c>
      <c r="C1971" s="609"/>
      <c r="D1971" s="610">
        <v>170666.66</v>
      </c>
      <c r="E1971" s="595"/>
      <c r="F1971" s="607" t="s">
        <v>608</v>
      </c>
      <c r="G1971" s="597">
        <v>20.0</v>
      </c>
      <c r="H1971" s="689">
        <f t="shared" si="111"/>
        <v>28444.44333</v>
      </c>
      <c r="I1971" s="599"/>
      <c r="J1971" s="599"/>
      <c r="K1971" s="615" t="s">
        <v>101</v>
      </c>
      <c r="L1971" s="698" t="s">
        <v>1045</v>
      </c>
      <c r="M1971" s="621"/>
      <c r="N1971" s="621"/>
      <c r="O1971" s="621"/>
      <c r="P1971" s="706"/>
      <c r="Q1971" s="682" t="s">
        <v>1538</v>
      </c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</row>
    <row r="1972" ht="22.5" customHeight="1">
      <c r="A1972" s="614"/>
      <c r="B1972" s="137" t="s">
        <v>2256</v>
      </c>
      <c r="C1972" s="609"/>
      <c r="D1972" s="610">
        <v>73115.53</v>
      </c>
      <c r="E1972" s="595"/>
      <c r="F1972" s="607" t="s">
        <v>608</v>
      </c>
      <c r="G1972" s="597">
        <v>20.0</v>
      </c>
      <c r="H1972" s="689">
        <f t="shared" si="111"/>
        <v>12185.92167</v>
      </c>
      <c r="I1972" s="599"/>
      <c r="J1972" s="599"/>
      <c r="K1972" s="615" t="s">
        <v>101</v>
      </c>
      <c r="L1972" s="698" t="s">
        <v>1045</v>
      </c>
      <c r="M1972" s="621"/>
      <c r="N1972" s="621"/>
      <c r="O1972" s="621"/>
      <c r="P1972" s="706"/>
      <c r="Q1972" s="682" t="s">
        <v>1539</v>
      </c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</row>
    <row r="1973" ht="22.5" customHeight="1">
      <c r="A1973" s="614"/>
      <c r="B1973" s="137" t="s">
        <v>2256</v>
      </c>
      <c r="C1973" s="609"/>
      <c r="D1973" s="610">
        <v>213333.5</v>
      </c>
      <c r="E1973" s="595"/>
      <c r="F1973" s="607" t="s">
        <v>608</v>
      </c>
      <c r="G1973" s="597">
        <v>20.0</v>
      </c>
      <c r="H1973" s="689">
        <f t="shared" si="111"/>
        <v>35555.58333</v>
      </c>
      <c r="I1973" s="599"/>
      <c r="J1973" s="599"/>
      <c r="K1973" s="615" t="s">
        <v>101</v>
      </c>
      <c r="L1973" s="698" t="s">
        <v>1045</v>
      </c>
      <c r="M1973" s="621"/>
      <c r="N1973" s="621"/>
      <c r="O1973" s="621"/>
      <c r="P1973" s="706"/>
      <c r="Q1973" s="682" t="s">
        <v>1540</v>
      </c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</row>
    <row r="1974" ht="22.5" customHeight="1">
      <c r="A1974" s="614"/>
      <c r="B1974" s="137" t="s">
        <v>2256</v>
      </c>
      <c r="C1974" s="609"/>
      <c r="D1974" s="610">
        <v>382720.0</v>
      </c>
      <c r="E1974" s="595"/>
      <c r="F1974" s="607" t="s">
        <v>608</v>
      </c>
      <c r="G1974" s="597">
        <v>20.0</v>
      </c>
      <c r="H1974" s="689">
        <f t="shared" si="111"/>
        <v>63786.66667</v>
      </c>
      <c r="I1974" s="599"/>
      <c r="J1974" s="599"/>
      <c r="K1974" s="615" t="s">
        <v>101</v>
      </c>
      <c r="L1974" s="698" t="s">
        <v>1045</v>
      </c>
      <c r="M1974" s="621"/>
      <c r="N1974" s="621"/>
      <c r="O1974" s="621"/>
      <c r="P1974" s="706"/>
      <c r="Q1974" s="682" t="s">
        <v>1541</v>
      </c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</row>
    <row r="1975" ht="22.5" customHeight="1">
      <c r="A1975" s="614"/>
      <c r="B1975" s="137" t="s">
        <v>2256</v>
      </c>
      <c r="C1975" s="609"/>
      <c r="D1975" s="610">
        <v>40029.96</v>
      </c>
      <c r="E1975" s="595"/>
      <c r="F1975" s="607" t="s">
        <v>608</v>
      </c>
      <c r="G1975" s="597">
        <v>20.0</v>
      </c>
      <c r="H1975" s="689">
        <f t="shared" si="111"/>
        <v>6671.66</v>
      </c>
      <c r="I1975" s="599"/>
      <c r="J1975" s="599"/>
      <c r="K1975" s="615" t="s">
        <v>101</v>
      </c>
      <c r="L1975" s="711" t="s">
        <v>1498</v>
      </c>
      <c r="M1975" s="621"/>
      <c r="N1975" s="621"/>
      <c r="O1975" s="621"/>
      <c r="P1975" s="706"/>
      <c r="Q1975" s="682" t="s">
        <v>1564</v>
      </c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</row>
    <row r="1976" ht="22.5" customHeight="1">
      <c r="A1976" s="614"/>
      <c r="B1976" s="137" t="s">
        <v>2256</v>
      </c>
      <c r="C1976" s="609"/>
      <c r="D1976" s="610" t="s">
        <v>2264</v>
      </c>
      <c r="E1976" s="595"/>
      <c r="F1976" s="607" t="s">
        <v>608</v>
      </c>
      <c r="G1976" s="597">
        <v>20.0</v>
      </c>
      <c r="H1976" s="689">
        <f t="shared" si="111"/>
        <v>0</v>
      </c>
      <c r="I1976" s="599"/>
      <c r="J1976" s="599"/>
      <c r="K1976" s="615" t="s">
        <v>101</v>
      </c>
      <c r="L1976" s="698" t="s">
        <v>670</v>
      </c>
      <c r="M1976" s="621"/>
      <c r="N1976" s="621"/>
      <c r="O1976" s="621"/>
      <c r="P1976" s="706"/>
      <c r="Q1976" s="682" t="s">
        <v>1566</v>
      </c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</row>
    <row r="1977" ht="22.5" customHeight="1">
      <c r="A1977" s="614"/>
      <c r="B1977" s="137" t="s">
        <v>2256</v>
      </c>
      <c r="C1977" s="609"/>
      <c r="D1977" s="610">
        <v>98477.16</v>
      </c>
      <c r="E1977" s="595"/>
      <c r="F1977" s="607" t="s">
        <v>608</v>
      </c>
      <c r="G1977" s="597">
        <v>20.0</v>
      </c>
      <c r="H1977" s="689">
        <f t="shared" si="111"/>
        <v>16412.86</v>
      </c>
      <c r="I1977" s="599"/>
      <c r="J1977" s="599"/>
      <c r="K1977" s="615" t="s">
        <v>101</v>
      </c>
      <c r="L1977" s="711" t="s">
        <v>1477</v>
      </c>
      <c r="M1977" s="621"/>
      <c r="N1977" s="621"/>
      <c r="O1977" s="621"/>
      <c r="P1977" s="706"/>
      <c r="Q1977" s="682" t="s">
        <v>1565</v>
      </c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</row>
    <row r="1978" ht="22.5" customHeight="1">
      <c r="A1978" s="614"/>
      <c r="B1978" s="137" t="s">
        <v>2256</v>
      </c>
      <c r="C1978" s="609"/>
      <c r="D1978" s="610">
        <v>157950.0</v>
      </c>
      <c r="E1978" s="595"/>
      <c r="F1978" s="607" t="s">
        <v>608</v>
      </c>
      <c r="G1978" s="597">
        <v>0.0</v>
      </c>
      <c r="H1978" s="689">
        <f t="shared" si="111"/>
        <v>0</v>
      </c>
      <c r="I1978" s="599"/>
      <c r="J1978" s="599"/>
      <c r="K1978" s="615" t="s">
        <v>286</v>
      </c>
      <c r="L1978" s="615" t="s">
        <v>454</v>
      </c>
      <c r="M1978" s="621"/>
      <c r="N1978" s="621"/>
      <c r="O1978" s="621"/>
      <c r="P1978" s="706"/>
      <c r="Q1978" s="682" t="s">
        <v>1545</v>
      </c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</row>
    <row r="1979" ht="22.5" customHeight="1">
      <c r="A1979" s="614"/>
      <c r="B1979" s="137" t="s">
        <v>2256</v>
      </c>
      <c r="C1979" s="609"/>
      <c r="D1979" s="610">
        <v>651084.16</v>
      </c>
      <c r="E1979" s="595"/>
      <c r="F1979" s="607" t="s">
        <v>608</v>
      </c>
      <c r="G1979" s="597">
        <v>20.0</v>
      </c>
      <c r="H1979" s="689">
        <f t="shared" si="111"/>
        <v>108514.0267</v>
      </c>
      <c r="I1979" s="599"/>
      <c r="J1979" s="599"/>
      <c r="K1979" s="615" t="s">
        <v>101</v>
      </c>
      <c r="L1979" s="698" t="s">
        <v>1284</v>
      </c>
      <c r="M1979" s="621"/>
      <c r="N1979" s="621"/>
      <c r="O1979" s="621"/>
      <c r="P1979" s="706"/>
      <c r="Q1979" s="682" t="s">
        <v>1579</v>
      </c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</row>
    <row r="1980" ht="22.5" customHeight="1">
      <c r="A1980" s="614"/>
      <c r="B1980" s="137" t="s">
        <v>2256</v>
      </c>
      <c r="C1980" s="609"/>
      <c r="D1980" s="610">
        <v>365032.78</v>
      </c>
      <c r="E1980" s="595"/>
      <c r="F1980" s="607" t="s">
        <v>608</v>
      </c>
      <c r="G1980" s="597">
        <v>20.0</v>
      </c>
      <c r="H1980" s="689">
        <f t="shared" si="111"/>
        <v>60838.79667</v>
      </c>
      <c r="I1980" s="599"/>
      <c r="J1980" s="599"/>
      <c r="K1980" s="615" t="s">
        <v>44</v>
      </c>
      <c r="L1980" s="615" t="s">
        <v>134</v>
      </c>
      <c r="M1980" s="621"/>
      <c r="N1980" s="621"/>
      <c r="O1980" s="621"/>
      <c r="P1980" s="706"/>
      <c r="Q1980" s="682" t="s">
        <v>1546</v>
      </c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</row>
    <row r="1981" ht="22.5" customHeight="1">
      <c r="A1981" s="614"/>
      <c r="B1981" s="137" t="s">
        <v>2256</v>
      </c>
      <c r="C1981" s="609"/>
      <c r="D1981" s="610">
        <v>1491002.56</v>
      </c>
      <c r="E1981" s="595"/>
      <c r="F1981" s="607" t="s">
        <v>608</v>
      </c>
      <c r="G1981" s="597">
        <v>20.0</v>
      </c>
      <c r="H1981" s="689">
        <f t="shared" si="111"/>
        <v>248500.4267</v>
      </c>
      <c r="I1981" s="599"/>
      <c r="J1981" s="599"/>
      <c r="K1981" s="615" t="s">
        <v>101</v>
      </c>
      <c r="L1981" s="698" t="s">
        <v>597</v>
      </c>
      <c r="M1981" s="621"/>
      <c r="N1981" s="621"/>
      <c r="O1981" s="621"/>
      <c r="P1981" s="706"/>
      <c r="Q1981" s="682" t="s">
        <v>1542</v>
      </c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</row>
    <row r="1982" ht="22.5" customHeight="1">
      <c r="A1982" s="614"/>
      <c r="B1982" s="137" t="s">
        <v>2256</v>
      </c>
      <c r="C1982" s="609"/>
      <c r="D1982" s="610">
        <v>437821.36</v>
      </c>
      <c r="E1982" s="595"/>
      <c r="F1982" s="607" t="s">
        <v>608</v>
      </c>
      <c r="G1982" s="597">
        <v>20.0</v>
      </c>
      <c r="H1982" s="689">
        <f t="shared" si="111"/>
        <v>72970.22667</v>
      </c>
      <c r="I1982" s="599"/>
      <c r="J1982" s="599"/>
      <c r="K1982" s="615" t="s">
        <v>101</v>
      </c>
      <c r="L1982" s="698" t="s">
        <v>643</v>
      </c>
      <c r="M1982" s="621"/>
      <c r="N1982" s="621"/>
      <c r="O1982" s="621"/>
      <c r="P1982" s="706"/>
      <c r="Q1982" s="682" t="s">
        <v>1543</v>
      </c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</row>
    <row r="1983" ht="22.5" customHeight="1">
      <c r="A1983" s="614"/>
      <c r="B1983" s="137" t="s">
        <v>2256</v>
      </c>
      <c r="C1983" s="609"/>
      <c r="D1983" s="610">
        <v>104102.25</v>
      </c>
      <c r="E1983" s="595"/>
      <c r="F1983" s="607" t="s">
        <v>608</v>
      </c>
      <c r="G1983" s="597">
        <v>20.0</v>
      </c>
      <c r="H1983" s="689">
        <f t="shared" si="111"/>
        <v>17350.375</v>
      </c>
      <c r="I1983" s="599"/>
      <c r="J1983" s="599"/>
      <c r="K1983" s="615" t="s">
        <v>101</v>
      </c>
      <c r="L1983" s="698" t="s">
        <v>1032</v>
      </c>
      <c r="M1983" s="621"/>
      <c r="N1983" s="621"/>
      <c r="O1983" s="621"/>
      <c r="P1983" s="706"/>
      <c r="Q1983" s="682" t="s">
        <v>1567</v>
      </c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</row>
    <row r="1984" ht="22.5" customHeight="1">
      <c r="A1984" s="614"/>
      <c r="B1984" s="137" t="s">
        <v>2256</v>
      </c>
      <c r="C1984" s="609"/>
      <c r="D1984" s="610">
        <v>1199223.01</v>
      </c>
      <c r="E1984" s="595"/>
      <c r="F1984" s="607" t="s">
        <v>608</v>
      </c>
      <c r="G1984" s="597">
        <v>20.0</v>
      </c>
      <c r="H1984" s="689">
        <f t="shared" si="111"/>
        <v>199870.5017</v>
      </c>
      <c r="I1984" s="599"/>
      <c r="J1984" s="599"/>
      <c r="K1984" s="615" t="s">
        <v>101</v>
      </c>
      <c r="L1984" s="698" t="s">
        <v>1280</v>
      </c>
      <c r="M1984" s="621"/>
      <c r="N1984" s="621"/>
      <c r="O1984" s="621"/>
      <c r="P1984" s="706"/>
      <c r="Q1984" s="682" t="s">
        <v>1550</v>
      </c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</row>
    <row r="1985" ht="22.5" customHeight="1">
      <c r="A1985" s="614"/>
      <c r="B1985" s="137" t="s">
        <v>2256</v>
      </c>
      <c r="C1985" s="609"/>
      <c r="D1985" s="610">
        <v>600.0</v>
      </c>
      <c r="E1985" s="595"/>
      <c r="F1985" s="607" t="s">
        <v>608</v>
      </c>
      <c r="G1985" s="597">
        <v>20.0</v>
      </c>
      <c r="H1985" s="689">
        <f t="shared" si="111"/>
        <v>100</v>
      </c>
      <c r="I1985" s="599"/>
      <c r="J1985" s="599"/>
      <c r="K1985" s="615" t="s">
        <v>2237</v>
      </c>
      <c r="L1985" s="615" t="s">
        <v>942</v>
      </c>
      <c r="M1985" s="621"/>
      <c r="N1985" s="621"/>
      <c r="O1985" s="621"/>
      <c r="P1985" s="706"/>
      <c r="Q1985" s="682" t="s">
        <v>1423</v>
      </c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</row>
    <row r="1986" ht="22.5" customHeight="1">
      <c r="A1986" s="614"/>
      <c r="B1986" s="137" t="s">
        <v>2256</v>
      </c>
      <c r="C1986" s="609"/>
      <c r="D1986" s="610">
        <v>189269.96</v>
      </c>
      <c r="E1986" s="595"/>
      <c r="F1986" s="607" t="s">
        <v>608</v>
      </c>
      <c r="G1986" s="597">
        <v>20.0</v>
      </c>
      <c r="H1986" s="689">
        <f t="shared" si="111"/>
        <v>31544.99333</v>
      </c>
      <c r="I1986" s="599"/>
      <c r="J1986" s="599"/>
      <c r="K1986" s="615" t="s">
        <v>2237</v>
      </c>
      <c r="L1986" s="615" t="s">
        <v>1335</v>
      </c>
      <c r="M1986" s="621"/>
      <c r="N1986" s="621"/>
      <c r="O1986" s="621"/>
      <c r="P1986" s="706"/>
      <c r="Q1986" s="622"/>
      <c r="R1986" s="36"/>
      <c r="S1986" s="36"/>
      <c r="T1986" s="36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</row>
    <row r="1987" ht="22.5" customHeight="1">
      <c r="A1987" s="614"/>
      <c r="B1987" s="137" t="s">
        <v>2256</v>
      </c>
      <c r="C1987" s="609"/>
      <c r="D1987" s="610">
        <v>20400.0</v>
      </c>
      <c r="E1987" s="595"/>
      <c r="F1987" s="607" t="s">
        <v>604</v>
      </c>
      <c r="G1987" s="597">
        <v>0.0</v>
      </c>
      <c r="H1987" s="689">
        <f t="shared" si="111"/>
        <v>0</v>
      </c>
      <c r="I1987" s="599"/>
      <c r="J1987" s="599"/>
      <c r="K1987" s="615" t="s">
        <v>494</v>
      </c>
      <c r="L1987" s="615" t="s">
        <v>910</v>
      </c>
      <c r="M1987" s="621"/>
      <c r="N1987" s="621"/>
      <c r="O1987" s="621"/>
      <c r="P1987" s="706"/>
      <c r="Q1987" s="682" t="s">
        <v>1424</v>
      </c>
      <c r="R1987" s="36"/>
      <c r="S1987" s="36"/>
      <c r="T1987" s="36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</row>
    <row r="1988" ht="22.5" customHeight="1">
      <c r="A1988" s="614"/>
      <c r="B1988" s="137" t="s">
        <v>2258</v>
      </c>
      <c r="C1988" s="610">
        <v>1050000.0</v>
      </c>
      <c r="D1988" s="610"/>
      <c r="E1988" s="595"/>
      <c r="F1988" s="607" t="s">
        <v>608</v>
      </c>
      <c r="G1988" s="597">
        <v>20.0</v>
      </c>
      <c r="H1988" s="689">
        <f t="shared" si="111"/>
        <v>175000</v>
      </c>
      <c r="I1988" s="599"/>
      <c r="J1988" s="599"/>
      <c r="K1988" s="672" t="s">
        <v>51</v>
      </c>
      <c r="L1988" s="615" t="s">
        <v>605</v>
      </c>
      <c r="M1988" s="612" t="s">
        <v>753</v>
      </c>
      <c r="N1988" s="612">
        <v>416.0</v>
      </c>
      <c r="O1988" s="662">
        <v>45995.0</v>
      </c>
      <c r="P1988" s="706"/>
      <c r="Q1988" s="622"/>
      <c r="R1988" s="36"/>
      <c r="S1988" s="36"/>
      <c r="T1988" s="36"/>
      <c r="U1988" s="36"/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</row>
    <row r="1989" ht="22.5" customHeight="1">
      <c r="A1989" s="614"/>
      <c r="B1989" s="137" t="s">
        <v>2258</v>
      </c>
      <c r="C1989" s="610">
        <v>600000.24</v>
      </c>
      <c r="D1989" s="610"/>
      <c r="E1989" s="595"/>
      <c r="F1989" s="607" t="s">
        <v>608</v>
      </c>
      <c r="G1989" s="597">
        <v>20.0</v>
      </c>
      <c r="H1989" s="689">
        <f t="shared" si="111"/>
        <v>100000.04</v>
      </c>
      <c r="I1989" s="599"/>
      <c r="J1989" s="599"/>
      <c r="K1989" s="672" t="s">
        <v>51</v>
      </c>
      <c r="L1989" s="615" t="s">
        <v>1271</v>
      </c>
      <c r="M1989" s="612" t="s">
        <v>830</v>
      </c>
      <c r="N1989" s="612">
        <v>417.0</v>
      </c>
      <c r="O1989" s="662">
        <v>45995.0</v>
      </c>
      <c r="P1989" s="706"/>
      <c r="Q1989" s="622"/>
      <c r="R1989" s="36"/>
      <c r="S1989" s="36"/>
      <c r="T1989" s="36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</row>
    <row r="1990" ht="22.5" customHeight="1">
      <c r="A1990" s="614"/>
      <c r="B1990" s="137" t="s">
        <v>2258</v>
      </c>
      <c r="C1990" s="610">
        <v>2714635.56</v>
      </c>
      <c r="D1990" s="610"/>
      <c r="E1990" s="595"/>
      <c r="F1990" s="607" t="s">
        <v>608</v>
      </c>
      <c r="G1990" s="597">
        <v>20.0</v>
      </c>
      <c r="H1990" s="689">
        <f t="shared" si="111"/>
        <v>452439.26</v>
      </c>
      <c r="I1990" s="599"/>
      <c r="J1990" s="599"/>
      <c r="K1990" s="672" t="s">
        <v>51</v>
      </c>
      <c r="L1990" s="615" t="s">
        <v>1271</v>
      </c>
      <c r="M1990" s="612" t="s">
        <v>805</v>
      </c>
      <c r="N1990" s="612">
        <v>418.0</v>
      </c>
      <c r="O1990" s="662">
        <v>45995.0</v>
      </c>
      <c r="P1990" s="706"/>
      <c r="Q1990" s="622"/>
      <c r="R1990" s="36"/>
      <c r="S1990" s="36"/>
      <c r="T1990" s="36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</row>
    <row r="1991" ht="22.5" customHeight="1">
      <c r="A1991" s="614"/>
      <c r="B1991" s="137" t="s">
        <v>2258</v>
      </c>
      <c r="C1991" s="610">
        <v>1531799.64</v>
      </c>
      <c r="D1991" s="610"/>
      <c r="E1991" s="595"/>
      <c r="F1991" s="607" t="s">
        <v>608</v>
      </c>
      <c r="G1991" s="597">
        <v>20.0</v>
      </c>
      <c r="H1991" s="689">
        <f t="shared" si="111"/>
        <v>255299.94</v>
      </c>
      <c r="I1991" s="599"/>
      <c r="J1991" s="599"/>
      <c r="K1991" s="672" t="s">
        <v>51</v>
      </c>
      <c r="L1991" s="615" t="s">
        <v>1271</v>
      </c>
      <c r="M1991" s="612" t="s">
        <v>829</v>
      </c>
      <c r="N1991" s="612">
        <v>419.0</v>
      </c>
      <c r="O1991" s="662">
        <v>45995.0</v>
      </c>
      <c r="P1991" s="706"/>
      <c r="Q1991" s="622"/>
      <c r="R1991" s="36"/>
      <c r="S1991" s="36"/>
      <c r="T1991" s="36"/>
      <c r="U1991" s="36"/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</row>
    <row r="1992" ht="22.5" customHeight="1">
      <c r="A1992" s="614"/>
      <c r="B1992" s="137" t="s">
        <v>2258</v>
      </c>
      <c r="C1992" s="610">
        <v>688800.0</v>
      </c>
      <c r="D1992" s="610"/>
      <c r="E1992" s="595"/>
      <c r="F1992" s="607" t="s">
        <v>608</v>
      </c>
      <c r="G1992" s="597">
        <v>20.0</v>
      </c>
      <c r="H1992" s="689">
        <f t="shared" si="111"/>
        <v>114800</v>
      </c>
      <c r="I1992" s="599"/>
      <c r="J1992" s="599"/>
      <c r="K1992" s="672" t="s">
        <v>51</v>
      </c>
      <c r="L1992" s="615" t="s">
        <v>1014</v>
      </c>
      <c r="M1992" s="612" t="s">
        <v>2265</v>
      </c>
      <c r="N1992" s="612">
        <v>420.0</v>
      </c>
      <c r="O1992" s="662">
        <v>45996.0</v>
      </c>
      <c r="P1992" s="706"/>
      <c r="Q1992" s="622"/>
      <c r="R1992" s="36"/>
      <c r="S1992" s="36"/>
      <c r="T1992" s="36"/>
      <c r="U1992" s="36"/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</row>
    <row r="1993" ht="22.5" customHeight="1">
      <c r="A1993" s="614"/>
      <c r="B1993" s="137" t="s">
        <v>2258</v>
      </c>
      <c r="C1993" s="610">
        <v>1199549.93</v>
      </c>
      <c r="D1993" s="610"/>
      <c r="E1993" s="595"/>
      <c r="F1993" s="607" t="s">
        <v>608</v>
      </c>
      <c r="G1993" s="597">
        <v>20.0</v>
      </c>
      <c r="H1993" s="689">
        <f t="shared" si="111"/>
        <v>199924.9883</v>
      </c>
      <c r="I1993" s="599"/>
      <c r="J1993" s="599"/>
      <c r="K1993" s="672" t="s">
        <v>51</v>
      </c>
      <c r="L1993" s="615" t="s">
        <v>641</v>
      </c>
      <c r="M1993" s="612" t="s">
        <v>1078</v>
      </c>
      <c r="N1993" s="612">
        <v>421.0</v>
      </c>
      <c r="O1993" s="662">
        <v>45996.0</v>
      </c>
      <c r="P1993" s="706"/>
      <c r="Q1993" s="622"/>
      <c r="R1993" s="36"/>
      <c r="S1993" s="36"/>
      <c r="T1993" s="36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</row>
    <row r="1994" ht="22.5" customHeight="1">
      <c r="A1994" s="614"/>
      <c r="B1994" s="137" t="s">
        <v>2258</v>
      </c>
      <c r="C1994" s="610">
        <v>1200000.0</v>
      </c>
      <c r="D1994" s="610"/>
      <c r="E1994" s="595"/>
      <c r="F1994" s="607" t="s">
        <v>608</v>
      </c>
      <c r="G1994" s="597">
        <v>20.0</v>
      </c>
      <c r="H1994" s="689">
        <f t="shared" si="111"/>
        <v>200000</v>
      </c>
      <c r="I1994" s="599"/>
      <c r="J1994" s="599"/>
      <c r="K1994" s="672" t="s">
        <v>51</v>
      </c>
      <c r="L1994" s="615" t="s">
        <v>675</v>
      </c>
      <c r="M1994" s="612" t="s">
        <v>858</v>
      </c>
      <c r="N1994" s="612">
        <v>422.0</v>
      </c>
      <c r="O1994" s="662">
        <v>45996.0</v>
      </c>
      <c r="P1994" s="706"/>
      <c r="Q1994" s="622"/>
      <c r="R1994" s="36"/>
      <c r="S1994" s="36"/>
      <c r="T1994" s="36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</row>
    <row r="1995" ht="22.5" customHeight="1">
      <c r="A1995" s="614"/>
      <c r="B1995" s="137" t="s">
        <v>2258</v>
      </c>
      <c r="C1995" s="610">
        <v>600060.0</v>
      </c>
      <c r="D1995" s="610"/>
      <c r="E1995" s="595"/>
      <c r="F1995" s="607" t="s">
        <v>608</v>
      </c>
      <c r="G1995" s="597">
        <v>20.0</v>
      </c>
      <c r="H1995" s="689">
        <f t="shared" si="111"/>
        <v>100010</v>
      </c>
      <c r="I1995" s="599"/>
      <c r="J1995" s="599"/>
      <c r="K1995" s="672" t="s">
        <v>51</v>
      </c>
      <c r="L1995" s="615" t="s">
        <v>1188</v>
      </c>
      <c r="M1995" s="612" t="s">
        <v>1787</v>
      </c>
      <c r="N1995" s="612">
        <v>423.0</v>
      </c>
      <c r="O1995" s="662">
        <v>45996.0</v>
      </c>
      <c r="P1995" s="706"/>
      <c r="Q1995" s="622"/>
      <c r="R1995" s="36"/>
      <c r="S1995" s="36"/>
      <c r="T1995" s="36"/>
      <c r="U1995" s="36"/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</row>
    <row r="1996" ht="22.5" customHeight="1">
      <c r="A1996" s="614"/>
      <c r="B1996" s="137" t="s">
        <v>2258</v>
      </c>
      <c r="C1996" s="610">
        <v>917460.0</v>
      </c>
      <c r="D1996" s="610"/>
      <c r="E1996" s="595"/>
      <c r="F1996" s="607" t="s">
        <v>608</v>
      </c>
      <c r="G1996" s="597">
        <v>20.0</v>
      </c>
      <c r="H1996" s="689">
        <f t="shared" si="111"/>
        <v>152910</v>
      </c>
      <c r="I1996" s="599"/>
      <c r="J1996" s="599"/>
      <c r="K1996" s="672" t="s">
        <v>51</v>
      </c>
      <c r="L1996" s="615" t="s">
        <v>1786</v>
      </c>
      <c r="M1996" s="612" t="s">
        <v>1787</v>
      </c>
      <c r="N1996" s="612">
        <v>424.0</v>
      </c>
      <c r="O1996" s="662">
        <v>45996.0</v>
      </c>
      <c r="P1996" s="706"/>
      <c r="Q1996" s="622"/>
      <c r="R1996" s="36"/>
      <c r="S1996" s="36"/>
      <c r="T1996" s="36"/>
      <c r="U1996" s="36"/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</row>
    <row r="1997" ht="22.5" customHeight="1">
      <c r="A1997" s="614"/>
      <c r="B1997" s="137" t="s">
        <v>2258</v>
      </c>
      <c r="C1997" s="610">
        <v>313622.03</v>
      </c>
      <c r="D1997" s="610"/>
      <c r="E1997" s="595"/>
      <c r="F1997" s="607" t="s">
        <v>608</v>
      </c>
      <c r="G1997" s="597">
        <v>20.0</v>
      </c>
      <c r="H1997" s="689">
        <f t="shared" si="111"/>
        <v>52270.33833</v>
      </c>
      <c r="I1997" s="599"/>
      <c r="J1997" s="599"/>
      <c r="K1997" s="672" t="s">
        <v>51</v>
      </c>
      <c r="L1997" s="615" t="s">
        <v>677</v>
      </c>
      <c r="M1997" s="612" t="s">
        <v>1093</v>
      </c>
      <c r="N1997" s="612">
        <v>425.0</v>
      </c>
      <c r="O1997" s="662">
        <v>45996.0</v>
      </c>
      <c r="P1997" s="706"/>
      <c r="Q1997" s="622"/>
      <c r="R1997" s="36"/>
      <c r="S1997" s="36"/>
      <c r="T1997" s="36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</row>
    <row r="1998" ht="22.5" customHeight="1">
      <c r="A1998" s="614"/>
      <c r="B1998" s="137" t="s">
        <v>2258</v>
      </c>
      <c r="C1998" s="610">
        <v>96614.48</v>
      </c>
      <c r="D1998" s="610"/>
      <c r="E1998" s="595"/>
      <c r="F1998" s="607" t="s">
        <v>608</v>
      </c>
      <c r="G1998" s="597">
        <v>20.0</v>
      </c>
      <c r="H1998" s="689">
        <f t="shared" si="111"/>
        <v>16102.41333</v>
      </c>
      <c r="I1998" s="599"/>
      <c r="J1998" s="599"/>
      <c r="K1998" s="672" t="s">
        <v>51</v>
      </c>
      <c r="L1998" s="615" t="s">
        <v>627</v>
      </c>
      <c r="M1998" s="612" t="s">
        <v>855</v>
      </c>
      <c r="N1998" s="612">
        <v>426.0</v>
      </c>
      <c r="O1998" s="662">
        <v>45996.0</v>
      </c>
      <c r="P1998" s="706"/>
      <c r="Q1998" s="622"/>
      <c r="R1998" s="36"/>
      <c r="S1998" s="36"/>
      <c r="T1998" s="36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</row>
    <row r="1999" ht="22.5" customHeight="1">
      <c r="A1999" s="614"/>
      <c r="B1999" s="137" t="s">
        <v>2258</v>
      </c>
      <c r="C1999" s="610">
        <v>317877.62</v>
      </c>
      <c r="D1999" s="610"/>
      <c r="E1999" s="595"/>
      <c r="F1999" s="607" t="s">
        <v>608</v>
      </c>
      <c r="G1999" s="597">
        <v>20.0</v>
      </c>
      <c r="H1999" s="689">
        <f t="shared" si="111"/>
        <v>52979.60333</v>
      </c>
      <c r="I1999" s="599"/>
      <c r="J1999" s="599"/>
      <c r="K1999" s="672" t="s">
        <v>51</v>
      </c>
      <c r="L1999" s="615" t="s">
        <v>627</v>
      </c>
      <c r="M1999" s="612" t="s">
        <v>851</v>
      </c>
      <c r="N1999" s="612">
        <v>427.0</v>
      </c>
      <c r="O1999" s="662">
        <v>45996.0</v>
      </c>
      <c r="P1999" s="706"/>
      <c r="Q1999" s="622"/>
      <c r="R1999" s="36"/>
      <c r="S1999" s="36"/>
      <c r="T1999" s="36"/>
      <c r="U1999" s="36"/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</row>
    <row r="2000" ht="22.5" customHeight="1">
      <c r="A2000" s="614"/>
      <c r="B2000" s="137" t="s">
        <v>2258</v>
      </c>
      <c r="C2000" s="610">
        <v>876540.0</v>
      </c>
      <c r="D2000" s="610"/>
      <c r="E2000" s="595"/>
      <c r="F2000" s="607" t="s">
        <v>608</v>
      </c>
      <c r="G2000" s="597">
        <v>20.0</v>
      </c>
      <c r="H2000" s="689">
        <f t="shared" si="111"/>
        <v>146090</v>
      </c>
      <c r="I2000" s="599"/>
      <c r="J2000" s="599"/>
      <c r="K2000" s="672" t="s">
        <v>51</v>
      </c>
      <c r="L2000" s="615" t="s">
        <v>539</v>
      </c>
      <c r="M2000" s="612" t="s">
        <v>813</v>
      </c>
      <c r="N2000" s="612">
        <v>428.0</v>
      </c>
      <c r="O2000" s="662">
        <v>45999.0</v>
      </c>
      <c r="P2000" s="706"/>
      <c r="Q2000" s="622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</row>
    <row r="2001" ht="22.5" customHeight="1">
      <c r="A2001" s="614"/>
      <c r="B2001" s="137" t="s">
        <v>2258</v>
      </c>
      <c r="C2001" s="610">
        <v>318120.19</v>
      </c>
      <c r="D2001" s="610"/>
      <c r="E2001" s="595"/>
      <c r="F2001" s="607" t="s">
        <v>608</v>
      </c>
      <c r="G2001" s="597">
        <v>20.0</v>
      </c>
      <c r="H2001" s="689">
        <f t="shared" si="111"/>
        <v>53020.03167</v>
      </c>
      <c r="I2001" s="599"/>
      <c r="J2001" s="599"/>
      <c r="K2001" s="672" t="s">
        <v>51</v>
      </c>
      <c r="L2001" s="615" t="s">
        <v>677</v>
      </c>
      <c r="M2001" s="612" t="s">
        <v>754</v>
      </c>
      <c r="N2001" s="612">
        <v>429.0</v>
      </c>
      <c r="O2001" s="662">
        <v>46000.0</v>
      </c>
      <c r="P2001" s="706"/>
      <c r="Q2001" s="622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</row>
    <row r="2002" ht="22.5" customHeight="1">
      <c r="A2002" s="614"/>
      <c r="B2002" s="137" t="s">
        <v>2258</v>
      </c>
      <c r="C2002" s="610">
        <v>688800.0</v>
      </c>
      <c r="D2002" s="610"/>
      <c r="E2002" s="595"/>
      <c r="F2002" s="607" t="s">
        <v>608</v>
      </c>
      <c r="G2002" s="597">
        <v>20.0</v>
      </c>
      <c r="H2002" s="689">
        <f t="shared" si="111"/>
        <v>114800</v>
      </c>
      <c r="I2002" s="599"/>
      <c r="J2002" s="599"/>
      <c r="K2002" s="672" t="s">
        <v>51</v>
      </c>
      <c r="L2002" s="615" t="s">
        <v>849</v>
      </c>
      <c r="M2002" s="612" t="s">
        <v>1223</v>
      </c>
      <c r="N2002" s="612">
        <v>430.0</v>
      </c>
      <c r="O2002" s="662">
        <v>46000.0</v>
      </c>
      <c r="P2002" s="706"/>
      <c r="Q2002" s="622"/>
      <c r="R2002" s="36"/>
      <c r="S2002" s="36"/>
      <c r="T2002" s="36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</row>
    <row r="2003" ht="22.5" customHeight="1">
      <c r="A2003" s="614"/>
      <c r="B2003" s="137" t="s">
        <v>2258</v>
      </c>
      <c r="C2003" s="610">
        <v>1199682.0</v>
      </c>
      <c r="D2003" s="610"/>
      <c r="E2003" s="595"/>
      <c r="F2003" s="607" t="s">
        <v>608</v>
      </c>
      <c r="G2003" s="597">
        <v>20.0</v>
      </c>
      <c r="H2003" s="689">
        <f t="shared" si="111"/>
        <v>199947</v>
      </c>
      <c r="I2003" s="599"/>
      <c r="J2003" s="599"/>
      <c r="K2003" s="672" t="s">
        <v>51</v>
      </c>
      <c r="L2003" s="615" t="s">
        <v>849</v>
      </c>
      <c r="M2003" s="612" t="s">
        <v>1061</v>
      </c>
      <c r="N2003" s="612">
        <v>431.0</v>
      </c>
      <c r="O2003" s="662">
        <v>46000.0</v>
      </c>
      <c r="P2003" s="706"/>
      <c r="Q2003" s="622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</row>
    <row r="2004" ht="22.5" customHeight="1">
      <c r="A2004" s="614"/>
      <c r="B2004" s="137" t="s">
        <v>2258</v>
      </c>
      <c r="C2004" s="610">
        <v>602430.0</v>
      </c>
      <c r="D2004" s="610"/>
      <c r="E2004" s="595"/>
      <c r="F2004" s="607" t="s">
        <v>608</v>
      </c>
      <c r="G2004" s="597">
        <v>20.0</v>
      </c>
      <c r="H2004" s="689">
        <f t="shared" si="111"/>
        <v>100405</v>
      </c>
      <c r="I2004" s="599"/>
      <c r="J2004" s="599"/>
      <c r="K2004" s="672" t="s">
        <v>51</v>
      </c>
      <c r="L2004" s="615" t="s">
        <v>849</v>
      </c>
      <c r="M2004" s="612" t="s">
        <v>1192</v>
      </c>
      <c r="N2004" s="612">
        <v>432.0</v>
      </c>
      <c r="O2004" s="662">
        <v>46000.0</v>
      </c>
      <c r="P2004" s="706"/>
      <c r="Q2004" s="622"/>
      <c r="R2004" s="36"/>
      <c r="S2004" s="36"/>
      <c r="T2004" s="36"/>
      <c r="U2004" s="36"/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</row>
    <row r="2005" ht="22.5" customHeight="1">
      <c r="A2005" s="614"/>
      <c r="B2005" s="137" t="s">
        <v>2258</v>
      </c>
      <c r="C2005" s="610">
        <v>1296540.0</v>
      </c>
      <c r="D2005" s="610"/>
      <c r="E2005" s="595"/>
      <c r="F2005" s="607" t="s">
        <v>608</v>
      </c>
      <c r="G2005" s="597">
        <v>20.0</v>
      </c>
      <c r="H2005" s="689">
        <f t="shared" si="111"/>
        <v>216090</v>
      </c>
      <c r="I2005" s="599"/>
      <c r="J2005" s="599"/>
      <c r="K2005" s="672" t="s">
        <v>51</v>
      </c>
      <c r="L2005" s="615" t="s">
        <v>849</v>
      </c>
      <c r="M2005" s="612" t="s">
        <v>1230</v>
      </c>
      <c r="N2005" s="612">
        <v>433.0</v>
      </c>
      <c r="O2005" s="662">
        <v>46000.0</v>
      </c>
      <c r="P2005" s="706"/>
      <c r="Q2005" s="622"/>
      <c r="R2005" s="36"/>
      <c r="S2005" s="36"/>
      <c r="T2005" s="36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</row>
    <row r="2006" ht="22.5" customHeight="1">
      <c r="A2006" s="614"/>
      <c r="B2006" s="137" t="s">
        <v>2258</v>
      </c>
      <c r="C2006" s="610">
        <v>1050000.0</v>
      </c>
      <c r="D2006" s="610"/>
      <c r="E2006" s="595"/>
      <c r="F2006" s="607" t="s">
        <v>608</v>
      </c>
      <c r="G2006" s="597">
        <v>20.0</v>
      </c>
      <c r="H2006" s="689">
        <f t="shared" si="111"/>
        <v>175000</v>
      </c>
      <c r="I2006" s="599"/>
      <c r="J2006" s="599"/>
      <c r="K2006" s="672" t="s">
        <v>51</v>
      </c>
      <c r="L2006" s="615" t="s">
        <v>849</v>
      </c>
      <c r="M2006" s="612" t="s">
        <v>1240</v>
      </c>
      <c r="N2006" s="612">
        <v>434.0</v>
      </c>
      <c r="O2006" s="662">
        <v>46000.0</v>
      </c>
      <c r="P2006" s="706"/>
      <c r="Q2006" s="622"/>
      <c r="R2006" s="36"/>
      <c r="S2006" s="36"/>
      <c r="T2006" s="36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</row>
    <row r="2007" ht="22.5" customHeight="1">
      <c r="A2007" s="614"/>
      <c r="B2007" s="137" t="s">
        <v>2258</v>
      </c>
      <c r="C2007" s="610">
        <v>636048.0</v>
      </c>
      <c r="D2007" s="610"/>
      <c r="E2007" s="595"/>
      <c r="F2007" s="607" t="s">
        <v>608</v>
      </c>
      <c r="G2007" s="597">
        <v>20.0</v>
      </c>
      <c r="H2007" s="689">
        <f t="shared" si="111"/>
        <v>106008</v>
      </c>
      <c r="I2007" s="599"/>
      <c r="J2007" s="599"/>
      <c r="K2007" s="672" t="s">
        <v>51</v>
      </c>
      <c r="L2007" s="615" t="s">
        <v>539</v>
      </c>
      <c r="M2007" s="612" t="s">
        <v>1617</v>
      </c>
      <c r="N2007" s="612">
        <v>435.0</v>
      </c>
      <c r="O2007" s="662">
        <v>46000.0</v>
      </c>
      <c r="P2007" s="706"/>
      <c r="Q2007" s="622"/>
      <c r="R2007" s="36"/>
      <c r="S2007" s="36"/>
      <c r="T2007" s="36"/>
      <c r="U2007" s="36"/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</row>
    <row r="2008" ht="22.5" customHeight="1">
      <c r="A2008" s="614"/>
      <c r="B2008" s="137" t="s">
        <v>2258</v>
      </c>
      <c r="C2008" s="610">
        <v>2001260.0</v>
      </c>
      <c r="D2008" s="610"/>
      <c r="E2008" s="595"/>
      <c r="F2008" s="607" t="s">
        <v>608</v>
      </c>
      <c r="G2008" s="597">
        <v>20.0</v>
      </c>
      <c r="H2008" s="689">
        <f t="shared" si="111"/>
        <v>333543.3333</v>
      </c>
      <c r="I2008" s="599"/>
      <c r="J2008" s="599"/>
      <c r="K2008" s="672" t="s">
        <v>51</v>
      </c>
      <c r="L2008" s="615" t="s">
        <v>539</v>
      </c>
      <c r="M2008" s="612" t="s">
        <v>1592</v>
      </c>
      <c r="N2008" s="612">
        <v>436.0</v>
      </c>
      <c r="O2008" s="662">
        <v>46000.0</v>
      </c>
      <c r="P2008" s="706"/>
      <c r="Q2008" s="622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</row>
    <row r="2009" ht="22.5" customHeight="1">
      <c r="A2009" s="614"/>
      <c r="B2009" s="137" t="s">
        <v>2258</v>
      </c>
      <c r="C2009" s="610">
        <v>1323000.0</v>
      </c>
      <c r="D2009" s="610"/>
      <c r="E2009" s="595"/>
      <c r="F2009" s="607" t="s">
        <v>608</v>
      </c>
      <c r="G2009" s="597">
        <v>20.0</v>
      </c>
      <c r="H2009" s="689">
        <f t="shared" si="111"/>
        <v>220500</v>
      </c>
      <c r="I2009" s="599"/>
      <c r="J2009" s="599"/>
      <c r="K2009" s="672" t="s">
        <v>51</v>
      </c>
      <c r="L2009" s="615" t="s">
        <v>849</v>
      </c>
      <c r="M2009" s="612" t="s">
        <v>1163</v>
      </c>
      <c r="N2009" s="612">
        <v>437.0</v>
      </c>
      <c r="O2009" s="662">
        <v>46000.0</v>
      </c>
      <c r="P2009" s="706"/>
      <c r="Q2009" s="622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</row>
    <row r="2010" ht="22.5" customHeight="1">
      <c r="A2010" s="614"/>
      <c r="B2010" s="137" t="s">
        <v>2258</v>
      </c>
      <c r="C2010" s="610">
        <v>1000860.0</v>
      </c>
      <c r="D2010" s="610"/>
      <c r="E2010" s="595"/>
      <c r="F2010" s="607" t="s">
        <v>608</v>
      </c>
      <c r="G2010" s="597">
        <v>20.0</v>
      </c>
      <c r="H2010" s="689">
        <f t="shared" si="111"/>
        <v>166810</v>
      </c>
      <c r="I2010" s="599"/>
      <c r="J2010" s="599"/>
      <c r="K2010" s="672" t="s">
        <v>51</v>
      </c>
      <c r="L2010" s="615" t="s">
        <v>849</v>
      </c>
      <c r="M2010" s="612" t="s">
        <v>1241</v>
      </c>
      <c r="N2010" s="612">
        <v>438.0</v>
      </c>
      <c r="O2010" s="662">
        <v>46000.0</v>
      </c>
      <c r="P2010" s="706"/>
      <c r="Q2010" s="622"/>
      <c r="R2010" s="36"/>
      <c r="S2010" s="36"/>
      <c r="T2010" s="36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</row>
    <row r="2011" ht="22.5" customHeight="1">
      <c r="A2011" s="614"/>
      <c r="B2011" s="137" t="s">
        <v>2258</v>
      </c>
      <c r="C2011" s="610">
        <v>1134000.0</v>
      </c>
      <c r="D2011" s="610"/>
      <c r="E2011" s="595"/>
      <c r="F2011" s="607" t="s">
        <v>608</v>
      </c>
      <c r="G2011" s="597">
        <v>20.0</v>
      </c>
      <c r="H2011" s="689">
        <f t="shared" si="111"/>
        <v>189000</v>
      </c>
      <c r="I2011" s="599"/>
      <c r="J2011" s="599"/>
      <c r="K2011" s="672" t="s">
        <v>51</v>
      </c>
      <c r="L2011" s="615" t="s">
        <v>849</v>
      </c>
      <c r="M2011" s="612" t="s">
        <v>1351</v>
      </c>
      <c r="N2011" s="612">
        <v>439.0</v>
      </c>
      <c r="O2011" s="662">
        <v>46000.0</v>
      </c>
      <c r="P2011" s="706"/>
      <c r="Q2011" s="622"/>
      <c r="R2011" s="36"/>
      <c r="S2011" s="36"/>
      <c r="T2011" s="36"/>
      <c r="U2011" s="36"/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</row>
    <row r="2012" ht="22.5" customHeight="1">
      <c r="A2012" s="614"/>
      <c r="B2012" s="137" t="s">
        <v>2258</v>
      </c>
      <c r="C2012" s="610">
        <v>608160.0</v>
      </c>
      <c r="D2012" s="610"/>
      <c r="E2012" s="595"/>
      <c r="F2012" s="607" t="s">
        <v>608</v>
      </c>
      <c r="G2012" s="597">
        <v>20.0</v>
      </c>
      <c r="H2012" s="689">
        <f t="shared" si="111"/>
        <v>101360</v>
      </c>
      <c r="I2012" s="599"/>
      <c r="J2012" s="599"/>
      <c r="K2012" s="672" t="s">
        <v>51</v>
      </c>
      <c r="L2012" s="615" t="s">
        <v>849</v>
      </c>
      <c r="M2012" s="612" t="s">
        <v>1270</v>
      </c>
      <c r="N2012" s="612">
        <v>440.0</v>
      </c>
      <c r="O2012" s="662">
        <v>46000.0</v>
      </c>
      <c r="P2012" s="706"/>
      <c r="Q2012" s="622"/>
      <c r="R2012" s="36"/>
      <c r="S2012" s="36"/>
      <c r="T2012" s="36"/>
      <c r="U2012" s="36"/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</row>
    <row r="2013" ht="22.5" customHeight="1">
      <c r="A2013" s="614"/>
      <c r="B2013" s="137" t="s">
        <v>2258</v>
      </c>
      <c r="C2013" s="610">
        <v>688800.0</v>
      </c>
      <c r="D2013" s="610"/>
      <c r="E2013" s="595"/>
      <c r="F2013" s="607" t="s">
        <v>608</v>
      </c>
      <c r="G2013" s="597">
        <v>20.0</v>
      </c>
      <c r="H2013" s="689">
        <f t="shared" si="111"/>
        <v>114800</v>
      </c>
      <c r="I2013" s="599"/>
      <c r="J2013" s="599"/>
      <c r="K2013" s="672" t="s">
        <v>51</v>
      </c>
      <c r="L2013" s="615" t="s">
        <v>849</v>
      </c>
      <c r="M2013" s="612" t="s">
        <v>1242</v>
      </c>
      <c r="N2013" s="612">
        <v>441.0</v>
      </c>
      <c r="O2013" s="662">
        <v>46000.0</v>
      </c>
      <c r="P2013" s="706"/>
      <c r="Q2013" s="622"/>
      <c r="R2013" s="36"/>
      <c r="S2013" s="36"/>
      <c r="T2013" s="36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</row>
    <row r="2014" ht="22.5" customHeight="1">
      <c r="A2014" s="614"/>
      <c r="B2014" s="137" t="s">
        <v>2258</v>
      </c>
      <c r="C2014" s="610">
        <v>960000.0</v>
      </c>
      <c r="D2014" s="610"/>
      <c r="E2014" s="595"/>
      <c r="F2014" s="607" t="s">
        <v>608</v>
      </c>
      <c r="G2014" s="597">
        <v>20.0</v>
      </c>
      <c r="H2014" s="689">
        <f t="shared" si="111"/>
        <v>160000</v>
      </c>
      <c r="I2014" s="599"/>
      <c r="J2014" s="599"/>
      <c r="K2014" s="672" t="s">
        <v>51</v>
      </c>
      <c r="L2014" s="615" t="s">
        <v>624</v>
      </c>
      <c r="M2014" s="612" t="s">
        <v>1130</v>
      </c>
      <c r="N2014" s="612">
        <v>442.0</v>
      </c>
      <c r="O2014" s="662">
        <v>46000.0</v>
      </c>
      <c r="P2014" s="706"/>
      <c r="Q2014" s="622"/>
      <c r="R2014" s="36"/>
      <c r="S2014" s="36"/>
      <c r="T2014" s="36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</row>
    <row r="2015" ht="22.5" customHeight="1">
      <c r="A2015" s="614"/>
      <c r="B2015" s="137" t="s">
        <v>2258</v>
      </c>
      <c r="C2015" s="610">
        <v>600000.0</v>
      </c>
      <c r="D2015" s="610"/>
      <c r="E2015" s="595"/>
      <c r="F2015" s="607" t="s">
        <v>608</v>
      </c>
      <c r="G2015" s="597">
        <v>20.0</v>
      </c>
      <c r="H2015" s="689">
        <f t="shared" si="111"/>
        <v>100000</v>
      </c>
      <c r="I2015" s="599"/>
      <c r="J2015" s="599"/>
      <c r="K2015" s="672" t="s">
        <v>51</v>
      </c>
      <c r="L2015" s="615" t="s">
        <v>1167</v>
      </c>
      <c r="M2015" s="612" t="s">
        <v>1674</v>
      </c>
      <c r="N2015" s="612">
        <v>443.0</v>
      </c>
      <c r="O2015" s="662">
        <v>46000.0</v>
      </c>
      <c r="P2015" s="706"/>
      <c r="Q2015" s="622"/>
      <c r="R2015" s="36"/>
      <c r="S2015" s="36"/>
      <c r="T2015" s="36"/>
      <c r="U2015" s="36"/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</row>
    <row r="2016" ht="22.5" customHeight="1">
      <c r="A2016" s="614"/>
      <c r="B2016" s="137" t="s">
        <v>2258</v>
      </c>
      <c r="C2016" s="610">
        <v>180180.0</v>
      </c>
      <c r="D2016" s="610"/>
      <c r="E2016" s="595"/>
      <c r="F2016" s="607" t="s">
        <v>608</v>
      </c>
      <c r="G2016" s="597">
        <v>20.0</v>
      </c>
      <c r="H2016" s="689">
        <f t="shared" si="111"/>
        <v>30030</v>
      </c>
      <c r="I2016" s="599"/>
      <c r="J2016" s="599"/>
      <c r="K2016" s="672" t="s">
        <v>51</v>
      </c>
      <c r="L2016" s="615" t="s">
        <v>539</v>
      </c>
      <c r="M2016" s="612" t="s">
        <v>783</v>
      </c>
      <c r="N2016" s="612">
        <v>444.0</v>
      </c>
      <c r="O2016" s="662">
        <v>46000.0</v>
      </c>
      <c r="P2016" s="706"/>
      <c r="Q2016" s="622"/>
      <c r="R2016" s="36"/>
      <c r="S2016" s="36"/>
      <c r="T2016" s="36"/>
      <c r="U2016" s="36"/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</row>
    <row r="2017" ht="22.5" customHeight="1">
      <c r="A2017" s="614"/>
      <c r="B2017" s="137" t="s">
        <v>2258</v>
      </c>
      <c r="C2017" s="610">
        <v>1123920.0</v>
      </c>
      <c r="D2017" s="610"/>
      <c r="E2017" s="595"/>
      <c r="F2017" s="607" t="s">
        <v>608</v>
      </c>
      <c r="G2017" s="597">
        <v>20.0</v>
      </c>
      <c r="H2017" s="689">
        <f t="shared" si="111"/>
        <v>187320</v>
      </c>
      <c r="I2017" s="599"/>
      <c r="J2017" s="599"/>
      <c r="K2017" s="672" t="s">
        <v>51</v>
      </c>
      <c r="L2017" s="615" t="s">
        <v>1529</v>
      </c>
      <c r="M2017" s="612" t="s">
        <v>1605</v>
      </c>
      <c r="N2017" s="612">
        <v>445.0</v>
      </c>
      <c r="O2017" s="662">
        <v>46000.0</v>
      </c>
      <c r="P2017" s="706"/>
      <c r="Q2017" s="622"/>
      <c r="R2017" s="36"/>
      <c r="S2017" s="36"/>
      <c r="T2017" s="36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</row>
    <row r="2018" ht="22.5" customHeight="1">
      <c r="A2018" s="614"/>
      <c r="B2018" s="137" t="s">
        <v>2258</v>
      </c>
      <c r="C2018" s="610">
        <v>819000.0</v>
      </c>
      <c r="D2018" s="610"/>
      <c r="E2018" s="595"/>
      <c r="F2018" s="607" t="s">
        <v>608</v>
      </c>
      <c r="G2018" s="597">
        <v>20.0</v>
      </c>
      <c r="H2018" s="689">
        <f t="shared" si="111"/>
        <v>136500</v>
      </c>
      <c r="I2018" s="599"/>
      <c r="J2018" s="599"/>
      <c r="K2018" s="672" t="s">
        <v>51</v>
      </c>
      <c r="L2018" s="615" t="s">
        <v>1529</v>
      </c>
      <c r="M2018" s="612" t="s">
        <v>1530</v>
      </c>
      <c r="N2018" s="612">
        <v>446.0</v>
      </c>
      <c r="O2018" s="662">
        <v>46000.0</v>
      </c>
      <c r="P2018" s="706"/>
      <c r="Q2018" s="622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</row>
    <row r="2019" ht="22.5" customHeight="1">
      <c r="A2019" s="614"/>
      <c r="B2019" s="137" t="s">
        <v>2256</v>
      </c>
      <c r="C2019" s="609"/>
      <c r="D2019" s="610">
        <v>407267.4</v>
      </c>
      <c r="E2019" s="595"/>
      <c r="F2019" s="607" t="s">
        <v>608</v>
      </c>
      <c r="G2019" s="597">
        <v>20.0</v>
      </c>
      <c r="H2019" s="689">
        <f t="shared" si="111"/>
        <v>67877.9</v>
      </c>
      <c r="I2019" s="599"/>
      <c r="J2019" s="599"/>
      <c r="K2019" s="615" t="s">
        <v>101</v>
      </c>
      <c r="L2019" s="698" t="s">
        <v>1277</v>
      </c>
      <c r="M2019" s="621"/>
      <c r="N2019" s="621"/>
      <c r="O2019" s="621"/>
      <c r="P2019" s="706"/>
      <c r="Q2019" s="682" t="s">
        <v>1568</v>
      </c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</row>
    <row r="2020" ht="22.5" customHeight="1">
      <c r="A2020" s="614"/>
      <c r="B2020" s="137" t="s">
        <v>2256</v>
      </c>
      <c r="C2020" s="609"/>
      <c r="D2020" s="610">
        <v>582687.9</v>
      </c>
      <c r="E2020" s="595"/>
      <c r="F2020" s="607" t="s">
        <v>608</v>
      </c>
      <c r="G2020" s="597">
        <v>0.0</v>
      </c>
      <c r="H2020" s="689">
        <f t="shared" si="111"/>
        <v>0</v>
      </c>
      <c r="I2020" s="599"/>
      <c r="J2020" s="599"/>
      <c r="K2020" s="615" t="s">
        <v>101</v>
      </c>
      <c r="L2020" s="711" t="s">
        <v>631</v>
      </c>
      <c r="M2020" s="621"/>
      <c r="N2020" s="621"/>
      <c r="O2020" s="621"/>
      <c r="P2020" s="706"/>
      <c r="Q2020" s="682" t="s">
        <v>1569</v>
      </c>
      <c r="R2020" s="36"/>
      <c r="S2020" s="36"/>
      <c r="T2020" s="36"/>
      <c r="U2020" s="36"/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</row>
    <row r="2021" ht="22.5" customHeight="1">
      <c r="A2021" s="614"/>
      <c r="B2021" s="137" t="s">
        <v>2256</v>
      </c>
      <c r="C2021" s="609"/>
      <c r="D2021" s="610">
        <v>360000.0</v>
      </c>
      <c r="E2021" s="595"/>
      <c r="F2021" s="607" t="s">
        <v>608</v>
      </c>
      <c r="G2021" s="597">
        <v>20.0</v>
      </c>
      <c r="H2021" s="689">
        <f t="shared" si="111"/>
        <v>60000</v>
      </c>
      <c r="I2021" s="599"/>
      <c r="J2021" s="599"/>
      <c r="K2021" s="615" t="s">
        <v>2237</v>
      </c>
      <c r="L2021" s="615" t="s">
        <v>942</v>
      </c>
      <c r="M2021" s="621"/>
      <c r="N2021" s="621"/>
      <c r="O2021" s="621"/>
      <c r="P2021" s="706"/>
      <c r="Q2021" s="723" t="s">
        <v>1425</v>
      </c>
      <c r="R2021" s="36"/>
      <c r="S2021" s="36"/>
      <c r="T2021" s="36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</row>
    <row r="2022" ht="22.5" customHeight="1">
      <c r="A2022" s="614"/>
      <c r="B2022" s="137" t="s">
        <v>2256</v>
      </c>
      <c r="C2022" s="609"/>
      <c r="D2022" s="610">
        <v>565465.67</v>
      </c>
      <c r="E2022" s="595"/>
      <c r="F2022" s="607" t="s">
        <v>608</v>
      </c>
      <c r="G2022" s="597">
        <v>0.0</v>
      </c>
      <c r="H2022" s="689">
        <f t="shared" si="111"/>
        <v>0</v>
      </c>
      <c r="I2022" s="599"/>
      <c r="J2022" s="599"/>
      <c r="K2022" s="615" t="s">
        <v>101</v>
      </c>
      <c r="L2022" s="711" t="s">
        <v>1480</v>
      </c>
      <c r="M2022" s="621"/>
      <c r="N2022" s="621"/>
      <c r="O2022" s="621"/>
      <c r="P2022" s="706"/>
      <c r="Q2022" s="682" t="s">
        <v>1570</v>
      </c>
      <c r="R2022" s="36"/>
      <c r="S2022" s="36"/>
      <c r="T2022" s="36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</row>
    <row r="2023" ht="22.5" customHeight="1">
      <c r="A2023" s="614"/>
      <c r="B2023" s="137" t="s">
        <v>2256</v>
      </c>
      <c r="C2023" s="609"/>
      <c r="D2023" s="610">
        <v>266723.1</v>
      </c>
      <c r="E2023" s="595"/>
      <c r="F2023" s="607" t="s">
        <v>608</v>
      </c>
      <c r="G2023" s="597">
        <v>0.0</v>
      </c>
      <c r="H2023" s="689">
        <f t="shared" si="111"/>
        <v>0</v>
      </c>
      <c r="I2023" s="599"/>
      <c r="J2023" s="599"/>
      <c r="K2023" s="615" t="s">
        <v>101</v>
      </c>
      <c r="L2023" s="711" t="s">
        <v>818</v>
      </c>
      <c r="M2023" s="621"/>
      <c r="N2023" s="621"/>
      <c r="O2023" s="621"/>
      <c r="P2023" s="706"/>
      <c r="Q2023" s="682" t="s">
        <v>1571</v>
      </c>
      <c r="R2023" s="36"/>
      <c r="S2023" s="36"/>
      <c r="T2023" s="36"/>
      <c r="U2023" s="36"/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</row>
    <row r="2024" ht="22.5" customHeight="1">
      <c r="A2024" s="614"/>
      <c r="B2024" s="137" t="s">
        <v>2256</v>
      </c>
      <c r="C2024" s="609"/>
      <c r="D2024" s="610">
        <v>2431836.29</v>
      </c>
      <c r="E2024" s="595"/>
      <c r="F2024" s="607" t="s">
        <v>608</v>
      </c>
      <c r="G2024" s="597">
        <v>20.0</v>
      </c>
      <c r="H2024" s="689">
        <f t="shared" si="111"/>
        <v>405306.0483</v>
      </c>
      <c r="I2024" s="599"/>
      <c r="J2024" s="599"/>
      <c r="K2024" s="615" t="s">
        <v>101</v>
      </c>
      <c r="L2024" s="711" t="s">
        <v>2266</v>
      </c>
      <c r="M2024" s="621"/>
      <c r="N2024" s="621"/>
      <c r="O2024" s="621"/>
      <c r="P2024" s="706"/>
      <c r="Q2024" s="682" t="s">
        <v>1516</v>
      </c>
      <c r="R2024" s="36"/>
      <c r="S2024" s="36"/>
      <c r="T2024" s="36"/>
      <c r="U2024" s="36"/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</row>
    <row r="2025" ht="22.5" customHeight="1">
      <c r="A2025" s="614"/>
      <c r="B2025" s="185"/>
      <c r="C2025" s="609"/>
      <c r="D2025" s="610"/>
      <c r="E2025" s="595"/>
      <c r="F2025" s="596"/>
      <c r="G2025" s="664"/>
      <c r="H2025" s="665"/>
      <c r="I2025" s="599"/>
      <c r="J2025" s="599"/>
      <c r="K2025" s="611"/>
      <c r="L2025" s="615"/>
      <c r="M2025" s="621"/>
      <c r="N2025" s="621"/>
      <c r="O2025" s="621"/>
      <c r="P2025" s="706"/>
      <c r="Q2025" s="622"/>
      <c r="R2025" s="36"/>
      <c r="S2025" s="36"/>
      <c r="T2025" s="36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</row>
    <row r="2026" ht="22.5" customHeight="1">
      <c r="A2026" s="614"/>
      <c r="B2026" s="185"/>
      <c r="C2026" s="609"/>
      <c r="D2026" s="609"/>
      <c r="E2026" s="595"/>
      <c r="F2026" s="596"/>
      <c r="G2026" s="664"/>
      <c r="H2026" s="665"/>
      <c r="I2026" s="599"/>
      <c r="J2026" s="599"/>
      <c r="K2026" s="611"/>
      <c r="L2026" s="611"/>
      <c r="M2026" s="621"/>
      <c r="N2026" s="621"/>
      <c r="O2026" s="621"/>
      <c r="P2026" s="706"/>
      <c r="Q2026" s="622"/>
      <c r="R2026" s="36"/>
      <c r="S2026" s="36"/>
      <c r="T2026" s="36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</row>
    <row r="2027" ht="22.5" customHeight="1">
      <c r="A2027" s="614"/>
      <c r="B2027" s="185"/>
      <c r="C2027" s="609"/>
      <c r="D2027" s="609"/>
      <c r="E2027" s="595"/>
      <c r="F2027" s="596"/>
      <c r="G2027" s="664"/>
      <c r="H2027" s="665"/>
      <c r="I2027" s="599"/>
      <c r="J2027" s="599"/>
      <c r="K2027" s="611"/>
      <c r="L2027" s="611"/>
      <c r="M2027" s="621"/>
      <c r="N2027" s="621"/>
      <c r="O2027" s="621"/>
      <c r="P2027" s="706"/>
      <c r="Q2027" s="622"/>
      <c r="R2027" s="36"/>
      <c r="S2027" s="36"/>
      <c r="T2027" s="36"/>
      <c r="U2027" s="36"/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</row>
    <row r="2028" ht="22.5" customHeight="1">
      <c r="A2028" s="614"/>
      <c r="B2028" s="185"/>
      <c r="C2028" s="609"/>
      <c r="D2028" s="609"/>
      <c r="E2028" s="595"/>
      <c r="F2028" s="596"/>
      <c r="G2028" s="664"/>
      <c r="H2028" s="665"/>
      <c r="I2028" s="599"/>
      <c r="J2028" s="599"/>
      <c r="K2028" s="611"/>
      <c r="L2028" s="611"/>
      <c r="M2028" s="621"/>
      <c r="N2028" s="621"/>
      <c r="O2028" s="621"/>
      <c r="P2028" s="706"/>
      <c r="Q2028" s="622"/>
      <c r="R2028" s="36"/>
      <c r="S2028" s="36"/>
      <c r="T2028" s="36"/>
      <c r="U2028" s="36"/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</row>
    <row r="2029" ht="22.5" customHeight="1">
      <c r="A2029" s="614"/>
      <c r="B2029" s="185"/>
      <c r="C2029" s="609"/>
      <c r="D2029" s="609"/>
      <c r="E2029" s="595"/>
      <c r="F2029" s="596"/>
      <c r="G2029" s="664"/>
      <c r="H2029" s="665"/>
      <c r="I2029" s="599"/>
      <c r="J2029" s="599"/>
      <c r="K2029" s="611"/>
      <c r="L2029" s="611"/>
      <c r="M2029" s="621"/>
      <c r="N2029" s="621"/>
      <c r="O2029" s="621"/>
      <c r="P2029" s="706"/>
      <c r="Q2029" s="622"/>
      <c r="R2029" s="36"/>
      <c r="S2029" s="36"/>
      <c r="T2029" s="36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</row>
    <row r="2030" ht="22.5" customHeight="1">
      <c r="A2030" s="614"/>
      <c r="B2030" s="185"/>
      <c r="C2030" s="609"/>
      <c r="D2030" s="609"/>
      <c r="E2030" s="595"/>
      <c r="F2030" s="596"/>
      <c r="G2030" s="664"/>
      <c r="H2030" s="665"/>
      <c r="I2030" s="599"/>
      <c r="J2030" s="599"/>
      <c r="K2030" s="611"/>
      <c r="L2030" s="611"/>
      <c r="M2030" s="621"/>
      <c r="N2030" s="621"/>
      <c r="O2030" s="621"/>
      <c r="P2030" s="706"/>
      <c r="Q2030" s="622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</row>
    <row r="2031" ht="22.5" customHeight="1">
      <c r="A2031" s="614"/>
      <c r="B2031" s="185"/>
      <c r="C2031" s="609"/>
      <c r="D2031" s="609"/>
      <c r="E2031" s="595"/>
      <c r="F2031" s="596"/>
      <c r="G2031" s="664"/>
      <c r="H2031" s="665"/>
      <c r="I2031" s="599"/>
      <c r="J2031" s="599"/>
      <c r="K2031" s="611"/>
      <c r="L2031" s="611"/>
      <c r="M2031" s="621"/>
      <c r="N2031" s="621"/>
      <c r="O2031" s="621"/>
      <c r="P2031" s="706"/>
      <c r="Q2031" s="622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</row>
    <row r="2032" ht="22.5" customHeight="1">
      <c r="A2032" s="614"/>
      <c r="B2032" s="185"/>
      <c r="C2032" s="609"/>
      <c r="D2032" s="609"/>
      <c r="E2032" s="595"/>
      <c r="F2032" s="596"/>
      <c r="G2032" s="664"/>
      <c r="H2032" s="665"/>
      <c r="I2032" s="599"/>
      <c r="J2032" s="599"/>
      <c r="K2032" s="611"/>
      <c r="L2032" s="611"/>
      <c r="M2032" s="621"/>
      <c r="N2032" s="621"/>
      <c r="O2032" s="621"/>
      <c r="P2032" s="706"/>
      <c r="Q2032" s="622"/>
      <c r="R2032" s="36"/>
      <c r="S2032" s="36"/>
      <c r="T2032" s="36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</row>
    <row r="2033" ht="22.5" customHeight="1">
      <c r="A2033" s="614"/>
      <c r="B2033" s="185"/>
      <c r="C2033" s="609"/>
      <c r="D2033" s="609"/>
      <c r="E2033" s="595"/>
      <c r="F2033" s="596"/>
      <c r="G2033" s="664"/>
      <c r="H2033" s="665"/>
      <c r="I2033" s="599"/>
      <c r="J2033" s="599"/>
      <c r="K2033" s="611"/>
      <c r="L2033" s="611"/>
      <c r="M2033" s="621"/>
      <c r="N2033" s="621"/>
      <c r="O2033" s="621"/>
      <c r="P2033" s="706"/>
      <c r="Q2033" s="622"/>
      <c r="R2033" s="36"/>
      <c r="S2033" s="36"/>
      <c r="T2033" s="36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</row>
    <row r="2034" ht="22.5" customHeight="1">
      <c r="A2034" s="614"/>
      <c r="B2034" s="185"/>
      <c r="C2034" s="609"/>
      <c r="D2034" s="609"/>
      <c r="E2034" s="595"/>
      <c r="F2034" s="596"/>
      <c r="G2034" s="664"/>
      <c r="H2034" s="665"/>
      <c r="I2034" s="599"/>
      <c r="J2034" s="599"/>
      <c r="K2034" s="611"/>
      <c r="L2034" s="611"/>
      <c r="M2034" s="621"/>
      <c r="N2034" s="621"/>
      <c r="O2034" s="621"/>
      <c r="P2034" s="706"/>
      <c r="Q2034" s="622"/>
      <c r="R2034" s="36"/>
      <c r="S2034" s="36"/>
      <c r="T2034" s="36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</row>
    <row r="2035" ht="22.5" customHeight="1">
      <c r="A2035" s="614"/>
      <c r="B2035" s="185"/>
      <c r="C2035" s="609"/>
      <c r="D2035" s="609"/>
      <c r="E2035" s="595"/>
      <c r="F2035" s="596"/>
      <c r="G2035" s="664"/>
      <c r="H2035" s="665"/>
      <c r="I2035" s="599"/>
      <c r="J2035" s="599"/>
      <c r="K2035" s="611"/>
      <c r="L2035" s="611"/>
      <c r="M2035" s="621"/>
      <c r="N2035" s="621"/>
      <c r="O2035" s="621"/>
      <c r="P2035" s="706"/>
      <c r="Q2035" s="622"/>
      <c r="R2035" s="36"/>
      <c r="S2035" s="36"/>
      <c r="T2035" s="36"/>
      <c r="U2035" s="36"/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</row>
    <row r="2036" ht="22.5" customHeight="1">
      <c r="A2036" s="614"/>
      <c r="B2036" s="185"/>
      <c r="C2036" s="609"/>
      <c r="D2036" s="609"/>
      <c r="E2036" s="595"/>
      <c r="F2036" s="596"/>
      <c r="G2036" s="664"/>
      <c r="H2036" s="665"/>
      <c r="I2036" s="599"/>
      <c r="J2036" s="599"/>
      <c r="K2036" s="611"/>
      <c r="L2036" s="611"/>
      <c r="M2036" s="621"/>
      <c r="N2036" s="621"/>
      <c r="O2036" s="621"/>
      <c r="P2036" s="706"/>
      <c r="Q2036" s="622"/>
      <c r="R2036" s="36"/>
      <c r="S2036" s="36"/>
      <c r="T2036" s="36"/>
      <c r="U2036" s="36"/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</row>
    <row r="2037" ht="22.5" customHeight="1">
      <c r="A2037" s="614"/>
      <c r="B2037" s="185"/>
      <c r="C2037" s="609"/>
      <c r="D2037" s="609"/>
      <c r="E2037" s="595"/>
      <c r="F2037" s="596"/>
      <c r="G2037" s="664"/>
      <c r="H2037" s="665"/>
      <c r="I2037" s="599"/>
      <c r="J2037" s="599"/>
      <c r="K2037" s="611"/>
      <c r="L2037" s="611"/>
      <c r="M2037" s="621"/>
      <c r="N2037" s="621"/>
      <c r="O2037" s="621"/>
      <c r="P2037" s="706"/>
      <c r="Q2037" s="622"/>
      <c r="R2037" s="36"/>
      <c r="S2037" s="36"/>
      <c r="T2037" s="36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</row>
    <row r="2038" ht="22.5" customHeight="1">
      <c r="A2038" s="614"/>
      <c r="B2038" s="185"/>
      <c r="C2038" s="609"/>
      <c r="D2038" s="609"/>
      <c r="E2038" s="595"/>
      <c r="F2038" s="596"/>
      <c r="G2038" s="664"/>
      <c r="H2038" s="665"/>
      <c r="I2038" s="599"/>
      <c r="J2038" s="599"/>
      <c r="K2038" s="611"/>
      <c r="L2038" s="611"/>
      <c r="M2038" s="621"/>
      <c r="N2038" s="621"/>
      <c r="O2038" s="621"/>
      <c r="P2038" s="706"/>
      <c r="Q2038" s="622"/>
      <c r="R2038" s="36"/>
      <c r="S2038" s="36"/>
      <c r="T2038" s="36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</row>
    <row r="2039" ht="22.5" customHeight="1">
      <c r="A2039" s="614"/>
      <c r="B2039" s="185"/>
      <c r="C2039" s="609"/>
      <c r="D2039" s="609"/>
      <c r="E2039" s="595"/>
      <c r="F2039" s="596"/>
      <c r="G2039" s="664"/>
      <c r="H2039" s="665"/>
      <c r="I2039" s="599"/>
      <c r="J2039" s="599"/>
      <c r="K2039" s="611"/>
      <c r="L2039" s="611"/>
      <c r="M2039" s="621"/>
      <c r="N2039" s="621"/>
      <c r="O2039" s="621"/>
      <c r="P2039" s="706"/>
      <c r="Q2039" s="622"/>
      <c r="R2039" s="36"/>
      <c r="S2039" s="36"/>
      <c r="T2039" s="36"/>
      <c r="U2039" s="36"/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</row>
    <row r="2040" ht="22.5" customHeight="1">
      <c r="A2040" s="614"/>
      <c r="B2040" s="185"/>
      <c r="C2040" s="609"/>
      <c r="D2040" s="609"/>
      <c r="E2040" s="595"/>
      <c r="F2040" s="596"/>
      <c r="G2040" s="664"/>
      <c r="H2040" s="665"/>
      <c r="I2040" s="599"/>
      <c r="J2040" s="599"/>
      <c r="K2040" s="611"/>
      <c r="L2040" s="611"/>
      <c r="M2040" s="621"/>
      <c r="N2040" s="621"/>
      <c r="O2040" s="621"/>
      <c r="P2040" s="706"/>
      <c r="Q2040" s="622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</row>
    <row r="2041" ht="22.5" customHeight="1">
      <c r="A2041" s="614"/>
      <c r="B2041" s="185"/>
      <c r="C2041" s="609"/>
      <c r="D2041" s="609"/>
      <c r="E2041" s="595"/>
      <c r="F2041" s="596"/>
      <c r="G2041" s="664"/>
      <c r="H2041" s="665"/>
      <c r="I2041" s="599"/>
      <c r="J2041" s="599"/>
      <c r="K2041" s="611"/>
      <c r="L2041" s="611"/>
      <c r="M2041" s="621"/>
      <c r="N2041" s="621"/>
      <c r="O2041" s="621"/>
      <c r="P2041" s="706"/>
      <c r="Q2041" s="622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</row>
    <row r="2042" ht="22.5" customHeight="1">
      <c r="A2042" s="614"/>
      <c r="B2042" s="185"/>
      <c r="C2042" s="609"/>
      <c r="D2042" s="609"/>
      <c r="E2042" s="595"/>
      <c r="F2042" s="596"/>
      <c r="G2042" s="664"/>
      <c r="H2042" s="665"/>
      <c r="I2042" s="599"/>
      <c r="J2042" s="599"/>
      <c r="K2042" s="611"/>
      <c r="L2042" s="611"/>
      <c r="M2042" s="621"/>
      <c r="N2042" s="621"/>
      <c r="O2042" s="621"/>
      <c r="P2042" s="706"/>
      <c r="Q2042" s="622"/>
      <c r="R2042" s="36"/>
      <c r="S2042" s="36"/>
      <c r="T2042" s="36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</row>
    <row r="2043" ht="22.5" customHeight="1">
      <c r="A2043" s="614"/>
      <c r="B2043" s="185"/>
      <c r="C2043" s="609"/>
      <c r="D2043" s="609"/>
      <c r="E2043" s="595"/>
      <c r="F2043" s="596"/>
      <c r="G2043" s="664"/>
      <c r="H2043" s="665"/>
      <c r="I2043" s="599"/>
      <c r="J2043" s="599"/>
      <c r="K2043" s="611"/>
      <c r="L2043" s="611"/>
      <c r="M2043" s="621"/>
      <c r="N2043" s="621"/>
      <c r="O2043" s="621"/>
      <c r="P2043" s="706"/>
      <c r="Q2043" s="622"/>
      <c r="R2043" s="36"/>
      <c r="S2043" s="36"/>
      <c r="T2043" s="36"/>
      <c r="U2043" s="36"/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</row>
    <row r="2044" ht="22.5" customHeight="1">
      <c r="A2044" s="614"/>
      <c r="B2044" s="185"/>
      <c r="C2044" s="609"/>
      <c r="D2044" s="609"/>
      <c r="E2044" s="595"/>
      <c r="F2044" s="596"/>
      <c r="G2044" s="664"/>
      <c r="H2044" s="665"/>
      <c r="I2044" s="599"/>
      <c r="J2044" s="599"/>
      <c r="K2044" s="611"/>
      <c r="L2044" s="611"/>
      <c r="M2044" s="621"/>
      <c r="N2044" s="621"/>
      <c r="O2044" s="621"/>
      <c r="P2044" s="706"/>
      <c r="Q2044" s="622"/>
      <c r="R2044" s="36"/>
      <c r="S2044" s="36"/>
      <c r="T2044" s="36"/>
      <c r="U2044" s="36"/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</row>
    <row r="2045" ht="22.5" customHeight="1">
      <c r="A2045" s="614"/>
      <c r="B2045" s="185"/>
      <c r="C2045" s="609"/>
      <c r="D2045" s="609"/>
      <c r="E2045" s="595"/>
      <c r="F2045" s="596"/>
      <c r="G2045" s="664"/>
      <c r="H2045" s="665"/>
      <c r="I2045" s="599"/>
      <c r="J2045" s="599"/>
      <c r="K2045" s="611"/>
      <c r="L2045" s="611"/>
      <c r="M2045" s="621"/>
      <c r="N2045" s="621"/>
      <c r="O2045" s="621"/>
      <c r="P2045" s="706"/>
      <c r="Q2045" s="622"/>
      <c r="R2045" s="36"/>
      <c r="S2045" s="36"/>
      <c r="T2045" s="36"/>
      <c r="U2045" s="36"/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</row>
    <row r="2046" ht="22.5" customHeight="1">
      <c r="A2046" s="614"/>
      <c r="B2046" s="185"/>
      <c r="C2046" s="609"/>
      <c r="D2046" s="609"/>
      <c r="E2046" s="595"/>
      <c r="F2046" s="596"/>
      <c r="G2046" s="664"/>
      <c r="H2046" s="665"/>
      <c r="I2046" s="599"/>
      <c r="J2046" s="599"/>
      <c r="K2046" s="611"/>
      <c r="L2046" s="611"/>
      <c r="M2046" s="621"/>
      <c r="N2046" s="621"/>
      <c r="O2046" s="621"/>
      <c r="P2046" s="706"/>
      <c r="Q2046" s="622"/>
      <c r="R2046" s="36"/>
      <c r="S2046" s="36"/>
      <c r="T2046" s="36"/>
      <c r="U2046" s="36"/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</row>
    <row r="2047" ht="22.5" customHeight="1">
      <c r="A2047" s="614"/>
      <c r="B2047" s="185"/>
      <c r="C2047" s="609"/>
      <c r="D2047" s="609"/>
      <c r="E2047" s="595"/>
      <c r="F2047" s="596"/>
      <c r="G2047" s="664"/>
      <c r="H2047" s="665"/>
      <c r="I2047" s="599"/>
      <c r="J2047" s="599"/>
      <c r="K2047" s="611"/>
      <c r="L2047" s="611"/>
      <c r="M2047" s="621"/>
      <c r="N2047" s="621"/>
      <c r="O2047" s="621"/>
      <c r="P2047" s="706"/>
      <c r="Q2047" s="622"/>
      <c r="R2047" s="36"/>
      <c r="S2047" s="36"/>
      <c r="T2047" s="36"/>
      <c r="U2047" s="36"/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</row>
    <row r="2048" ht="22.5" customHeight="1">
      <c r="A2048" s="614"/>
      <c r="B2048" s="185"/>
      <c r="C2048" s="609"/>
      <c r="D2048" s="609"/>
      <c r="E2048" s="595"/>
      <c r="F2048" s="596"/>
      <c r="G2048" s="664"/>
      <c r="H2048" s="665"/>
      <c r="I2048" s="599"/>
      <c r="J2048" s="599"/>
      <c r="K2048" s="611"/>
      <c r="L2048" s="611"/>
      <c r="M2048" s="621"/>
      <c r="N2048" s="621"/>
      <c r="O2048" s="621"/>
      <c r="P2048" s="706"/>
      <c r="Q2048" s="622"/>
      <c r="R2048" s="36"/>
      <c r="S2048" s="36"/>
      <c r="T2048" s="36"/>
      <c r="U2048" s="36"/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</row>
    <row r="2049" ht="22.5" customHeight="1">
      <c r="A2049" s="614"/>
      <c r="B2049" s="185"/>
      <c r="C2049" s="609"/>
      <c r="D2049" s="609"/>
      <c r="E2049" s="595"/>
      <c r="F2049" s="596"/>
      <c r="G2049" s="664"/>
      <c r="H2049" s="665"/>
      <c r="I2049" s="599"/>
      <c r="J2049" s="599"/>
      <c r="K2049" s="611"/>
      <c r="L2049" s="611"/>
      <c r="M2049" s="621"/>
      <c r="N2049" s="621"/>
      <c r="O2049" s="621"/>
      <c r="P2049" s="706"/>
      <c r="Q2049" s="622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</row>
    <row r="2050" ht="22.5" customHeight="1">
      <c r="A2050" s="614"/>
      <c r="B2050" s="185"/>
      <c r="C2050" s="609"/>
      <c r="D2050" s="609"/>
      <c r="E2050" s="595"/>
      <c r="F2050" s="596"/>
      <c r="G2050" s="664"/>
      <c r="H2050" s="665"/>
      <c r="I2050" s="599"/>
      <c r="J2050" s="599"/>
      <c r="K2050" s="611"/>
      <c r="L2050" s="611"/>
      <c r="M2050" s="621"/>
      <c r="N2050" s="621"/>
      <c r="O2050" s="621"/>
      <c r="P2050" s="706"/>
      <c r="Q2050" s="622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</row>
    <row r="2051" ht="22.5" customHeight="1">
      <c r="A2051" s="614"/>
      <c r="B2051" s="185"/>
      <c r="C2051" s="609"/>
      <c r="D2051" s="609"/>
      <c r="E2051" s="595"/>
      <c r="F2051" s="596"/>
      <c r="G2051" s="664"/>
      <c r="H2051" s="665"/>
      <c r="I2051" s="599"/>
      <c r="J2051" s="599"/>
      <c r="K2051" s="611"/>
      <c r="L2051" s="611"/>
      <c r="M2051" s="621"/>
      <c r="N2051" s="621"/>
      <c r="O2051" s="621"/>
      <c r="P2051" s="706"/>
      <c r="Q2051" s="622"/>
      <c r="R2051" s="36"/>
      <c r="S2051" s="36"/>
      <c r="T2051" s="36"/>
      <c r="U2051" s="36"/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</row>
    <row r="2052" ht="22.5" customHeight="1">
      <c r="A2052" s="614"/>
      <c r="B2052" s="185"/>
      <c r="C2052" s="609"/>
      <c r="D2052" s="609"/>
      <c r="E2052" s="595"/>
      <c r="F2052" s="596"/>
      <c r="G2052" s="664"/>
      <c r="H2052" s="665"/>
      <c r="I2052" s="599"/>
      <c r="J2052" s="599"/>
      <c r="K2052" s="611"/>
      <c r="L2052" s="611"/>
      <c r="M2052" s="621"/>
      <c r="N2052" s="621"/>
      <c r="O2052" s="621"/>
      <c r="P2052" s="706"/>
      <c r="Q2052" s="622"/>
      <c r="R2052" s="36"/>
      <c r="S2052" s="36"/>
      <c r="T2052" s="36"/>
      <c r="U2052" s="36"/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</row>
    <row r="2053" ht="22.5" customHeight="1">
      <c r="A2053" s="614"/>
      <c r="B2053" s="185"/>
      <c r="C2053" s="609"/>
      <c r="D2053" s="609"/>
      <c r="E2053" s="595"/>
      <c r="F2053" s="596"/>
      <c r="G2053" s="664"/>
      <c r="H2053" s="665"/>
      <c r="I2053" s="599"/>
      <c r="J2053" s="599"/>
      <c r="K2053" s="611"/>
      <c r="L2053" s="611"/>
      <c r="M2053" s="621"/>
      <c r="N2053" s="621"/>
      <c r="O2053" s="621"/>
      <c r="P2053" s="706"/>
      <c r="Q2053" s="622"/>
      <c r="R2053" s="36"/>
      <c r="S2053" s="36"/>
      <c r="T2053" s="36"/>
      <c r="U2053" s="36"/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</row>
    <row r="2054" ht="22.5" customHeight="1">
      <c r="A2054" s="614"/>
      <c r="B2054" s="185"/>
      <c r="C2054" s="609"/>
      <c r="D2054" s="609"/>
      <c r="E2054" s="595"/>
      <c r="F2054" s="596"/>
      <c r="G2054" s="664"/>
      <c r="H2054" s="665"/>
      <c r="I2054" s="599"/>
      <c r="J2054" s="599"/>
      <c r="K2054" s="611"/>
      <c r="L2054" s="611"/>
      <c r="M2054" s="621"/>
      <c r="N2054" s="621"/>
      <c r="O2054" s="621"/>
      <c r="P2054" s="706"/>
      <c r="Q2054" s="622"/>
      <c r="R2054" s="36"/>
      <c r="S2054" s="36"/>
      <c r="T2054" s="36"/>
      <c r="U2054" s="36"/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</row>
    <row r="2055" ht="22.5" customHeight="1">
      <c r="A2055" s="614"/>
      <c r="B2055" s="185"/>
      <c r="C2055" s="609"/>
      <c r="D2055" s="609"/>
      <c r="E2055" s="595"/>
      <c r="F2055" s="596"/>
      <c r="G2055" s="664"/>
      <c r="H2055" s="665"/>
      <c r="I2055" s="599"/>
      <c r="J2055" s="599"/>
      <c r="K2055" s="611"/>
      <c r="L2055" s="611"/>
      <c r="M2055" s="621"/>
      <c r="N2055" s="621"/>
      <c r="O2055" s="621"/>
      <c r="P2055" s="706"/>
      <c r="Q2055" s="622"/>
      <c r="R2055" s="36"/>
      <c r="S2055" s="36"/>
      <c r="T2055" s="36"/>
      <c r="U2055" s="36"/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</row>
    <row r="2056" ht="22.5" customHeight="1">
      <c r="A2056" s="614"/>
      <c r="B2056" s="185"/>
      <c r="C2056" s="609"/>
      <c r="D2056" s="609"/>
      <c r="E2056" s="595"/>
      <c r="F2056" s="596"/>
      <c r="G2056" s="664"/>
      <c r="H2056" s="665"/>
      <c r="I2056" s="599"/>
      <c r="J2056" s="599"/>
      <c r="K2056" s="611"/>
      <c r="L2056" s="611"/>
      <c r="M2056" s="621"/>
      <c r="N2056" s="621"/>
      <c r="O2056" s="621"/>
      <c r="P2056" s="706"/>
      <c r="Q2056" s="622"/>
      <c r="R2056" s="36"/>
      <c r="S2056" s="36"/>
      <c r="T2056" s="36"/>
      <c r="U2056" s="36"/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</row>
    <row r="2057" ht="22.5" customHeight="1">
      <c r="A2057" s="614"/>
      <c r="B2057" s="185"/>
      <c r="C2057" s="609"/>
      <c r="D2057" s="609"/>
      <c r="E2057" s="595"/>
      <c r="F2057" s="596"/>
      <c r="G2057" s="664"/>
      <c r="H2057" s="665"/>
      <c r="I2057" s="599"/>
      <c r="J2057" s="599"/>
      <c r="K2057" s="611"/>
      <c r="L2057" s="611"/>
      <c r="M2057" s="621"/>
      <c r="N2057" s="621"/>
      <c r="O2057" s="621"/>
      <c r="P2057" s="706"/>
      <c r="Q2057" s="622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</row>
    <row r="2058" ht="22.5" customHeight="1">
      <c r="A2058" s="614"/>
      <c r="B2058" s="185"/>
      <c r="C2058" s="609"/>
      <c r="D2058" s="609"/>
      <c r="E2058" s="595"/>
      <c r="F2058" s="596"/>
      <c r="G2058" s="664"/>
      <c r="H2058" s="665"/>
      <c r="I2058" s="599"/>
      <c r="J2058" s="599"/>
      <c r="K2058" s="611"/>
      <c r="L2058" s="611"/>
      <c r="M2058" s="621"/>
      <c r="N2058" s="621"/>
      <c r="O2058" s="621"/>
      <c r="P2058" s="706"/>
      <c r="Q2058" s="622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</row>
    <row r="2059" ht="22.5" customHeight="1">
      <c r="A2059" s="614"/>
      <c r="B2059" s="185"/>
      <c r="C2059" s="609"/>
      <c r="D2059" s="609"/>
      <c r="E2059" s="595"/>
      <c r="F2059" s="596"/>
      <c r="G2059" s="664"/>
      <c r="H2059" s="665"/>
      <c r="I2059" s="599"/>
      <c r="J2059" s="599"/>
      <c r="K2059" s="611"/>
      <c r="L2059" s="611"/>
      <c r="M2059" s="621"/>
      <c r="N2059" s="621"/>
      <c r="O2059" s="621"/>
      <c r="P2059" s="706"/>
      <c r="Q2059" s="622"/>
      <c r="R2059" s="36"/>
      <c r="S2059" s="36"/>
      <c r="T2059" s="36"/>
      <c r="U2059" s="36"/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</row>
    <row r="2060" ht="22.5" customHeight="1">
      <c r="A2060" s="614"/>
      <c r="B2060" s="185"/>
      <c r="C2060" s="609"/>
      <c r="D2060" s="609"/>
      <c r="E2060" s="595"/>
      <c r="F2060" s="596"/>
      <c r="G2060" s="664"/>
      <c r="H2060" s="665"/>
      <c r="I2060" s="599"/>
      <c r="J2060" s="599"/>
      <c r="K2060" s="611"/>
      <c r="L2060" s="611"/>
      <c r="M2060" s="621"/>
      <c r="N2060" s="621"/>
      <c r="O2060" s="621"/>
      <c r="P2060" s="706"/>
      <c r="Q2060" s="622"/>
      <c r="R2060" s="36"/>
      <c r="S2060" s="36"/>
      <c r="T2060" s="36"/>
      <c r="U2060" s="36"/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</row>
    <row r="2061" ht="22.5" customHeight="1">
      <c r="A2061" s="614"/>
      <c r="B2061" s="185"/>
      <c r="C2061" s="609"/>
      <c r="D2061" s="609"/>
      <c r="E2061" s="595"/>
      <c r="F2061" s="596"/>
      <c r="G2061" s="664"/>
      <c r="H2061" s="665"/>
      <c r="I2061" s="599"/>
      <c r="J2061" s="599"/>
      <c r="K2061" s="611"/>
      <c r="L2061" s="611"/>
      <c r="M2061" s="621"/>
      <c r="N2061" s="621"/>
      <c r="O2061" s="621"/>
      <c r="P2061" s="706"/>
      <c r="Q2061" s="622"/>
      <c r="R2061" s="36"/>
      <c r="S2061" s="36"/>
      <c r="T2061" s="36"/>
      <c r="U2061" s="36"/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</row>
    <row r="2062" ht="22.5" customHeight="1">
      <c r="A2062" s="614"/>
      <c r="B2062" s="185"/>
      <c r="C2062" s="609"/>
      <c r="D2062" s="609"/>
      <c r="E2062" s="595"/>
      <c r="F2062" s="596"/>
      <c r="G2062" s="664"/>
      <c r="H2062" s="665"/>
      <c r="I2062" s="599"/>
      <c r="J2062" s="599"/>
      <c r="K2062" s="611"/>
      <c r="L2062" s="611"/>
      <c r="M2062" s="621"/>
      <c r="N2062" s="621"/>
      <c r="O2062" s="621"/>
      <c r="P2062" s="706"/>
      <c r="Q2062" s="622"/>
      <c r="R2062" s="36"/>
      <c r="S2062" s="36"/>
      <c r="T2062" s="36"/>
      <c r="U2062" s="36"/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</row>
    <row r="2063" ht="22.5" customHeight="1">
      <c r="A2063" s="614"/>
      <c r="B2063" s="185"/>
      <c r="C2063" s="609"/>
      <c r="D2063" s="609"/>
      <c r="E2063" s="595"/>
      <c r="F2063" s="596"/>
      <c r="G2063" s="664"/>
      <c r="H2063" s="665"/>
      <c r="I2063" s="599"/>
      <c r="J2063" s="599"/>
      <c r="K2063" s="611"/>
      <c r="L2063" s="611"/>
      <c r="M2063" s="621"/>
      <c r="N2063" s="621"/>
      <c r="O2063" s="621"/>
      <c r="P2063" s="706"/>
      <c r="Q2063" s="622"/>
      <c r="R2063" s="36"/>
      <c r="S2063" s="36"/>
      <c r="T2063" s="36"/>
      <c r="U2063" s="36"/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</row>
    <row r="2064" ht="22.5" customHeight="1">
      <c r="A2064" s="614"/>
      <c r="B2064" s="185"/>
      <c r="C2064" s="609"/>
      <c r="D2064" s="609"/>
      <c r="E2064" s="595"/>
      <c r="F2064" s="596"/>
      <c r="G2064" s="664"/>
      <c r="H2064" s="665"/>
      <c r="I2064" s="599"/>
      <c r="J2064" s="599"/>
      <c r="K2064" s="611"/>
      <c r="L2064" s="611"/>
      <c r="M2064" s="621"/>
      <c r="N2064" s="621"/>
      <c r="O2064" s="621"/>
      <c r="P2064" s="706"/>
      <c r="Q2064" s="622"/>
      <c r="R2064" s="36"/>
      <c r="S2064" s="36"/>
      <c r="T2064" s="36"/>
      <c r="U2064" s="36"/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</row>
    <row r="2065" ht="22.5" customHeight="1">
      <c r="A2065" s="614"/>
      <c r="B2065" s="185"/>
      <c r="C2065" s="609"/>
      <c r="D2065" s="609"/>
      <c r="E2065" s="595"/>
      <c r="F2065" s="596"/>
      <c r="G2065" s="664"/>
      <c r="H2065" s="665"/>
      <c r="I2065" s="599"/>
      <c r="J2065" s="599"/>
      <c r="K2065" s="611"/>
      <c r="L2065" s="611"/>
      <c r="M2065" s="621"/>
      <c r="N2065" s="621"/>
      <c r="O2065" s="621"/>
      <c r="P2065" s="706"/>
      <c r="Q2065" s="622"/>
      <c r="R2065" s="36"/>
      <c r="S2065" s="36"/>
      <c r="T2065" s="36"/>
      <c r="U2065" s="36"/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</row>
    <row r="2066" ht="22.5" customHeight="1">
      <c r="A2066" s="614"/>
      <c r="B2066" s="185"/>
      <c r="C2066" s="609"/>
      <c r="D2066" s="609"/>
      <c r="E2066" s="595"/>
      <c r="F2066" s="596"/>
      <c r="G2066" s="664"/>
      <c r="H2066" s="665"/>
      <c r="I2066" s="599"/>
      <c r="J2066" s="599"/>
      <c r="K2066" s="611"/>
      <c r="L2066" s="611"/>
      <c r="M2066" s="621"/>
      <c r="N2066" s="621"/>
      <c r="O2066" s="621"/>
      <c r="P2066" s="706"/>
      <c r="Q2066" s="622"/>
      <c r="R2066" s="36"/>
      <c r="S2066" s="36"/>
      <c r="T2066" s="36"/>
      <c r="U2066" s="36"/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</row>
    <row r="2067" ht="22.5" customHeight="1">
      <c r="A2067" s="614"/>
      <c r="B2067" s="185"/>
      <c r="C2067" s="609"/>
      <c r="D2067" s="609"/>
      <c r="E2067" s="595"/>
      <c r="F2067" s="596"/>
      <c r="G2067" s="664"/>
      <c r="H2067" s="665"/>
      <c r="I2067" s="599"/>
      <c r="J2067" s="599"/>
      <c r="K2067" s="611"/>
      <c r="L2067" s="611"/>
      <c r="M2067" s="621"/>
      <c r="N2067" s="621"/>
      <c r="O2067" s="621"/>
      <c r="P2067" s="706"/>
      <c r="Q2067" s="622"/>
      <c r="R2067" s="36"/>
      <c r="S2067" s="36"/>
      <c r="T2067" s="36"/>
      <c r="U2067" s="36"/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</row>
    <row r="2068" ht="22.5" customHeight="1">
      <c r="A2068" s="614"/>
      <c r="B2068" s="185"/>
      <c r="C2068" s="609"/>
      <c r="D2068" s="609"/>
      <c r="E2068" s="595"/>
      <c r="F2068" s="596"/>
      <c r="G2068" s="664"/>
      <c r="H2068" s="665"/>
      <c r="I2068" s="599"/>
      <c r="J2068" s="599"/>
      <c r="K2068" s="611"/>
      <c r="L2068" s="611"/>
      <c r="M2068" s="621"/>
      <c r="N2068" s="621"/>
      <c r="O2068" s="621"/>
      <c r="P2068" s="706"/>
      <c r="Q2068" s="622"/>
      <c r="R2068" s="36"/>
      <c r="S2068" s="36"/>
      <c r="T2068" s="36"/>
      <c r="U2068" s="36"/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</row>
    <row r="2069" ht="22.5" customHeight="1">
      <c r="A2069" s="614"/>
      <c r="B2069" s="185"/>
      <c r="C2069" s="609"/>
      <c r="D2069" s="609"/>
      <c r="E2069" s="595"/>
      <c r="F2069" s="596"/>
      <c r="G2069" s="664"/>
      <c r="H2069" s="665"/>
      <c r="I2069" s="599"/>
      <c r="J2069" s="599"/>
      <c r="K2069" s="611"/>
      <c r="L2069" s="611"/>
      <c r="M2069" s="621"/>
      <c r="N2069" s="621"/>
      <c r="O2069" s="621"/>
      <c r="P2069" s="706"/>
      <c r="Q2069" s="622"/>
      <c r="R2069" s="36"/>
      <c r="S2069" s="36"/>
      <c r="T2069" s="36"/>
      <c r="U2069" s="36"/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</row>
    <row r="2070" ht="22.5" customHeight="1">
      <c r="A2070" s="614"/>
      <c r="B2070" s="185"/>
      <c r="C2070" s="609"/>
      <c r="D2070" s="609"/>
      <c r="E2070" s="595"/>
      <c r="F2070" s="596"/>
      <c r="G2070" s="664"/>
      <c r="H2070" s="665"/>
      <c r="I2070" s="599"/>
      <c r="J2070" s="599"/>
      <c r="K2070" s="611"/>
      <c r="L2070" s="611"/>
      <c r="M2070" s="621"/>
      <c r="N2070" s="621"/>
      <c r="O2070" s="621"/>
      <c r="P2070" s="706"/>
      <c r="Q2070" s="622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</row>
    <row r="2071" ht="22.5" customHeight="1">
      <c r="A2071" s="614"/>
      <c r="B2071" s="185"/>
      <c r="C2071" s="609"/>
      <c r="D2071" s="609"/>
      <c r="E2071" s="595"/>
      <c r="F2071" s="596"/>
      <c r="G2071" s="664"/>
      <c r="H2071" s="665"/>
      <c r="I2071" s="599"/>
      <c r="J2071" s="599"/>
      <c r="K2071" s="611"/>
      <c r="L2071" s="611"/>
      <c r="M2071" s="621"/>
      <c r="N2071" s="621"/>
      <c r="O2071" s="621"/>
      <c r="P2071" s="706"/>
      <c r="Q2071" s="622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</row>
    <row r="2072" ht="22.5" customHeight="1">
      <c r="A2072" s="614"/>
      <c r="B2072" s="185"/>
      <c r="C2072" s="609"/>
      <c r="D2072" s="609"/>
      <c r="E2072" s="595"/>
      <c r="F2072" s="596"/>
      <c r="G2072" s="664"/>
      <c r="H2072" s="665"/>
      <c r="I2072" s="599"/>
      <c r="J2072" s="599"/>
      <c r="K2072" s="611"/>
      <c r="L2072" s="611"/>
      <c r="M2072" s="621"/>
      <c r="N2072" s="621"/>
      <c r="O2072" s="621"/>
      <c r="P2072" s="706"/>
      <c r="Q2072" s="622"/>
      <c r="R2072" s="36"/>
      <c r="S2072" s="36"/>
      <c r="T2072" s="36"/>
      <c r="U2072" s="36"/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</row>
    <row r="2073" ht="22.5" customHeight="1">
      <c r="A2073" s="614"/>
      <c r="B2073" s="185"/>
      <c r="C2073" s="609"/>
      <c r="D2073" s="609"/>
      <c r="E2073" s="595"/>
      <c r="F2073" s="596"/>
      <c r="G2073" s="664"/>
      <c r="H2073" s="665"/>
      <c r="I2073" s="599"/>
      <c r="J2073" s="599"/>
      <c r="K2073" s="611"/>
      <c r="L2073" s="611"/>
      <c r="M2073" s="621"/>
      <c r="N2073" s="621"/>
      <c r="O2073" s="621"/>
      <c r="P2073" s="706"/>
      <c r="Q2073" s="622"/>
      <c r="R2073" s="36"/>
      <c r="S2073" s="36"/>
      <c r="T2073" s="36"/>
      <c r="U2073" s="36"/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</row>
    <row r="2074" ht="22.5" customHeight="1">
      <c r="A2074" s="614"/>
      <c r="B2074" s="185"/>
      <c r="C2074" s="609"/>
      <c r="D2074" s="609"/>
      <c r="E2074" s="595"/>
      <c r="F2074" s="596"/>
      <c r="G2074" s="664"/>
      <c r="H2074" s="665"/>
      <c r="I2074" s="599"/>
      <c r="J2074" s="599"/>
      <c r="K2074" s="611"/>
      <c r="L2074" s="611"/>
      <c r="M2074" s="621"/>
      <c r="N2074" s="621"/>
      <c r="O2074" s="621"/>
      <c r="P2074" s="706"/>
      <c r="Q2074" s="622"/>
      <c r="R2074" s="36"/>
      <c r="S2074" s="36"/>
      <c r="T2074" s="36"/>
      <c r="U2074" s="36"/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</row>
    <row r="2075" ht="22.5" customHeight="1">
      <c r="A2075" s="614"/>
      <c r="B2075" s="185"/>
      <c r="C2075" s="609"/>
      <c r="D2075" s="609"/>
      <c r="E2075" s="595"/>
      <c r="F2075" s="596"/>
      <c r="G2075" s="664"/>
      <c r="H2075" s="665"/>
      <c r="I2075" s="599"/>
      <c r="J2075" s="599"/>
      <c r="K2075" s="611"/>
      <c r="L2075" s="611"/>
      <c r="M2075" s="621"/>
      <c r="N2075" s="621"/>
      <c r="O2075" s="621"/>
      <c r="P2075" s="706"/>
      <c r="Q2075" s="622"/>
      <c r="R2075" s="36"/>
      <c r="S2075" s="36"/>
      <c r="T2075" s="36"/>
      <c r="U2075" s="36"/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</row>
    <row r="2076" ht="22.5" customHeight="1">
      <c r="A2076" s="614"/>
      <c r="B2076" s="185"/>
      <c r="C2076" s="609"/>
      <c r="D2076" s="609"/>
      <c r="E2076" s="595"/>
      <c r="F2076" s="596"/>
      <c r="G2076" s="664"/>
      <c r="H2076" s="665"/>
      <c r="I2076" s="599"/>
      <c r="J2076" s="599"/>
      <c r="K2076" s="611"/>
      <c r="L2076" s="611"/>
      <c r="M2076" s="621"/>
      <c r="N2076" s="621"/>
      <c r="O2076" s="621"/>
      <c r="P2076" s="706"/>
      <c r="Q2076" s="622"/>
      <c r="R2076" s="36"/>
      <c r="S2076" s="36"/>
      <c r="T2076" s="36"/>
      <c r="U2076" s="36"/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</row>
    <row r="2077" ht="22.5" customHeight="1">
      <c r="A2077" s="614"/>
      <c r="B2077" s="185"/>
      <c r="C2077" s="609"/>
      <c r="D2077" s="609"/>
      <c r="E2077" s="595"/>
      <c r="F2077" s="596"/>
      <c r="G2077" s="664"/>
      <c r="H2077" s="665"/>
      <c r="I2077" s="599"/>
      <c r="J2077" s="599"/>
      <c r="K2077" s="611"/>
      <c r="L2077" s="611"/>
      <c r="M2077" s="621"/>
      <c r="N2077" s="621"/>
      <c r="O2077" s="621"/>
      <c r="P2077" s="706"/>
      <c r="Q2077" s="622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</row>
    <row r="2078" ht="22.5" customHeight="1">
      <c r="A2078" s="614"/>
      <c r="B2078" s="185"/>
      <c r="C2078" s="609"/>
      <c r="D2078" s="609"/>
      <c r="E2078" s="595"/>
      <c r="F2078" s="596"/>
      <c r="G2078" s="664"/>
      <c r="H2078" s="665"/>
      <c r="I2078" s="599"/>
      <c r="J2078" s="599"/>
      <c r="K2078" s="611"/>
      <c r="L2078" s="611"/>
      <c r="M2078" s="621"/>
      <c r="N2078" s="621"/>
      <c r="O2078" s="621"/>
      <c r="P2078" s="706"/>
      <c r="Q2078" s="622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</row>
    <row r="2079" ht="22.5" customHeight="1">
      <c r="A2079" s="614"/>
      <c r="B2079" s="185"/>
      <c r="C2079" s="609"/>
      <c r="D2079" s="609"/>
      <c r="E2079" s="595"/>
      <c r="F2079" s="596"/>
      <c r="G2079" s="664"/>
      <c r="H2079" s="665"/>
      <c r="I2079" s="599"/>
      <c r="J2079" s="599"/>
      <c r="K2079" s="611"/>
      <c r="L2079" s="611"/>
      <c r="M2079" s="621"/>
      <c r="N2079" s="621"/>
      <c r="O2079" s="621"/>
      <c r="P2079" s="706"/>
      <c r="Q2079" s="622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</row>
    <row r="2080" ht="22.5" customHeight="1">
      <c r="A2080" s="614"/>
      <c r="B2080" s="185"/>
      <c r="C2080" s="609"/>
      <c r="D2080" s="609"/>
      <c r="E2080" s="595"/>
      <c r="F2080" s="596"/>
      <c r="G2080" s="664"/>
      <c r="H2080" s="665"/>
      <c r="I2080" s="599"/>
      <c r="J2080" s="599"/>
      <c r="K2080" s="611"/>
      <c r="L2080" s="611"/>
      <c r="M2080" s="621"/>
      <c r="N2080" s="621"/>
      <c r="O2080" s="621"/>
      <c r="P2080" s="706"/>
      <c r="Q2080" s="622"/>
      <c r="R2080" s="36"/>
      <c r="S2080" s="36"/>
      <c r="T2080" s="36"/>
      <c r="U2080" s="36"/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</row>
    <row r="2081" ht="22.5" customHeight="1">
      <c r="A2081" s="614"/>
      <c r="B2081" s="185"/>
      <c r="C2081" s="609"/>
      <c r="D2081" s="609"/>
      <c r="E2081" s="595"/>
      <c r="F2081" s="596"/>
      <c r="G2081" s="664"/>
      <c r="H2081" s="665"/>
      <c r="I2081" s="599"/>
      <c r="J2081" s="599"/>
      <c r="K2081" s="611"/>
      <c r="L2081" s="611"/>
      <c r="M2081" s="621"/>
      <c r="N2081" s="621"/>
      <c r="O2081" s="621"/>
      <c r="P2081" s="706"/>
      <c r="Q2081" s="622"/>
      <c r="R2081" s="36"/>
      <c r="S2081" s="36"/>
      <c r="T2081" s="36"/>
      <c r="U2081" s="36"/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</row>
    <row r="2082" ht="22.5" customHeight="1">
      <c r="A2082" s="614"/>
      <c r="B2082" s="185"/>
      <c r="C2082" s="609"/>
      <c r="D2082" s="609"/>
      <c r="E2082" s="595"/>
      <c r="F2082" s="596"/>
      <c r="G2082" s="664"/>
      <c r="H2082" s="665"/>
      <c r="I2082" s="599"/>
      <c r="J2082" s="599"/>
      <c r="K2082" s="611"/>
      <c r="L2082" s="611"/>
      <c r="M2082" s="621"/>
      <c r="N2082" s="621"/>
      <c r="O2082" s="621"/>
      <c r="P2082" s="706"/>
      <c r="Q2082" s="622"/>
      <c r="R2082" s="36"/>
      <c r="S2082" s="36"/>
      <c r="T2082" s="36"/>
      <c r="U2082" s="36"/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</row>
    <row r="2083" ht="22.5" customHeight="1">
      <c r="A2083" s="614"/>
      <c r="B2083" s="185"/>
      <c r="C2083" s="609"/>
      <c r="D2083" s="609"/>
      <c r="E2083" s="595"/>
      <c r="F2083" s="596"/>
      <c r="G2083" s="664"/>
      <c r="H2083" s="665"/>
      <c r="I2083" s="599"/>
      <c r="J2083" s="599"/>
      <c r="K2083" s="611"/>
      <c r="L2083" s="611"/>
      <c r="M2083" s="621"/>
      <c r="N2083" s="621"/>
      <c r="O2083" s="621"/>
      <c r="P2083" s="706"/>
      <c r="Q2083" s="622"/>
      <c r="R2083" s="36"/>
      <c r="S2083" s="36"/>
      <c r="T2083" s="36"/>
      <c r="U2083" s="36"/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</row>
    <row r="2084" ht="22.5" customHeight="1">
      <c r="A2084" s="614"/>
      <c r="B2084" s="185"/>
      <c r="C2084" s="609"/>
      <c r="D2084" s="609"/>
      <c r="E2084" s="595"/>
      <c r="F2084" s="596"/>
      <c r="G2084" s="664"/>
      <c r="H2084" s="665"/>
      <c r="I2084" s="599"/>
      <c r="J2084" s="599"/>
      <c r="K2084" s="611"/>
      <c r="L2084" s="611"/>
      <c r="M2084" s="621"/>
      <c r="N2084" s="621"/>
      <c r="O2084" s="621"/>
      <c r="P2084" s="706"/>
      <c r="Q2084" s="622"/>
      <c r="R2084" s="36"/>
      <c r="S2084" s="36"/>
      <c r="T2084" s="36"/>
      <c r="U2084" s="36"/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</row>
    <row r="2085" ht="22.5" customHeight="1">
      <c r="A2085" s="614"/>
      <c r="B2085" s="185"/>
      <c r="C2085" s="609"/>
      <c r="D2085" s="609"/>
      <c r="E2085" s="595"/>
      <c r="F2085" s="596"/>
      <c r="G2085" s="664"/>
      <c r="H2085" s="665"/>
      <c r="I2085" s="599"/>
      <c r="J2085" s="599"/>
      <c r="K2085" s="611"/>
      <c r="L2085" s="611"/>
      <c r="M2085" s="621"/>
      <c r="N2085" s="621"/>
      <c r="O2085" s="621"/>
      <c r="P2085" s="706"/>
      <c r="Q2085" s="622"/>
      <c r="R2085" s="36"/>
      <c r="S2085" s="36"/>
      <c r="T2085" s="36"/>
      <c r="U2085" s="36"/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</row>
    <row r="2086" ht="22.5" customHeight="1">
      <c r="A2086" s="614"/>
      <c r="B2086" s="185"/>
      <c r="C2086" s="609"/>
      <c r="D2086" s="609"/>
      <c r="E2086" s="595"/>
      <c r="F2086" s="596"/>
      <c r="G2086" s="664"/>
      <c r="H2086" s="665"/>
      <c r="I2086" s="599"/>
      <c r="J2086" s="599"/>
      <c r="K2086" s="611"/>
      <c r="L2086" s="611"/>
      <c r="M2086" s="621"/>
      <c r="N2086" s="621"/>
      <c r="O2086" s="621"/>
      <c r="P2086" s="706"/>
      <c r="Q2086" s="622"/>
      <c r="R2086" s="36"/>
      <c r="S2086" s="36"/>
      <c r="T2086" s="36"/>
      <c r="U2086" s="36"/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</row>
    <row r="2087" ht="22.5" customHeight="1">
      <c r="A2087" s="614"/>
      <c r="B2087" s="185"/>
      <c r="C2087" s="609"/>
      <c r="D2087" s="609"/>
      <c r="E2087" s="595"/>
      <c r="F2087" s="596"/>
      <c r="G2087" s="664"/>
      <c r="H2087" s="665"/>
      <c r="I2087" s="599"/>
      <c r="J2087" s="599"/>
      <c r="K2087" s="611"/>
      <c r="L2087" s="611"/>
      <c r="M2087" s="621"/>
      <c r="N2087" s="621"/>
      <c r="O2087" s="621"/>
      <c r="P2087" s="706"/>
      <c r="Q2087" s="622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</row>
    <row r="2088" ht="22.5" customHeight="1">
      <c r="A2088" s="614"/>
      <c r="B2088" s="185"/>
      <c r="C2088" s="609"/>
      <c r="D2088" s="609"/>
      <c r="E2088" s="595"/>
      <c r="F2088" s="596"/>
      <c r="G2088" s="664"/>
      <c r="H2088" s="665"/>
      <c r="I2088" s="599"/>
      <c r="J2088" s="599"/>
      <c r="K2088" s="611"/>
      <c r="L2088" s="611"/>
      <c r="M2088" s="621"/>
      <c r="N2088" s="621"/>
      <c r="O2088" s="621"/>
      <c r="P2088" s="706"/>
      <c r="Q2088" s="622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</row>
    <row r="2089" ht="22.5" customHeight="1">
      <c r="A2089" s="614"/>
      <c r="B2089" s="185"/>
      <c r="C2089" s="609"/>
      <c r="D2089" s="609"/>
      <c r="E2089" s="595"/>
      <c r="F2089" s="596"/>
      <c r="G2089" s="664"/>
      <c r="H2089" s="665"/>
      <c r="I2089" s="599"/>
      <c r="J2089" s="599"/>
      <c r="K2089" s="611"/>
      <c r="L2089" s="611"/>
      <c r="M2089" s="621"/>
      <c r="N2089" s="621"/>
      <c r="O2089" s="621"/>
      <c r="P2089" s="706"/>
      <c r="Q2089" s="622"/>
      <c r="R2089" s="36"/>
      <c r="S2089" s="36"/>
      <c r="T2089" s="36"/>
      <c r="U2089" s="36"/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</row>
    <row r="2090" ht="22.5" customHeight="1">
      <c r="A2090" s="614"/>
      <c r="B2090" s="185"/>
      <c r="C2090" s="609"/>
      <c r="D2090" s="609"/>
      <c r="E2090" s="595"/>
      <c r="F2090" s="596"/>
      <c r="G2090" s="664"/>
      <c r="H2090" s="665"/>
      <c r="I2090" s="599"/>
      <c r="J2090" s="599"/>
      <c r="K2090" s="611"/>
      <c r="L2090" s="611"/>
      <c r="M2090" s="621"/>
      <c r="N2090" s="621"/>
      <c r="O2090" s="621"/>
      <c r="P2090" s="706"/>
      <c r="Q2090" s="622"/>
      <c r="R2090" s="36"/>
      <c r="S2090" s="36"/>
      <c r="T2090" s="36"/>
      <c r="U2090" s="36"/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</row>
    <row r="2091" ht="22.5" customHeight="1">
      <c r="A2091" s="614"/>
      <c r="B2091" s="185"/>
      <c r="C2091" s="609"/>
      <c r="D2091" s="609"/>
      <c r="E2091" s="595"/>
      <c r="F2091" s="596"/>
      <c r="G2091" s="664"/>
      <c r="H2091" s="665"/>
      <c r="I2091" s="599"/>
      <c r="J2091" s="599"/>
      <c r="K2091" s="611"/>
      <c r="L2091" s="611"/>
      <c r="M2091" s="621"/>
      <c r="N2091" s="621"/>
      <c r="O2091" s="621"/>
      <c r="P2091" s="706"/>
      <c r="Q2091" s="622"/>
      <c r="R2091" s="36"/>
      <c r="S2091" s="36"/>
      <c r="T2091" s="36"/>
      <c r="U2091" s="36"/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</row>
    <row r="2092" ht="22.5" customHeight="1">
      <c r="A2092" s="614"/>
      <c r="B2092" s="185"/>
      <c r="C2092" s="609"/>
      <c r="D2092" s="609"/>
      <c r="E2092" s="595"/>
      <c r="F2092" s="596"/>
      <c r="G2092" s="664"/>
      <c r="H2092" s="665"/>
      <c r="I2092" s="599"/>
      <c r="J2092" s="599"/>
      <c r="K2092" s="611"/>
      <c r="L2092" s="611"/>
      <c r="M2092" s="621"/>
      <c r="N2092" s="621"/>
      <c r="O2092" s="621"/>
      <c r="P2092" s="706"/>
      <c r="Q2092" s="622"/>
      <c r="R2092" s="36"/>
      <c r="S2092" s="36"/>
      <c r="T2092" s="36"/>
      <c r="U2092" s="36"/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</row>
    <row r="2093" ht="22.5" customHeight="1">
      <c r="A2093" s="614"/>
      <c r="B2093" s="185"/>
      <c r="C2093" s="609"/>
      <c r="D2093" s="609"/>
      <c r="E2093" s="595"/>
      <c r="F2093" s="596"/>
      <c r="G2093" s="664"/>
      <c r="H2093" s="665"/>
      <c r="I2093" s="599"/>
      <c r="J2093" s="599"/>
      <c r="K2093" s="611"/>
      <c r="L2093" s="611"/>
      <c r="M2093" s="621"/>
      <c r="N2093" s="621"/>
      <c r="O2093" s="621"/>
      <c r="P2093" s="706"/>
      <c r="Q2093" s="622"/>
      <c r="R2093" s="36"/>
      <c r="S2093" s="36"/>
      <c r="T2093" s="36"/>
      <c r="U2093" s="36"/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</row>
    <row r="2094" ht="22.5" customHeight="1">
      <c r="A2094" s="614"/>
      <c r="B2094" s="185"/>
      <c r="C2094" s="609"/>
      <c r="D2094" s="609"/>
      <c r="E2094" s="595"/>
      <c r="F2094" s="596"/>
      <c r="G2094" s="664"/>
      <c r="H2094" s="665"/>
      <c r="I2094" s="599"/>
      <c r="J2094" s="599"/>
      <c r="K2094" s="611"/>
      <c r="L2094" s="611"/>
      <c r="M2094" s="621"/>
      <c r="N2094" s="621"/>
      <c r="O2094" s="621"/>
      <c r="P2094" s="706"/>
      <c r="Q2094" s="622"/>
      <c r="R2094" s="36"/>
      <c r="S2094" s="36"/>
      <c r="T2094" s="36"/>
      <c r="U2094" s="36"/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</row>
    <row r="2095" ht="22.5" customHeight="1">
      <c r="A2095" s="614"/>
      <c r="B2095" s="185"/>
      <c r="C2095" s="609"/>
      <c r="D2095" s="609"/>
      <c r="E2095" s="595"/>
      <c r="F2095" s="596"/>
      <c r="G2095" s="664"/>
      <c r="H2095" s="665"/>
      <c r="I2095" s="599"/>
      <c r="J2095" s="599"/>
      <c r="K2095" s="611"/>
      <c r="L2095" s="611"/>
      <c r="M2095" s="621"/>
      <c r="N2095" s="621"/>
      <c r="O2095" s="621"/>
      <c r="P2095" s="706"/>
      <c r="Q2095" s="622"/>
      <c r="R2095" s="36"/>
      <c r="S2095" s="36"/>
      <c r="T2095" s="36"/>
      <c r="U2095" s="36"/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</row>
    <row r="2096" ht="22.5" customHeight="1">
      <c r="A2096" s="614"/>
      <c r="B2096" s="185"/>
      <c r="C2096" s="609"/>
      <c r="D2096" s="609"/>
      <c r="E2096" s="595"/>
      <c r="F2096" s="596"/>
      <c r="G2096" s="664"/>
      <c r="H2096" s="665"/>
      <c r="I2096" s="599"/>
      <c r="J2096" s="599"/>
      <c r="K2096" s="611"/>
      <c r="L2096" s="611"/>
      <c r="M2096" s="621"/>
      <c r="N2096" s="621"/>
      <c r="O2096" s="621"/>
      <c r="P2096" s="706"/>
      <c r="Q2096" s="622"/>
      <c r="R2096" s="36"/>
      <c r="S2096" s="36"/>
      <c r="T2096" s="36"/>
      <c r="U2096" s="36"/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</row>
    <row r="2097" ht="22.5" customHeight="1">
      <c r="A2097" s="614"/>
      <c r="B2097" s="185"/>
      <c r="C2097" s="609"/>
      <c r="D2097" s="609"/>
      <c r="E2097" s="595"/>
      <c r="F2097" s="596"/>
      <c r="G2097" s="664"/>
      <c r="H2097" s="665"/>
      <c r="I2097" s="599"/>
      <c r="J2097" s="599"/>
      <c r="K2097" s="611"/>
      <c r="L2097" s="611"/>
      <c r="M2097" s="621"/>
      <c r="N2097" s="621"/>
      <c r="O2097" s="621"/>
      <c r="P2097" s="706"/>
      <c r="Q2097" s="622"/>
      <c r="R2097" s="36"/>
      <c r="S2097" s="36"/>
      <c r="T2097" s="36"/>
      <c r="U2097" s="36"/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</row>
    <row r="2098" ht="22.5" customHeight="1">
      <c r="A2098" s="614"/>
      <c r="B2098" s="185"/>
      <c r="C2098" s="609"/>
      <c r="D2098" s="609"/>
      <c r="E2098" s="595"/>
      <c r="F2098" s="596"/>
      <c r="G2098" s="664"/>
      <c r="H2098" s="665"/>
      <c r="I2098" s="599"/>
      <c r="J2098" s="599"/>
      <c r="K2098" s="611"/>
      <c r="L2098" s="611"/>
      <c r="M2098" s="621"/>
      <c r="N2098" s="621"/>
      <c r="O2098" s="621"/>
      <c r="P2098" s="706"/>
      <c r="Q2098" s="622"/>
      <c r="R2098" s="36"/>
      <c r="S2098" s="36"/>
      <c r="T2098" s="36"/>
      <c r="U2098" s="36"/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</row>
    <row r="2099" ht="22.5" customHeight="1">
      <c r="A2099" s="614"/>
      <c r="B2099" s="185"/>
      <c r="C2099" s="609"/>
      <c r="D2099" s="609"/>
      <c r="E2099" s="595"/>
      <c r="F2099" s="596"/>
      <c r="G2099" s="664"/>
      <c r="H2099" s="665"/>
      <c r="I2099" s="599"/>
      <c r="J2099" s="599"/>
      <c r="K2099" s="611"/>
      <c r="L2099" s="611"/>
      <c r="M2099" s="621"/>
      <c r="N2099" s="621"/>
      <c r="O2099" s="621"/>
      <c r="P2099" s="706"/>
      <c r="Q2099" s="622"/>
      <c r="R2099" s="36"/>
      <c r="S2099" s="36"/>
      <c r="T2099" s="36"/>
      <c r="U2099" s="36"/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</row>
    <row r="2100" ht="22.5" customHeight="1">
      <c r="A2100" s="614"/>
      <c r="B2100" s="185"/>
      <c r="C2100" s="609"/>
      <c r="D2100" s="609"/>
      <c r="E2100" s="595"/>
      <c r="F2100" s="596"/>
      <c r="G2100" s="664"/>
      <c r="H2100" s="665"/>
      <c r="I2100" s="599"/>
      <c r="J2100" s="599"/>
      <c r="K2100" s="611"/>
      <c r="L2100" s="611"/>
      <c r="M2100" s="621"/>
      <c r="N2100" s="621"/>
      <c r="O2100" s="621"/>
      <c r="P2100" s="706"/>
      <c r="Q2100" s="622"/>
      <c r="R2100" s="36"/>
      <c r="S2100" s="36"/>
      <c r="T2100" s="36"/>
      <c r="U2100" s="36"/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</row>
    <row r="2101" ht="22.5" customHeight="1">
      <c r="A2101" s="614"/>
      <c r="B2101" s="185"/>
      <c r="C2101" s="609"/>
      <c r="D2101" s="609"/>
      <c r="E2101" s="595"/>
      <c r="F2101" s="596"/>
      <c r="G2101" s="664"/>
      <c r="H2101" s="665"/>
      <c r="I2101" s="599"/>
      <c r="J2101" s="599"/>
      <c r="K2101" s="611"/>
      <c r="L2101" s="611"/>
      <c r="M2101" s="621"/>
      <c r="N2101" s="621"/>
      <c r="O2101" s="621"/>
      <c r="P2101" s="706"/>
      <c r="Q2101" s="622"/>
      <c r="R2101" s="36"/>
      <c r="S2101" s="36"/>
      <c r="T2101" s="36"/>
      <c r="U2101" s="36"/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</row>
    <row r="2102" ht="22.5" customHeight="1">
      <c r="A2102" s="614"/>
      <c r="B2102" s="185"/>
      <c r="C2102" s="609"/>
      <c r="D2102" s="609"/>
      <c r="E2102" s="595"/>
      <c r="F2102" s="596"/>
      <c r="G2102" s="664"/>
      <c r="H2102" s="665"/>
      <c r="I2102" s="599"/>
      <c r="J2102" s="599"/>
      <c r="K2102" s="611"/>
      <c r="L2102" s="611"/>
      <c r="M2102" s="621"/>
      <c r="N2102" s="621"/>
      <c r="O2102" s="621"/>
      <c r="P2102" s="706"/>
      <c r="Q2102" s="622"/>
      <c r="R2102" s="36"/>
      <c r="S2102" s="36"/>
      <c r="T2102" s="36"/>
      <c r="U2102" s="36"/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</row>
    <row r="2103" ht="22.5" customHeight="1">
      <c r="A2103" s="614"/>
      <c r="B2103" s="185"/>
      <c r="C2103" s="609"/>
      <c r="D2103" s="609"/>
      <c r="E2103" s="595"/>
      <c r="F2103" s="596"/>
      <c r="G2103" s="664"/>
      <c r="H2103" s="665"/>
      <c r="I2103" s="599"/>
      <c r="J2103" s="599"/>
      <c r="K2103" s="611"/>
      <c r="L2103" s="611"/>
      <c r="M2103" s="621"/>
      <c r="N2103" s="621"/>
      <c r="O2103" s="621"/>
      <c r="P2103" s="706"/>
      <c r="Q2103" s="622"/>
      <c r="R2103" s="36"/>
      <c r="S2103" s="36"/>
      <c r="T2103" s="36"/>
      <c r="U2103" s="36"/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</row>
    <row r="2104" ht="22.5" customHeight="1">
      <c r="A2104" s="614"/>
      <c r="B2104" s="185"/>
      <c r="C2104" s="609"/>
      <c r="D2104" s="609"/>
      <c r="E2104" s="595"/>
      <c r="F2104" s="596"/>
      <c r="G2104" s="664"/>
      <c r="H2104" s="665"/>
      <c r="I2104" s="599"/>
      <c r="J2104" s="599"/>
      <c r="K2104" s="611"/>
      <c r="L2104" s="611"/>
      <c r="M2104" s="621"/>
      <c r="N2104" s="621"/>
      <c r="O2104" s="621"/>
      <c r="P2104" s="706"/>
      <c r="Q2104" s="622"/>
      <c r="R2104" s="36"/>
      <c r="S2104" s="36"/>
      <c r="T2104" s="36"/>
      <c r="U2104" s="36"/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</row>
    <row r="2105" ht="22.5" customHeight="1">
      <c r="A2105" s="614"/>
      <c r="B2105" s="185"/>
      <c r="C2105" s="609"/>
      <c r="D2105" s="609"/>
      <c r="E2105" s="595"/>
      <c r="F2105" s="596"/>
      <c r="G2105" s="664"/>
      <c r="H2105" s="665"/>
      <c r="I2105" s="599"/>
      <c r="J2105" s="599"/>
      <c r="K2105" s="611"/>
      <c r="L2105" s="611"/>
      <c r="M2105" s="621"/>
      <c r="N2105" s="621"/>
      <c r="O2105" s="621"/>
      <c r="P2105" s="706"/>
      <c r="Q2105" s="622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</row>
    <row r="2106" ht="22.5" customHeight="1">
      <c r="A2106" s="614"/>
      <c r="B2106" s="185"/>
      <c r="C2106" s="609"/>
      <c r="D2106" s="609"/>
      <c r="E2106" s="595"/>
      <c r="F2106" s="596"/>
      <c r="G2106" s="664"/>
      <c r="H2106" s="665"/>
      <c r="I2106" s="599"/>
      <c r="J2106" s="599"/>
      <c r="K2106" s="611"/>
      <c r="L2106" s="611"/>
      <c r="M2106" s="621"/>
      <c r="N2106" s="621"/>
      <c r="O2106" s="621"/>
      <c r="P2106" s="706"/>
      <c r="Q2106" s="622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</row>
    <row r="2107" ht="22.5" customHeight="1">
      <c r="A2107" s="614"/>
      <c r="B2107" s="185"/>
      <c r="C2107" s="609"/>
      <c r="D2107" s="609"/>
      <c r="E2107" s="595"/>
      <c r="F2107" s="596"/>
      <c r="G2107" s="664"/>
      <c r="H2107" s="665"/>
      <c r="I2107" s="599"/>
      <c r="J2107" s="599"/>
      <c r="K2107" s="611"/>
      <c r="L2107" s="611"/>
      <c r="M2107" s="621"/>
      <c r="N2107" s="621"/>
      <c r="O2107" s="621"/>
      <c r="P2107" s="706"/>
      <c r="Q2107" s="622"/>
      <c r="R2107" s="36"/>
      <c r="S2107" s="36"/>
      <c r="T2107" s="36"/>
      <c r="U2107" s="36"/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</row>
    <row r="2108" ht="22.5" customHeight="1">
      <c r="A2108" s="614"/>
      <c r="B2108" s="185"/>
      <c r="C2108" s="609"/>
      <c r="D2108" s="609"/>
      <c r="E2108" s="595"/>
      <c r="F2108" s="596"/>
      <c r="G2108" s="664"/>
      <c r="H2108" s="665"/>
      <c r="I2108" s="599"/>
      <c r="J2108" s="599"/>
      <c r="K2108" s="611"/>
      <c r="L2108" s="611"/>
      <c r="M2108" s="621"/>
      <c r="N2108" s="621"/>
      <c r="O2108" s="621"/>
      <c r="P2108" s="706"/>
      <c r="Q2108" s="622"/>
      <c r="R2108" s="36"/>
      <c r="S2108" s="36"/>
      <c r="T2108" s="36"/>
      <c r="U2108" s="36"/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</row>
    <row r="2109" ht="22.5" customHeight="1">
      <c r="A2109" s="614"/>
      <c r="B2109" s="185"/>
      <c r="C2109" s="609"/>
      <c r="D2109" s="609"/>
      <c r="E2109" s="595"/>
      <c r="F2109" s="596"/>
      <c r="G2109" s="664"/>
      <c r="H2109" s="665"/>
      <c r="I2109" s="599"/>
      <c r="J2109" s="599"/>
      <c r="K2109" s="611"/>
      <c r="L2109" s="611"/>
      <c r="M2109" s="621"/>
      <c r="N2109" s="621"/>
      <c r="O2109" s="621"/>
      <c r="P2109" s="706"/>
      <c r="Q2109" s="622"/>
      <c r="R2109" s="36"/>
      <c r="S2109" s="36"/>
      <c r="T2109" s="36"/>
      <c r="U2109" s="36"/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</row>
    <row r="2110" ht="22.5" customHeight="1">
      <c r="A2110" s="614"/>
      <c r="B2110" s="185"/>
      <c r="C2110" s="609"/>
      <c r="D2110" s="609"/>
      <c r="E2110" s="595"/>
      <c r="F2110" s="596"/>
      <c r="G2110" s="664"/>
      <c r="H2110" s="665"/>
      <c r="I2110" s="599"/>
      <c r="J2110" s="599"/>
      <c r="K2110" s="611"/>
      <c r="L2110" s="611"/>
      <c r="M2110" s="621"/>
      <c r="N2110" s="621"/>
      <c r="O2110" s="621"/>
      <c r="P2110" s="706"/>
      <c r="Q2110" s="622"/>
      <c r="R2110" s="36"/>
      <c r="S2110" s="36"/>
      <c r="T2110" s="36"/>
      <c r="U2110" s="36"/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</row>
    <row r="2111" ht="22.5" customHeight="1">
      <c r="A2111" s="614"/>
      <c r="B2111" s="185"/>
      <c r="C2111" s="609"/>
      <c r="D2111" s="609"/>
      <c r="E2111" s="595"/>
      <c r="F2111" s="596"/>
      <c r="G2111" s="664"/>
      <c r="H2111" s="665"/>
      <c r="I2111" s="599"/>
      <c r="J2111" s="599"/>
      <c r="K2111" s="611"/>
      <c r="L2111" s="611"/>
      <c r="M2111" s="621"/>
      <c r="N2111" s="621"/>
      <c r="O2111" s="621"/>
      <c r="P2111" s="706"/>
      <c r="Q2111" s="622"/>
      <c r="R2111" s="36"/>
      <c r="S2111" s="36"/>
      <c r="T2111" s="36"/>
      <c r="U2111" s="36"/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</row>
    <row r="2112" ht="22.5" customHeight="1">
      <c r="A2112" s="614"/>
      <c r="B2112" s="185"/>
      <c r="C2112" s="609"/>
      <c r="D2112" s="609"/>
      <c r="E2112" s="595"/>
      <c r="F2112" s="596"/>
      <c r="G2112" s="664"/>
      <c r="H2112" s="665"/>
      <c r="I2112" s="599"/>
      <c r="J2112" s="599"/>
      <c r="K2112" s="611"/>
      <c r="L2112" s="611"/>
      <c r="M2112" s="621"/>
      <c r="N2112" s="621"/>
      <c r="O2112" s="621"/>
      <c r="P2112" s="706"/>
      <c r="Q2112" s="622"/>
      <c r="R2112" s="36"/>
      <c r="S2112" s="36"/>
      <c r="T2112" s="36"/>
      <c r="U2112" s="36"/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</row>
    <row r="2113" ht="22.5" customHeight="1">
      <c r="A2113" s="614"/>
      <c r="B2113" s="185"/>
      <c r="C2113" s="609"/>
      <c r="D2113" s="609"/>
      <c r="E2113" s="595"/>
      <c r="F2113" s="596"/>
      <c r="G2113" s="664"/>
      <c r="H2113" s="665"/>
      <c r="I2113" s="599"/>
      <c r="J2113" s="599"/>
      <c r="K2113" s="611"/>
      <c r="L2113" s="611"/>
      <c r="M2113" s="621"/>
      <c r="N2113" s="621"/>
      <c r="O2113" s="621"/>
      <c r="P2113" s="706"/>
      <c r="Q2113" s="622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</row>
    <row r="2114" ht="22.5" customHeight="1">
      <c r="A2114" s="614"/>
      <c r="B2114" s="185"/>
      <c r="C2114" s="609"/>
      <c r="D2114" s="609"/>
      <c r="E2114" s="595"/>
      <c r="F2114" s="596"/>
      <c r="G2114" s="664"/>
      <c r="H2114" s="665"/>
      <c r="I2114" s="599"/>
      <c r="J2114" s="599"/>
      <c r="K2114" s="611"/>
      <c r="L2114" s="611"/>
      <c r="M2114" s="621"/>
      <c r="N2114" s="621"/>
      <c r="O2114" s="621"/>
      <c r="P2114" s="706"/>
      <c r="Q2114" s="622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</row>
    <row r="2115" ht="22.5" customHeight="1">
      <c r="A2115" s="614"/>
      <c r="B2115" s="185"/>
      <c r="C2115" s="609"/>
      <c r="D2115" s="609"/>
      <c r="E2115" s="595"/>
      <c r="F2115" s="596"/>
      <c r="G2115" s="664"/>
      <c r="H2115" s="665"/>
      <c r="I2115" s="599"/>
      <c r="J2115" s="599"/>
      <c r="K2115" s="611"/>
      <c r="L2115" s="611"/>
      <c r="M2115" s="621"/>
      <c r="N2115" s="621"/>
      <c r="O2115" s="621"/>
      <c r="P2115" s="706"/>
      <c r="Q2115" s="622"/>
      <c r="R2115" s="36"/>
      <c r="S2115" s="36"/>
      <c r="T2115" s="36"/>
      <c r="U2115" s="36"/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</row>
    <row r="2116" ht="22.5" customHeight="1">
      <c r="A2116" s="614"/>
      <c r="B2116" s="185"/>
      <c r="C2116" s="609"/>
      <c r="D2116" s="609"/>
      <c r="E2116" s="595"/>
      <c r="F2116" s="596"/>
      <c r="G2116" s="664"/>
      <c r="H2116" s="665"/>
      <c r="I2116" s="599"/>
      <c r="J2116" s="599"/>
      <c r="K2116" s="611"/>
      <c r="L2116" s="611"/>
      <c r="M2116" s="621"/>
      <c r="N2116" s="621"/>
      <c r="O2116" s="621"/>
      <c r="P2116" s="706"/>
      <c r="Q2116" s="622"/>
      <c r="R2116" s="36"/>
      <c r="S2116" s="36"/>
      <c r="T2116" s="36"/>
      <c r="U2116" s="36"/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</row>
    <row r="2117" ht="22.5" customHeight="1">
      <c r="A2117" s="614"/>
      <c r="B2117" s="185"/>
      <c r="C2117" s="609"/>
      <c r="D2117" s="609"/>
      <c r="E2117" s="595"/>
      <c r="F2117" s="596"/>
      <c r="G2117" s="664"/>
      <c r="H2117" s="665"/>
      <c r="I2117" s="599"/>
      <c r="J2117" s="599"/>
      <c r="K2117" s="611"/>
      <c r="L2117" s="611"/>
      <c r="M2117" s="621"/>
      <c r="N2117" s="621"/>
      <c r="O2117" s="621"/>
      <c r="P2117" s="706"/>
      <c r="Q2117" s="622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</row>
    <row r="2118" ht="22.5" customHeight="1">
      <c r="A2118" s="614"/>
      <c r="B2118" s="185"/>
      <c r="C2118" s="609"/>
      <c r="D2118" s="609"/>
      <c r="E2118" s="595"/>
      <c r="F2118" s="596"/>
      <c r="G2118" s="664"/>
      <c r="H2118" s="665"/>
      <c r="I2118" s="599"/>
      <c r="J2118" s="599"/>
      <c r="K2118" s="611"/>
      <c r="L2118" s="611"/>
      <c r="M2118" s="621"/>
      <c r="N2118" s="621"/>
      <c r="O2118" s="621"/>
      <c r="P2118" s="706"/>
      <c r="Q2118" s="622"/>
      <c r="R2118" s="36"/>
      <c r="S2118" s="36"/>
      <c r="T2118" s="36"/>
      <c r="U2118" s="36"/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</row>
    <row r="2119" ht="22.5" customHeight="1">
      <c r="A2119" s="614"/>
      <c r="B2119" s="185"/>
      <c r="C2119" s="609"/>
      <c r="D2119" s="609"/>
      <c r="E2119" s="595"/>
      <c r="F2119" s="596"/>
      <c r="G2119" s="664"/>
      <c r="H2119" s="665"/>
      <c r="I2119" s="599"/>
      <c r="J2119" s="599"/>
      <c r="K2119" s="611"/>
      <c r="L2119" s="611"/>
      <c r="M2119" s="621"/>
      <c r="N2119" s="621"/>
      <c r="O2119" s="621"/>
      <c r="P2119" s="706"/>
      <c r="Q2119" s="622"/>
      <c r="R2119" s="36"/>
      <c r="S2119" s="36"/>
      <c r="T2119" s="36"/>
      <c r="U2119" s="36"/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</row>
    <row r="2120" ht="22.5" customHeight="1">
      <c r="A2120" s="614"/>
      <c r="B2120" s="185"/>
      <c r="C2120" s="609"/>
      <c r="D2120" s="609"/>
      <c r="E2120" s="595"/>
      <c r="F2120" s="596"/>
      <c r="G2120" s="664"/>
      <c r="H2120" s="665"/>
      <c r="I2120" s="599"/>
      <c r="J2120" s="599"/>
      <c r="K2120" s="611"/>
      <c r="L2120" s="611"/>
      <c r="M2120" s="621"/>
      <c r="N2120" s="621"/>
      <c r="O2120" s="621"/>
      <c r="P2120" s="706"/>
      <c r="Q2120" s="622"/>
      <c r="R2120" s="36"/>
      <c r="S2120" s="36"/>
      <c r="T2120" s="36"/>
      <c r="U2120" s="36"/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</row>
    <row r="2121" ht="22.5" customHeight="1">
      <c r="A2121" s="614"/>
      <c r="B2121" s="185"/>
      <c r="C2121" s="609"/>
      <c r="D2121" s="609"/>
      <c r="E2121" s="595"/>
      <c r="F2121" s="596"/>
      <c r="G2121" s="664"/>
      <c r="H2121" s="665"/>
      <c r="I2121" s="599"/>
      <c r="J2121" s="599"/>
      <c r="K2121" s="611"/>
      <c r="L2121" s="611"/>
      <c r="M2121" s="621"/>
      <c r="N2121" s="621"/>
      <c r="O2121" s="621"/>
      <c r="P2121" s="706"/>
      <c r="Q2121" s="622"/>
      <c r="R2121" s="36"/>
      <c r="S2121" s="36"/>
      <c r="T2121" s="36"/>
      <c r="U2121" s="36"/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</row>
    <row r="2122" ht="22.5" customHeight="1">
      <c r="A2122" s="614"/>
      <c r="B2122" s="185"/>
      <c r="C2122" s="609"/>
      <c r="D2122" s="609"/>
      <c r="E2122" s="595"/>
      <c r="F2122" s="596"/>
      <c r="G2122" s="664"/>
      <c r="H2122" s="665"/>
      <c r="I2122" s="599"/>
      <c r="J2122" s="599"/>
      <c r="K2122" s="611"/>
      <c r="L2122" s="611"/>
      <c r="M2122" s="621"/>
      <c r="N2122" s="621"/>
      <c r="O2122" s="621"/>
      <c r="P2122" s="706"/>
      <c r="Q2122" s="622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</row>
    <row r="2123" ht="22.5" customHeight="1">
      <c r="A2123" s="614"/>
      <c r="B2123" s="185"/>
      <c r="C2123" s="609"/>
      <c r="D2123" s="609"/>
      <c r="E2123" s="595"/>
      <c r="F2123" s="596"/>
      <c r="G2123" s="664"/>
      <c r="H2123" s="665"/>
      <c r="I2123" s="599"/>
      <c r="J2123" s="599"/>
      <c r="K2123" s="611"/>
      <c r="L2123" s="611"/>
      <c r="M2123" s="621"/>
      <c r="N2123" s="621"/>
      <c r="O2123" s="621"/>
      <c r="P2123" s="706"/>
      <c r="Q2123" s="622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</row>
    <row r="2124" ht="22.5" customHeight="1">
      <c r="A2124" s="614"/>
      <c r="B2124" s="185"/>
      <c r="C2124" s="609"/>
      <c r="D2124" s="609"/>
      <c r="E2124" s="595"/>
      <c r="F2124" s="596"/>
      <c r="G2124" s="664"/>
      <c r="H2124" s="665"/>
      <c r="I2124" s="599"/>
      <c r="J2124" s="599"/>
      <c r="K2124" s="611"/>
      <c r="L2124" s="611"/>
      <c r="M2124" s="621"/>
      <c r="N2124" s="621"/>
      <c r="O2124" s="621"/>
      <c r="P2124" s="706"/>
      <c r="Q2124" s="622"/>
      <c r="R2124" s="36"/>
      <c r="S2124" s="36"/>
      <c r="T2124" s="36"/>
      <c r="U2124" s="36"/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</row>
    <row r="2125" ht="22.5" customHeight="1">
      <c r="A2125" s="614"/>
      <c r="B2125" s="185"/>
      <c r="C2125" s="609"/>
      <c r="D2125" s="609"/>
      <c r="E2125" s="595"/>
      <c r="F2125" s="596"/>
      <c r="G2125" s="664"/>
      <c r="H2125" s="665"/>
      <c r="I2125" s="599"/>
      <c r="J2125" s="599"/>
      <c r="K2125" s="611"/>
      <c r="L2125" s="611"/>
      <c r="M2125" s="621"/>
      <c r="N2125" s="621"/>
      <c r="O2125" s="621"/>
      <c r="P2125" s="706"/>
      <c r="Q2125" s="622"/>
      <c r="R2125" s="36"/>
      <c r="S2125" s="36"/>
      <c r="T2125" s="36"/>
      <c r="U2125" s="36"/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</row>
    <row r="2126" ht="22.5" customHeight="1">
      <c r="A2126" s="614"/>
      <c r="B2126" s="185"/>
      <c r="C2126" s="609"/>
      <c r="D2126" s="609"/>
      <c r="E2126" s="595"/>
      <c r="F2126" s="596"/>
      <c r="G2126" s="664"/>
      <c r="H2126" s="665"/>
      <c r="I2126" s="599"/>
      <c r="J2126" s="599"/>
      <c r="K2126" s="611"/>
      <c r="L2126" s="611"/>
      <c r="M2126" s="621"/>
      <c r="N2126" s="621"/>
      <c r="O2126" s="621"/>
      <c r="P2126" s="706"/>
      <c r="Q2126" s="622"/>
      <c r="R2126" s="36"/>
      <c r="S2126" s="36"/>
      <c r="T2126" s="36"/>
      <c r="U2126" s="36"/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</row>
    <row r="2127" ht="22.5" customHeight="1">
      <c r="A2127" s="614"/>
      <c r="B2127" s="185"/>
      <c r="C2127" s="609"/>
      <c r="D2127" s="609"/>
      <c r="E2127" s="595"/>
      <c r="F2127" s="596"/>
      <c r="G2127" s="664"/>
      <c r="H2127" s="665"/>
      <c r="I2127" s="599"/>
      <c r="J2127" s="599"/>
      <c r="K2127" s="611"/>
      <c r="L2127" s="611"/>
      <c r="M2127" s="621"/>
      <c r="N2127" s="621"/>
      <c r="O2127" s="621"/>
      <c r="P2127" s="706"/>
      <c r="Q2127" s="622"/>
      <c r="R2127" s="36"/>
      <c r="S2127" s="36"/>
      <c r="T2127" s="36"/>
      <c r="U2127" s="36"/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</row>
    <row r="2128" ht="22.5" customHeight="1">
      <c r="A2128" s="614"/>
      <c r="B2128" s="185"/>
      <c r="C2128" s="609"/>
      <c r="D2128" s="609"/>
      <c r="E2128" s="595"/>
      <c r="F2128" s="596"/>
      <c r="G2128" s="664"/>
      <c r="H2128" s="665"/>
      <c r="I2128" s="599"/>
      <c r="J2128" s="599"/>
      <c r="K2128" s="611"/>
      <c r="L2128" s="611"/>
      <c r="M2128" s="621"/>
      <c r="N2128" s="621"/>
      <c r="O2128" s="621"/>
      <c r="P2128" s="706"/>
      <c r="Q2128" s="622"/>
      <c r="R2128" s="36"/>
      <c r="S2128" s="36"/>
      <c r="T2128" s="36"/>
      <c r="U2128" s="36"/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</row>
    <row r="2129" ht="22.5" customHeight="1">
      <c r="A2129" s="614"/>
      <c r="B2129" s="185"/>
      <c r="C2129" s="609"/>
      <c r="D2129" s="609"/>
      <c r="E2129" s="595"/>
      <c r="F2129" s="596"/>
      <c r="G2129" s="664"/>
      <c r="H2129" s="665"/>
      <c r="I2129" s="599"/>
      <c r="J2129" s="599"/>
      <c r="K2129" s="611"/>
      <c r="L2129" s="611"/>
      <c r="M2129" s="621"/>
      <c r="N2129" s="621"/>
      <c r="O2129" s="621"/>
      <c r="P2129" s="706"/>
      <c r="Q2129" s="622"/>
      <c r="R2129" s="36"/>
      <c r="S2129" s="36"/>
      <c r="T2129" s="36"/>
      <c r="U2129" s="36"/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</row>
    <row r="2130" ht="22.5" customHeight="1">
      <c r="A2130" s="614"/>
      <c r="B2130" s="185"/>
      <c r="C2130" s="609"/>
      <c r="D2130" s="609"/>
      <c r="E2130" s="595"/>
      <c r="F2130" s="596"/>
      <c r="G2130" s="664"/>
      <c r="H2130" s="665"/>
      <c r="I2130" s="599"/>
      <c r="J2130" s="599"/>
      <c r="K2130" s="611"/>
      <c r="L2130" s="611"/>
      <c r="M2130" s="621"/>
      <c r="N2130" s="621"/>
      <c r="O2130" s="621"/>
      <c r="P2130" s="706"/>
      <c r="Q2130" s="622"/>
      <c r="R2130" s="36"/>
      <c r="S2130" s="36"/>
      <c r="T2130" s="36"/>
      <c r="U2130" s="36"/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</row>
    <row r="2131" ht="22.5" customHeight="1">
      <c r="A2131" s="614"/>
      <c r="B2131" s="185"/>
      <c r="C2131" s="609"/>
      <c r="D2131" s="609"/>
      <c r="E2131" s="595"/>
      <c r="F2131" s="596"/>
      <c r="G2131" s="664"/>
      <c r="H2131" s="665"/>
      <c r="I2131" s="599"/>
      <c r="J2131" s="599"/>
      <c r="K2131" s="611"/>
      <c r="L2131" s="611"/>
      <c r="M2131" s="621"/>
      <c r="N2131" s="621"/>
      <c r="O2131" s="621"/>
      <c r="P2131" s="706"/>
      <c r="Q2131" s="622"/>
      <c r="R2131" s="36"/>
      <c r="S2131" s="36"/>
      <c r="T2131" s="36"/>
      <c r="U2131" s="36"/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</row>
    <row r="2132" ht="22.5" customHeight="1">
      <c r="A2132" s="614"/>
      <c r="B2132" s="185"/>
      <c r="C2132" s="609"/>
      <c r="D2132" s="609"/>
      <c r="E2132" s="595"/>
      <c r="F2132" s="596"/>
      <c r="G2132" s="664"/>
      <c r="H2132" s="665"/>
      <c r="I2132" s="599"/>
      <c r="J2132" s="599"/>
      <c r="K2132" s="611"/>
      <c r="L2132" s="611"/>
      <c r="M2132" s="621"/>
      <c r="N2132" s="621"/>
      <c r="O2132" s="621"/>
      <c r="P2132" s="706"/>
      <c r="Q2132" s="622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</row>
    <row r="2133" ht="22.5" customHeight="1">
      <c r="A2133" s="614"/>
      <c r="B2133" s="185"/>
      <c r="C2133" s="609"/>
      <c r="D2133" s="609"/>
      <c r="E2133" s="595"/>
      <c r="F2133" s="596"/>
      <c r="G2133" s="664"/>
      <c r="H2133" s="665"/>
      <c r="I2133" s="599"/>
      <c r="J2133" s="599"/>
      <c r="K2133" s="611"/>
      <c r="L2133" s="611"/>
      <c r="M2133" s="621"/>
      <c r="N2133" s="621"/>
      <c r="O2133" s="621"/>
      <c r="P2133" s="706"/>
      <c r="Q2133" s="622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</row>
    <row r="2134" ht="22.5" customHeight="1">
      <c r="A2134" s="614"/>
      <c r="B2134" s="185"/>
      <c r="C2134" s="609"/>
      <c r="D2134" s="609"/>
      <c r="E2134" s="595"/>
      <c r="F2134" s="596"/>
      <c r="G2134" s="664"/>
      <c r="H2134" s="665"/>
      <c r="I2134" s="599"/>
      <c r="J2134" s="599"/>
      <c r="K2134" s="611"/>
      <c r="L2134" s="611"/>
      <c r="M2134" s="621"/>
      <c r="N2134" s="621"/>
      <c r="O2134" s="621"/>
      <c r="P2134" s="706"/>
      <c r="Q2134" s="622"/>
      <c r="R2134" s="36"/>
      <c r="S2134" s="36"/>
      <c r="T2134" s="36"/>
      <c r="U2134" s="36"/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</row>
    <row r="2135" ht="22.5" customHeight="1">
      <c r="A2135" s="614"/>
      <c r="B2135" s="185"/>
      <c r="C2135" s="609"/>
      <c r="D2135" s="609"/>
      <c r="E2135" s="595"/>
      <c r="F2135" s="596"/>
      <c r="G2135" s="664"/>
      <c r="H2135" s="665"/>
      <c r="I2135" s="599"/>
      <c r="J2135" s="599"/>
      <c r="K2135" s="611"/>
      <c r="L2135" s="611"/>
      <c r="M2135" s="621"/>
      <c r="N2135" s="621"/>
      <c r="O2135" s="621"/>
      <c r="P2135" s="706"/>
      <c r="Q2135" s="622"/>
      <c r="R2135" s="36"/>
      <c r="S2135" s="36"/>
      <c r="T2135" s="36"/>
      <c r="U2135" s="36"/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</row>
    <row r="2136" ht="22.5" customHeight="1">
      <c r="A2136" s="614"/>
      <c r="B2136" s="185"/>
      <c r="C2136" s="609"/>
      <c r="D2136" s="609"/>
      <c r="E2136" s="595"/>
      <c r="F2136" s="596"/>
      <c r="G2136" s="664"/>
      <c r="H2136" s="665"/>
      <c r="I2136" s="599"/>
      <c r="J2136" s="599"/>
      <c r="K2136" s="611"/>
      <c r="L2136" s="611"/>
      <c r="M2136" s="621"/>
      <c r="N2136" s="621"/>
      <c r="O2136" s="621"/>
      <c r="P2136" s="706"/>
      <c r="Q2136" s="622"/>
      <c r="R2136" s="36"/>
      <c r="S2136" s="36"/>
      <c r="T2136" s="36"/>
      <c r="U2136" s="36"/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</row>
    <row r="2137" ht="22.5" customHeight="1">
      <c r="A2137" s="614"/>
      <c r="B2137" s="185"/>
      <c r="C2137" s="609"/>
      <c r="D2137" s="609"/>
      <c r="E2137" s="595"/>
      <c r="F2137" s="596"/>
      <c r="G2137" s="664"/>
      <c r="H2137" s="665"/>
      <c r="I2137" s="599"/>
      <c r="J2137" s="599"/>
      <c r="K2137" s="611"/>
      <c r="L2137" s="611"/>
      <c r="M2137" s="621"/>
      <c r="N2137" s="621"/>
      <c r="O2137" s="621"/>
      <c r="P2137" s="706"/>
      <c r="Q2137" s="622"/>
      <c r="R2137" s="36"/>
      <c r="S2137" s="36"/>
      <c r="T2137" s="36"/>
      <c r="U2137" s="36"/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</row>
    <row r="2138" ht="22.5" customHeight="1">
      <c r="A2138" s="614"/>
      <c r="B2138" s="185"/>
      <c r="C2138" s="609"/>
      <c r="D2138" s="609"/>
      <c r="E2138" s="595"/>
      <c r="F2138" s="596"/>
      <c r="G2138" s="664"/>
      <c r="H2138" s="665"/>
      <c r="I2138" s="599"/>
      <c r="J2138" s="599"/>
      <c r="K2138" s="611"/>
      <c r="L2138" s="611"/>
      <c r="M2138" s="621"/>
      <c r="N2138" s="621"/>
      <c r="O2138" s="621"/>
      <c r="P2138" s="706"/>
      <c r="Q2138" s="622"/>
      <c r="R2138" s="36"/>
      <c r="S2138" s="36"/>
      <c r="T2138" s="36"/>
      <c r="U2138" s="36"/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</row>
    <row r="2139" ht="22.5" customHeight="1">
      <c r="A2139" s="614"/>
      <c r="B2139" s="185"/>
      <c r="C2139" s="609"/>
      <c r="D2139" s="609"/>
      <c r="E2139" s="595"/>
      <c r="F2139" s="596"/>
      <c r="G2139" s="664"/>
      <c r="H2139" s="665"/>
      <c r="I2139" s="599"/>
      <c r="J2139" s="599"/>
      <c r="K2139" s="611"/>
      <c r="L2139" s="611"/>
      <c r="M2139" s="621"/>
      <c r="N2139" s="621"/>
      <c r="O2139" s="621"/>
      <c r="P2139" s="706"/>
      <c r="Q2139" s="622"/>
      <c r="R2139" s="36"/>
      <c r="S2139" s="36"/>
      <c r="T2139" s="36"/>
      <c r="U2139" s="36"/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</row>
    <row r="2140" ht="22.5" customHeight="1">
      <c r="A2140" s="614"/>
      <c r="B2140" s="185"/>
      <c r="C2140" s="609"/>
      <c r="D2140" s="609"/>
      <c r="E2140" s="595"/>
      <c r="F2140" s="596"/>
      <c r="G2140" s="664"/>
      <c r="H2140" s="665"/>
      <c r="I2140" s="599"/>
      <c r="J2140" s="599"/>
      <c r="K2140" s="611"/>
      <c r="L2140" s="611"/>
      <c r="M2140" s="621"/>
      <c r="N2140" s="621"/>
      <c r="O2140" s="621"/>
      <c r="P2140" s="706"/>
      <c r="Q2140" s="622"/>
      <c r="R2140" s="36"/>
      <c r="S2140" s="36"/>
      <c r="T2140" s="36"/>
      <c r="U2140" s="36"/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</row>
    <row r="2141" ht="22.5" customHeight="1">
      <c r="A2141" s="614"/>
      <c r="B2141" s="185"/>
      <c r="C2141" s="609"/>
      <c r="D2141" s="609"/>
      <c r="E2141" s="595"/>
      <c r="F2141" s="596"/>
      <c r="G2141" s="664"/>
      <c r="H2141" s="665"/>
      <c r="I2141" s="599"/>
      <c r="J2141" s="599"/>
      <c r="K2141" s="611"/>
      <c r="L2141" s="611"/>
      <c r="M2141" s="621"/>
      <c r="N2141" s="621"/>
      <c r="O2141" s="621"/>
      <c r="P2141" s="706"/>
      <c r="Q2141" s="622"/>
      <c r="R2141" s="36"/>
      <c r="S2141" s="36"/>
      <c r="T2141" s="36"/>
      <c r="U2141" s="36"/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</row>
    <row r="2142" ht="22.5" customHeight="1">
      <c r="A2142" s="614"/>
      <c r="B2142" s="185"/>
      <c r="C2142" s="609"/>
      <c r="D2142" s="609"/>
      <c r="E2142" s="595"/>
      <c r="F2142" s="596"/>
      <c r="G2142" s="664"/>
      <c r="H2142" s="665"/>
      <c r="I2142" s="599"/>
      <c r="J2142" s="599"/>
      <c r="K2142" s="611"/>
      <c r="L2142" s="611"/>
      <c r="M2142" s="621"/>
      <c r="N2142" s="621"/>
      <c r="O2142" s="621"/>
      <c r="P2142" s="706"/>
      <c r="Q2142" s="622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</row>
    <row r="2143" ht="22.5" customHeight="1">
      <c r="A2143" s="614"/>
      <c r="B2143" s="185"/>
      <c r="C2143" s="609"/>
      <c r="D2143" s="609"/>
      <c r="E2143" s="595"/>
      <c r="F2143" s="596"/>
      <c r="G2143" s="664"/>
      <c r="H2143" s="665"/>
      <c r="I2143" s="599"/>
      <c r="J2143" s="599"/>
      <c r="K2143" s="611"/>
      <c r="L2143" s="611"/>
      <c r="M2143" s="621"/>
      <c r="N2143" s="621"/>
      <c r="O2143" s="621"/>
      <c r="P2143" s="706"/>
      <c r="Q2143" s="622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</row>
    <row r="2144" ht="22.5" customHeight="1">
      <c r="A2144" s="614"/>
      <c r="B2144" s="185"/>
      <c r="C2144" s="609"/>
      <c r="D2144" s="609"/>
      <c r="E2144" s="595"/>
      <c r="F2144" s="596"/>
      <c r="G2144" s="664"/>
      <c r="H2144" s="665"/>
      <c r="I2144" s="599"/>
      <c r="J2144" s="599"/>
      <c r="K2144" s="611"/>
      <c r="L2144" s="611"/>
      <c r="M2144" s="621"/>
      <c r="N2144" s="621"/>
      <c r="O2144" s="621"/>
      <c r="P2144" s="706"/>
      <c r="Q2144" s="622"/>
      <c r="R2144" s="36"/>
      <c r="S2144" s="36"/>
      <c r="T2144" s="36"/>
      <c r="U2144" s="36"/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</row>
    <row r="2145" ht="22.5" customHeight="1">
      <c r="A2145" s="614"/>
      <c r="B2145" s="185"/>
      <c r="C2145" s="609"/>
      <c r="D2145" s="609"/>
      <c r="E2145" s="595"/>
      <c r="F2145" s="596"/>
      <c r="G2145" s="664"/>
      <c r="H2145" s="665"/>
      <c r="I2145" s="599"/>
      <c r="J2145" s="599"/>
      <c r="K2145" s="611"/>
      <c r="L2145" s="611"/>
      <c r="M2145" s="621"/>
      <c r="N2145" s="621"/>
      <c r="O2145" s="621"/>
      <c r="P2145" s="706"/>
      <c r="Q2145" s="622"/>
      <c r="R2145" s="36"/>
      <c r="S2145" s="36"/>
      <c r="T2145" s="36"/>
      <c r="U2145" s="36"/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</row>
    <row r="2146" ht="22.5" customHeight="1">
      <c r="A2146" s="614"/>
      <c r="B2146" s="185"/>
      <c r="C2146" s="609"/>
      <c r="D2146" s="609"/>
      <c r="E2146" s="595"/>
      <c r="F2146" s="596"/>
      <c r="G2146" s="664"/>
      <c r="H2146" s="665"/>
      <c r="I2146" s="599"/>
      <c r="J2146" s="599"/>
      <c r="K2146" s="611"/>
      <c r="L2146" s="611"/>
      <c r="M2146" s="621"/>
      <c r="N2146" s="621"/>
      <c r="O2146" s="621"/>
      <c r="P2146" s="706"/>
      <c r="Q2146" s="622"/>
      <c r="R2146" s="36"/>
      <c r="S2146" s="36"/>
      <c r="T2146" s="36"/>
      <c r="U2146" s="36"/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</row>
    <row r="2147" ht="22.5" customHeight="1">
      <c r="A2147" s="614"/>
      <c r="B2147" s="185"/>
      <c r="C2147" s="609"/>
      <c r="D2147" s="609"/>
      <c r="E2147" s="595"/>
      <c r="F2147" s="596"/>
      <c r="G2147" s="664"/>
      <c r="H2147" s="665"/>
      <c r="I2147" s="599"/>
      <c r="J2147" s="599"/>
      <c r="K2147" s="611"/>
      <c r="L2147" s="611"/>
      <c r="M2147" s="621"/>
      <c r="N2147" s="621"/>
      <c r="O2147" s="621"/>
      <c r="P2147" s="706"/>
      <c r="Q2147" s="622"/>
      <c r="R2147" s="36"/>
      <c r="S2147" s="36"/>
      <c r="T2147" s="36"/>
      <c r="U2147" s="36"/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</row>
    <row r="2148" ht="22.5" customHeight="1">
      <c r="A2148" s="614"/>
      <c r="B2148" s="185"/>
      <c r="C2148" s="609"/>
      <c r="D2148" s="609"/>
      <c r="E2148" s="595"/>
      <c r="F2148" s="596"/>
      <c r="G2148" s="664"/>
      <c r="H2148" s="665"/>
      <c r="I2148" s="599"/>
      <c r="J2148" s="599"/>
      <c r="K2148" s="611"/>
      <c r="L2148" s="611"/>
      <c r="M2148" s="621"/>
      <c r="N2148" s="621"/>
      <c r="O2148" s="621"/>
      <c r="P2148" s="706"/>
      <c r="Q2148" s="622"/>
      <c r="R2148" s="36"/>
      <c r="S2148" s="36"/>
      <c r="T2148" s="36"/>
      <c r="U2148" s="36"/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</row>
    <row r="2149" ht="22.5" customHeight="1">
      <c r="A2149" s="614"/>
      <c r="B2149" s="185"/>
      <c r="C2149" s="609"/>
      <c r="D2149" s="609"/>
      <c r="E2149" s="595"/>
      <c r="F2149" s="596"/>
      <c r="G2149" s="664"/>
      <c r="H2149" s="665"/>
      <c r="I2149" s="599"/>
      <c r="J2149" s="599"/>
      <c r="K2149" s="611"/>
      <c r="L2149" s="611"/>
      <c r="M2149" s="621"/>
      <c r="N2149" s="621"/>
      <c r="O2149" s="621"/>
      <c r="P2149" s="706"/>
      <c r="Q2149" s="622"/>
      <c r="R2149" s="36"/>
      <c r="S2149" s="36"/>
      <c r="T2149" s="36"/>
      <c r="U2149" s="36"/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</row>
    <row r="2150" ht="22.5" customHeight="1">
      <c r="A2150" s="614"/>
      <c r="B2150" s="185"/>
      <c r="C2150" s="609"/>
      <c r="D2150" s="609"/>
      <c r="E2150" s="595"/>
      <c r="F2150" s="596"/>
      <c r="G2150" s="664"/>
      <c r="H2150" s="665"/>
      <c r="I2150" s="599"/>
      <c r="J2150" s="599"/>
      <c r="K2150" s="611"/>
      <c r="L2150" s="611"/>
      <c r="M2150" s="621"/>
      <c r="N2150" s="621"/>
      <c r="O2150" s="621"/>
      <c r="P2150" s="706"/>
      <c r="Q2150" s="622"/>
      <c r="R2150" s="36"/>
      <c r="S2150" s="36"/>
      <c r="T2150" s="36"/>
      <c r="U2150" s="36"/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</row>
    <row r="2151" ht="22.5" customHeight="1">
      <c r="A2151" s="614"/>
      <c r="B2151" s="185"/>
      <c r="C2151" s="609"/>
      <c r="D2151" s="609"/>
      <c r="E2151" s="595"/>
      <c r="F2151" s="596"/>
      <c r="G2151" s="664"/>
      <c r="H2151" s="665"/>
      <c r="I2151" s="599"/>
      <c r="J2151" s="599"/>
      <c r="K2151" s="611"/>
      <c r="L2151" s="611"/>
      <c r="M2151" s="621"/>
      <c r="N2151" s="621"/>
      <c r="O2151" s="621"/>
      <c r="P2151" s="706"/>
      <c r="Q2151" s="622"/>
      <c r="R2151" s="36"/>
      <c r="S2151" s="36"/>
      <c r="T2151" s="36"/>
      <c r="U2151" s="36"/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</row>
    <row r="2152" ht="22.5" customHeight="1">
      <c r="A2152" s="614"/>
      <c r="B2152" s="185"/>
      <c r="C2152" s="609"/>
      <c r="D2152" s="609"/>
      <c r="E2152" s="595"/>
      <c r="F2152" s="596"/>
      <c r="G2152" s="664"/>
      <c r="H2152" s="665"/>
      <c r="I2152" s="599"/>
      <c r="J2152" s="599"/>
      <c r="K2152" s="611"/>
      <c r="L2152" s="611"/>
      <c r="M2152" s="621"/>
      <c r="N2152" s="621"/>
      <c r="O2152" s="621"/>
      <c r="P2152" s="706"/>
      <c r="Q2152" s="622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</row>
    <row r="2153" ht="22.5" customHeight="1">
      <c r="A2153" s="614"/>
      <c r="B2153" s="185"/>
      <c r="C2153" s="609"/>
      <c r="D2153" s="609"/>
      <c r="E2153" s="595"/>
      <c r="F2153" s="596"/>
      <c r="G2153" s="664"/>
      <c r="H2153" s="665"/>
      <c r="I2153" s="599"/>
      <c r="J2153" s="599"/>
      <c r="K2153" s="611"/>
      <c r="L2153" s="611"/>
      <c r="M2153" s="621"/>
      <c r="N2153" s="621"/>
      <c r="O2153" s="621"/>
      <c r="P2153" s="706"/>
      <c r="Q2153" s="622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</row>
    <row r="2154" ht="22.5" customHeight="1">
      <c r="A2154" s="614"/>
      <c r="B2154" s="185"/>
      <c r="C2154" s="609"/>
      <c r="D2154" s="609"/>
      <c r="E2154" s="595"/>
      <c r="F2154" s="596"/>
      <c r="G2154" s="664"/>
      <c r="H2154" s="665"/>
      <c r="I2154" s="599"/>
      <c r="J2154" s="599"/>
      <c r="K2154" s="611"/>
      <c r="L2154" s="611"/>
      <c r="M2154" s="621"/>
      <c r="N2154" s="621"/>
      <c r="O2154" s="621"/>
      <c r="P2154" s="706"/>
      <c r="Q2154" s="622"/>
      <c r="R2154" s="36"/>
      <c r="S2154" s="36"/>
      <c r="T2154" s="36"/>
      <c r="U2154" s="36"/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</row>
    <row r="2155" ht="22.5" customHeight="1">
      <c r="A2155" s="614"/>
      <c r="B2155" s="185"/>
      <c r="C2155" s="609"/>
      <c r="D2155" s="609"/>
      <c r="E2155" s="595"/>
      <c r="F2155" s="596"/>
      <c r="G2155" s="664"/>
      <c r="H2155" s="665"/>
      <c r="I2155" s="599"/>
      <c r="J2155" s="599"/>
      <c r="K2155" s="611"/>
      <c r="L2155" s="611"/>
      <c r="M2155" s="621"/>
      <c r="N2155" s="621"/>
      <c r="O2155" s="621"/>
      <c r="P2155" s="706"/>
      <c r="Q2155" s="622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</row>
    <row r="2156" ht="22.5" customHeight="1">
      <c r="A2156" s="614"/>
      <c r="B2156" s="185"/>
      <c r="C2156" s="609"/>
      <c r="D2156" s="609"/>
      <c r="E2156" s="595"/>
      <c r="F2156" s="596"/>
      <c r="G2156" s="664"/>
      <c r="H2156" s="665"/>
      <c r="I2156" s="599"/>
      <c r="J2156" s="599"/>
      <c r="K2156" s="611"/>
      <c r="L2156" s="611"/>
      <c r="M2156" s="621"/>
      <c r="N2156" s="621"/>
      <c r="O2156" s="621"/>
      <c r="P2156" s="706"/>
      <c r="Q2156" s="622"/>
      <c r="R2156" s="36"/>
      <c r="S2156" s="36"/>
      <c r="T2156" s="36"/>
      <c r="U2156" s="36"/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</row>
    <row r="2157" ht="22.5" customHeight="1">
      <c r="A2157" s="614"/>
      <c r="B2157" s="185"/>
      <c r="C2157" s="609"/>
      <c r="D2157" s="609"/>
      <c r="E2157" s="595"/>
      <c r="F2157" s="596"/>
      <c r="G2157" s="664"/>
      <c r="H2157" s="665"/>
      <c r="I2157" s="599"/>
      <c r="J2157" s="599"/>
      <c r="K2157" s="611"/>
      <c r="L2157" s="611"/>
      <c r="M2157" s="621"/>
      <c r="N2157" s="621"/>
      <c r="O2157" s="621"/>
      <c r="P2157" s="706"/>
      <c r="Q2157" s="622"/>
      <c r="R2157" s="36"/>
      <c r="S2157" s="36"/>
      <c r="T2157" s="36"/>
      <c r="U2157" s="36"/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</row>
    <row r="2158" ht="22.5" customHeight="1">
      <c r="A2158" s="614"/>
      <c r="B2158" s="185"/>
      <c r="C2158" s="609"/>
      <c r="D2158" s="609"/>
      <c r="E2158" s="595"/>
      <c r="F2158" s="596"/>
      <c r="G2158" s="664"/>
      <c r="H2158" s="665"/>
      <c r="I2158" s="599"/>
      <c r="J2158" s="599"/>
      <c r="K2158" s="611"/>
      <c r="L2158" s="611"/>
      <c r="M2158" s="621"/>
      <c r="N2158" s="621"/>
      <c r="O2158" s="621"/>
      <c r="P2158" s="706"/>
      <c r="Q2158" s="622"/>
      <c r="R2158" s="36"/>
      <c r="S2158" s="36"/>
      <c r="T2158" s="36"/>
      <c r="U2158" s="36"/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</row>
    <row r="2159" ht="22.5" customHeight="1">
      <c r="A2159" s="614"/>
      <c r="B2159" s="185"/>
      <c r="C2159" s="609"/>
      <c r="D2159" s="609"/>
      <c r="E2159" s="595"/>
      <c r="F2159" s="596"/>
      <c r="G2159" s="664"/>
      <c r="H2159" s="665"/>
      <c r="I2159" s="599"/>
      <c r="J2159" s="599"/>
      <c r="K2159" s="611"/>
      <c r="L2159" s="611"/>
      <c r="M2159" s="621"/>
      <c r="N2159" s="621"/>
      <c r="O2159" s="621"/>
      <c r="P2159" s="706"/>
      <c r="Q2159" s="622"/>
      <c r="R2159" s="36"/>
      <c r="S2159" s="36"/>
      <c r="T2159" s="36"/>
      <c r="U2159" s="36"/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</row>
    <row r="2160" ht="22.5" customHeight="1">
      <c r="A2160" s="614"/>
      <c r="B2160" s="185"/>
      <c r="C2160" s="609"/>
      <c r="D2160" s="609"/>
      <c r="E2160" s="595"/>
      <c r="F2160" s="596"/>
      <c r="G2160" s="664"/>
      <c r="H2160" s="665"/>
      <c r="I2160" s="599"/>
      <c r="J2160" s="599"/>
      <c r="K2160" s="611"/>
      <c r="L2160" s="611"/>
      <c r="M2160" s="621"/>
      <c r="N2160" s="621"/>
      <c r="O2160" s="621"/>
      <c r="P2160" s="706"/>
      <c r="Q2160" s="622"/>
      <c r="R2160" s="36"/>
      <c r="S2160" s="36"/>
      <c r="T2160" s="36"/>
      <c r="U2160" s="36"/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</row>
    <row r="2161" ht="22.5" customHeight="1">
      <c r="A2161" s="614"/>
      <c r="B2161" s="185"/>
      <c r="C2161" s="609"/>
      <c r="D2161" s="609"/>
      <c r="E2161" s="595"/>
      <c r="F2161" s="596"/>
      <c r="G2161" s="664"/>
      <c r="H2161" s="665"/>
      <c r="I2161" s="599"/>
      <c r="J2161" s="599"/>
      <c r="K2161" s="611"/>
      <c r="L2161" s="611"/>
      <c r="M2161" s="621"/>
      <c r="N2161" s="621"/>
      <c r="O2161" s="621"/>
      <c r="P2161" s="706"/>
      <c r="Q2161" s="622"/>
      <c r="R2161" s="36"/>
      <c r="S2161" s="36"/>
      <c r="T2161" s="36"/>
      <c r="U2161" s="36"/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</row>
    <row r="2162" ht="22.5" customHeight="1">
      <c r="A2162" s="614"/>
      <c r="B2162" s="185"/>
      <c r="C2162" s="609"/>
      <c r="D2162" s="609"/>
      <c r="E2162" s="595"/>
      <c r="F2162" s="596"/>
      <c r="G2162" s="664"/>
      <c r="H2162" s="665"/>
      <c r="I2162" s="599"/>
      <c r="J2162" s="599"/>
      <c r="K2162" s="611"/>
      <c r="L2162" s="611"/>
      <c r="M2162" s="621"/>
      <c r="N2162" s="621"/>
      <c r="O2162" s="621"/>
      <c r="P2162" s="706"/>
      <c r="Q2162" s="622"/>
      <c r="R2162" s="36"/>
      <c r="S2162" s="36"/>
      <c r="T2162" s="36"/>
      <c r="U2162" s="36"/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</row>
    <row r="2163" ht="22.5" customHeight="1">
      <c r="A2163" s="614"/>
      <c r="B2163" s="185"/>
      <c r="C2163" s="609"/>
      <c r="D2163" s="609"/>
      <c r="E2163" s="595"/>
      <c r="F2163" s="596"/>
      <c r="G2163" s="664"/>
      <c r="H2163" s="665"/>
      <c r="I2163" s="599"/>
      <c r="J2163" s="599"/>
      <c r="K2163" s="611"/>
      <c r="L2163" s="611"/>
      <c r="M2163" s="621"/>
      <c r="N2163" s="621"/>
      <c r="O2163" s="621"/>
      <c r="P2163" s="706"/>
      <c r="Q2163" s="622"/>
      <c r="R2163" s="36"/>
      <c r="S2163" s="36"/>
      <c r="T2163" s="36"/>
      <c r="U2163" s="36"/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</row>
    <row r="2164" ht="22.5" customHeight="1">
      <c r="A2164" s="614"/>
      <c r="B2164" s="185"/>
      <c r="C2164" s="609"/>
      <c r="D2164" s="609"/>
      <c r="E2164" s="595"/>
      <c r="F2164" s="596"/>
      <c r="G2164" s="664"/>
      <c r="H2164" s="665"/>
      <c r="I2164" s="599"/>
      <c r="J2164" s="599"/>
      <c r="K2164" s="611"/>
      <c r="L2164" s="611"/>
      <c r="M2164" s="621"/>
      <c r="N2164" s="621"/>
      <c r="O2164" s="621"/>
      <c r="P2164" s="706"/>
      <c r="Q2164" s="622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</row>
    <row r="2165" ht="22.5" customHeight="1">
      <c r="A2165" s="614"/>
      <c r="B2165" s="185"/>
      <c r="C2165" s="609"/>
      <c r="D2165" s="609"/>
      <c r="E2165" s="595"/>
      <c r="F2165" s="596"/>
      <c r="G2165" s="664"/>
      <c r="H2165" s="665"/>
      <c r="I2165" s="599"/>
      <c r="J2165" s="599"/>
      <c r="K2165" s="611"/>
      <c r="L2165" s="611"/>
      <c r="M2165" s="621"/>
      <c r="N2165" s="621"/>
      <c r="O2165" s="621"/>
      <c r="P2165" s="706"/>
      <c r="Q2165" s="622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</row>
    <row r="2166" ht="22.5" customHeight="1">
      <c r="A2166" s="614"/>
      <c r="B2166" s="185"/>
      <c r="C2166" s="609"/>
      <c r="D2166" s="609"/>
      <c r="E2166" s="595"/>
      <c r="F2166" s="596"/>
      <c r="G2166" s="664"/>
      <c r="H2166" s="665"/>
      <c r="I2166" s="599"/>
      <c r="J2166" s="599"/>
      <c r="K2166" s="611"/>
      <c r="L2166" s="611"/>
      <c r="M2166" s="621"/>
      <c r="N2166" s="621"/>
      <c r="O2166" s="621"/>
      <c r="P2166" s="706"/>
      <c r="Q2166" s="622"/>
      <c r="R2166" s="36"/>
      <c r="S2166" s="36"/>
      <c r="T2166" s="36"/>
      <c r="U2166" s="36"/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</row>
    <row r="2167" ht="22.5" customHeight="1">
      <c r="A2167" s="614"/>
      <c r="B2167" s="185"/>
      <c r="C2167" s="609"/>
      <c r="D2167" s="609"/>
      <c r="E2167" s="595"/>
      <c r="F2167" s="596"/>
      <c r="G2167" s="664"/>
      <c r="H2167" s="665"/>
      <c r="I2167" s="599"/>
      <c r="J2167" s="599"/>
      <c r="K2167" s="611"/>
      <c r="L2167" s="611"/>
      <c r="M2167" s="621"/>
      <c r="N2167" s="621"/>
      <c r="O2167" s="621"/>
      <c r="P2167" s="706"/>
      <c r="Q2167" s="622"/>
      <c r="R2167" s="36"/>
      <c r="S2167" s="36"/>
      <c r="T2167" s="36"/>
      <c r="U2167" s="36"/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</row>
    <row r="2168" ht="22.5" customHeight="1">
      <c r="A2168" s="614"/>
      <c r="B2168" s="185"/>
      <c r="C2168" s="609"/>
      <c r="D2168" s="609"/>
      <c r="E2168" s="595"/>
      <c r="F2168" s="596"/>
      <c r="G2168" s="664"/>
      <c r="H2168" s="665"/>
      <c r="I2168" s="599"/>
      <c r="J2168" s="599"/>
      <c r="K2168" s="611"/>
      <c r="L2168" s="611"/>
      <c r="M2168" s="621"/>
      <c r="N2168" s="621"/>
      <c r="O2168" s="621"/>
      <c r="P2168" s="706"/>
      <c r="Q2168" s="622"/>
      <c r="R2168" s="36"/>
      <c r="S2168" s="36"/>
      <c r="T2168" s="36"/>
      <c r="U2168" s="36"/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</row>
    <row r="2169" ht="22.5" customHeight="1">
      <c r="A2169" s="614"/>
      <c r="B2169" s="185"/>
      <c r="C2169" s="609"/>
      <c r="D2169" s="609"/>
      <c r="E2169" s="595"/>
      <c r="F2169" s="596"/>
      <c r="G2169" s="664"/>
      <c r="H2169" s="665"/>
      <c r="I2169" s="599"/>
      <c r="J2169" s="599"/>
      <c r="K2169" s="611"/>
      <c r="L2169" s="611"/>
      <c r="M2169" s="621"/>
      <c r="N2169" s="621"/>
      <c r="O2169" s="621"/>
      <c r="P2169" s="706"/>
      <c r="Q2169" s="622"/>
      <c r="R2169" s="36"/>
      <c r="S2169" s="36"/>
      <c r="T2169" s="36"/>
      <c r="U2169" s="36"/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</row>
    <row r="2170" ht="22.5" customHeight="1">
      <c r="A2170" s="614"/>
      <c r="B2170" s="185"/>
      <c r="C2170" s="609"/>
      <c r="D2170" s="609"/>
      <c r="E2170" s="595"/>
      <c r="F2170" s="596"/>
      <c r="G2170" s="664"/>
      <c r="H2170" s="665"/>
      <c r="I2170" s="599"/>
      <c r="J2170" s="599"/>
      <c r="K2170" s="611"/>
      <c r="L2170" s="611"/>
      <c r="M2170" s="621"/>
      <c r="N2170" s="621"/>
      <c r="O2170" s="621"/>
      <c r="P2170" s="706"/>
      <c r="Q2170" s="622"/>
      <c r="R2170" s="36"/>
      <c r="S2170" s="36"/>
      <c r="T2170" s="36"/>
      <c r="U2170" s="36"/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</row>
    <row r="2171" ht="22.5" customHeight="1">
      <c r="A2171" s="614"/>
      <c r="B2171" s="185"/>
      <c r="C2171" s="609"/>
      <c r="D2171" s="609"/>
      <c r="E2171" s="595"/>
      <c r="F2171" s="596"/>
      <c r="G2171" s="664"/>
      <c r="H2171" s="665"/>
      <c r="I2171" s="599"/>
      <c r="J2171" s="599"/>
      <c r="K2171" s="611"/>
      <c r="L2171" s="611"/>
      <c r="M2171" s="621"/>
      <c r="N2171" s="621"/>
      <c r="O2171" s="621"/>
      <c r="P2171" s="706"/>
      <c r="Q2171" s="622"/>
      <c r="R2171" s="36"/>
      <c r="S2171" s="36"/>
      <c r="T2171" s="36"/>
      <c r="U2171" s="36"/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</row>
    <row r="2172" ht="22.5" customHeight="1">
      <c r="A2172" s="614"/>
      <c r="B2172" s="185"/>
      <c r="C2172" s="609"/>
      <c r="D2172" s="609"/>
      <c r="E2172" s="595"/>
      <c r="F2172" s="596"/>
      <c r="G2172" s="664"/>
      <c r="H2172" s="665"/>
      <c r="I2172" s="599"/>
      <c r="J2172" s="599"/>
      <c r="K2172" s="611"/>
      <c r="L2172" s="611"/>
      <c r="M2172" s="621"/>
      <c r="N2172" s="621"/>
      <c r="O2172" s="621"/>
      <c r="P2172" s="706"/>
      <c r="Q2172" s="622"/>
      <c r="R2172" s="36"/>
      <c r="S2172" s="36"/>
      <c r="T2172" s="36"/>
      <c r="U2172" s="36"/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</row>
    <row r="2173" ht="22.5" customHeight="1">
      <c r="A2173" s="614"/>
      <c r="B2173" s="185"/>
      <c r="C2173" s="609"/>
      <c r="D2173" s="609"/>
      <c r="E2173" s="595"/>
      <c r="F2173" s="596"/>
      <c r="G2173" s="664"/>
      <c r="H2173" s="665"/>
      <c r="I2173" s="599"/>
      <c r="J2173" s="599"/>
      <c r="K2173" s="611"/>
      <c r="L2173" s="611"/>
      <c r="M2173" s="621"/>
      <c r="N2173" s="621"/>
      <c r="O2173" s="621"/>
      <c r="P2173" s="706"/>
      <c r="Q2173" s="622"/>
      <c r="R2173" s="36"/>
      <c r="S2173" s="36"/>
      <c r="T2173" s="36"/>
      <c r="U2173" s="36"/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</row>
    <row r="2174" ht="22.5" customHeight="1">
      <c r="A2174" s="614"/>
      <c r="B2174" s="185"/>
      <c r="C2174" s="609"/>
      <c r="D2174" s="609"/>
      <c r="E2174" s="595"/>
      <c r="F2174" s="596"/>
      <c r="G2174" s="664"/>
      <c r="H2174" s="665"/>
      <c r="I2174" s="599"/>
      <c r="J2174" s="599"/>
      <c r="K2174" s="611"/>
      <c r="L2174" s="611"/>
      <c r="M2174" s="621"/>
      <c r="N2174" s="621"/>
      <c r="O2174" s="621"/>
      <c r="P2174" s="706"/>
      <c r="Q2174" s="622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</row>
    <row r="2175" ht="22.5" customHeight="1">
      <c r="A2175" s="614"/>
      <c r="B2175" s="185"/>
      <c r="C2175" s="609"/>
      <c r="D2175" s="609"/>
      <c r="E2175" s="595"/>
      <c r="F2175" s="596"/>
      <c r="G2175" s="664"/>
      <c r="H2175" s="665"/>
      <c r="I2175" s="599"/>
      <c r="J2175" s="599"/>
      <c r="K2175" s="611"/>
      <c r="L2175" s="611"/>
      <c r="M2175" s="621"/>
      <c r="N2175" s="621"/>
      <c r="O2175" s="621"/>
      <c r="P2175" s="706"/>
      <c r="Q2175" s="622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</row>
    <row r="2176" ht="22.5" customHeight="1">
      <c r="A2176" s="614"/>
      <c r="B2176" s="185"/>
      <c r="C2176" s="609"/>
      <c r="D2176" s="609"/>
      <c r="E2176" s="595"/>
      <c r="F2176" s="596"/>
      <c r="G2176" s="664"/>
      <c r="H2176" s="665"/>
      <c r="I2176" s="599"/>
      <c r="J2176" s="599"/>
      <c r="K2176" s="611"/>
      <c r="L2176" s="611"/>
      <c r="M2176" s="621"/>
      <c r="N2176" s="621"/>
      <c r="O2176" s="621"/>
      <c r="P2176" s="706"/>
      <c r="Q2176" s="622"/>
      <c r="R2176" s="36"/>
      <c r="S2176" s="36"/>
      <c r="T2176" s="36"/>
      <c r="U2176" s="36"/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</row>
    <row r="2177" ht="22.5" customHeight="1">
      <c r="A2177" s="614"/>
      <c r="B2177" s="185"/>
      <c r="C2177" s="609"/>
      <c r="D2177" s="609"/>
      <c r="E2177" s="595"/>
      <c r="F2177" s="596"/>
      <c r="G2177" s="664"/>
      <c r="H2177" s="665"/>
      <c r="I2177" s="599"/>
      <c r="J2177" s="599"/>
      <c r="K2177" s="611"/>
      <c r="L2177" s="611"/>
      <c r="M2177" s="621"/>
      <c r="N2177" s="621"/>
      <c r="O2177" s="621"/>
      <c r="P2177" s="706"/>
      <c r="Q2177" s="622"/>
      <c r="R2177" s="36"/>
      <c r="S2177" s="36"/>
      <c r="T2177" s="36"/>
      <c r="U2177" s="36"/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</row>
    <row r="2178" ht="22.5" customHeight="1">
      <c r="A2178" s="614"/>
      <c r="B2178" s="185"/>
      <c r="C2178" s="609"/>
      <c r="D2178" s="609"/>
      <c r="E2178" s="595"/>
      <c r="F2178" s="596"/>
      <c r="G2178" s="664"/>
      <c r="H2178" s="665"/>
      <c r="I2178" s="599"/>
      <c r="J2178" s="599"/>
      <c r="K2178" s="611"/>
      <c r="L2178" s="611"/>
      <c r="M2178" s="621"/>
      <c r="N2178" s="621"/>
      <c r="O2178" s="621"/>
      <c r="P2178" s="706"/>
      <c r="Q2178" s="622"/>
      <c r="R2178" s="36"/>
      <c r="S2178" s="36"/>
      <c r="T2178" s="36"/>
      <c r="U2178" s="36"/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</row>
    <row r="2179" ht="22.5" customHeight="1">
      <c r="A2179" s="614"/>
      <c r="B2179" s="185"/>
      <c r="C2179" s="609"/>
      <c r="D2179" s="609"/>
      <c r="E2179" s="595"/>
      <c r="F2179" s="596"/>
      <c r="G2179" s="664"/>
      <c r="H2179" s="665"/>
      <c r="I2179" s="599"/>
      <c r="J2179" s="599"/>
      <c r="K2179" s="611"/>
      <c r="L2179" s="611"/>
      <c r="M2179" s="621"/>
      <c r="N2179" s="621"/>
      <c r="O2179" s="621"/>
      <c r="P2179" s="706"/>
      <c r="Q2179" s="622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</row>
    <row r="2180" ht="22.5" customHeight="1">
      <c r="A2180" s="614"/>
      <c r="B2180" s="185"/>
      <c r="C2180" s="609"/>
      <c r="D2180" s="609"/>
      <c r="E2180" s="595"/>
      <c r="F2180" s="596"/>
      <c r="G2180" s="664"/>
      <c r="H2180" s="665"/>
      <c r="I2180" s="599"/>
      <c r="J2180" s="599"/>
      <c r="K2180" s="611"/>
      <c r="L2180" s="611"/>
      <c r="M2180" s="621"/>
      <c r="N2180" s="621"/>
      <c r="O2180" s="621"/>
      <c r="P2180" s="706"/>
      <c r="Q2180" s="622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</row>
    <row r="2181" ht="22.5" customHeight="1">
      <c r="A2181" s="614"/>
      <c r="B2181" s="185"/>
      <c r="C2181" s="609"/>
      <c r="D2181" s="609"/>
      <c r="E2181" s="595"/>
      <c r="F2181" s="596"/>
      <c r="G2181" s="664"/>
      <c r="H2181" s="665"/>
      <c r="I2181" s="599"/>
      <c r="J2181" s="599"/>
      <c r="K2181" s="611"/>
      <c r="L2181" s="611"/>
      <c r="M2181" s="621"/>
      <c r="N2181" s="621"/>
      <c r="O2181" s="621"/>
      <c r="P2181" s="706"/>
      <c r="Q2181" s="622"/>
      <c r="R2181" s="36"/>
      <c r="S2181" s="36"/>
      <c r="T2181" s="36"/>
      <c r="U2181" s="36"/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</row>
    <row r="2182" ht="22.5" customHeight="1">
      <c r="A2182" s="614"/>
      <c r="B2182" s="185"/>
      <c r="C2182" s="609"/>
      <c r="D2182" s="609"/>
      <c r="E2182" s="595"/>
      <c r="F2182" s="596"/>
      <c r="G2182" s="664"/>
      <c r="H2182" s="665"/>
      <c r="I2182" s="599"/>
      <c r="J2182" s="599"/>
      <c r="K2182" s="611"/>
      <c r="L2182" s="611"/>
      <c r="M2182" s="621"/>
      <c r="N2182" s="621"/>
      <c r="O2182" s="621"/>
      <c r="P2182" s="706"/>
      <c r="Q2182" s="622"/>
      <c r="R2182" s="36"/>
      <c r="S2182" s="36"/>
      <c r="T2182" s="36"/>
      <c r="U2182" s="36"/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</row>
    <row r="2183" ht="22.5" customHeight="1">
      <c r="A2183" s="614"/>
      <c r="B2183" s="185"/>
      <c r="C2183" s="609"/>
      <c r="D2183" s="609"/>
      <c r="E2183" s="595"/>
      <c r="F2183" s="596"/>
      <c r="G2183" s="664"/>
      <c r="H2183" s="665"/>
      <c r="I2183" s="599"/>
      <c r="J2183" s="599"/>
      <c r="K2183" s="611"/>
      <c r="L2183" s="611"/>
      <c r="M2183" s="621"/>
      <c r="N2183" s="621"/>
      <c r="O2183" s="621"/>
      <c r="P2183" s="706"/>
      <c r="Q2183" s="622"/>
      <c r="R2183" s="36"/>
      <c r="S2183" s="36"/>
      <c r="T2183" s="36"/>
      <c r="U2183" s="36"/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</row>
    <row r="2184" ht="22.5" customHeight="1">
      <c r="A2184" s="614"/>
      <c r="B2184" s="185"/>
      <c r="C2184" s="609"/>
      <c r="D2184" s="609"/>
      <c r="E2184" s="595"/>
      <c r="F2184" s="596"/>
      <c r="G2184" s="664"/>
      <c r="H2184" s="665"/>
      <c r="I2184" s="599"/>
      <c r="J2184" s="599"/>
      <c r="K2184" s="611"/>
      <c r="L2184" s="611"/>
      <c r="M2184" s="621"/>
      <c r="N2184" s="621"/>
      <c r="O2184" s="621"/>
      <c r="P2184" s="706"/>
      <c r="Q2184" s="622"/>
      <c r="R2184" s="36"/>
      <c r="S2184" s="36"/>
      <c r="T2184" s="36"/>
      <c r="U2184" s="36"/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</row>
    <row r="2185" ht="22.5" customHeight="1">
      <c r="A2185" s="614"/>
      <c r="B2185" s="185"/>
      <c r="C2185" s="609"/>
      <c r="D2185" s="609"/>
      <c r="E2185" s="595"/>
      <c r="F2185" s="596"/>
      <c r="G2185" s="664"/>
      <c r="H2185" s="665"/>
      <c r="I2185" s="599"/>
      <c r="J2185" s="599"/>
      <c r="K2185" s="611"/>
      <c r="L2185" s="611"/>
      <c r="M2185" s="621"/>
      <c r="N2185" s="621"/>
      <c r="O2185" s="621"/>
      <c r="P2185" s="706"/>
      <c r="Q2185" s="622"/>
      <c r="R2185" s="36"/>
      <c r="S2185" s="36"/>
      <c r="T2185" s="36"/>
      <c r="U2185" s="36"/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</row>
    <row r="2186" ht="22.5" customHeight="1">
      <c r="A2186" s="614"/>
      <c r="B2186" s="185"/>
      <c r="C2186" s="609"/>
      <c r="D2186" s="609"/>
      <c r="E2186" s="595"/>
      <c r="F2186" s="596"/>
      <c r="G2186" s="664"/>
      <c r="H2186" s="665"/>
      <c r="I2186" s="599"/>
      <c r="J2186" s="599"/>
      <c r="K2186" s="611"/>
      <c r="L2186" s="611"/>
      <c r="M2186" s="621"/>
      <c r="N2186" s="621"/>
      <c r="O2186" s="621"/>
      <c r="P2186" s="706"/>
      <c r="Q2186" s="622"/>
      <c r="R2186" s="36"/>
      <c r="S2186" s="36"/>
      <c r="T2186" s="36"/>
      <c r="U2186" s="36"/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</row>
    <row r="2187" ht="22.5" customHeight="1">
      <c r="A2187" s="614"/>
      <c r="B2187" s="185"/>
      <c r="C2187" s="609"/>
      <c r="D2187" s="609"/>
      <c r="E2187" s="595"/>
      <c r="F2187" s="596"/>
      <c r="G2187" s="664"/>
      <c r="H2187" s="665"/>
      <c r="I2187" s="599"/>
      <c r="J2187" s="599"/>
      <c r="K2187" s="611"/>
      <c r="L2187" s="611"/>
      <c r="M2187" s="621"/>
      <c r="N2187" s="621"/>
      <c r="O2187" s="621"/>
      <c r="P2187" s="706"/>
      <c r="Q2187" s="622"/>
      <c r="R2187" s="36"/>
      <c r="S2187" s="36"/>
      <c r="T2187" s="36"/>
      <c r="U2187" s="36"/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</row>
    <row r="2188" ht="22.5" customHeight="1">
      <c r="A2188" s="614"/>
      <c r="B2188" s="185"/>
      <c r="C2188" s="609"/>
      <c r="D2188" s="609"/>
      <c r="E2188" s="595"/>
      <c r="F2188" s="596"/>
      <c r="G2188" s="664"/>
      <c r="H2188" s="665"/>
      <c r="I2188" s="599"/>
      <c r="J2188" s="599"/>
      <c r="K2188" s="611"/>
      <c r="L2188" s="611"/>
      <c r="M2188" s="621"/>
      <c r="N2188" s="621"/>
      <c r="O2188" s="621"/>
      <c r="P2188" s="706"/>
      <c r="Q2188" s="622"/>
      <c r="R2188" s="36"/>
      <c r="S2188" s="36"/>
      <c r="T2188" s="36"/>
      <c r="U2188" s="36"/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</row>
    <row r="2189" ht="22.5" customHeight="1">
      <c r="A2189" s="614"/>
      <c r="B2189" s="185"/>
      <c r="C2189" s="609"/>
      <c r="D2189" s="609"/>
      <c r="E2189" s="595"/>
      <c r="F2189" s="596"/>
      <c r="G2189" s="664"/>
      <c r="H2189" s="665"/>
      <c r="I2189" s="599"/>
      <c r="J2189" s="599"/>
      <c r="K2189" s="611"/>
      <c r="L2189" s="611"/>
      <c r="M2189" s="621"/>
      <c r="N2189" s="621"/>
      <c r="O2189" s="621"/>
      <c r="P2189" s="706"/>
      <c r="Q2189" s="622"/>
      <c r="R2189" s="36"/>
      <c r="S2189" s="36"/>
      <c r="T2189" s="36"/>
      <c r="U2189" s="36"/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</row>
    <row r="2190" ht="22.5" customHeight="1">
      <c r="A2190" s="614"/>
      <c r="B2190" s="185"/>
      <c r="C2190" s="609"/>
      <c r="D2190" s="609"/>
      <c r="E2190" s="595"/>
      <c r="F2190" s="596"/>
      <c r="G2190" s="664"/>
      <c r="H2190" s="665"/>
      <c r="I2190" s="599"/>
      <c r="J2190" s="599"/>
      <c r="K2190" s="611"/>
      <c r="L2190" s="611"/>
      <c r="M2190" s="621"/>
      <c r="N2190" s="621"/>
      <c r="O2190" s="621"/>
      <c r="P2190" s="706"/>
      <c r="Q2190" s="622"/>
      <c r="R2190" s="36"/>
      <c r="S2190" s="36"/>
      <c r="T2190" s="36"/>
      <c r="U2190" s="36"/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</row>
    <row r="2191" ht="22.5" customHeight="1">
      <c r="A2191" s="614"/>
      <c r="B2191" s="185"/>
      <c r="C2191" s="609"/>
      <c r="D2191" s="609"/>
      <c r="E2191" s="595"/>
      <c r="F2191" s="596"/>
      <c r="G2191" s="664"/>
      <c r="H2191" s="665"/>
      <c r="I2191" s="599"/>
      <c r="J2191" s="599"/>
      <c r="K2191" s="611"/>
      <c r="L2191" s="611"/>
      <c r="M2191" s="621"/>
      <c r="N2191" s="621"/>
      <c r="O2191" s="621"/>
      <c r="P2191" s="706"/>
      <c r="Q2191" s="622"/>
      <c r="R2191" s="36"/>
      <c r="S2191" s="36"/>
      <c r="T2191" s="36"/>
      <c r="U2191" s="36"/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</row>
    <row r="2192" ht="22.5" customHeight="1">
      <c r="A2192" s="614"/>
      <c r="B2192" s="185"/>
      <c r="C2192" s="609"/>
      <c r="D2192" s="609"/>
      <c r="E2192" s="595"/>
      <c r="F2192" s="596"/>
      <c r="G2192" s="664"/>
      <c r="H2192" s="665"/>
      <c r="I2192" s="599"/>
      <c r="J2192" s="599"/>
      <c r="K2192" s="611"/>
      <c r="L2192" s="611"/>
      <c r="M2192" s="621"/>
      <c r="N2192" s="621"/>
      <c r="O2192" s="621"/>
      <c r="P2192" s="706"/>
      <c r="Q2192" s="622"/>
      <c r="R2192" s="36"/>
      <c r="S2192" s="36"/>
      <c r="T2192" s="36"/>
      <c r="U2192" s="36"/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</row>
    <row r="2193" ht="22.5" customHeight="1">
      <c r="A2193" s="614"/>
      <c r="B2193" s="185"/>
      <c r="C2193" s="609"/>
      <c r="D2193" s="609"/>
      <c r="E2193" s="595"/>
      <c r="F2193" s="596"/>
      <c r="G2193" s="664"/>
      <c r="H2193" s="665"/>
      <c r="I2193" s="599"/>
      <c r="J2193" s="599"/>
      <c r="K2193" s="611"/>
      <c r="L2193" s="611"/>
      <c r="M2193" s="621"/>
      <c r="N2193" s="621"/>
      <c r="O2193" s="621"/>
      <c r="P2193" s="706"/>
      <c r="Q2193" s="622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</row>
    <row r="2194" ht="22.5" customHeight="1">
      <c r="A2194" s="614"/>
      <c r="B2194" s="185"/>
      <c r="C2194" s="609"/>
      <c r="D2194" s="609"/>
      <c r="E2194" s="595"/>
      <c r="F2194" s="596"/>
      <c r="G2194" s="664"/>
      <c r="H2194" s="665"/>
      <c r="I2194" s="599"/>
      <c r="J2194" s="599"/>
      <c r="K2194" s="611"/>
      <c r="L2194" s="611"/>
      <c r="M2194" s="621"/>
      <c r="N2194" s="621"/>
      <c r="O2194" s="621"/>
      <c r="P2194" s="706"/>
      <c r="Q2194" s="622"/>
      <c r="R2194" s="36"/>
      <c r="S2194" s="36"/>
      <c r="T2194" s="36"/>
      <c r="U2194" s="36"/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</row>
    <row r="2195" ht="22.5" customHeight="1">
      <c r="A2195" s="614"/>
      <c r="B2195" s="185"/>
      <c r="C2195" s="609"/>
      <c r="D2195" s="609"/>
      <c r="E2195" s="595"/>
      <c r="F2195" s="596"/>
      <c r="G2195" s="664"/>
      <c r="H2195" s="665"/>
      <c r="I2195" s="599"/>
      <c r="J2195" s="599"/>
      <c r="K2195" s="611"/>
      <c r="L2195" s="611"/>
      <c r="M2195" s="621"/>
      <c r="N2195" s="621"/>
      <c r="O2195" s="621"/>
      <c r="P2195" s="706"/>
      <c r="Q2195" s="622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</row>
    <row r="2196" ht="22.5" customHeight="1">
      <c r="A2196" s="614"/>
      <c r="B2196" s="185"/>
      <c r="C2196" s="609"/>
      <c r="D2196" s="609"/>
      <c r="E2196" s="595"/>
      <c r="F2196" s="596"/>
      <c r="G2196" s="664"/>
      <c r="H2196" s="665"/>
      <c r="I2196" s="599"/>
      <c r="J2196" s="599"/>
      <c r="K2196" s="611"/>
      <c r="L2196" s="611"/>
      <c r="M2196" s="621"/>
      <c r="N2196" s="621"/>
      <c r="O2196" s="621"/>
      <c r="P2196" s="706"/>
      <c r="Q2196" s="622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</row>
    <row r="2197" ht="22.5" customHeight="1">
      <c r="A2197" s="614"/>
      <c r="B2197" s="185"/>
      <c r="C2197" s="609"/>
      <c r="D2197" s="609"/>
      <c r="E2197" s="595"/>
      <c r="F2197" s="596"/>
      <c r="G2197" s="664"/>
      <c r="H2197" s="665"/>
      <c r="I2197" s="599"/>
      <c r="J2197" s="599"/>
      <c r="K2197" s="611"/>
      <c r="L2197" s="611"/>
      <c r="M2197" s="621"/>
      <c r="N2197" s="621"/>
      <c r="O2197" s="621"/>
      <c r="P2197" s="706"/>
      <c r="Q2197" s="622"/>
      <c r="R2197" s="36"/>
      <c r="S2197" s="36"/>
      <c r="T2197" s="36"/>
      <c r="U2197" s="36"/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</row>
    <row r="2198" ht="22.5" customHeight="1">
      <c r="A2198" s="614"/>
      <c r="B2198" s="185"/>
      <c r="C2198" s="609"/>
      <c r="D2198" s="609"/>
      <c r="E2198" s="595"/>
      <c r="F2198" s="596"/>
      <c r="G2198" s="664"/>
      <c r="H2198" s="665"/>
      <c r="I2198" s="599"/>
      <c r="J2198" s="599"/>
      <c r="K2198" s="611"/>
      <c r="L2198" s="611"/>
      <c r="M2198" s="621"/>
      <c r="N2198" s="621"/>
      <c r="O2198" s="621"/>
      <c r="P2198" s="706"/>
      <c r="Q2198" s="622"/>
      <c r="R2198" s="36"/>
      <c r="S2198" s="36"/>
      <c r="T2198" s="36"/>
      <c r="U2198" s="36"/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</row>
    <row r="2199" ht="22.5" customHeight="1">
      <c r="A2199" s="614"/>
      <c r="B2199" s="185"/>
      <c r="C2199" s="609"/>
      <c r="D2199" s="609"/>
      <c r="E2199" s="595"/>
      <c r="F2199" s="596"/>
      <c r="G2199" s="664"/>
      <c r="H2199" s="665"/>
      <c r="I2199" s="599"/>
      <c r="J2199" s="599"/>
      <c r="K2199" s="611"/>
      <c r="L2199" s="611"/>
      <c r="M2199" s="621"/>
      <c r="N2199" s="621"/>
      <c r="O2199" s="621"/>
      <c r="P2199" s="706"/>
      <c r="Q2199" s="622"/>
      <c r="R2199" s="36"/>
      <c r="S2199" s="36"/>
      <c r="T2199" s="36"/>
      <c r="U2199" s="36"/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</row>
    <row r="2200" ht="22.5" customHeight="1">
      <c r="A2200" s="614"/>
      <c r="B2200" s="185"/>
      <c r="C2200" s="609"/>
      <c r="D2200" s="609"/>
      <c r="E2200" s="595"/>
      <c r="F2200" s="596"/>
      <c r="G2200" s="664"/>
      <c r="H2200" s="665"/>
      <c r="I2200" s="599"/>
      <c r="J2200" s="599"/>
      <c r="K2200" s="611"/>
      <c r="L2200" s="611"/>
      <c r="M2200" s="621"/>
      <c r="N2200" s="621"/>
      <c r="O2200" s="621"/>
      <c r="P2200" s="706"/>
      <c r="Q2200" s="622"/>
      <c r="R2200" s="36"/>
      <c r="S2200" s="36"/>
      <c r="T2200" s="36"/>
      <c r="U2200" s="36"/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</row>
    <row r="2201" ht="22.5" customHeight="1">
      <c r="A2201" s="614"/>
      <c r="B2201" s="185"/>
      <c r="C2201" s="609"/>
      <c r="D2201" s="609"/>
      <c r="E2201" s="595"/>
      <c r="F2201" s="596"/>
      <c r="G2201" s="664"/>
      <c r="H2201" s="665"/>
      <c r="I2201" s="599"/>
      <c r="J2201" s="599"/>
      <c r="K2201" s="611"/>
      <c r="L2201" s="611"/>
      <c r="M2201" s="621"/>
      <c r="N2201" s="621"/>
      <c r="O2201" s="621"/>
      <c r="P2201" s="706"/>
      <c r="Q2201" s="622"/>
      <c r="R2201" s="36"/>
      <c r="S2201" s="36"/>
      <c r="T2201" s="36"/>
      <c r="U2201" s="36"/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</row>
    <row r="2202" ht="22.5" customHeight="1">
      <c r="A2202" s="614"/>
      <c r="B2202" s="185"/>
      <c r="C2202" s="609"/>
      <c r="D2202" s="609"/>
      <c r="E2202" s="595"/>
      <c r="F2202" s="596"/>
      <c r="G2202" s="664"/>
      <c r="H2202" s="665"/>
      <c r="I2202" s="599"/>
      <c r="J2202" s="599"/>
      <c r="K2202" s="611"/>
      <c r="L2202" s="611"/>
      <c r="M2202" s="621"/>
      <c r="N2202" s="621"/>
      <c r="O2202" s="621"/>
      <c r="P2202" s="706"/>
      <c r="Q2202" s="622"/>
      <c r="R2202" s="36"/>
      <c r="S2202" s="36"/>
      <c r="T2202" s="36"/>
      <c r="U2202" s="36"/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</row>
    <row r="2203" ht="22.5" customHeight="1">
      <c r="A2203" s="614"/>
      <c r="B2203" s="185"/>
      <c r="C2203" s="609"/>
      <c r="D2203" s="609"/>
      <c r="E2203" s="595"/>
      <c r="F2203" s="596"/>
      <c r="G2203" s="664"/>
      <c r="H2203" s="665"/>
      <c r="I2203" s="599"/>
      <c r="J2203" s="599"/>
      <c r="K2203" s="611"/>
      <c r="L2203" s="611"/>
      <c r="M2203" s="621"/>
      <c r="N2203" s="621"/>
      <c r="O2203" s="621"/>
      <c r="P2203" s="706"/>
      <c r="Q2203" s="622"/>
      <c r="R2203" s="36"/>
      <c r="S2203" s="36"/>
      <c r="T2203" s="36"/>
      <c r="U2203" s="36"/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</row>
    <row r="2204" ht="22.5" customHeight="1">
      <c r="A2204" s="614"/>
      <c r="B2204" s="185"/>
      <c r="C2204" s="609"/>
      <c r="D2204" s="609"/>
      <c r="E2204" s="595"/>
      <c r="F2204" s="596"/>
      <c r="G2204" s="664"/>
      <c r="H2204" s="665"/>
      <c r="I2204" s="599"/>
      <c r="J2204" s="599"/>
      <c r="K2204" s="611"/>
      <c r="L2204" s="611"/>
      <c r="M2204" s="621"/>
      <c r="N2204" s="621"/>
      <c r="O2204" s="621"/>
      <c r="P2204" s="706"/>
      <c r="Q2204" s="622"/>
      <c r="R2204" s="36"/>
      <c r="S2204" s="36"/>
      <c r="T2204" s="36"/>
      <c r="U2204" s="36"/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</row>
    <row r="2205" ht="22.5" customHeight="1">
      <c r="A2205" s="614"/>
      <c r="B2205" s="185"/>
      <c r="C2205" s="609"/>
      <c r="D2205" s="609"/>
      <c r="E2205" s="595"/>
      <c r="F2205" s="596"/>
      <c r="G2205" s="664"/>
      <c r="H2205" s="665"/>
      <c r="I2205" s="599"/>
      <c r="J2205" s="599"/>
      <c r="K2205" s="611"/>
      <c r="L2205" s="611"/>
      <c r="M2205" s="621"/>
      <c r="N2205" s="621"/>
      <c r="O2205" s="621"/>
      <c r="P2205" s="706"/>
      <c r="Q2205" s="622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</row>
    <row r="2206" ht="22.5" customHeight="1">
      <c r="A2206" s="614"/>
      <c r="B2206" s="185"/>
      <c r="C2206" s="609"/>
      <c r="D2206" s="609"/>
      <c r="E2206" s="595"/>
      <c r="F2206" s="596"/>
      <c r="G2206" s="664"/>
      <c r="H2206" s="665"/>
      <c r="I2206" s="599"/>
      <c r="J2206" s="599"/>
      <c r="K2206" s="611"/>
      <c r="L2206" s="611"/>
      <c r="M2206" s="621"/>
      <c r="N2206" s="621"/>
      <c r="O2206" s="621"/>
      <c r="P2206" s="706"/>
      <c r="Q2206" s="622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</row>
    <row r="2207" ht="22.5" customHeight="1">
      <c r="A2207" s="614"/>
      <c r="B2207" s="185"/>
      <c r="C2207" s="609"/>
      <c r="D2207" s="609"/>
      <c r="E2207" s="595"/>
      <c r="F2207" s="596"/>
      <c r="G2207" s="664"/>
      <c r="H2207" s="665"/>
      <c r="I2207" s="599"/>
      <c r="J2207" s="599"/>
      <c r="K2207" s="611"/>
      <c r="L2207" s="611"/>
      <c r="M2207" s="621"/>
      <c r="N2207" s="621"/>
      <c r="O2207" s="621"/>
      <c r="P2207" s="706"/>
      <c r="Q2207" s="622"/>
      <c r="R2207" s="36"/>
      <c r="S2207" s="36"/>
      <c r="T2207" s="36"/>
      <c r="U2207" s="36"/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</row>
    <row r="2208" ht="22.5" customHeight="1">
      <c r="A2208" s="614"/>
      <c r="B2208" s="185"/>
      <c r="C2208" s="609"/>
      <c r="D2208" s="609"/>
      <c r="E2208" s="595"/>
      <c r="F2208" s="596"/>
      <c r="G2208" s="664"/>
      <c r="H2208" s="665"/>
      <c r="I2208" s="599"/>
      <c r="J2208" s="599"/>
      <c r="K2208" s="611"/>
      <c r="L2208" s="611"/>
      <c r="M2208" s="621"/>
      <c r="N2208" s="621"/>
      <c r="O2208" s="621"/>
      <c r="P2208" s="706"/>
      <c r="Q2208" s="622"/>
      <c r="R2208" s="36"/>
      <c r="S2208" s="36"/>
      <c r="T2208" s="36"/>
      <c r="U2208" s="36"/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</row>
    <row r="2209" ht="22.5" customHeight="1">
      <c r="A2209" s="614"/>
      <c r="B2209" s="185"/>
      <c r="C2209" s="609"/>
      <c r="D2209" s="609"/>
      <c r="E2209" s="595"/>
      <c r="F2209" s="596"/>
      <c r="G2209" s="664"/>
      <c r="H2209" s="665"/>
      <c r="I2209" s="599"/>
      <c r="J2209" s="599"/>
      <c r="K2209" s="611"/>
      <c r="L2209" s="611"/>
      <c r="M2209" s="621"/>
      <c r="N2209" s="621"/>
      <c r="O2209" s="621"/>
      <c r="P2209" s="706"/>
      <c r="Q2209" s="622"/>
      <c r="R2209" s="36"/>
      <c r="S2209" s="36"/>
      <c r="T2209" s="36"/>
      <c r="U2209" s="36"/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</row>
    <row r="2210" ht="22.5" customHeight="1">
      <c r="A2210" s="614"/>
      <c r="B2210" s="185"/>
      <c r="C2210" s="609"/>
      <c r="D2210" s="609"/>
      <c r="E2210" s="595"/>
      <c r="F2210" s="596"/>
      <c r="G2210" s="664"/>
      <c r="H2210" s="665"/>
      <c r="I2210" s="599"/>
      <c r="J2210" s="599"/>
      <c r="K2210" s="611"/>
      <c r="L2210" s="611"/>
      <c r="M2210" s="621"/>
      <c r="N2210" s="621"/>
      <c r="O2210" s="621"/>
      <c r="P2210" s="706"/>
      <c r="Q2210" s="622"/>
      <c r="R2210" s="36"/>
      <c r="S2210" s="36"/>
      <c r="T2210" s="36"/>
      <c r="U2210" s="36"/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</row>
    <row r="2211" ht="22.5" customHeight="1">
      <c r="A2211" s="614"/>
      <c r="B2211" s="185"/>
      <c r="C2211" s="609"/>
      <c r="D2211" s="609"/>
      <c r="E2211" s="595"/>
      <c r="F2211" s="596"/>
      <c r="G2211" s="664"/>
      <c r="H2211" s="665"/>
      <c r="I2211" s="599"/>
      <c r="J2211" s="599"/>
      <c r="K2211" s="611"/>
      <c r="L2211" s="611"/>
      <c r="M2211" s="621"/>
      <c r="N2211" s="621"/>
      <c r="O2211" s="621"/>
      <c r="P2211" s="706"/>
      <c r="Q2211" s="622"/>
      <c r="R2211" s="36"/>
      <c r="S2211" s="36"/>
      <c r="T2211" s="36"/>
      <c r="U2211" s="36"/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</row>
    <row r="2212" ht="22.5" customHeight="1">
      <c r="A2212" s="614"/>
      <c r="B2212" s="185"/>
      <c r="C2212" s="609"/>
      <c r="D2212" s="609"/>
      <c r="E2212" s="595"/>
      <c r="F2212" s="596"/>
      <c r="G2212" s="664"/>
      <c r="H2212" s="665"/>
      <c r="I2212" s="599"/>
      <c r="J2212" s="599"/>
      <c r="K2212" s="611"/>
      <c r="L2212" s="611"/>
      <c r="M2212" s="621"/>
      <c r="N2212" s="621"/>
      <c r="O2212" s="621"/>
      <c r="P2212" s="706"/>
      <c r="Q2212" s="622"/>
      <c r="R2212" s="36"/>
      <c r="S2212" s="36"/>
      <c r="T2212" s="36"/>
      <c r="U2212" s="36"/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</row>
    <row r="2213" ht="22.5" customHeight="1">
      <c r="A2213" s="614"/>
      <c r="B2213" s="185"/>
      <c r="C2213" s="609"/>
      <c r="D2213" s="609"/>
      <c r="E2213" s="595"/>
      <c r="F2213" s="596"/>
      <c r="G2213" s="664"/>
      <c r="H2213" s="665"/>
      <c r="I2213" s="599"/>
      <c r="J2213" s="599"/>
      <c r="K2213" s="611"/>
      <c r="L2213" s="611"/>
      <c r="M2213" s="621"/>
      <c r="N2213" s="621"/>
      <c r="O2213" s="621"/>
      <c r="P2213" s="706"/>
      <c r="Q2213" s="622"/>
      <c r="R2213" s="36"/>
      <c r="S2213" s="36"/>
      <c r="T2213" s="36"/>
      <c r="U2213" s="36"/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</row>
    <row r="2214" ht="22.5" customHeight="1">
      <c r="A2214" s="614"/>
      <c r="B2214" s="185"/>
      <c r="C2214" s="609"/>
      <c r="D2214" s="609"/>
      <c r="E2214" s="595"/>
      <c r="F2214" s="596"/>
      <c r="G2214" s="664"/>
      <c r="H2214" s="665"/>
      <c r="I2214" s="599"/>
      <c r="J2214" s="599"/>
      <c r="K2214" s="611"/>
      <c r="L2214" s="611"/>
      <c r="M2214" s="621"/>
      <c r="N2214" s="621"/>
      <c r="O2214" s="621"/>
      <c r="P2214" s="706"/>
      <c r="Q2214" s="622"/>
      <c r="R2214" s="36"/>
      <c r="S2214" s="36"/>
      <c r="T2214" s="36"/>
      <c r="U2214" s="36"/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</row>
    <row r="2215" ht="22.5" customHeight="1">
      <c r="A2215" s="614"/>
      <c r="B2215" s="185"/>
      <c r="C2215" s="609"/>
      <c r="D2215" s="609"/>
      <c r="E2215" s="595"/>
      <c r="F2215" s="596"/>
      <c r="G2215" s="664"/>
      <c r="H2215" s="665"/>
      <c r="I2215" s="599"/>
      <c r="J2215" s="599"/>
      <c r="K2215" s="611"/>
      <c r="L2215" s="611"/>
      <c r="M2215" s="621"/>
      <c r="N2215" s="621"/>
      <c r="O2215" s="621"/>
      <c r="P2215" s="706"/>
      <c r="Q2215" s="622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</row>
    <row r="2216" ht="22.5" customHeight="1">
      <c r="A2216" s="614"/>
      <c r="B2216" s="185"/>
      <c r="C2216" s="609"/>
      <c r="D2216" s="609"/>
      <c r="E2216" s="595"/>
      <c r="F2216" s="596"/>
      <c r="G2216" s="664"/>
      <c r="H2216" s="665"/>
      <c r="I2216" s="599"/>
      <c r="J2216" s="599"/>
      <c r="K2216" s="611"/>
      <c r="L2216" s="611"/>
      <c r="M2216" s="621"/>
      <c r="N2216" s="621"/>
      <c r="O2216" s="621"/>
      <c r="P2216" s="706"/>
      <c r="Q2216" s="622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</row>
    <row r="2217" ht="22.5" customHeight="1">
      <c r="A2217" s="614"/>
      <c r="B2217" s="185"/>
      <c r="C2217" s="609"/>
      <c r="D2217" s="609"/>
      <c r="E2217" s="595"/>
      <c r="F2217" s="596"/>
      <c r="G2217" s="664"/>
      <c r="H2217" s="665"/>
      <c r="I2217" s="599"/>
      <c r="J2217" s="599"/>
      <c r="K2217" s="611"/>
      <c r="L2217" s="611"/>
      <c r="M2217" s="621"/>
      <c r="N2217" s="621"/>
      <c r="O2217" s="621"/>
      <c r="P2217" s="706"/>
      <c r="Q2217" s="622"/>
      <c r="R2217" s="36"/>
      <c r="S2217" s="36"/>
      <c r="T2217" s="36"/>
      <c r="U2217" s="36"/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</row>
    <row r="2218" ht="22.5" customHeight="1">
      <c r="A2218" s="614"/>
      <c r="B2218" s="185"/>
      <c r="C2218" s="609"/>
      <c r="D2218" s="609"/>
      <c r="E2218" s="595"/>
      <c r="F2218" s="596"/>
      <c r="G2218" s="664"/>
      <c r="H2218" s="665"/>
      <c r="I2218" s="599"/>
      <c r="J2218" s="599"/>
      <c r="K2218" s="611"/>
      <c r="L2218" s="611"/>
      <c r="M2218" s="621"/>
      <c r="N2218" s="621"/>
      <c r="O2218" s="621"/>
      <c r="P2218" s="706"/>
      <c r="Q2218" s="622"/>
      <c r="R2218" s="36"/>
      <c r="S2218" s="36"/>
      <c r="T2218" s="36"/>
      <c r="U2218" s="36"/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</row>
    <row r="2219" ht="22.5" customHeight="1">
      <c r="A2219" s="614"/>
      <c r="B2219" s="185"/>
      <c r="C2219" s="609"/>
      <c r="D2219" s="609"/>
      <c r="E2219" s="595"/>
      <c r="F2219" s="596"/>
      <c r="G2219" s="664"/>
      <c r="H2219" s="665"/>
      <c r="I2219" s="599"/>
      <c r="J2219" s="599"/>
      <c r="K2219" s="611"/>
      <c r="L2219" s="611"/>
      <c r="M2219" s="621"/>
      <c r="N2219" s="621"/>
      <c r="O2219" s="621"/>
      <c r="P2219" s="706"/>
      <c r="Q2219" s="622"/>
      <c r="R2219" s="36"/>
      <c r="S2219" s="36"/>
      <c r="T2219" s="36"/>
      <c r="U2219" s="36"/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</row>
    <row r="2220" ht="22.5" customHeight="1">
      <c r="A2220" s="614"/>
      <c r="B2220" s="185"/>
      <c r="C2220" s="609"/>
      <c r="D2220" s="609"/>
      <c r="E2220" s="595"/>
      <c r="F2220" s="596"/>
      <c r="G2220" s="664"/>
      <c r="H2220" s="665"/>
      <c r="I2220" s="599"/>
      <c r="J2220" s="599"/>
      <c r="K2220" s="611"/>
      <c r="L2220" s="611"/>
      <c r="M2220" s="621"/>
      <c r="N2220" s="621"/>
      <c r="O2220" s="621"/>
      <c r="P2220" s="706"/>
      <c r="Q2220" s="622"/>
      <c r="R2220" s="36"/>
      <c r="S2220" s="36"/>
      <c r="T2220" s="36"/>
      <c r="U2220" s="36"/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</row>
    <row r="2221" ht="22.5" customHeight="1">
      <c r="A2221" s="614"/>
      <c r="B2221" s="185"/>
      <c r="C2221" s="609"/>
      <c r="D2221" s="609"/>
      <c r="E2221" s="595"/>
      <c r="F2221" s="596"/>
      <c r="G2221" s="664"/>
      <c r="H2221" s="665"/>
      <c r="I2221" s="599"/>
      <c r="J2221" s="599"/>
      <c r="K2221" s="611"/>
      <c r="L2221" s="611"/>
      <c r="M2221" s="621"/>
      <c r="N2221" s="621"/>
      <c r="O2221" s="621"/>
      <c r="P2221" s="706"/>
      <c r="Q2221" s="622"/>
      <c r="R2221" s="36"/>
      <c r="S2221" s="36"/>
      <c r="T2221" s="36"/>
      <c r="U2221" s="36"/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</row>
    <row r="2222" ht="22.5" customHeight="1">
      <c r="A2222" s="614"/>
      <c r="B2222" s="185"/>
      <c r="C2222" s="609"/>
      <c r="D2222" s="609"/>
      <c r="E2222" s="595"/>
      <c r="F2222" s="596"/>
      <c r="G2222" s="664"/>
      <c r="H2222" s="665"/>
      <c r="I2222" s="599"/>
      <c r="J2222" s="599"/>
      <c r="K2222" s="611"/>
      <c r="L2222" s="611"/>
      <c r="M2222" s="621"/>
      <c r="N2222" s="621"/>
      <c r="O2222" s="621"/>
      <c r="P2222" s="706"/>
      <c r="Q2222" s="622"/>
      <c r="R2222" s="36"/>
      <c r="S2222" s="36"/>
      <c r="T2222" s="36"/>
      <c r="U2222" s="36"/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</row>
    <row r="2223" ht="22.5" customHeight="1">
      <c r="A2223" s="614"/>
      <c r="B2223" s="185"/>
      <c r="C2223" s="609"/>
      <c r="D2223" s="609"/>
      <c r="E2223" s="595"/>
      <c r="F2223" s="596"/>
      <c r="G2223" s="664"/>
      <c r="H2223" s="665"/>
      <c r="I2223" s="599"/>
      <c r="J2223" s="599"/>
      <c r="K2223" s="611"/>
      <c r="L2223" s="611"/>
      <c r="M2223" s="621"/>
      <c r="N2223" s="621"/>
      <c r="O2223" s="621"/>
      <c r="P2223" s="706"/>
      <c r="Q2223" s="622"/>
      <c r="R2223" s="36"/>
      <c r="S2223" s="36"/>
      <c r="T2223" s="36"/>
      <c r="U2223" s="36"/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</row>
    <row r="2224" ht="22.5" customHeight="1">
      <c r="A2224" s="614"/>
      <c r="B2224" s="185"/>
      <c r="C2224" s="609"/>
      <c r="D2224" s="609"/>
      <c r="E2224" s="595"/>
      <c r="F2224" s="596"/>
      <c r="G2224" s="664"/>
      <c r="H2224" s="665"/>
      <c r="I2224" s="599"/>
      <c r="J2224" s="599"/>
      <c r="K2224" s="611"/>
      <c r="L2224" s="611"/>
      <c r="M2224" s="621"/>
      <c r="N2224" s="621"/>
      <c r="O2224" s="621"/>
      <c r="P2224" s="706"/>
      <c r="Q2224" s="622"/>
      <c r="R2224" s="36"/>
      <c r="S2224" s="36"/>
      <c r="T2224" s="36"/>
      <c r="U2224" s="36"/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</row>
    <row r="2225" ht="22.5" customHeight="1">
      <c r="A2225" s="614"/>
      <c r="B2225" s="185"/>
      <c r="C2225" s="609"/>
      <c r="D2225" s="609"/>
      <c r="E2225" s="595"/>
      <c r="F2225" s="596"/>
      <c r="G2225" s="664"/>
      <c r="H2225" s="665"/>
      <c r="I2225" s="599"/>
      <c r="J2225" s="599"/>
      <c r="K2225" s="611"/>
      <c r="L2225" s="611"/>
      <c r="M2225" s="621"/>
      <c r="N2225" s="621"/>
      <c r="O2225" s="621"/>
      <c r="P2225" s="706"/>
      <c r="Q2225" s="622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</row>
    <row r="2226" ht="22.5" customHeight="1">
      <c r="A2226" s="614"/>
      <c r="B2226" s="185"/>
      <c r="C2226" s="609"/>
      <c r="D2226" s="609"/>
      <c r="E2226" s="595"/>
      <c r="F2226" s="596"/>
      <c r="G2226" s="664"/>
      <c r="H2226" s="665"/>
      <c r="I2226" s="599"/>
      <c r="J2226" s="599"/>
      <c r="K2226" s="611"/>
      <c r="L2226" s="611"/>
      <c r="M2226" s="621"/>
      <c r="N2226" s="621"/>
      <c r="O2226" s="621"/>
      <c r="P2226" s="706"/>
      <c r="Q2226" s="622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</row>
    <row r="2227" ht="22.5" customHeight="1">
      <c r="A2227" s="614"/>
      <c r="B2227" s="185"/>
      <c r="C2227" s="609"/>
      <c r="D2227" s="609"/>
      <c r="E2227" s="595"/>
      <c r="F2227" s="596"/>
      <c r="G2227" s="664"/>
      <c r="H2227" s="665"/>
      <c r="I2227" s="599"/>
      <c r="J2227" s="599"/>
      <c r="K2227" s="611"/>
      <c r="L2227" s="611"/>
      <c r="M2227" s="621"/>
      <c r="N2227" s="621"/>
      <c r="O2227" s="621"/>
      <c r="P2227" s="706"/>
      <c r="Q2227" s="622"/>
      <c r="R2227" s="36"/>
      <c r="S2227" s="36"/>
      <c r="T2227" s="36"/>
      <c r="U2227" s="36"/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</row>
    <row r="2228" ht="22.5" customHeight="1">
      <c r="A2228" s="614"/>
      <c r="B2228" s="185"/>
      <c r="C2228" s="609"/>
      <c r="D2228" s="609"/>
      <c r="E2228" s="595"/>
      <c r="F2228" s="596"/>
      <c r="G2228" s="664"/>
      <c r="H2228" s="665"/>
      <c r="I2228" s="599"/>
      <c r="J2228" s="599"/>
      <c r="K2228" s="611"/>
      <c r="L2228" s="611"/>
      <c r="M2228" s="621"/>
      <c r="N2228" s="621"/>
      <c r="O2228" s="621"/>
      <c r="P2228" s="706"/>
      <c r="Q2228" s="622"/>
      <c r="R2228" s="36"/>
      <c r="S2228" s="36"/>
      <c r="T2228" s="36"/>
      <c r="U2228" s="36"/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</row>
    <row r="2229" ht="22.5" customHeight="1">
      <c r="A2229" s="614"/>
      <c r="B2229" s="185"/>
      <c r="C2229" s="609"/>
      <c r="D2229" s="609"/>
      <c r="E2229" s="595"/>
      <c r="F2229" s="596"/>
      <c r="G2229" s="664"/>
      <c r="H2229" s="665"/>
      <c r="I2229" s="599"/>
      <c r="J2229" s="599"/>
      <c r="K2229" s="611"/>
      <c r="L2229" s="611"/>
      <c r="M2229" s="621"/>
      <c r="N2229" s="621"/>
      <c r="O2229" s="621"/>
      <c r="P2229" s="706"/>
      <c r="Q2229" s="622"/>
      <c r="R2229" s="36"/>
      <c r="S2229" s="36"/>
      <c r="T2229" s="36"/>
      <c r="U2229" s="36"/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</row>
    <row r="2230" ht="22.5" customHeight="1">
      <c r="A2230" s="614"/>
      <c r="B2230" s="185"/>
      <c r="C2230" s="609"/>
      <c r="D2230" s="609"/>
      <c r="E2230" s="595"/>
      <c r="F2230" s="596"/>
      <c r="G2230" s="664"/>
      <c r="H2230" s="665"/>
      <c r="I2230" s="599"/>
      <c r="J2230" s="599"/>
      <c r="K2230" s="611"/>
      <c r="L2230" s="611"/>
      <c r="M2230" s="621"/>
      <c r="N2230" s="621"/>
      <c r="O2230" s="621"/>
      <c r="P2230" s="706"/>
      <c r="Q2230" s="622"/>
      <c r="R2230" s="36"/>
      <c r="S2230" s="36"/>
      <c r="T2230" s="36"/>
      <c r="U2230" s="36"/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</row>
    <row r="2231" ht="22.5" customHeight="1">
      <c r="A2231" s="614"/>
      <c r="B2231" s="185"/>
      <c r="C2231" s="609"/>
      <c r="D2231" s="609"/>
      <c r="E2231" s="595"/>
      <c r="F2231" s="596"/>
      <c r="G2231" s="664"/>
      <c r="H2231" s="665"/>
      <c r="I2231" s="599"/>
      <c r="J2231" s="599"/>
      <c r="K2231" s="611"/>
      <c r="L2231" s="611"/>
      <c r="M2231" s="621"/>
      <c r="N2231" s="621"/>
      <c r="O2231" s="621"/>
      <c r="P2231" s="706"/>
      <c r="Q2231" s="622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</row>
    <row r="2232" ht="22.5" customHeight="1">
      <c r="A2232" s="614"/>
      <c r="B2232" s="185"/>
      <c r="C2232" s="609"/>
      <c r="D2232" s="609"/>
      <c r="E2232" s="595"/>
      <c r="F2232" s="596"/>
      <c r="G2232" s="664"/>
      <c r="H2232" s="665"/>
      <c r="I2232" s="599"/>
      <c r="J2232" s="599"/>
      <c r="K2232" s="611"/>
      <c r="L2232" s="611"/>
      <c r="M2232" s="621"/>
      <c r="N2232" s="621"/>
      <c r="O2232" s="621"/>
      <c r="P2232" s="706"/>
      <c r="Q2232" s="622"/>
      <c r="R2232" s="36"/>
      <c r="S2232" s="36"/>
      <c r="T2232" s="36"/>
      <c r="U2232" s="36"/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</row>
    <row r="2233" ht="22.5" customHeight="1">
      <c r="A2233" s="614"/>
      <c r="B2233" s="185"/>
      <c r="C2233" s="609"/>
      <c r="D2233" s="609"/>
      <c r="E2233" s="595"/>
      <c r="F2233" s="596"/>
      <c r="G2233" s="664"/>
      <c r="H2233" s="665"/>
      <c r="I2233" s="599"/>
      <c r="J2233" s="599"/>
      <c r="K2233" s="611"/>
      <c r="L2233" s="611"/>
      <c r="M2233" s="621"/>
      <c r="N2233" s="621"/>
      <c r="O2233" s="621"/>
      <c r="P2233" s="706"/>
      <c r="Q2233" s="622"/>
      <c r="R2233" s="36"/>
      <c r="S2233" s="36"/>
      <c r="T2233" s="36"/>
      <c r="U2233" s="36"/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</row>
    <row r="2234" ht="22.5" customHeight="1">
      <c r="A2234" s="614"/>
      <c r="B2234" s="185"/>
      <c r="C2234" s="609"/>
      <c r="D2234" s="609"/>
      <c r="E2234" s="595"/>
      <c r="F2234" s="596"/>
      <c r="G2234" s="664"/>
      <c r="H2234" s="665"/>
      <c r="I2234" s="599"/>
      <c r="J2234" s="599"/>
      <c r="K2234" s="611"/>
      <c r="L2234" s="611"/>
      <c r="M2234" s="621"/>
      <c r="N2234" s="621"/>
      <c r="O2234" s="621"/>
      <c r="P2234" s="706"/>
      <c r="Q2234" s="622"/>
      <c r="R2234" s="36"/>
      <c r="S2234" s="36"/>
      <c r="T2234" s="36"/>
      <c r="U2234" s="36"/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</row>
    <row r="2235" ht="22.5" customHeight="1">
      <c r="A2235" s="614"/>
      <c r="B2235" s="185"/>
      <c r="C2235" s="609"/>
      <c r="D2235" s="609"/>
      <c r="E2235" s="595"/>
      <c r="F2235" s="596"/>
      <c r="G2235" s="664"/>
      <c r="H2235" s="665"/>
      <c r="I2235" s="599"/>
      <c r="J2235" s="599"/>
      <c r="K2235" s="611"/>
      <c r="L2235" s="611"/>
      <c r="M2235" s="621"/>
      <c r="N2235" s="621"/>
      <c r="O2235" s="621"/>
      <c r="P2235" s="706"/>
      <c r="Q2235" s="622"/>
      <c r="R2235" s="36"/>
      <c r="S2235" s="36"/>
      <c r="T2235" s="36"/>
      <c r="U2235" s="36"/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</row>
    <row r="2236" ht="22.5" customHeight="1">
      <c r="A2236" s="614"/>
      <c r="B2236" s="185"/>
      <c r="C2236" s="609"/>
      <c r="D2236" s="609"/>
      <c r="E2236" s="595"/>
      <c r="F2236" s="596"/>
      <c r="G2236" s="664"/>
      <c r="H2236" s="665"/>
      <c r="I2236" s="599"/>
      <c r="J2236" s="599"/>
      <c r="K2236" s="611"/>
      <c r="L2236" s="611"/>
      <c r="M2236" s="621"/>
      <c r="N2236" s="621"/>
      <c r="O2236" s="621"/>
      <c r="P2236" s="706"/>
      <c r="Q2236" s="622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</row>
    <row r="2237" ht="22.5" customHeight="1">
      <c r="A2237" s="614"/>
      <c r="B2237" s="185"/>
      <c r="C2237" s="609"/>
      <c r="D2237" s="609"/>
      <c r="E2237" s="595"/>
      <c r="F2237" s="596"/>
      <c r="G2237" s="664"/>
      <c r="H2237" s="665"/>
      <c r="I2237" s="599"/>
      <c r="J2237" s="599"/>
      <c r="K2237" s="611"/>
      <c r="L2237" s="611"/>
      <c r="M2237" s="621"/>
      <c r="N2237" s="621"/>
      <c r="O2237" s="621"/>
      <c r="P2237" s="706"/>
      <c r="Q2237" s="622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</row>
    <row r="2238" ht="22.5" customHeight="1">
      <c r="A2238" s="614"/>
      <c r="B2238" s="185"/>
      <c r="C2238" s="609"/>
      <c r="D2238" s="609"/>
      <c r="E2238" s="595"/>
      <c r="F2238" s="596"/>
      <c r="G2238" s="664"/>
      <c r="H2238" s="665"/>
      <c r="I2238" s="599"/>
      <c r="J2238" s="599"/>
      <c r="K2238" s="611"/>
      <c r="L2238" s="611"/>
      <c r="M2238" s="621"/>
      <c r="N2238" s="621"/>
      <c r="O2238" s="621"/>
      <c r="P2238" s="706"/>
      <c r="Q2238" s="622"/>
      <c r="R2238" s="36"/>
      <c r="S2238" s="36"/>
      <c r="T2238" s="36"/>
      <c r="U2238" s="36"/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</row>
    <row r="2239" ht="22.5" customHeight="1">
      <c r="A2239" s="614"/>
      <c r="B2239" s="185"/>
      <c r="C2239" s="609"/>
      <c r="D2239" s="609"/>
      <c r="E2239" s="595"/>
      <c r="F2239" s="596"/>
      <c r="G2239" s="664"/>
      <c r="H2239" s="665"/>
      <c r="I2239" s="599"/>
      <c r="J2239" s="599"/>
      <c r="K2239" s="611"/>
      <c r="L2239" s="611"/>
      <c r="M2239" s="621"/>
      <c r="N2239" s="621"/>
      <c r="O2239" s="621"/>
      <c r="P2239" s="706"/>
      <c r="Q2239" s="622"/>
      <c r="R2239" s="36"/>
      <c r="S2239" s="36"/>
      <c r="T2239" s="36"/>
      <c r="U2239" s="36"/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</row>
    <row r="2240" ht="22.5" customHeight="1">
      <c r="A2240" s="614"/>
      <c r="B2240" s="185"/>
      <c r="C2240" s="609"/>
      <c r="D2240" s="609"/>
      <c r="E2240" s="595"/>
      <c r="F2240" s="596"/>
      <c r="G2240" s="664"/>
      <c r="H2240" s="665"/>
      <c r="I2240" s="599"/>
      <c r="J2240" s="599"/>
      <c r="K2240" s="611"/>
      <c r="L2240" s="611"/>
      <c r="M2240" s="621"/>
      <c r="N2240" s="621"/>
      <c r="O2240" s="621"/>
      <c r="P2240" s="706"/>
      <c r="Q2240" s="622"/>
      <c r="R2240" s="36"/>
      <c r="S2240" s="36"/>
      <c r="T2240" s="36"/>
      <c r="U2240" s="36"/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</row>
    <row r="2241" ht="22.5" customHeight="1">
      <c r="A2241" s="614"/>
      <c r="B2241" s="185"/>
      <c r="C2241" s="609"/>
      <c r="D2241" s="609"/>
      <c r="E2241" s="595"/>
      <c r="F2241" s="596"/>
      <c r="G2241" s="664"/>
      <c r="H2241" s="665"/>
      <c r="I2241" s="599"/>
      <c r="J2241" s="599"/>
      <c r="K2241" s="611"/>
      <c r="L2241" s="611"/>
      <c r="M2241" s="621"/>
      <c r="N2241" s="621"/>
      <c r="O2241" s="621"/>
      <c r="P2241" s="706"/>
      <c r="Q2241" s="622"/>
      <c r="R2241" s="36"/>
      <c r="S2241" s="36"/>
      <c r="T2241" s="36"/>
      <c r="U2241" s="36"/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</row>
    <row r="2242" ht="22.5" customHeight="1">
      <c r="A2242" s="614"/>
      <c r="B2242" s="185"/>
      <c r="C2242" s="609"/>
      <c r="D2242" s="609"/>
      <c r="E2242" s="595"/>
      <c r="F2242" s="596"/>
      <c r="G2242" s="664"/>
      <c r="H2242" s="665"/>
      <c r="I2242" s="599"/>
      <c r="J2242" s="599"/>
      <c r="K2242" s="611"/>
      <c r="L2242" s="611"/>
      <c r="M2242" s="621"/>
      <c r="N2242" s="621"/>
      <c r="O2242" s="621"/>
      <c r="P2242" s="706"/>
      <c r="Q2242" s="622"/>
      <c r="R2242" s="36"/>
      <c r="S2242" s="36"/>
      <c r="T2242" s="36"/>
      <c r="U2242" s="36"/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</row>
    <row r="2243" ht="22.5" customHeight="1">
      <c r="A2243" s="614"/>
      <c r="B2243" s="185"/>
      <c r="C2243" s="609"/>
      <c r="D2243" s="609"/>
      <c r="E2243" s="595"/>
      <c r="F2243" s="596"/>
      <c r="G2243" s="664"/>
      <c r="H2243" s="665"/>
      <c r="I2243" s="599"/>
      <c r="J2243" s="599"/>
      <c r="K2243" s="611"/>
      <c r="L2243" s="611"/>
      <c r="M2243" s="621"/>
      <c r="N2243" s="621"/>
      <c r="O2243" s="621"/>
      <c r="P2243" s="706"/>
      <c r="Q2243" s="622"/>
      <c r="R2243" s="36"/>
      <c r="S2243" s="36"/>
      <c r="T2243" s="36"/>
      <c r="U2243" s="36"/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</row>
    <row r="2244" ht="22.5" customHeight="1">
      <c r="A2244" s="614"/>
      <c r="B2244" s="185"/>
      <c r="C2244" s="609"/>
      <c r="D2244" s="609"/>
      <c r="E2244" s="595"/>
      <c r="F2244" s="596"/>
      <c r="G2244" s="664"/>
      <c r="H2244" s="665"/>
      <c r="I2244" s="599"/>
      <c r="J2244" s="599"/>
      <c r="K2244" s="611"/>
      <c r="L2244" s="611"/>
      <c r="M2244" s="621"/>
      <c r="N2244" s="621"/>
      <c r="O2244" s="621"/>
      <c r="P2244" s="706"/>
      <c r="Q2244" s="622"/>
      <c r="R2244" s="36"/>
      <c r="S2244" s="36"/>
      <c r="T2244" s="36"/>
      <c r="U2244" s="36"/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</row>
    <row r="2245" ht="22.5" customHeight="1">
      <c r="A2245" s="614"/>
      <c r="B2245" s="185"/>
      <c r="C2245" s="609"/>
      <c r="D2245" s="609"/>
      <c r="E2245" s="595"/>
      <c r="F2245" s="596"/>
      <c r="G2245" s="664"/>
      <c r="H2245" s="665"/>
      <c r="I2245" s="599"/>
      <c r="J2245" s="599"/>
      <c r="K2245" s="611"/>
      <c r="L2245" s="611"/>
      <c r="M2245" s="621"/>
      <c r="N2245" s="621"/>
      <c r="O2245" s="621"/>
      <c r="P2245" s="706"/>
      <c r="Q2245" s="622"/>
      <c r="R2245" s="36"/>
      <c r="S2245" s="36"/>
      <c r="T2245" s="36"/>
      <c r="U2245" s="36"/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</row>
    <row r="2246" ht="22.5" customHeight="1">
      <c r="A2246" s="614"/>
      <c r="B2246" s="185"/>
      <c r="C2246" s="609"/>
      <c r="D2246" s="609"/>
      <c r="E2246" s="595"/>
      <c r="F2246" s="596"/>
      <c r="G2246" s="664"/>
      <c r="H2246" s="665"/>
      <c r="I2246" s="599"/>
      <c r="J2246" s="599"/>
      <c r="K2246" s="611"/>
      <c r="L2246" s="611"/>
      <c r="M2246" s="621"/>
      <c r="N2246" s="621"/>
      <c r="O2246" s="621"/>
      <c r="P2246" s="706"/>
      <c r="Q2246" s="622"/>
      <c r="R2246" s="36"/>
      <c r="S2246" s="36"/>
      <c r="T2246" s="36"/>
      <c r="U2246" s="36"/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</row>
    <row r="2247" ht="22.5" customHeight="1">
      <c r="A2247" s="614"/>
      <c r="B2247" s="185"/>
      <c r="C2247" s="609"/>
      <c r="D2247" s="609"/>
      <c r="E2247" s="595"/>
      <c r="F2247" s="596"/>
      <c r="G2247" s="664"/>
      <c r="H2247" s="665"/>
      <c r="I2247" s="599"/>
      <c r="J2247" s="599"/>
      <c r="K2247" s="611"/>
      <c r="L2247" s="611"/>
      <c r="M2247" s="621"/>
      <c r="N2247" s="621"/>
      <c r="O2247" s="621"/>
      <c r="P2247" s="706"/>
      <c r="Q2247" s="622"/>
      <c r="R2247" s="36"/>
      <c r="S2247" s="36"/>
      <c r="T2247" s="36"/>
      <c r="U2247" s="36"/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</row>
    <row r="2248" ht="22.5" customHeight="1">
      <c r="A2248" s="614"/>
      <c r="B2248" s="185"/>
      <c r="C2248" s="609"/>
      <c r="D2248" s="609"/>
      <c r="E2248" s="595"/>
      <c r="F2248" s="596"/>
      <c r="G2248" s="664"/>
      <c r="H2248" s="665"/>
      <c r="I2248" s="599"/>
      <c r="J2248" s="599"/>
      <c r="K2248" s="611"/>
      <c r="L2248" s="611"/>
      <c r="M2248" s="621"/>
      <c r="N2248" s="621"/>
      <c r="O2248" s="621"/>
      <c r="P2248" s="706"/>
      <c r="Q2248" s="622"/>
      <c r="R2248" s="36"/>
      <c r="S2248" s="36"/>
      <c r="T2248" s="36"/>
      <c r="U2248" s="36"/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</row>
    <row r="2249" ht="22.5" customHeight="1">
      <c r="A2249" s="614"/>
      <c r="B2249" s="185"/>
      <c r="C2249" s="609"/>
      <c r="D2249" s="609"/>
      <c r="E2249" s="595"/>
      <c r="F2249" s="596"/>
      <c r="G2249" s="664"/>
      <c r="H2249" s="665"/>
      <c r="I2249" s="599"/>
      <c r="J2249" s="599"/>
      <c r="K2249" s="611"/>
      <c r="L2249" s="611"/>
      <c r="M2249" s="621"/>
      <c r="N2249" s="621"/>
      <c r="O2249" s="621"/>
      <c r="P2249" s="706"/>
      <c r="Q2249" s="622"/>
      <c r="R2249" s="36"/>
      <c r="S2249" s="36"/>
      <c r="T2249" s="36"/>
      <c r="U2249" s="36"/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</row>
    <row r="2250" ht="22.5" customHeight="1">
      <c r="A2250" s="614"/>
      <c r="B2250" s="185"/>
      <c r="C2250" s="609"/>
      <c r="D2250" s="609"/>
      <c r="E2250" s="595"/>
      <c r="F2250" s="596"/>
      <c r="G2250" s="664"/>
      <c r="H2250" s="665"/>
      <c r="I2250" s="599"/>
      <c r="J2250" s="599"/>
      <c r="K2250" s="611"/>
      <c r="L2250" s="611"/>
      <c r="M2250" s="621"/>
      <c r="N2250" s="621"/>
      <c r="O2250" s="621"/>
      <c r="P2250" s="706"/>
      <c r="Q2250" s="622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</row>
    <row r="2251" ht="22.5" customHeight="1">
      <c r="A2251" s="614"/>
      <c r="B2251" s="185"/>
      <c r="C2251" s="609"/>
      <c r="D2251" s="609"/>
      <c r="E2251" s="595"/>
      <c r="F2251" s="596"/>
      <c r="G2251" s="664"/>
      <c r="H2251" s="665"/>
      <c r="I2251" s="599"/>
      <c r="J2251" s="599"/>
      <c r="K2251" s="611"/>
      <c r="L2251" s="611"/>
      <c r="M2251" s="621"/>
      <c r="N2251" s="621"/>
      <c r="O2251" s="621"/>
      <c r="P2251" s="706"/>
      <c r="Q2251" s="622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</row>
    <row r="2252" ht="22.5" customHeight="1">
      <c r="A2252" s="614"/>
      <c r="B2252" s="185"/>
      <c r="C2252" s="609"/>
      <c r="D2252" s="609"/>
      <c r="E2252" s="595"/>
      <c r="F2252" s="596"/>
      <c r="G2252" s="664"/>
      <c r="H2252" s="665"/>
      <c r="I2252" s="599"/>
      <c r="J2252" s="599"/>
      <c r="K2252" s="611"/>
      <c r="L2252" s="611"/>
      <c r="M2252" s="621"/>
      <c r="N2252" s="621"/>
      <c r="O2252" s="621"/>
      <c r="P2252" s="706"/>
      <c r="Q2252" s="622"/>
      <c r="R2252" s="36"/>
      <c r="S2252" s="36"/>
      <c r="T2252" s="36"/>
      <c r="U2252" s="36"/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</row>
    <row r="2253" ht="22.5" customHeight="1">
      <c r="A2253" s="614"/>
      <c r="B2253" s="185"/>
      <c r="C2253" s="609"/>
      <c r="D2253" s="609"/>
      <c r="E2253" s="595"/>
      <c r="F2253" s="596"/>
      <c r="G2253" s="664"/>
      <c r="H2253" s="665"/>
      <c r="I2253" s="599"/>
      <c r="J2253" s="599"/>
      <c r="K2253" s="611"/>
      <c r="L2253" s="611"/>
      <c r="M2253" s="621"/>
      <c r="N2253" s="621"/>
      <c r="O2253" s="621"/>
      <c r="P2253" s="706"/>
      <c r="Q2253" s="622"/>
      <c r="R2253" s="36"/>
      <c r="S2253" s="36"/>
      <c r="T2253" s="36"/>
      <c r="U2253" s="36"/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</row>
    <row r="2254" ht="22.5" customHeight="1">
      <c r="A2254" s="614"/>
      <c r="B2254" s="185"/>
      <c r="C2254" s="609"/>
      <c r="D2254" s="609"/>
      <c r="E2254" s="595"/>
      <c r="F2254" s="596"/>
      <c r="G2254" s="664"/>
      <c r="H2254" s="665"/>
      <c r="I2254" s="599"/>
      <c r="J2254" s="599"/>
      <c r="K2254" s="611"/>
      <c r="L2254" s="611"/>
      <c r="M2254" s="621"/>
      <c r="N2254" s="621"/>
      <c r="O2254" s="621"/>
      <c r="P2254" s="706"/>
      <c r="Q2254" s="622"/>
      <c r="R2254" s="36"/>
      <c r="S2254" s="36"/>
      <c r="T2254" s="36"/>
      <c r="U2254" s="36"/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</row>
    <row r="2255" ht="22.5" customHeight="1">
      <c r="A2255" s="614"/>
      <c r="B2255" s="185"/>
      <c r="C2255" s="609"/>
      <c r="D2255" s="609"/>
      <c r="E2255" s="595"/>
      <c r="F2255" s="596"/>
      <c r="G2255" s="664"/>
      <c r="H2255" s="665"/>
      <c r="I2255" s="599"/>
      <c r="J2255" s="599"/>
      <c r="K2255" s="611"/>
      <c r="L2255" s="611"/>
      <c r="M2255" s="621"/>
      <c r="N2255" s="621"/>
      <c r="O2255" s="621"/>
      <c r="P2255" s="706"/>
      <c r="Q2255" s="622"/>
      <c r="R2255" s="36"/>
      <c r="S2255" s="36"/>
      <c r="T2255" s="36"/>
      <c r="U2255" s="36"/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</row>
    <row r="2256" ht="22.5" customHeight="1">
      <c r="A2256" s="614"/>
      <c r="B2256" s="185"/>
      <c r="C2256" s="609"/>
      <c r="D2256" s="609"/>
      <c r="E2256" s="595"/>
      <c r="F2256" s="596"/>
      <c r="G2256" s="664"/>
      <c r="H2256" s="665"/>
      <c r="I2256" s="599"/>
      <c r="J2256" s="599"/>
      <c r="K2256" s="611"/>
      <c r="L2256" s="611"/>
      <c r="M2256" s="621"/>
      <c r="N2256" s="621"/>
      <c r="O2256" s="621"/>
      <c r="P2256" s="706"/>
      <c r="Q2256" s="622"/>
      <c r="R2256" s="36"/>
      <c r="S2256" s="36"/>
      <c r="T2256" s="36"/>
      <c r="U2256" s="36"/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</row>
    <row r="2257" ht="22.5" customHeight="1">
      <c r="A2257" s="614"/>
      <c r="B2257" s="185"/>
      <c r="C2257" s="609"/>
      <c r="D2257" s="609"/>
      <c r="E2257" s="595"/>
      <c r="F2257" s="596"/>
      <c r="G2257" s="664"/>
      <c r="H2257" s="665"/>
      <c r="I2257" s="599"/>
      <c r="J2257" s="599"/>
      <c r="K2257" s="611"/>
      <c r="L2257" s="611"/>
      <c r="M2257" s="621"/>
      <c r="N2257" s="621"/>
      <c r="O2257" s="621"/>
      <c r="P2257" s="706"/>
      <c r="Q2257" s="622"/>
      <c r="R2257" s="36"/>
      <c r="S2257" s="36"/>
      <c r="T2257" s="36"/>
      <c r="U2257" s="36"/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</row>
    <row r="2258" ht="22.5" customHeight="1">
      <c r="A2258" s="614"/>
      <c r="B2258" s="185"/>
      <c r="C2258" s="609"/>
      <c r="D2258" s="609"/>
      <c r="E2258" s="595"/>
      <c r="F2258" s="596"/>
      <c r="G2258" s="664"/>
      <c r="H2258" s="665"/>
      <c r="I2258" s="599"/>
      <c r="J2258" s="599"/>
      <c r="K2258" s="611"/>
      <c r="L2258" s="611"/>
      <c r="M2258" s="621"/>
      <c r="N2258" s="621"/>
      <c r="O2258" s="621"/>
      <c r="P2258" s="706"/>
      <c r="Q2258" s="622"/>
      <c r="R2258" s="36"/>
      <c r="S2258" s="36"/>
      <c r="T2258" s="36"/>
      <c r="U2258" s="36"/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</row>
    <row r="2259" ht="22.5" customHeight="1">
      <c r="A2259" s="614"/>
      <c r="B2259" s="185"/>
      <c r="C2259" s="609"/>
      <c r="D2259" s="609"/>
      <c r="E2259" s="595"/>
      <c r="F2259" s="596"/>
      <c r="G2259" s="664"/>
      <c r="H2259" s="665"/>
      <c r="I2259" s="599"/>
      <c r="J2259" s="599"/>
      <c r="K2259" s="611"/>
      <c r="L2259" s="611"/>
      <c r="M2259" s="621"/>
      <c r="N2259" s="621"/>
      <c r="O2259" s="621"/>
      <c r="P2259" s="706"/>
      <c r="Q2259" s="622"/>
      <c r="R2259" s="36"/>
      <c r="S2259" s="36"/>
      <c r="T2259" s="36"/>
      <c r="U2259" s="36"/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</row>
    <row r="2260" ht="22.5" customHeight="1">
      <c r="A2260" s="614"/>
      <c r="B2260" s="185"/>
      <c r="C2260" s="609"/>
      <c r="D2260" s="609"/>
      <c r="E2260" s="595"/>
      <c r="F2260" s="596"/>
      <c r="G2260" s="664"/>
      <c r="H2260" s="665"/>
      <c r="I2260" s="599"/>
      <c r="J2260" s="599"/>
      <c r="K2260" s="611"/>
      <c r="L2260" s="611"/>
      <c r="M2260" s="621"/>
      <c r="N2260" s="621"/>
      <c r="O2260" s="621"/>
      <c r="P2260" s="706"/>
      <c r="Q2260" s="622"/>
      <c r="R2260" s="36"/>
      <c r="S2260" s="36"/>
      <c r="T2260" s="36"/>
      <c r="U2260" s="36"/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</row>
    <row r="2261" ht="22.5" customHeight="1">
      <c r="A2261" s="614"/>
      <c r="B2261" s="185"/>
      <c r="C2261" s="609"/>
      <c r="D2261" s="609"/>
      <c r="E2261" s="595"/>
      <c r="F2261" s="596"/>
      <c r="G2261" s="664"/>
      <c r="H2261" s="665"/>
      <c r="I2261" s="599"/>
      <c r="J2261" s="599"/>
      <c r="K2261" s="611"/>
      <c r="L2261" s="611"/>
      <c r="M2261" s="621"/>
      <c r="N2261" s="621"/>
      <c r="O2261" s="621"/>
      <c r="P2261" s="706"/>
      <c r="Q2261" s="622"/>
      <c r="R2261" s="36"/>
      <c r="S2261" s="36"/>
      <c r="T2261" s="36"/>
      <c r="U2261" s="36"/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</row>
    <row r="2262" ht="22.5" customHeight="1">
      <c r="A2262" s="614"/>
      <c r="B2262" s="185"/>
      <c r="C2262" s="609"/>
      <c r="D2262" s="609"/>
      <c r="E2262" s="595"/>
      <c r="F2262" s="596"/>
      <c r="G2262" s="664"/>
      <c r="H2262" s="665"/>
      <c r="I2262" s="599"/>
      <c r="J2262" s="599"/>
      <c r="K2262" s="611"/>
      <c r="L2262" s="611"/>
      <c r="M2262" s="621"/>
      <c r="N2262" s="621"/>
      <c r="O2262" s="621"/>
      <c r="P2262" s="706"/>
      <c r="Q2262" s="622"/>
      <c r="R2262" s="36"/>
      <c r="S2262" s="36"/>
      <c r="T2262" s="36"/>
      <c r="U2262" s="36"/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</row>
    <row r="2263" ht="22.5" customHeight="1">
      <c r="A2263" s="614"/>
      <c r="B2263" s="185"/>
      <c r="C2263" s="609"/>
      <c r="D2263" s="609"/>
      <c r="E2263" s="595"/>
      <c r="F2263" s="596"/>
      <c r="G2263" s="664"/>
      <c r="H2263" s="665"/>
      <c r="I2263" s="599"/>
      <c r="J2263" s="599"/>
      <c r="K2263" s="611"/>
      <c r="L2263" s="611"/>
      <c r="M2263" s="621"/>
      <c r="N2263" s="621"/>
      <c r="O2263" s="621"/>
      <c r="P2263" s="706"/>
      <c r="Q2263" s="622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</row>
    <row r="2264" ht="22.5" customHeight="1">
      <c r="A2264" s="614"/>
      <c r="B2264" s="185"/>
      <c r="C2264" s="609"/>
      <c r="D2264" s="609"/>
      <c r="E2264" s="595"/>
      <c r="F2264" s="596"/>
      <c r="G2264" s="664"/>
      <c r="H2264" s="665"/>
      <c r="I2264" s="599"/>
      <c r="J2264" s="599"/>
      <c r="K2264" s="611"/>
      <c r="L2264" s="611"/>
      <c r="M2264" s="621"/>
      <c r="N2264" s="621"/>
      <c r="O2264" s="621"/>
      <c r="P2264" s="706"/>
      <c r="Q2264" s="622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</row>
    <row r="2265" ht="22.5" customHeight="1">
      <c r="A2265" s="614"/>
      <c r="B2265" s="185"/>
      <c r="C2265" s="609"/>
      <c r="D2265" s="609"/>
      <c r="E2265" s="595"/>
      <c r="F2265" s="596"/>
      <c r="G2265" s="664"/>
      <c r="H2265" s="665"/>
      <c r="I2265" s="599"/>
      <c r="J2265" s="599"/>
      <c r="K2265" s="611"/>
      <c r="L2265" s="611"/>
      <c r="M2265" s="621"/>
      <c r="N2265" s="621"/>
      <c r="O2265" s="621"/>
      <c r="P2265" s="706"/>
      <c r="Q2265" s="622"/>
      <c r="R2265" s="36"/>
      <c r="S2265" s="36"/>
      <c r="T2265" s="36"/>
      <c r="U2265" s="36"/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</row>
    <row r="2266" ht="22.5" customHeight="1">
      <c r="A2266" s="614"/>
      <c r="B2266" s="185"/>
      <c r="C2266" s="609"/>
      <c r="D2266" s="609"/>
      <c r="E2266" s="595"/>
      <c r="F2266" s="596"/>
      <c r="G2266" s="664"/>
      <c r="H2266" s="665"/>
      <c r="I2266" s="599"/>
      <c r="J2266" s="599"/>
      <c r="K2266" s="611"/>
      <c r="L2266" s="611"/>
      <c r="M2266" s="621"/>
      <c r="N2266" s="621"/>
      <c r="O2266" s="621"/>
      <c r="P2266" s="706"/>
      <c r="Q2266" s="622"/>
      <c r="R2266" s="36"/>
      <c r="S2266" s="36"/>
      <c r="T2266" s="36"/>
      <c r="U2266" s="36"/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</row>
    <row r="2267" ht="22.5" customHeight="1">
      <c r="A2267" s="614"/>
      <c r="B2267" s="185"/>
      <c r="C2267" s="609"/>
      <c r="D2267" s="609"/>
      <c r="E2267" s="595"/>
      <c r="F2267" s="596"/>
      <c r="G2267" s="664"/>
      <c r="H2267" s="665"/>
      <c r="I2267" s="599"/>
      <c r="J2267" s="599"/>
      <c r="K2267" s="611"/>
      <c r="L2267" s="611"/>
      <c r="M2267" s="621"/>
      <c r="N2267" s="621"/>
      <c r="O2267" s="621"/>
      <c r="P2267" s="706"/>
      <c r="Q2267" s="622"/>
      <c r="R2267" s="36"/>
      <c r="S2267" s="36"/>
      <c r="T2267" s="36"/>
      <c r="U2267" s="36"/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</row>
    <row r="2268" ht="22.5" customHeight="1">
      <c r="A2268" s="614"/>
      <c r="B2268" s="185"/>
      <c r="C2268" s="609"/>
      <c r="D2268" s="609"/>
      <c r="E2268" s="595"/>
      <c r="F2268" s="596"/>
      <c r="G2268" s="664"/>
      <c r="H2268" s="665"/>
      <c r="I2268" s="599"/>
      <c r="J2268" s="599"/>
      <c r="K2268" s="611"/>
      <c r="L2268" s="611"/>
      <c r="M2268" s="621"/>
      <c r="N2268" s="621"/>
      <c r="O2268" s="621"/>
      <c r="P2268" s="706"/>
      <c r="Q2268" s="622"/>
      <c r="R2268" s="36"/>
      <c r="S2268" s="36"/>
      <c r="T2268" s="36"/>
      <c r="U2268" s="36"/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</row>
    <row r="2269" ht="22.5" customHeight="1">
      <c r="A2269" s="614"/>
      <c r="B2269" s="185"/>
      <c r="C2269" s="609"/>
      <c r="D2269" s="609"/>
      <c r="E2269" s="595"/>
      <c r="F2269" s="596"/>
      <c r="G2269" s="664"/>
      <c r="H2269" s="665"/>
      <c r="I2269" s="599"/>
      <c r="J2269" s="599"/>
      <c r="K2269" s="611"/>
      <c r="L2269" s="611"/>
      <c r="M2269" s="621"/>
      <c r="N2269" s="621"/>
      <c r="O2269" s="621"/>
      <c r="P2269" s="706"/>
      <c r="Q2269" s="622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</row>
    <row r="2270" ht="22.5" customHeight="1">
      <c r="A2270" s="614"/>
      <c r="B2270" s="185"/>
      <c r="C2270" s="609"/>
      <c r="D2270" s="609"/>
      <c r="E2270" s="595"/>
      <c r="F2270" s="596"/>
      <c r="G2270" s="664"/>
      <c r="H2270" s="665"/>
      <c r="I2270" s="599"/>
      <c r="J2270" s="599"/>
      <c r="K2270" s="611"/>
      <c r="L2270" s="611"/>
      <c r="M2270" s="621"/>
      <c r="N2270" s="621"/>
      <c r="O2270" s="621"/>
      <c r="P2270" s="706"/>
      <c r="Q2270" s="622"/>
      <c r="R2270" s="36"/>
      <c r="S2270" s="36"/>
      <c r="T2270" s="36"/>
      <c r="U2270" s="36"/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</row>
    <row r="2271" ht="22.5" customHeight="1">
      <c r="A2271" s="614"/>
      <c r="B2271" s="185"/>
      <c r="C2271" s="609"/>
      <c r="D2271" s="609"/>
      <c r="E2271" s="595"/>
      <c r="F2271" s="596"/>
      <c r="G2271" s="664"/>
      <c r="H2271" s="665"/>
      <c r="I2271" s="599"/>
      <c r="J2271" s="599"/>
      <c r="K2271" s="611"/>
      <c r="L2271" s="611"/>
      <c r="M2271" s="621"/>
      <c r="N2271" s="621"/>
      <c r="O2271" s="621"/>
      <c r="P2271" s="706"/>
      <c r="Q2271" s="622"/>
      <c r="R2271" s="36"/>
      <c r="S2271" s="36"/>
      <c r="T2271" s="36"/>
      <c r="U2271" s="36"/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</row>
    <row r="2272" ht="22.5" customHeight="1">
      <c r="A2272" s="614"/>
      <c r="B2272" s="185"/>
      <c r="C2272" s="609"/>
      <c r="D2272" s="609"/>
      <c r="E2272" s="595"/>
      <c r="F2272" s="596"/>
      <c r="G2272" s="664"/>
      <c r="H2272" s="665"/>
      <c r="I2272" s="599"/>
      <c r="J2272" s="599"/>
      <c r="K2272" s="611"/>
      <c r="L2272" s="611"/>
      <c r="M2272" s="621"/>
      <c r="N2272" s="621"/>
      <c r="O2272" s="621"/>
      <c r="P2272" s="706"/>
      <c r="Q2272" s="622"/>
      <c r="R2272" s="36"/>
      <c r="S2272" s="36"/>
      <c r="T2272" s="36"/>
      <c r="U2272" s="36"/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</row>
    <row r="2273" ht="22.5" customHeight="1">
      <c r="A2273" s="614"/>
      <c r="B2273" s="185"/>
      <c r="C2273" s="609"/>
      <c r="D2273" s="609"/>
      <c r="E2273" s="595"/>
      <c r="F2273" s="596"/>
      <c r="G2273" s="664"/>
      <c r="H2273" s="665"/>
      <c r="I2273" s="599"/>
      <c r="J2273" s="599"/>
      <c r="K2273" s="611"/>
      <c r="L2273" s="611"/>
      <c r="M2273" s="621"/>
      <c r="N2273" s="621"/>
      <c r="O2273" s="621"/>
      <c r="P2273" s="706"/>
      <c r="Q2273" s="622"/>
      <c r="R2273" s="36"/>
      <c r="S2273" s="36"/>
      <c r="T2273" s="36"/>
      <c r="U2273" s="36"/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</row>
    <row r="2274" ht="22.5" customHeight="1">
      <c r="A2274" s="614"/>
      <c r="B2274" s="185"/>
      <c r="C2274" s="609"/>
      <c r="D2274" s="609"/>
      <c r="E2274" s="595"/>
      <c r="F2274" s="596"/>
      <c r="G2274" s="664"/>
      <c r="H2274" s="665"/>
      <c r="I2274" s="599"/>
      <c r="J2274" s="599"/>
      <c r="K2274" s="611"/>
      <c r="L2274" s="611"/>
      <c r="M2274" s="621"/>
      <c r="N2274" s="621"/>
      <c r="O2274" s="621"/>
      <c r="P2274" s="706"/>
      <c r="Q2274" s="622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</row>
    <row r="2275" ht="22.5" customHeight="1">
      <c r="A2275" s="614"/>
      <c r="B2275" s="185"/>
      <c r="C2275" s="609"/>
      <c r="D2275" s="609"/>
      <c r="E2275" s="595"/>
      <c r="F2275" s="596"/>
      <c r="G2275" s="664"/>
      <c r="H2275" s="665"/>
      <c r="I2275" s="599"/>
      <c r="J2275" s="599"/>
      <c r="K2275" s="611"/>
      <c r="L2275" s="611"/>
      <c r="M2275" s="621"/>
      <c r="N2275" s="621"/>
      <c r="O2275" s="621"/>
      <c r="P2275" s="706"/>
      <c r="Q2275" s="622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</row>
    <row r="2276" ht="22.5" customHeight="1">
      <c r="A2276" s="614"/>
      <c r="B2276" s="185"/>
      <c r="C2276" s="609"/>
      <c r="D2276" s="609"/>
      <c r="E2276" s="595"/>
      <c r="F2276" s="596"/>
      <c r="G2276" s="664"/>
      <c r="H2276" s="665"/>
      <c r="I2276" s="599"/>
      <c r="J2276" s="599"/>
      <c r="K2276" s="611"/>
      <c r="L2276" s="611"/>
      <c r="M2276" s="621"/>
      <c r="N2276" s="621"/>
      <c r="O2276" s="621"/>
      <c r="P2276" s="706"/>
      <c r="Q2276" s="622"/>
      <c r="R2276" s="36"/>
      <c r="S2276" s="36"/>
      <c r="T2276" s="36"/>
      <c r="U2276" s="36"/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</row>
    <row r="2277" ht="22.5" customHeight="1">
      <c r="A2277" s="614"/>
      <c r="B2277" s="185"/>
      <c r="C2277" s="609"/>
      <c r="D2277" s="609"/>
      <c r="E2277" s="595"/>
      <c r="F2277" s="596"/>
      <c r="G2277" s="664"/>
      <c r="H2277" s="665"/>
      <c r="I2277" s="599"/>
      <c r="J2277" s="599"/>
      <c r="K2277" s="611"/>
      <c r="L2277" s="611"/>
      <c r="M2277" s="621"/>
      <c r="N2277" s="621"/>
      <c r="O2277" s="621"/>
      <c r="P2277" s="706"/>
      <c r="Q2277" s="622"/>
      <c r="R2277" s="36"/>
      <c r="S2277" s="36"/>
      <c r="T2277" s="36"/>
      <c r="U2277" s="36"/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</row>
    <row r="2278" ht="22.5" customHeight="1">
      <c r="A2278" s="614"/>
      <c r="B2278" s="185"/>
      <c r="C2278" s="609"/>
      <c r="D2278" s="609"/>
      <c r="E2278" s="595"/>
      <c r="F2278" s="596"/>
      <c r="G2278" s="664"/>
      <c r="H2278" s="665"/>
      <c r="I2278" s="599"/>
      <c r="J2278" s="599"/>
      <c r="K2278" s="611"/>
      <c r="L2278" s="611"/>
      <c r="M2278" s="621"/>
      <c r="N2278" s="621"/>
      <c r="O2278" s="621"/>
      <c r="P2278" s="706"/>
      <c r="Q2278" s="622"/>
      <c r="R2278" s="36"/>
      <c r="S2278" s="36"/>
      <c r="T2278" s="36"/>
      <c r="U2278" s="36"/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</row>
    <row r="2279" ht="22.5" customHeight="1">
      <c r="A2279" s="614"/>
      <c r="B2279" s="185"/>
      <c r="C2279" s="609"/>
      <c r="D2279" s="609"/>
      <c r="E2279" s="595"/>
      <c r="F2279" s="596"/>
      <c r="G2279" s="664"/>
      <c r="H2279" s="665"/>
      <c r="I2279" s="599"/>
      <c r="J2279" s="599"/>
      <c r="K2279" s="611"/>
      <c r="L2279" s="611"/>
      <c r="M2279" s="621"/>
      <c r="N2279" s="621"/>
      <c r="O2279" s="621"/>
      <c r="P2279" s="706"/>
      <c r="Q2279" s="622"/>
      <c r="R2279" s="36"/>
      <c r="S2279" s="36"/>
      <c r="T2279" s="36"/>
      <c r="U2279" s="36"/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</row>
    <row r="2280" ht="22.5" customHeight="1">
      <c r="A2280" s="614"/>
      <c r="B2280" s="185"/>
      <c r="C2280" s="609"/>
      <c r="D2280" s="609"/>
      <c r="E2280" s="595"/>
      <c r="F2280" s="596"/>
      <c r="G2280" s="664"/>
      <c r="H2280" s="665"/>
      <c r="I2280" s="599"/>
      <c r="J2280" s="599"/>
      <c r="K2280" s="611"/>
      <c r="L2280" s="611"/>
      <c r="M2280" s="621"/>
      <c r="N2280" s="621"/>
      <c r="O2280" s="621"/>
      <c r="P2280" s="706"/>
      <c r="Q2280" s="622"/>
      <c r="R2280" s="36"/>
      <c r="S2280" s="36"/>
      <c r="T2280" s="36"/>
      <c r="U2280" s="36"/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</row>
    <row r="2281" ht="22.5" customHeight="1">
      <c r="A2281" s="614"/>
      <c r="B2281" s="185"/>
      <c r="C2281" s="609"/>
      <c r="D2281" s="609"/>
      <c r="E2281" s="595"/>
      <c r="F2281" s="596"/>
      <c r="G2281" s="664"/>
      <c r="H2281" s="665"/>
      <c r="I2281" s="599"/>
      <c r="J2281" s="599"/>
      <c r="K2281" s="611"/>
      <c r="L2281" s="611"/>
      <c r="M2281" s="621"/>
      <c r="N2281" s="621"/>
      <c r="O2281" s="621"/>
      <c r="P2281" s="706"/>
      <c r="Q2281" s="622"/>
      <c r="R2281" s="36"/>
      <c r="S2281" s="36"/>
      <c r="T2281" s="36"/>
      <c r="U2281" s="36"/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</row>
    <row r="2282" ht="22.5" customHeight="1">
      <c r="A2282" s="614"/>
      <c r="B2282" s="185"/>
      <c r="C2282" s="609"/>
      <c r="D2282" s="609"/>
      <c r="E2282" s="595"/>
      <c r="F2282" s="596"/>
      <c r="G2282" s="664"/>
      <c r="H2282" s="665"/>
      <c r="I2282" s="599"/>
      <c r="J2282" s="599"/>
      <c r="K2282" s="611"/>
      <c r="L2282" s="611"/>
      <c r="M2282" s="621"/>
      <c r="N2282" s="621"/>
      <c r="O2282" s="621"/>
      <c r="P2282" s="706"/>
      <c r="Q2282" s="622"/>
      <c r="R2282" s="36"/>
      <c r="S2282" s="36"/>
      <c r="T2282" s="36"/>
      <c r="U2282" s="36"/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</row>
    <row r="2283" ht="22.5" customHeight="1">
      <c r="A2283" s="614"/>
      <c r="B2283" s="185"/>
      <c r="C2283" s="609"/>
      <c r="D2283" s="609"/>
      <c r="E2283" s="595"/>
      <c r="F2283" s="596"/>
      <c r="G2283" s="664"/>
      <c r="H2283" s="665"/>
      <c r="I2283" s="599"/>
      <c r="J2283" s="599"/>
      <c r="K2283" s="611"/>
      <c r="L2283" s="611"/>
      <c r="M2283" s="621"/>
      <c r="N2283" s="621"/>
      <c r="O2283" s="621"/>
      <c r="P2283" s="706"/>
      <c r="Q2283" s="622"/>
      <c r="R2283" s="36"/>
      <c r="S2283" s="36"/>
      <c r="T2283" s="36"/>
      <c r="U2283" s="36"/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</row>
    <row r="2284" ht="22.5" customHeight="1">
      <c r="A2284" s="614"/>
      <c r="B2284" s="185"/>
      <c r="C2284" s="609"/>
      <c r="D2284" s="609"/>
      <c r="E2284" s="595"/>
      <c r="F2284" s="596"/>
      <c r="G2284" s="664"/>
      <c r="H2284" s="665"/>
      <c r="I2284" s="599"/>
      <c r="J2284" s="599"/>
      <c r="K2284" s="611"/>
      <c r="L2284" s="611"/>
      <c r="M2284" s="621"/>
      <c r="N2284" s="621"/>
      <c r="O2284" s="621"/>
      <c r="P2284" s="706"/>
      <c r="Q2284" s="622"/>
      <c r="R2284" s="36"/>
      <c r="S2284" s="36"/>
      <c r="T2284" s="36"/>
      <c r="U2284" s="36"/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</row>
    <row r="2285" ht="22.5" customHeight="1">
      <c r="A2285" s="614"/>
      <c r="B2285" s="185"/>
      <c r="C2285" s="609"/>
      <c r="D2285" s="609"/>
      <c r="E2285" s="595"/>
      <c r="F2285" s="596"/>
      <c r="G2285" s="664"/>
      <c r="H2285" s="665"/>
      <c r="I2285" s="599"/>
      <c r="J2285" s="599"/>
      <c r="K2285" s="611"/>
      <c r="L2285" s="611"/>
      <c r="M2285" s="621"/>
      <c r="N2285" s="621"/>
      <c r="O2285" s="621"/>
      <c r="P2285" s="706"/>
      <c r="Q2285" s="622"/>
      <c r="R2285" s="36"/>
      <c r="S2285" s="36"/>
      <c r="T2285" s="36"/>
      <c r="U2285" s="36"/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</row>
    <row r="2286" ht="22.5" customHeight="1">
      <c r="A2286" s="614"/>
      <c r="B2286" s="185"/>
      <c r="C2286" s="609"/>
      <c r="D2286" s="609"/>
      <c r="E2286" s="595"/>
      <c r="F2286" s="596"/>
      <c r="G2286" s="664"/>
      <c r="H2286" s="665"/>
      <c r="I2286" s="599"/>
      <c r="J2286" s="599"/>
      <c r="K2286" s="611"/>
      <c r="L2286" s="611"/>
      <c r="M2286" s="621"/>
      <c r="N2286" s="621"/>
      <c r="O2286" s="621"/>
      <c r="P2286" s="706"/>
      <c r="Q2286" s="622"/>
      <c r="R2286" s="36"/>
      <c r="S2286" s="36"/>
      <c r="T2286" s="36"/>
      <c r="U2286" s="36"/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</row>
    <row r="2287" ht="22.5" customHeight="1">
      <c r="A2287" s="614"/>
      <c r="B2287" s="185"/>
      <c r="C2287" s="609"/>
      <c r="D2287" s="609"/>
      <c r="E2287" s="595"/>
      <c r="F2287" s="596"/>
      <c r="G2287" s="664"/>
      <c r="H2287" s="665"/>
      <c r="I2287" s="599"/>
      <c r="J2287" s="599"/>
      <c r="K2287" s="611"/>
      <c r="L2287" s="611"/>
      <c r="M2287" s="621"/>
      <c r="N2287" s="621"/>
      <c r="O2287" s="621"/>
      <c r="P2287" s="706"/>
      <c r="Q2287" s="622"/>
      <c r="R2287" s="36"/>
      <c r="S2287" s="36"/>
      <c r="T2287" s="36"/>
      <c r="U2287" s="36"/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</row>
    <row r="2288" ht="22.5" customHeight="1">
      <c r="A2288" s="614"/>
      <c r="B2288" s="185"/>
      <c r="C2288" s="609"/>
      <c r="D2288" s="609"/>
      <c r="E2288" s="595"/>
      <c r="F2288" s="596"/>
      <c r="G2288" s="664"/>
      <c r="H2288" s="665"/>
      <c r="I2288" s="599"/>
      <c r="J2288" s="599"/>
      <c r="K2288" s="611"/>
      <c r="L2288" s="611"/>
      <c r="M2288" s="621"/>
      <c r="N2288" s="621"/>
      <c r="O2288" s="621"/>
      <c r="P2288" s="706"/>
      <c r="Q2288" s="622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</row>
    <row r="2289" ht="22.5" customHeight="1">
      <c r="A2289" s="614"/>
      <c r="B2289" s="185"/>
      <c r="C2289" s="609"/>
      <c r="D2289" s="609"/>
      <c r="E2289" s="595"/>
      <c r="F2289" s="596"/>
      <c r="G2289" s="664"/>
      <c r="H2289" s="665"/>
      <c r="I2289" s="599"/>
      <c r="J2289" s="599"/>
      <c r="K2289" s="611"/>
      <c r="L2289" s="611"/>
      <c r="M2289" s="621"/>
      <c r="N2289" s="621"/>
      <c r="O2289" s="621"/>
      <c r="P2289" s="706"/>
      <c r="Q2289" s="622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</row>
    <row r="2290" ht="22.5" customHeight="1">
      <c r="A2290" s="614"/>
      <c r="B2290" s="185"/>
      <c r="C2290" s="609"/>
      <c r="D2290" s="609"/>
      <c r="E2290" s="595"/>
      <c r="F2290" s="596"/>
      <c r="G2290" s="664"/>
      <c r="H2290" s="665"/>
      <c r="I2290" s="599"/>
      <c r="J2290" s="599"/>
      <c r="K2290" s="611"/>
      <c r="L2290" s="611"/>
      <c r="M2290" s="621"/>
      <c r="N2290" s="621"/>
      <c r="O2290" s="621"/>
      <c r="P2290" s="706"/>
      <c r="Q2290" s="622"/>
      <c r="R2290" s="36"/>
      <c r="S2290" s="36"/>
      <c r="T2290" s="36"/>
      <c r="U2290" s="36"/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</row>
    <row r="2291" ht="22.5" customHeight="1">
      <c r="A2291" s="614"/>
      <c r="B2291" s="185"/>
      <c r="C2291" s="609"/>
      <c r="D2291" s="609"/>
      <c r="E2291" s="595"/>
      <c r="F2291" s="596"/>
      <c r="G2291" s="664"/>
      <c r="H2291" s="665"/>
      <c r="I2291" s="599"/>
      <c r="J2291" s="599"/>
      <c r="K2291" s="611"/>
      <c r="L2291" s="611"/>
      <c r="M2291" s="621"/>
      <c r="N2291" s="621"/>
      <c r="O2291" s="621"/>
      <c r="P2291" s="706"/>
      <c r="Q2291" s="622"/>
      <c r="R2291" s="36"/>
      <c r="S2291" s="36"/>
      <c r="T2291" s="36"/>
      <c r="U2291" s="36"/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</row>
    <row r="2292" ht="22.5" customHeight="1">
      <c r="A2292" s="614"/>
      <c r="B2292" s="185"/>
      <c r="C2292" s="609"/>
      <c r="D2292" s="609"/>
      <c r="E2292" s="595"/>
      <c r="F2292" s="596"/>
      <c r="G2292" s="664"/>
      <c r="H2292" s="665"/>
      <c r="I2292" s="599"/>
      <c r="J2292" s="599"/>
      <c r="K2292" s="611"/>
      <c r="L2292" s="611"/>
      <c r="M2292" s="621"/>
      <c r="N2292" s="621"/>
      <c r="O2292" s="621"/>
      <c r="P2292" s="706"/>
      <c r="Q2292" s="622"/>
      <c r="R2292" s="36"/>
      <c r="S2292" s="36"/>
      <c r="T2292" s="36"/>
      <c r="U2292" s="36"/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</row>
    <row r="2293" ht="22.5" customHeight="1">
      <c r="A2293" s="614"/>
      <c r="B2293" s="185"/>
      <c r="C2293" s="609"/>
      <c r="D2293" s="609"/>
      <c r="E2293" s="595"/>
      <c r="F2293" s="596"/>
      <c r="G2293" s="664"/>
      <c r="H2293" s="665"/>
      <c r="I2293" s="599"/>
      <c r="J2293" s="599"/>
      <c r="K2293" s="611"/>
      <c r="L2293" s="611"/>
      <c r="M2293" s="621"/>
      <c r="N2293" s="621"/>
      <c r="O2293" s="621"/>
      <c r="P2293" s="706"/>
      <c r="Q2293" s="622"/>
      <c r="R2293" s="36"/>
      <c r="S2293" s="36"/>
      <c r="T2293" s="36"/>
      <c r="U2293" s="36"/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</row>
    <row r="2294" ht="22.5" customHeight="1">
      <c r="A2294" s="614"/>
      <c r="B2294" s="185"/>
      <c r="C2294" s="609"/>
      <c r="D2294" s="609"/>
      <c r="E2294" s="595"/>
      <c r="F2294" s="596"/>
      <c r="G2294" s="664"/>
      <c r="H2294" s="665"/>
      <c r="I2294" s="599"/>
      <c r="J2294" s="599"/>
      <c r="K2294" s="611"/>
      <c r="L2294" s="611"/>
      <c r="M2294" s="621"/>
      <c r="N2294" s="621"/>
      <c r="O2294" s="621"/>
      <c r="P2294" s="706"/>
      <c r="Q2294" s="622"/>
      <c r="R2294" s="36"/>
      <c r="S2294" s="36"/>
      <c r="T2294" s="36"/>
      <c r="U2294" s="36"/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</row>
    <row r="2295" ht="22.5" customHeight="1">
      <c r="A2295" s="614"/>
      <c r="B2295" s="185"/>
      <c r="C2295" s="609"/>
      <c r="D2295" s="609"/>
      <c r="E2295" s="595"/>
      <c r="F2295" s="596"/>
      <c r="G2295" s="664"/>
      <c r="H2295" s="665"/>
      <c r="I2295" s="599"/>
      <c r="J2295" s="599"/>
      <c r="K2295" s="611"/>
      <c r="L2295" s="611"/>
      <c r="M2295" s="621"/>
      <c r="N2295" s="621"/>
      <c r="O2295" s="621"/>
      <c r="P2295" s="706"/>
      <c r="Q2295" s="622"/>
      <c r="R2295" s="36"/>
      <c r="S2295" s="36"/>
      <c r="T2295" s="36"/>
      <c r="U2295" s="36"/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</row>
    <row r="2296" ht="22.5" customHeight="1">
      <c r="A2296" s="614"/>
      <c r="B2296" s="185"/>
      <c r="C2296" s="609"/>
      <c r="D2296" s="609"/>
      <c r="E2296" s="595"/>
      <c r="F2296" s="596"/>
      <c r="G2296" s="664"/>
      <c r="H2296" s="665"/>
      <c r="I2296" s="599"/>
      <c r="J2296" s="599"/>
      <c r="K2296" s="611"/>
      <c r="L2296" s="611"/>
      <c r="M2296" s="621"/>
      <c r="N2296" s="621"/>
      <c r="O2296" s="621"/>
      <c r="P2296" s="706"/>
      <c r="Q2296" s="622"/>
      <c r="R2296" s="36"/>
      <c r="S2296" s="36"/>
      <c r="T2296" s="36"/>
      <c r="U2296" s="36"/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</row>
    <row r="2297" ht="22.5" customHeight="1">
      <c r="A2297" s="614"/>
      <c r="B2297" s="185"/>
      <c r="C2297" s="609"/>
      <c r="D2297" s="609"/>
      <c r="E2297" s="595"/>
      <c r="F2297" s="596"/>
      <c r="G2297" s="664"/>
      <c r="H2297" s="665"/>
      <c r="I2297" s="599"/>
      <c r="J2297" s="599"/>
      <c r="K2297" s="611"/>
      <c r="L2297" s="611"/>
      <c r="M2297" s="621"/>
      <c r="N2297" s="621"/>
      <c r="O2297" s="621"/>
      <c r="P2297" s="706"/>
      <c r="Q2297" s="622"/>
      <c r="R2297" s="36"/>
      <c r="S2297" s="36"/>
      <c r="T2297" s="36"/>
      <c r="U2297" s="36"/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</row>
    <row r="2298" ht="22.5" customHeight="1">
      <c r="A2298" s="614"/>
      <c r="B2298" s="185"/>
      <c r="C2298" s="609"/>
      <c r="D2298" s="609"/>
      <c r="E2298" s="595"/>
      <c r="F2298" s="596"/>
      <c r="G2298" s="664"/>
      <c r="H2298" s="665"/>
      <c r="I2298" s="599"/>
      <c r="J2298" s="599"/>
      <c r="K2298" s="611"/>
      <c r="L2298" s="611"/>
      <c r="M2298" s="621"/>
      <c r="N2298" s="621"/>
      <c r="O2298" s="621"/>
      <c r="P2298" s="706"/>
      <c r="Q2298" s="622"/>
      <c r="R2298" s="36"/>
      <c r="S2298" s="36"/>
      <c r="T2298" s="36"/>
      <c r="U2298" s="36"/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</row>
    <row r="2299" ht="22.5" customHeight="1">
      <c r="A2299" s="614"/>
      <c r="B2299" s="185"/>
      <c r="C2299" s="609"/>
      <c r="D2299" s="609"/>
      <c r="E2299" s="595"/>
      <c r="F2299" s="596"/>
      <c r="G2299" s="664"/>
      <c r="H2299" s="665"/>
      <c r="I2299" s="599"/>
      <c r="J2299" s="599"/>
      <c r="K2299" s="611"/>
      <c r="L2299" s="611"/>
      <c r="M2299" s="621"/>
      <c r="N2299" s="621"/>
      <c r="O2299" s="621"/>
      <c r="P2299" s="706"/>
      <c r="Q2299" s="622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</row>
    <row r="2300" ht="22.5" customHeight="1">
      <c r="A2300" s="614"/>
      <c r="B2300" s="185"/>
      <c r="C2300" s="609"/>
      <c r="D2300" s="609"/>
      <c r="E2300" s="595"/>
      <c r="F2300" s="596"/>
      <c r="G2300" s="664"/>
      <c r="H2300" s="665"/>
      <c r="I2300" s="599"/>
      <c r="J2300" s="599"/>
      <c r="K2300" s="611"/>
      <c r="L2300" s="611"/>
      <c r="M2300" s="621"/>
      <c r="N2300" s="621"/>
      <c r="O2300" s="621"/>
      <c r="P2300" s="706"/>
      <c r="Q2300" s="622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</row>
    <row r="2301" ht="22.5" customHeight="1">
      <c r="A2301" s="614"/>
      <c r="B2301" s="185"/>
      <c r="C2301" s="609"/>
      <c r="D2301" s="609"/>
      <c r="E2301" s="595"/>
      <c r="F2301" s="596"/>
      <c r="G2301" s="664"/>
      <c r="H2301" s="665"/>
      <c r="I2301" s="599"/>
      <c r="J2301" s="599"/>
      <c r="K2301" s="611"/>
      <c r="L2301" s="611"/>
      <c r="M2301" s="621"/>
      <c r="N2301" s="621"/>
      <c r="O2301" s="621"/>
      <c r="P2301" s="706"/>
      <c r="Q2301" s="622"/>
      <c r="R2301" s="36"/>
      <c r="S2301" s="36"/>
      <c r="T2301" s="36"/>
      <c r="U2301" s="36"/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</row>
    <row r="2302" ht="22.5" customHeight="1">
      <c r="A2302" s="614"/>
      <c r="B2302" s="185"/>
      <c r="C2302" s="609"/>
      <c r="D2302" s="609"/>
      <c r="E2302" s="595"/>
      <c r="F2302" s="596"/>
      <c r="G2302" s="664"/>
      <c r="H2302" s="665"/>
      <c r="I2302" s="599"/>
      <c r="J2302" s="599"/>
      <c r="K2302" s="611"/>
      <c r="L2302" s="611"/>
      <c r="M2302" s="621"/>
      <c r="N2302" s="621"/>
      <c r="O2302" s="621"/>
      <c r="P2302" s="706"/>
      <c r="Q2302" s="622"/>
      <c r="R2302" s="36"/>
      <c r="S2302" s="36"/>
      <c r="T2302" s="36"/>
      <c r="U2302" s="36"/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</row>
    <row r="2303" ht="22.5" customHeight="1">
      <c r="A2303" s="614"/>
      <c r="B2303" s="185"/>
      <c r="C2303" s="609"/>
      <c r="D2303" s="609"/>
      <c r="E2303" s="595"/>
      <c r="F2303" s="596"/>
      <c r="G2303" s="664"/>
      <c r="H2303" s="665"/>
      <c r="I2303" s="599"/>
      <c r="J2303" s="599"/>
      <c r="K2303" s="611"/>
      <c r="L2303" s="611"/>
      <c r="M2303" s="621"/>
      <c r="N2303" s="621"/>
      <c r="O2303" s="621"/>
      <c r="P2303" s="706"/>
      <c r="Q2303" s="622"/>
      <c r="R2303" s="36"/>
      <c r="S2303" s="36"/>
      <c r="T2303" s="36"/>
      <c r="U2303" s="36"/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</row>
    <row r="2304" ht="22.5" customHeight="1">
      <c r="A2304" s="614"/>
      <c r="B2304" s="185"/>
      <c r="C2304" s="609"/>
      <c r="D2304" s="609"/>
      <c r="E2304" s="595"/>
      <c r="F2304" s="596"/>
      <c r="G2304" s="664"/>
      <c r="H2304" s="665"/>
      <c r="I2304" s="599"/>
      <c r="J2304" s="599"/>
      <c r="K2304" s="611"/>
      <c r="L2304" s="611"/>
      <c r="M2304" s="621"/>
      <c r="N2304" s="621"/>
      <c r="O2304" s="621"/>
      <c r="P2304" s="706"/>
      <c r="Q2304" s="622"/>
      <c r="R2304" s="36"/>
      <c r="S2304" s="36"/>
      <c r="T2304" s="36"/>
      <c r="U2304" s="36"/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</row>
    <row r="2305" ht="22.5" customHeight="1">
      <c r="A2305" s="614"/>
      <c r="B2305" s="185"/>
      <c r="C2305" s="609"/>
      <c r="D2305" s="609"/>
      <c r="E2305" s="595"/>
      <c r="F2305" s="596"/>
      <c r="G2305" s="664"/>
      <c r="H2305" s="665"/>
      <c r="I2305" s="599"/>
      <c r="J2305" s="599"/>
      <c r="K2305" s="611"/>
      <c r="L2305" s="611"/>
      <c r="M2305" s="621"/>
      <c r="N2305" s="621"/>
      <c r="O2305" s="621"/>
      <c r="P2305" s="706"/>
      <c r="Q2305" s="622"/>
      <c r="R2305" s="36"/>
      <c r="S2305" s="36"/>
      <c r="T2305" s="36"/>
      <c r="U2305" s="36"/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</row>
    <row r="2306" ht="22.5" customHeight="1">
      <c r="A2306" s="614"/>
      <c r="B2306" s="185"/>
      <c r="C2306" s="609"/>
      <c r="D2306" s="609"/>
      <c r="E2306" s="595"/>
      <c r="F2306" s="596"/>
      <c r="G2306" s="664"/>
      <c r="H2306" s="665"/>
      <c r="I2306" s="599"/>
      <c r="J2306" s="599"/>
      <c r="K2306" s="611"/>
      <c r="L2306" s="611"/>
      <c r="M2306" s="621"/>
      <c r="N2306" s="621"/>
      <c r="O2306" s="621"/>
      <c r="P2306" s="706"/>
      <c r="Q2306" s="622"/>
      <c r="R2306" s="36"/>
      <c r="S2306" s="36"/>
      <c r="T2306" s="36"/>
      <c r="U2306" s="36"/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</row>
    <row r="2307" ht="22.5" customHeight="1">
      <c r="A2307" s="614"/>
      <c r="B2307" s="185"/>
      <c r="C2307" s="609"/>
      <c r="D2307" s="609"/>
      <c r="E2307" s="595"/>
      <c r="F2307" s="596"/>
      <c r="G2307" s="664"/>
      <c r="H2307" s="665"/>
      <c r="I2307" s="599"/>
      <c r="J2307" s="599"/>
      <c r="K2307" s="611"/>
      <c r="L2307" s="611"/>
      <c r="M2307" s="621"/>
      <c r="N2307" s="621"/>
      <c r="O2307" s="621"/>
      <c r="P2307" s="706"/>
      <c r="Q2307" s="622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</row>
    <row r="2308" ht="22.5" customHeight="1">
      <c r="A2308" s="614"/>
      <c r="B2308" s="185"/>
      <c r="C2308" s="609"/>
      <c r="D2308" s="609"/>
      <c r="E2308" s="595"/>
      <c r="F2308" s="596"/>
      <c r="G2308" s="664"/>
      <c r="H2308" s="665"/>
      <c r="I2308" s="599"/>
      <c r="J2308" s="599"/>
      <c r="K2308" s="611"/>
      <c r="L2308" s="611"/>
      <c r="M2308" s="621"/>
      <c r="N2308" s="621"/>
      <c r="O2308" s="621"/>
      <c r="P2308" s="706"/>
      <c r="Q2308" s="622"/>
      <c r="R2308" s="36"/>
      <c r="S2308" s="36"/>
      <c r="T2308" s="36"/>
      <c r="U2308" s="36"/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</row>
    <row r="2309" ht="22.5" customHeight="1">
      <c r="A2309" s="614"/>
      <c r="B2309" s="185"/>
      <c r="C2309" s="609"/>
      <c r="D2309" s="609"/>
      <c r="E2309" s="595"/>
      <c r="F2309" s="596"/>
      <c r="G2309" s="664"/>
      <c r="H2309" s="665"/>
      <c r="I2309" s="599"/>
      <c r="J2309" s="599"/>
      <c r="K2309" s="611"/>
      <c r="L2309" s="611"/>
      <c r="M2309" s="621"/>
      <c r="N2309" s="621"/>
      <c r="O2309" s="621"/>
      <c r="P2309" s="706"/>
      <c r="Q2309" s="622"/>
      <c r="R2309" s="36"/>
      <c r="S2309" s="36"/>
      <c r="T2309" s="36"/>
      <c r="U2309" s="36"/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</row>
    <row r="2310" ht="22.5" customHeight="1">
      <c r="A2310" s="614"/>
      <c r="B2310" s="185"/>
      <c r="C2310" s="609"/>
      <c r="D2310" s="609"/>
      <c r="E2310" s="595"/>
      <c r="F2310" s="596"/>
      <c r="G2310" s="664"/>
      <c r="H2310" s="665"/>
      <c r="I2310" s="599"/>
      <c r="J2310" s="599"/>
      <c r="K2310" s="611"/>
      <c r="L2310" s="611"/>
      <c r="M2310" s="621"/>
      <c r="N2310" s="621"/>
      <c r="O2310" s="621"/>
      <c r="P2310" s="706"/>
      <c r="Q2310" s="622"/>
      <c r="R2310" s="36"/>
      <c r="S2310" s="36"/>
      <c r="T2310" s="36"/>
      <c r="U2310" s="36"/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</row>
    <row r="2311" ht="22.5" customHeight="1">
      <c r="A2311" s="614"/>
      <c r="B2311" s="185"/>
      <c r="C2311" s="609"/>
      <c r="D2311" s="609"/>
      <c r="E2311" s="595"/>
      <c r="F2311" s="596"/>
      <c r="G2311" s="664"/>
      <c r="H2311" s="665"/>
      <c r="I2311" s="599"/>
      <c r="J2311" s="599"/>
      <c r="K2311" s="611"/>
      <c r="L2311" s="611"/>
      <c r="M2311" s="621"/>
      <c r="N2311" s="621"/>
      <c r="O2311" s="621"/>
      <c r="P2311" s="706"/>
      <c r="Q2311" s="622"/>
      <c r="R2311" s="36"/>
      <c r="S2311" s="36"/>
      <c r="T2311" s="36"/>
      <c r="U2311" s="36"/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</row>
    <row r="2312" ht="22.5" customHeight="1">
      <c r="A2312" s="614"/>
      <c r="B2312" s="185"/>
      <c r="C2312" s="609"/>
      <c r="D2312" s="609"/>
      <c r="E2312" s="595"/>
      <c r="F2312" s="596"/>
      <c r="G2312" s="664"/>
      <c r="H2312" s="665"/>
      <c r="I2312" s="599"/>
      <c r="J2312" s="599"/>
      <c r="K2312" s="611"/>
      <c r="L2312" s="611"/>
      <c r="M2312" s="621"/>
      <c r="N2312" s="621"/>
      <c r="O2312" s="621"/>
      <c r="P2312" s="706"/>
      <c r="Q2312" s="622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</row>
    <row r="2313" ht="22.5" customHeight="1">
      <c r="A2313" s="614"/>
      <c r="B2313" s="185"/>
      <c r="C2313" s="609"/>
      <c r="D2313" s="609"/>
      <c r="E2313" s="595"/>
      <c r="F2313" s="596"/>
      <c r="G2313" s="664"/>
      <c r="H2313" s="665"/>
      <c r="I2313" s="599"/>
      <c r="J2313" s="599"/>
      <c r="K2313" s="611"/>
      <c r="L2313" s="611"/>
      <c r="M2313" s="621"/>
      <c r="N2313" s="621"/>
      <c r="O2313" s="621"/>
      <c r="P2313" s="706"/>
      <c r="Q2313" s="622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</row>
    <row r="2314" ht="22.5" customHeight="1">
      <c r="A2314" s="614"/>
      <c r="B2314" s="185"/>
      <c r="C2314" s="609"/>
      <c r="D2314" s="609"/>
      <c r="E2314" s="595"/>
      <c r="F2314" s="596"/>
      <c r="G2314" s="664"/>
      <c r="H2314" s="665"/>
      <c r="I2314" s="599"/>
      <c r="J2314" s="599"/>
      <c r="K2314" s="611"/>
      <c r="L2314" s="611"/>
      <c r="M2314" s="621"/>
      <c r="N2314" s="621"/>
      <c r="O2314" s="621"/>
      <c r="P2314" s="706"/>
      <c r="Q2314" s="622"/>
      <c r="R2314" s="36"/>
      <c r="S2314" s="36"/>
      <c r="T2314" s="36"/>
      <c r="U2314" s="36"/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</row>
    <row r="2315" ht="22.5" customHeight="1">
      <c r="A2315" s="614"/>
      <c r="B2315" s="185"/>
      <c r="C2315" s="609"/>
      <c r="D2315" s="609"/>
      <c r="E2315" s="595"/>
      <c r="F2315" s="596"/>
      <c r="G2315" s="664"/>
      <c r="H2315" s="665"/>
      <c r="I2315" s="599"/>
      <c r="J2315" s="599"/>
      <c r="K2315" s="611"/>
      <c r="L2315" s="611"/>
      <c r="M2315" s="621"/>
      <c r="N2315" s="621"/>
      <c r="O2315" s="621"/>
      <c r="P2315" s="706"/>
      <c r="Q2315" s="622"/>
      <c r="R2315" s="36"/>
      <c r="S2315" s="36"/>
      <c r="T2315" s="36"/>
      <c r="U2315" s="36"/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</row>
    <row r="2316" ht="22.5" customHeight="1">
      <c r="A2316" s="614"/>
      <c r="B2316" s="185"/>
      <c r="C2316" s="609"/>
      <c r="D2316" s="609"/>
      <c r="E2316" s="595"/>
      <c r="F2316" s="596"/>
      <c r="G2316" s="664"/>
      <c r="H2316" s="665"/>
      <c r="I2316" s="599"/>
      <c r="J2316" s="599"/>
      <c r="K2316" s="611"/>
      <c r="L2316" s="611"/>
      <c r="M2316" s="621"/>
      <c r="N2316" s="621"/>
      <c r="O2316" s="621"/>
      <c r="P2316" s="706"/>
      <c r="Q2316" s="622"/>
      <c r="R2316" s="36"/>
      <c r="S2316" s="36"/>
      <c r="T2316" s="36"/>
      <c r="U2316" s="36"/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</row>
    <row r="2317" ht="22.5" customHeight="1">
      <c r="A2317" s="614"/>
      <c r="B2317" s="185"/>
      <c r="C2317" s="609"/>
      <c r="D2317" s="609"/>
      <c r="E2317" s="595"/>
      <c r="F2317" s="596"/>
      <c r="G2317" s="664"/>
      <c r="H2317" s="665"/>
      <c r="I2317" s="599"/>
      <c r="J2317" s="599"/>
      <c r="K2317" s="611"/>
      <c r="L2317" s="611"/>
      <c r="M2317" s="621"/>
      <c r="N2317" s="621"/>
      <c r="O2317" s="621"/>
      <c r="P2317" s="706"/>
      <c r="Q2317" s="622"/>
      <c r="R2317" s="36"/>
      <c r="S2317" s="36"/>
      <c r="T2317" s="36"/>
      <c r="U2317" s="36"/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</row>
    <row r="2318" ht="22.5" customHeight="1">
      <c r="A2318" s="614"/>
      <c r="B2318" s="185"/>
      <c r="C2318" s="609"/>
      <c r="D2318" s="609"/>
      <c r="E2318" s="595"/>
      <c r="F2318" s="596"/>
      <c r="G2318" s="664"/>
      <c r="H2318" s="665"/>
      <c r="I2318" s="599"/>
      <c r="J2318" s="599"/>
      <c r="K2318" s="611"/>
      <c r="L2318" s="611"/>
      <c r="M2318" s="621"/>
      <c r="N2318" s="621"/>
      <c r="O2318" s="621"/>
      <c r="P2318" s="706"/>
      <c r="Q2318" s="622"/>
      <c r="R2318" s="36"/>
      <c r="S2318" s="36"/>
      <c r="T2318" s="36"/>
      <c r="U2318" s="36"/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</row>
    <row r="2319" ht="22.5" customHeight="1">
      <c r="A2319" s="614"/>
      <c r="B2319" s="185"/>
      <c r="C2319" s="609"/>
      <c r="D2319" s="609"/>
      <c r="E2319" s="595"/>
      <c r="F2319" s="596"/>
      <c r="G2319" s="664"/>
      <c r="H2319" s="665"/>
      <c r="I2319" s="599"/>
      <c r="J2319" s="599"/>
      <c r="K2319" s="611"/>
      <c r="L2319" s="611"/>
      <c r="M2319" s="621"/>
      <c r="N2319" s="621"/>
      <c r="O2319" s="621"/>
      <c r="P2319" s="706"/>
      <c r="Q2319" s="622"/>
      <c r="R2319" s="36"/>
      <c r="S2319" s="36"/>
      <c r="T2319" s="36"/>
      <c r="U2319" s="36"/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</row>
    <row r="2320" ht="22.5" customHeight="1">
      <c r="A2320" s="614"/>
      <c r="B2320" s="185"/>
      <c r="C2320" s="609"/>
      <c r="D2320" s="609"/>
      <c r="E2320" s="595"/>
      <c r="F2320" s="596"/>
      <c r="G2320" s="664"/>
      <c r="H2320" s="665"/>
      <c r="I2320" s="599"/>
      <c r="J2320" s="599"/>
      <c r="K2320" s="611"/>
      <c r="L2320" s="611"/>
      <c r="M2320" s="621"/>
      <c r="N2320" s="621"/>
      <c r="O2320" s="621"/>
      <c r="P2320" s="706"/>
      <c r="Q2320" s="622"/>
      <c r="R2320" s="36"/>
      <c r="S2320" s="36"/>
      <c r="T2320" s="36"/>
      <c r="U2320" s="36"/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</row>
    <row r="2321" ht="22.5" customHeight="1">
      <c r="A2321" s="614"/>
      <c r="B2321" s="185"/>
      <c r="C2321" s="609"/>
      <c r="D2321" s="609"/>
      <c r="E2321" s="595"/>
      <c r="F2321" s="596"/>
      <c r="G2321" s="664"/>
      <c r="H2321" s="665"/>
      <c r="I2321" s="599"/>
      <c r="J2321" s="599"/>
      <c r="K2321" s="611"/>
      <c r="L2321" s="611"/>
      <c r="M2321" s="621"/>
      <c r="N2321" s="621"/>
      <c r="O2321" s="621"/>
      <c r="P2321" s="706"/>
      <c r="Q2321" s="622"/>
      <c r="R2321" s="36"/>
      <c r="S2321" s="36"/>
      <c r="T2321" s="36"/>
      <c r="U2321" s="36"/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</row>
    <row r="2322" ht="22.5" customHeight="1">
      <c r="A2322" s="614"/>
      <c r="B2322" s="185"/>
      <c r="C2322" s="609"/>
      <c r="D2322" s="609"/>
      <c r="E2322" s="595"/>
      <c r="F2322" s="596"/>
      <c r="G2322" s="664"/>
      <c r="H2322" s="665"/>
      <c r="I2322" s="599"/>
      <c r="J2322" s="599"/>
      <c r="K2322" s="611"/>
      <c r="L2322" s="611"/>
      <c r="M2322" s="621"/>
      <c r="N2322" s="621"/>
      <c r="O2322" s="621"/>
      <c r="P2322" s="706"/>
      <c r="Q2322" s="622"/>
      <c r="R2322" s="36"/>
      <c r="S2322" s="36"/>
      <c r="T2322" s="36"/>
      <c r="U2322" s="36"/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</row>
    <row r="2323" ht="22.5" customHeight="1">
      <c r="A2323" s="614"/>
      <c r="B2323" s="185"/>
      <c r="C2323" s="609"/>
      <c r="D2323" s="609"/>
      <c r="E2323" s="595"/>
      <c r="F2323" s="596"/>
      <c r="G2323" s="664"/>
      <c r="H2323" s="665"/>
      <c r="I2323" s="599"/>
      <c r="J2323" s="599"/>
      <c r="K2323" s="611"/>
      <c r="L2323" s="611"/>
      <c r="M2323" s="621"/>
      <c r="N2323" s="621"/>
      <c r="O2323" s="621"/>
      <c r="P2323" s="706"/>
      <c r="Q2323" s="622"/>
      <c r="R2323" s="36"/>
      <c r="S2323" s="36"/>
      <c r="T2323" s="36"/>
      <c r="U2323" s="36"/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</row>
    <row r="2324" ht="22.5" customHeight="1">
      <c r="A2324" s="614"/>
      <c r="B2324" s="185"/>
      <c r="C2324" s="609"/>
      <c r="D2324" s="609"/>
      <c r="E2324" s="595"/>
      <c r="F2324" s="596"/>
      <c r="G2324" s="664"/>
      <c r="H2324" s="665"/>
      <c r="I2324" s="599"/>
      <c r="J2324" s="599"/>
      <c r="K2324" s="611"/>
      <c r="L2324" s="611"/>
      <c r="M2324" s="621"/>
      <c r="N2324" s="621"/>
      <c r="O2324" s="621"/>
      <c r="P2324" s="706"/>
      <c r="Q2324" s="622"/>
      <c r="R2324" s="36"/>
      <c r="S2324" s="36"/>
      <c r="T2324" s="36"/>
      <c r="U2324" s="36"/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</row>
    <row r="2325" ht="22.5" customHeight="1">
      <c r="A2325" s="614"/>
      <c r="B2325" s="185"/>
      <c r="C2325" s="609"/>
      <c r="D2325" s="609"/>
      <c r="E2325" s="595"/>
      <c r="F2325" s="596"/>
      <c r="G2325" s="664"/>
      <c r="H2325" s="665"/>
      <c r="I2325" s="599"/>
      <c r="J2325" s="599"/>
      <c r="K2325" s="611"/>
      <c r="L2325" s="611"/>
      <c r="M2325" s="621"/>
      <c r="N2325" s="621"/>
      <c r="O2325" s="621"/>
      <c r="P2325" s="706"/>
      <c r="Q2325" s="622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</row>
    <row r="2326" ht="22.5" customHeight="1">
      <c r="A2326" s="614"/>
      <c r="B2326" s="185"/>
      <c r="C2326" s="609"/>
      <c r="D2326" s="609"/>
      <c r="E2326" s="595"/>
      <c r="F2326" s="596"/>
      <c r="G2326" s="664"/>
      <c r="H2326" s="665"/>
      <c r="I2326" s="599"/>
      <c r="J2326" s="599"/>
      <c r="K2326" s="611"/>
      <c r="L2326" s="611"/>
      <c r="M2326" s="621"/>
      <c r="N2326" s="621"/>
      <c r="O2326" s="621"/>
      <c r="P2326" s="706"/>
      <c r="Q2326" s="622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</row>
    <row r="2327" ht="22.5" customHeight="1">
      <c r="A2327" s="614"/>
      <c r="B2327" s="185"/>
      <c r="C2327" s="609"/>
      <c r="D2327" s="609"/>
      <c r="E2327" s="595"/>
      <c r="F2327" s="596"/>
      <c r="G2327" s="664"/>
      <c r="H2327" s="665"/>
      <c r="I2327" s="599"/>
      <c r="J2327" s="599"/>
      <c r="K2327" s="611"/>
      <c r="L2327" s="611"/>
      <c r="M2327" s="621"/>
      <c r="N2327" s="621"/>
      <c r="O2327" s="621"/>
      <c r="P2327" s="706"/>
      <c r="Q2327" s="622"/>
      <c r="R2327" s="36"/>
      <c r="S2327" s="36"/>
      <c r="T2327" s="36"/>
      <c r="U2327" s="36"/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</row>
    <row r="2328" ht="22.5" customHeight="1">
      <c r="A2328" s="614"/>
      <c r="B2328" s="185"/>
      <c r="C2328" s="609"/>
      <c r="D2328" s="609"/>
      <c r="E2328" s="595"/>
      <c r="F2328" s="596"/>
      <c r="G2328" s="664"/>
      <c r="H2328" s="665"/>
      <c r="I2328" s="599"/>
      <c r="J2328" s="599"/>
      <c r="K2328" s="611"/>
      <c r="L2328" s="611"/>
      <c r="M2328" s="621"/>
      <c r="N2328" s="621"/>
      <c r="O2328" s="621"/>
      <c r="P2328" s="706"/>
      <c r="Q2328" s="622"/>
      <c r="R2328" s="36"/>
      <c r="S2328" s="36"/>
      <c r="T2328" s="36"/>
      <c r="U2328" s="36"/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</row>
    <row r="2329" ht="22.5" customHeight="1">
      <c r="A2329" s="614"/>
      <c r="B2329" s="185"/>
      <c r="C2329" s="609"/>
      <c r="D2329" s="609"/>
      <c r="E2329" s="595"/>
      <c r="F2329" s="596"/>
      <c r="G2329" s="664"/>
      <c r="H2329" s="665"/>
      <c r="I2329" s="599"/>
      <c r="J2329" s="599"/>
      <c r="K2329" s="611"/>
      <c r="L2329" s="611"/>
      <c r="M2329" s="621"/>
      <c r="N2329" s="621"/>
      <c r="O2329" s="621"/>
      <c r="P2329" s="706"/>
      <c r="Q2329" s="622"/>
      <c r="R2329" s="36"/>
      <c r="S2329" s="36"/>
      <c r="T2329" s="36"/>
      <c r="U2329" s="36"/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</row>
    <row r="2330" ht="22.5" customHeight="1">
      <c r="A2330" s="614"/>
      <c r="B2330" s="185"/>
      <c r="C2330" s="609"/>
      <c r="D2330" s="609"/>
      <c r="E2330" s="595"/>
      <c r="F2330" s="596"/>
      <c r="G2330" s="664"/>
      <c r="H2330" s="665"/>
      <c r="I2330" s="599"/>
      <c r="J2330" s="599"/>
      <c r="K2330" s="611"/>
      <c r="L2330" s="611"/>
      <c r="M2330" s="621"/>
      <c r="N2330" s="621"/>
      <c r="O2330" s="621"/>
      <c r="P2330" s="706"/>
      <c r="Q2330" s="622"/>
      <c r="R2330" s="36"/>
      <c r="S2330" s="36"/>
      <c r="T2330" s="36"/>
      <c r="U2330" s="36"/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</row>
    <row r="2331" ht="22.5" customHeight="1">
      <c r="A2331" s="614"/>
      <c r="B2331" s="185"/>
      <c r="C2331" s="609"/>
      <c r="D2331" s="609"/>
      <c r="E2331" s="595"/>
      <c r="F2331" s="596"/>
      <c r="G2331" s="664"/>
      <c r="H2331" s="665"/>
      <c r="I2331" s="599"/>
      <c r="J2331" s="599"/>
      <c r="K2331" s="611"/>
      <c r="L2331" s="611"/>
      <c r="M2331" s="621"/>
      <c r="N2331" s="621"/>
      <c r="O2331" s="621"/>
      <c r="P2331" s="706"/>
      <c r="Q2331" s="622"/>
      <c r="R2331" s="36"/>
      <c r="S2331" s="36"/>
      <c r="T2331" s="36"/>
      <c r="U2331" s="36"/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</row>
    <row r="2332" ht="22.5" customHeight="1">
      <c r="A2332" s="614"/>
      <c r="B2332" s="185"/>
      <c r="C2332" s="609"/>
      <c r="D2332" s="609"/>
      <c r="E2332" s="595"/>
      <c r="F2332" s="596"/>
      <c r="G2332" s="664"/>
      <c r="H2332" s="665"/>
      <c r="I2332" s="599"/>
      <c r="J2332" s="599"/>
      <c r="K2332" s="611"/>
      <c r="L2332" s="611"/>
      <c r="M2332" s="621"/>
      <c r="N2332" s="621"/>
      <c r="O2332" s="621"/>
      <c r="P2332" s="706"/>
      <c r="Q2332" s="622"/>
      <c r="R2332" s="36"/>
      <c r="S2332" s="36"/>
      <c r="T2332" s="36"/>
      <c r="U2332" s="36"/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</row>
    <row r="2333" ht="22.5" customHeight="1">
      <c r="A2333" s="614"/>
      <c r="B2333" s="185"/>
      <c r="C2333" s="609"/>
      <c r="D2333" s="609"/>
      <c r="E2333" s="595"/>
      <c r="F2333" s="596"/>
      <c r="G2333" s="664"/>
      <c r="H2333" s="665"/>
      <c r="I2333" s="599"/>
      <c r="J2333" s="599"/>
      <c r="K2333" s="611"/>
      <c r="L2333" s="611"/>
      <c r="M2333" s="621"/>
      <c r="N2333" s="621"/>
      <c r="O2333" s="621"/>
      <c r="P2333" s="706"/>
      <c r="Q2333" s="622"/>
      <c r="R2333" s="36"/>
      <c r="S2333" s="36"/>
      <c r="T2333" s="36"/>
      <c r="U2333" s="36"/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</row>
    <row r="2334" ht="22.5" customHeight="1">
      <c r="A2334" s="614"/>
      <c r="B2334" s="185"/>
      <c r="C2334" s="609"/>
      <c r="D2334" s="609"/>
      <c r="E2334" s="595"/>
      <c r="F2334" s="596"/>
      <c r="G2334" s="664"/>
      <c r="H2334" s="665"/>
      <c r="I2334" s="599"/>
      <c r="J2334" s="599"/>
      <c r="K2334" s="611"/>
      <c r="L2334" s="611"/>
      <c r="M2334" s="621"/>
      <c r="N2334" s="621"/>
      <c r="O2334" s="621"/>
      <c r="P2334" s="706"/>
      <c r="Q2334" s="622"/>
      <c r="R2334" s="36"/>
      <c r="S2334" s="36"/>
      <c r="T2334" s="36"/>
      <c r="U2334" s="36"/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</row>
    <row r="2335" ht="22.5" customHeight="1">
      <c r="A2335" s="614"/>
      <c r="B2335" s="185"/>
      <c r="C2335" s="609"/>
      <c r="D2335" s="609"/>
      <c r="E2335" s="595"/>
      <c r="F2335" s="596"/>
      <c r="G2335" s="664"/>
      <c r="H2335" s="665"/>
      <c r="I2335" s="599"/>
      <c r="J2335" s="599"/>
      <c r="K2335" s="611"/>
      <c r="L2335" s="611"/>
      <c r="M2335" s="621"/>
      <c r="N2335" s="621"/>
      <c r="O2335" s="621"/>
      <c r="P2335" s="706"/>
      <c r="Q2335" s="622"/>
      <c r="R2335" s="36"/>
      <c r="S2335" s="36"/>
      <c r="T2335" s="36"/>
      <c r="U2335" s="36"/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</row>
    <row r="2336" ht="22.5" customHeight="1">
      <c r="A2336" s="614"/>
      <c r="B2336" s="185"/>
      <c r="C2336" s="609"/>
      <c r="D2336" s="609"/>
      <c r="E2336" s="595"/>
      <c r="F2336" s="596"/>
      <c r="G2336" s="664"/>
      <c r="H2336" s="665"/>
      <c r="I2336" s="599"/>
      <c r="J2336" s="599"/>
      <c r="K2336" s="611"/>
      <c r="L2336" s="611"/>
      <c r="M2336" s="621"/>
      <c r="N2336" s="621"/>
      <c r="O2336" s="621"/>
      <c r="P2336" s="706"/>
      <c r="Q2336" s="622"/>
      <c r="R2336" s="36"/>
      <c r="S2336" s="36"/>
      <c r="T2336" s="36"/>
      <c r="U2336" s="36"/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</row>
    <row r="2337" ht="22.5" customHeight="1">
      <c r="A2337" s="614"/>
      <c r="B2337" s="185"/>
      <c r="C2337" s="609"/>
      <c r="D2337" s="609"/>
      <c r="E2337" s="595"/>
      <c r="F2337" s="596"/>
      <c r="G2337" s="664"/>
      <c r="H2337" s="665"/>
      <c r="I2337" s="599"/>
      <c r="J2337" s="599"/>
      <c r="K2337" s="611"/>
      <c r="L2337" s="611"/>
      <c r="M2337" s="621"/>
      <c r="N2337" s="621"/>
      <c r="O2337" s="621"/>
      <c r="P2337" s="706"/>
      <c r="Q2337" s="622"/>
      <c r="R2337" s="36"/>
      <c r="S2337" s="36"/>
      <c r="T2337" s="36"/>
      <c r="U2337" s="36"/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</row>
    <row r="2338" ht="22.5" customHeight="1">
      <c r="A2338" s="614"/>
      <c r="B2338" s="185"/>
      <c r="C2338" s="609"/>
      <c r="D2338" s="609"/>
      <c r="E2338" s="595"/>
      <c r="F2338" s="596"/>
      <c r="G2338" s="664"/>
      <c r="H2338" s="665"/>
      <c r="I2338" s="599"/>
      <c r="J2338" s="599"/>
      <c r="K2338" s="611"/>
      <c r="L2338" s="611"/>
      <c r="M2338" s="621"/>
      <c r="N2338" s="621"/>
      <c r="O2338" s="621"/>
      <c r="P2338" s="706"/>
      <c r="Q2338" s="622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</row>
    <row r="2339" ht="22.5" customHeight="1">
      <c r="A2339" s="614"/>
      <c r="B2339" s="185"/>
      <c r="C2339" s="609"/>
      <c r="D2339" s="609"/>
      <c r="E2339" s="595"/>
      <c r="F2339" s="596"/>
      <c r="G2339" s="664"/>
      <c r="H2339" s="665"/>
      <c r="I2339" s="599"/>
      <c r="J2339" s="599"/>
      <c r="K2339" s="611"/>
      <c r="L2339" s="611"/>
      <c r="M2339" s="621"/>
      <c r="N2339" s="621"/>
      <c r="O2339" s="621"/>
      <c r="P2339" s="706"/>
      <c r="Q2339" s="622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</row>
    <row r="2340" ht="22.5" customHeight="1">
      <c r="A2340" s="614"/>
      <c r="B2340" s="185"/>
      <c r="C2340" s="609"/>
      <c r="D2340" s="609"/>
      <c r="E2340" s="595"/>
      <c r="F2340" s="596"/>
      <c r="G2340" s="664"/>
      <c r="H2340" s="665"/>
      <c r="I2340" s="599"/>
      <c r="J2340" s="599"/>
      <c r="K2340" s="611"/>
      <c r="L2340" s="611"/>
      <c r="M2340" s="621"/>
      <c r="N2340" s="621"/>
      <c r="O2340" s="621"/>
      <c r="P2340" s="706"/>
      <c r="Q2340" s="622"/>
      <c r="R2340" s="36"/>
      <c r="S2340" s="36"/>
      <c r="T2340" s="36"/>
      <c r="U2340" s="36"/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</row>
    <row r="2341" ht="22.5" customHeight="1">
      <c r="A2341" s="614"/>
      <c r="B2341" s="185"/>
      <c r="C2341" s="609"/>
      <c r="D2341" s="609"/>
      <c r="E2341" s="595"/>
      <c r="F2341" s="596"/>
      <c r="G2341" s="664"/>
      <c r="H2341" s="665"/>
      <c r="I2341" s="599"/>
      <c r="J2341" s="599"/>
      <c r="K2341" s="611"/>
      <c r="L2341" s="611"/>
      <c r="M2341" s="621"/>
      <c r="N2341" s="621"/>
      <c r="O2341" s="621"/>
      <c r="P2341" s="706"/>
      <c r="Q2341" s="622"/>
      <c r="R2341" s="36"/>
      <c r="S2341" s="36"/>
      <c r="T2341" s="36"/>
      <c r="U2341" s="36"/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</row>
    <row r="2342" ht="22.5" customHeight="1">
      <c r="A2342" s="614"/>
      <c r="B2342" s="185"/>
      <c r="C2342" s="609"/>
      <c r="D2342" s="609"/>
      <c r="E2342" s="595"/>
      <c r="F2342" s="596"/>
      <c r="G2342" s="664"/>
      <c r="H2342" s="665"/>
      <c r="I2342" s="599"/>
      <c r="J2342" s="599"/>
      <c r="K2342" s="611"/>
      <c r="L2342" s="611"/>
      <c r="M2342" s="621"/>
      <c r="N2342" s="621"/>
      <c r="O2342" s="621"/>
      <c r="P2342" s="706"/>
      <c r="Q2342" s="622"/>
      <c r="R2342" s="36"/>
      <c r="S2342" s="36"/>
      <c r="T2342" s="36"/>
      <c r="U2342" s="36"/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</row>
    <row r="2343" ht="22.5" customHeight="1">
      <c r="A2343" s="614"/>
      <c r="B2343" s="185"/>
      <c r="C2343" s="609"/>
      <c r="D2343" s="609"/>
      <c r="E2343" s="595"/>
      <c r="F2343" s="596"/>
      <c r="G2343" s="664"/>
      <c r="H2343" s="665"/>
      <c r="I2343" s="599"/>
      <c r="J2343" s="599"/>
      <c r="K2343" s="611"/>
      <c r="L2343" s="611"/>
      <c r="M2343" s="621"/>
      <c r="N2343" s="621"/>
      <c r="O2343" s="621"/>
      <c r="P2343" s="706"/>
      <c r="Q2343" s="622"/>
      <c r="R2343" s="36"/>
      <c r="S2343" s="36"/>
      <c r="T2343" s="36"/>
      <c r="U2343" s="36"/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</row>
    <row r="2344" ht="22.5" customHeight="1">
      <c r="A2344" s="614"/>
      <c r="B2344" s="185"/>
      <c r="C2344" s="609"/>
      <c r="D2344" s="609"/>
      <c r="E2344" s="595"/>
      <c r="F2344" s="596"/>
      <c r="G2344" s="664"/>
      <c r="H2344" s="665"/>
      <c r="I2344" s="599"/>
      <c r="J2344" s="599"/>
      <c r="K2344" s="611"/>
      <c r="L2344" s="611"/>
      <c r="M2344" s="621"/>
      <c r="N2344" s="621"/>
      <c r="O2344" s="621"/>
      <c r="P2344" s="706"/>
      <c r="Q2344" s="622"/>
      <c r="R2344" s="36"/>
      <c r="S2344" s="36"/>
      <c r="T2344" s="36"/>
      <c r="U2344" s="36"/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</row>
    <row r="2345" ht="22.5" customHeight="1">
      <c r="A2345" s="614"/>
      <c r="B2345" s="185"/>
      <c r="C2345" s="609"/>
      <c r="D2345" s="609"/>
      <c r="E2345" s="595"/>
      <c r="F2345" s="596"/>
      <c r="G2345" s="664"/>
      <c r="H2345" s="665"/>
      <c r="I2345" s="599"/>
      <c r="J2345" s="599"/>
      <c r="K2345" s="611"/>
      <c r="L2345" s="611"/>
      <c r="M2345" s="621"/>
      <c r="N2345" s="621"/>
      <c r="O2345" s="621"/>
      <c r="P2345" s="706"/>
      <c r="Q2345" s="622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</row>
    <row r="2346" ht="22.5" customHeight="1">
      <c r="A2346" s="614"/>
      <c r="B2346" s="185"/>
      <c r="C2346" s="609"/>
      <c r="D2346" s="609"/>
      <c r="E2346" s="595"/>
      <c r="F2346" s="596"/>
      <c r="G2346" s="664"/>
      <c r="H2346" s="665"/>
      <c r="I2346" s="599"/>
      <c r="J2346" s="599"/>
      <c r="K2346" s="611"/>
      <c r="L2346" s="611"/>
      <c r="M2346" s="621"/>
      <c r="N2346" s="621"/>
      <c r="O2346" s="621"/>
      <c r="P2346" s="706"/>
      <c r="Q2346" s="622"/>
      <c r="R2346" s="36"/>
      <c r="S2346" s="36"/>
      <c r="T2346" s="36"/>
      <c r="U2346" s="36"/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</row>
    <row r="2347" ht="22.5" customHeight="1">
      <c r="A2347" s="614"/>
      <c r="B2347" s="185"/>
      <c r="C2347" s="609"/>
      <c r="D2347" s="609"/>
      <c r="E2347" s="595"/>
      <c r="F2347" s="596"/>
      <c r="G2347" s="664"/>
      <c r="H2347" s="665"/>
      <c r="I2347" s="599"/>
      <c r="J2347" s="599"/>
      <c r="K2347" s="611"/>
      <c r="L2347" s="611"/>
      <c r="M2347" s="621"/>
      <c r="N2347" s="621"/>
      <c r="O2347" s="621"/>
      <c r="P2347" s="706"/>
      <c r="Q2347" s="622"/>
      <c r="R2347" s="36"/>
      <c r="S2347" s="36"/>
      <c r="T2347" s="36"/>
      <c r="U2347" s="36"/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</row>
    <row r="2348" ht="22.5" customHeight="1">
      <c r="A2348" s="614"/>
      <c r="B2348" s="185"/>
      <c r="C2348" s="609"/>
      <c r="D2348" s="609"/>
      <c r="E2348" s="595"/>
      <c r="F2348" s="596"/>
      <c r="G2348" s="664"/>
      <c r="H2348" s="665"/>
      <c r="I2348" s="599"/>
      <c r="J2348" s="599"/>
      <c r="K2348" s="611"/>
      <c r="L2348" s="611"/>
      <c r="M2348" s="621"/>
      <c r="N2348" s="621"/>
      <c r="O2348" s="621"/>
      <c r="P2348" s="706"/>
      <c r="Q2348" s="622"/>
      <c r="R2348" s="36"/>
      <c r="S2348" s="36"/>
      <c r="T2348" s="36"/>
      <c r="U2348" s="36"/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</row>
    <row r="2349" ht="22.5" customHeight="1">
      <c r="A2349" s="614"/>
      <c r="B2349" s="185"/>
      <c r="C2349" s="609"/>
      <c r="D2349" s="609"/>
      <c r="E2349" s="595"/>
      <c r="F2349" s="596"/>
      <c r="G2349" s="664"/>
      <c r="H2349" s="665"/>
      <c r="I2349" s="599"/>
      <c r="J2349" s="599"/>
      <c r="K2349" s="611"/>
      <c r="L2349" s="611"/>
      <c r="M2349" s="621"/>
      <c r="N2349" s="621"/>
      <c r="O2349" s="621"/>
      <c r="P2349" s="706"/>
      <c r="Q2349" s="622"/>
      <c r="R2349" s="36"/>
      <c r="S2349" s="36"/>
      <c r="T2349" s="36"/>
      <c r="U2349" s="36"/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</row>
    <row r="2350" ht="22.5" customHeight="1">
      <c r="A2350" s="614"/>
      <c r="B2350" s="185"/>
      <c r="C2350" s="609"/>
      <c r="D2350" s="609"/>
      <c r="E2350" s="595"/>
      <c r="F2350" s="596"/>
      <c r="G2350" s="664"/>
      <c r="H2350" s="665"/>
      <c r="I2350" s="599"/>
      <c r="J2350" s="599"/>
      <c r="K2350" s="611"/>
      <c r="L2350" s="611"/>
      <c r="M2350" s="621"/>
      <c r="N2350" s="621"/>
      <c r="O2350" s="621"/>
      <c r="P2350" s="706"/>
      <c r="Q2350" s="622"/>
      <c r="R2350" s="36"/>
      <c r="S2350" s="36"/>
      <c r="T2350" s="36"/>
      <c r="U2350" s="36"/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</row>
    <row r="2351" ht="22.5" customHeight="1">
      <c r="A2351" s="614"/>
      <c r="B2351" s="185"/>
      <c r="C2351" s="609"/>
      <c r="D2351" s="609"/>
      <c r="E2351" s="595"/>
      <c r="F2351" s="596"/>
      <c r="G2351" s="664"/>
      <c r="H2351" s="665"/>
      <c r="I2351" s="599"/>
      <c r="J2351" s="599"/>
      <c r="K2351" s="611"/>
      <c r="L2351" s="611"/>
      <c r="M2351" s="621"/>
      <c r="N2351" s="621"/>
      <c r="O2351" s="621"/>
      <c r="P2351" s="706"/>
      <c r="Q2351" s="622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</row>
    <row r="2352" ht="22.5" customHeight="1">
      <c r="A2352" s="614"/>
      <c r="B2352" s="185"/>
      <c r="C2352" s="609"/>
      <c r="D2352" s="609"/>
      <c r="E2352" s="595"/>
      <c r="F2352" s="596"/>
      <c r="G2352" s="664"/>
      <c r="H2352" s="665"/>
      <c r="I2352" s="599"/>
      <c r="J2352" s="599"/>
      <c r="K2352" s="611"/>
      <c r="L2352" s="611"/>
      <c r="M2352" s="621"/>
      <c r="N2352" s="621"/>
      <c r="O2352" s="621"/>
      <c r="P2352" s="706"/>
      <c r="Q2352" s="622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</row>
    <row r="2353" ht="22.5" customHeight="1">
      <c r="A2353" s="614"/>
      <c r="B2353" s="185"/>
      <c r="C2353" s="609"/>
      <c r="D2353" s="609"/>
      <c r="E2353" s="595"/>
      <c r="F2353" s="596"/>
      <c r="G2353" s="664"/>
      <c r="H2353" s="665"/>
      <c r="I2353" s="599"/>
      <c r="J2353" s="599"/>
      <c r="K2353" s="611"/>
      <c r="L2353" s="611"/>
      <c r="M2353" s="621"/>
      <c r="N2353" s="621"/>
      <c r="O2353" s="621"/>
      <c r="P2353" s="706"/>
      <c r="Q2353" s="622"/>
      <c r="R2353" s="36"/>
      <c r="S2353" s="36"/>
      <c r="T2353" s="36"/>
      <c r="U2353" s="36"/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</row>
    <row r="2354" ht="22.5" customHeight="1">
      <c r="A2354" s="614"/>
      <c r="B2354" s="185"/>
      <c r="C2354" s="609"/>
      <c r="D2354" s="609"/>
      <c r="E2354" s="595"/>
      <c r="F2354" s="596"/>
      <c r="G2354" s="664"/>
      <c r="H2354" s="665"/>
      <c r="I2354" s="599"/>
      <c r="J2354" s="599"/>
      <c r="K2354" s="611"/>
      <c r="L2354" s="611"/>
      <c r="M2354" s="621"/>
      <c r="N2354" s="621"/>
      <c r="O2354" s="621"/>
      <c r="P2354" s="706"/>
      <c r="Q2354" s="622"/>
      <c r="R2354" s="36"/>
      <c r="S2354" s="36"/>
      <c r="T2354" s="36"/>
      <c r="U2354" s="36"/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</row>
    <row r="2355" ht="22.5" customHeight="1">
      <c r="A2355" s="614"/>
      <c r="B2355" s="185"/>
      <c r="C2355" s="609"/>
      <c r="D2355" s="609"/>
      <c r="E2355" s="595"/>
      <c r="F2355" s="596"/>
      <c r="G2355" s="664"/>
      <c r="H2355" s="665"/>
      <c r="I2355" s="599"/>
      <c r="J2355" s="599"/>
      <c r="K2355" s="611"/>
      <c r="L2355" s="611"/>
      <c r="M2355" s="621"/>
      <c r="N2355" s="621"/>
      <c r="O2355" s="621"/>
      <c r="P2355" s="706"/>
      <c r="Q2355" s="622"/>
      <c r="R2355" s="36"/>
      <c r="S2355" s="36"/>
      <c r="T2355" s="36"/>
      <c r="U2355" s="36"/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</row>
    <row r="2356" ht="22.5" customHeight="1">
      <c r="A2356" s="614"/>
      <c r="B2356" s="185"/>
      <c r="C2356" s="609"/>
      <c r="D2356" s="609"/>
      <c r="E2356" s="595"/>
      <c r="F2356" s="596"/>
      <c r="G2356" s="664"/>
      <c r="H2356" s="665"/>
      <c r="I2356" s="599"/>
      <c r="J2356" s="599"/>
      <c r="K2356" s="611"/>
      <c r="L2356" s="611"/>
      <c r="M2356" s="621"/>
      <c r="N2356" s="621"/>
      <c r="O2356" s="621"/>
      <c r="P2356" s="706"/>
      <c r="Q2356" s="622"/>
      <c r="R2356" s="36"/>
      <c r="S2356" s="36"/>
      <c r="T2356" s="36"/>
      <c r="U2356" s="36"/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</row>
    <row r="2357" ht="22.5" customHeight="1">
      <c r="A2357" s="614"/>
      <c r="B2357" s="185"/>
      <c r="C2357" s="609"/>
      <c r="D2357" s="609"/>
      <c r="E2357" s="595"/>
      <c r="F2357" s="596"/>
      <c r="G2357" s="664"/>
      <c r="H2357" s="665"/>
      <c r="I2357" s="599"/>
      <c r="J2357" s="599"/>
      <c r="K2357" s="611"/>
      <c r="L2357" s="611"/>
      <c r="M2357" s="621"/>
      <c r="N2357" s="621"/>
      <c r="O2357" s="621"/>
      <c r="P2357" s="706"/>
      <c r="Q2357" s="622"/>
      <c r="R2357" s="36"/>
      <c r="S2357" s="36"/>
      <c r="T2357" s="36"/>
      <c r="U2357" s="36"/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</row>
    <row r="2358" ht="22.5" customHeight="1">
      <c r="A2358" s="614"/>
      <c r="B2358" s="185"/>
      <c r="C2358" s="609"/>
      <c r="D2358" s="609"/>
      <c r="E2358" s="595"/>
      <c r="F2358" s="596"/>
      <c r="G2358" s="664"/>
      <c r="H2358" s="665"/>
      <c r="I2358" s="599"/>
      <c r="J2358" s="599"/>
      <c r="K2358" s="611"/>
      <c r="L2358" s="611"/>
      <c r="M2358" s="621"/>
      <c r="N2358" s="621"/>
      <c r="O2358" s="621"/>
      <c r="P2358" s="706"/>
      <c r="Q2358" s="622"/>
      <c r="R2358" s="36"/>
      <c r="S2358" s="36"/>
      <c r="T2358" s="36"/>
      <c r="U2358" s="36"/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</row>
    <row r="2359" ht="22.5" customHeight="1">
      <c r="A2359" s="614"/>
      <c r="B2359" s="185"/>
      <c r="C2359" s="609"/>
      <c r="D2359" s="609"/>
      <c r="E2359" s="595"/>
      <c r="F2359" s="596"/>
      <c r="G2359" s="664"/>
      <c r="H2359" s="665"/>
      <c r="I2359" s="599"/>
      <c r="J2359" s="599"/>
      <c r="K2359" s="611"/>
      <c r="L2359" s="611"/>
      <c r="M2359" s="621"/>
      <c r="N2359" s="621"/>
      <c r="O2359" s="621"/>
      <c r="P2359" s="706"/>
      <c r="Q2359" s="622"/>
      <c r="R2359" s="36"/>
      <c r="S2359" s="36"/>
      <c r="T2359" s="36"/>
      <c r="U2359" s="36"/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</row>
    <row r="2360" ht="22.5" customHeight="1">
      <c r="A2360" s="614"/>
      <c r="B2360" s="185"/>
      <c r="C2360" s="609"/>
      <c r="D2360" s="609"/>
      <c r="E2360" s="595"/>
      <c r="F2360" s="596"/>
      <c r="G2360" s="664"/>
      <c r="H2360" s="665"/>
      <c r="I2360" s="599"/>
      <c r="J2360" s="599"/>
      <c r="K2360" s="611"/>
      <c r="L2360" s="611"/>
      <c r="M2360" s="621"/>
      <c r="N2360" s="621"/>
      <c r="O2360" s="621"/>
      <c r="P2360" s="706"/>
      <c r="Q2360" s="622"/>
      <c r="R2360" s="36"/>
      <c r="S2360" s="36"/>
      <c r="T2360" s="36"/>
      <c r="U2360" s="36"/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</row>
    <row r="2361" ht="22.5" customHeight="1">
      <c r="A2361" s="614"/>
      <c r="B2361" s="185"/>
      <c r="C2361" s="609"/>
      <c r="D2361" s="609"/>
      <c r="E2361" s="595"/>
      <c r="F2361" s="596"/>
      <c r="G2361" s="664"/>
      <c r="H2361" s="665"/>
      <c r="I2361" s="599"/>
      <c r="J2361" s="599"/>
      <c r="K2361" s="611"/>
      <c r="L2361" s="611"/>
      <c r="M2361" s="621"/>
      <c r="N2361" s="621"/>
      <c r="O2361" s="621"/>
      <c r="P2361" s="706"/>
      <c r="Q2361" s="622"/>
      <c r="R2361" s="36"/>
      <c r="S2361" s="36"/>
      <c r="T2361" s="36"/>
      <c r="U2361" s="36"/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</row>
    <row r="2362" ht="22.5" customHeight="1">
      <c r="A2362" s="614"/>
      <c r="B2362" s="185"/>
      <c r="C2362" s="609"/>
      <c r="D2362" s="609"/>
      <c r="E2362" s="595"/>
      <c r="F2362" s="596"/>
      <c r="G2362" s="664"/>
      <c r="H2362" s="665"/>
      <c r="I2362" s="599"/>
      <c r="J2362" s="599"/>
      <c r="K2362" s="611"/>
      <c r="L2362" s="611"/>
      <c r="M2362" s="621"/>
      <c r="N2362" s="621"/>
      <c r="O2362" s="621"/>
      <c r="P2362" s="706"/>
      <c r="Q2362" s="622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</row>
    <row r="2363" ht="22.5" customHeight="1">
      <c r="A2363" s="614"/>
      <c r="B2363" s="185"/>
      <c r="C2363" s="609"/>
      <c r="D2363" s="609"/>
      <c r="E2363" s="595"/>
      <c r="F2363" s="596"/>
      <c r="G2363" s="664"/>
      <c r="H2363" s="665"/>
      <c r="I2363" s="599"/>
      <c r="J2363" s="599"/>
      <c r="K2363" s="611"/>
      <c r="L2363" s="611"/>
      <c r="M2363" s="621"/>
      <c r="N2363" s="621"/>
      <c r="O2363" s="621"/>
      <c r="P2363" s="706"/>
      <c r="Q2363" s="622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</row>
    <row r="2364" ht="22.5" customHeight="1">
      <c r="A2364" s="614"/>
      <c r="B2364" s="185"/>
      <c r="C2364" s="609"/>
      <c r="D2364" s="609"/>
      <c r="E2364" s="595"/>
      <c r="F2364" s="596"/>
      <c r="G2364" s="664"/>
      <c r="H2364" s="665"/>
      <c r="I2364" s="599"/>
      <c r="J2364" s="599"/>
      <c r="K2364" s="611"/>
      <c r="L2364" s="611"/>
      <c r="M2364" s="621"/>
      <c r="N2364" s="621"/>
      <c r="O2364" s="621"/>
      <c r="P2364" s="706"/>
      <c r="Q2364" s="622"/>
      <c r="R2364" s="36"/>
      <c r="S2364" s="36"/>
      <c r="T2364" s="36"/>
      <c r="U2364" s="36"/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</row>
    <row r="2365" ht="22.5" customHeight="1">
      <c r="A2365" s="614"/>
      <c r="B2365" s="185"/>
      <c r="C2365" s="609"/>
      <c r="D2365" s="609"/>
      <c r="E2365" s="595"/>
      <c r="F2365" s="596"/>
      <c r="G2365" s="664"/>
      <c r="H2365" s="665"/>
      <c r="I2365" s="599"/>
      <c r="J2365" s="599"/>
      <c r="K2365" s="611"/>
      <c r="L2365" s="611"/>
      <c r="M2365" s="621"/>
      <c r="N2365" s="621"/>
      <c r="O2365" s="621"/>
      <c r="P2365" s="706"/>
      <c r="Q2365" s="622"/>
      <c r="R2365" s="36"/>
      <c r="S2365" s="36"/>
      <c r="T2365" s="36"/>
      <c r="U2365" s="36"/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</row>
    <row r="2366" ht="22.5" customHeight="1">
      <c r="A2366" s="614"/>
      <c r="B2366" s="185"/>
      <c r="C2366" s="609"/>
      <c r="D2366" s="609"/>
      <c r="E2366" s="595"/>
      <c r="F2366" s="596"/>
      <c r="G2366" s="664"/>
      <c r="H2366" s="665"/>
      <c r="I2366" s="599"/>
      <c r="J2366" s="599"/>
      <c r="K2366" s="611"/>
      <c r="L2366" s="611"/>
      <c r="M2366" s="621"/>
      <c r="N2366" s="621"/>
      <c r="O2366" s="621"/>
      <c r="P2366" s="706"/>
      <c r="Q2366" s="622"/>
      <c r="R2366" s="36"/>
      <c r="S2366" s="36"/>
      <c r="T2366" s="36"/>
      <c r="U2366" s="36"/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</row>
    <row r="2367" ht="22.5" customHeight="1">
      <c r="A2367" s="614"/>
      <c r="B2367" s="185"/>
      <c r="C2367" s="609"/>
      <c r="D2367" s="609"/>
      <c r="E2367" s="595"/>
      <c r="F2367" s="596"/>
      <c r="G2367" s="664"/>
      <c r="H2367" s="665"/>
      <c r="I2367" s="599"/>
      <c r="J2367" s="599"/>
      <c r="K2367" s="611"/>
      <c r="L2367" s="611"/>
      <c r="M2367" s="621"/>
      <c r="N2367" s="621"/>
      <c r="O2367" s="621"/>
      <c r="P2367" s="706"/>
      <c r="Q2367" s="622"/>
      <c r="R2367" s="36"/>
      <c r="S2367" s="36"/>
      <c r="T2367" s="36"/>
      <c r="U2367" s="36"/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</row>
    <row r="2368" ht="22.5" customHeight="1">
      <c r="A2368" s="614"/>
      <c r="B2368" s="185"/>
      <c r="C2368" s="609"/>
      <c r="D2368" s="609"/>
      <c r="E2368" s="595"/>
      <c r="F2368" s="596"/>
      <c r="G2368" s="664"/>
      <c r="H2368" s="665"/>
      <c r="I2368" s="599"/>
      <c r="J2368" s="599"/>
      <c r="K2368" s="611"/>
      <c r="L2368" s="611"/>
      <c r="M2368" s="621"/>
      <c r="N2368" s="621"/>
      <c r="O2368" s="621"/>
      <c r="P2368" s="706"/>
      <c r="Q2368" s="622"/>
      <c r="R2368" s="36"/>
      <c r="S2368" s="36"/>
      <c r="T2368" s="36"/>
      <c r="U2368" s="36"/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</row>
    <row r="2369" ht="22.5" customHeight="1">
      <c r="A2369" s="614"/>
      <c r="B2369" s="185"/>
      <c r="C2369" s="609"/>
      <c r="D2369" s="609"/>
      <c r="E2369" s="595"/>
      <c r="F2369" s="596"/>
      <c r="G2369" s="664"/>
      <c r="H2369" s="665"/>
      <c r="I2369" s="599"/>
      <c r="J2369" s="599"/>
      <c r="K2369" s="611"/>
      <c r="L2369" s="611"/>
      <c r="M2369" s="621"/>
      <c r="N2369" s="621"/>
      <c r="O2369" s="621"/>
      <c r="P2369" s="706"/>
      <c r="Q2369" s="622"/>
      <c r="R2369" s="36"/>
      <c r="S2369" s="36"/>
      <c r="T2369" s="36"/>
      <c r="U2369" s="36"/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</row>
    <row r="2370" ht="22.5" customHeight="1">
      <c r="A2370" s="614"/>
      <c r="B2370" s="185"/>
      <c r="C2370" s="609"/>
      <c r="D2370" s="609"/>
      <c r="E2370" s="595"/>
      <c r="F2370" s="596"/>
      <c r="G2370" s="664"/>
      <c r="H2370" s="665"/>
      <c r="I2370" s="599"/>
      <c r="J2370" s="599"/>
      <c r="K2370" s="611"/>
      <c r="L2370" s="611"/>
      <c r="M2370" s="621"/>
      <c r="N2370" s="621"/>
      <c r="O2370" s="621"/>
      <c r="P2370" s="706"/>
      <c r="Q2370" s="622"/>
      <c r="R2370" s="36"/>
      <c r="S2370" s="36"/>
      <c r="T2370" s="36"/>
      <c r="U2370" s="36"/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</row>
    <row r="2371" ht="22.5" customHeight="1">
      <c r="A2371" s="614"/>
      <c r="B2371" s="185"/>
      <c r="C2371" s="609"/>
      <c r="D2371" s="609"/>
      <c r="E2371" s="595"/>
      <c r="F2371" s="596"/>
      <c r="G2371" s="664"/>
      <c r="H2371" s="665"/>
      <c r="I2371" s="599"/>
      <c r="J2371" s="599"/>
      <c r="K2371" s="611"/>
      <c r="L2371" s="611"/>
      <c r="M2371" s="621"/>
      <c r="N2371" s="621"/>
      <c r="O2371" s="621"/>
      <c r="P2371" s="706"/>
      <c r="Q2371" s="622"/>
      <c r="R2371" s="36"/>
      <c r="S2371" s="36"/>
      <c r="T2371" s="36"/>
      <c r="U2371" s="36"/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</row>
    <row r="2372" ht="22.5" customHeight="1">
      <c r="A2372" s="614"/>
      <c r="B2372" s="185"/>
      <c r="C2372" s="609"/>
      <c r="D2372" s="609"/>
      <c r="E2372" s="595"/>
      <c r="F2372" s="596"/>
      <c r="G2372" s="664"/>
      <c r="H2372" s="665"/>
      <c r="I2372" s="599"/>
      <c r="J2372" s="599"/>
      <c r="K2372" s="611"/>
      <c r="L2372" s="611"/>
      <c r="M2372" s="621"/>
      <c r="N2372" s="621"/>
      <c r="O2372" s="621"/>
      <c r="P2372" s="706"/>
      <c r="Q2372" s="622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</row>
    <row r="2373" ht="22.5" customHeight="1">
      <c r="A2373" s="614"/>
      <c r="B2373" s="185"/>
      <c r="C2373" s="609"/>
      <c r="D2373" s="609"/>
      <c r="E2373" s="595"/>
      <c r="F2373" s="596"/>
      <c r="G2373" s="664"/>
      <c r="H2373" s="665"/>
      <c r="I2373" s="599"/>
      <c r="J2373" s="599"/>
      <c r="K2373" s="611"/>
      <c r="L2373" s="611"/>
      <c r="M2373" s="621"/>
      <c r="N2373" s="621"/>
      <c r="O2373" s="621"/>
      <c r="P2373" s="706"/>
      <c r="Q2373" s="622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</row>
    <row r="2374" ht="22.5" customHeight="1">
      <c r="A2374" s="614"/>
      <c r="B2374" s="185"/>
      <c r="C2374" s="609"/>
      <c r="D2374" s="609"/>
      <c r="E2374" s="595"/>
      <c r="F2374" s="596"/>
      <c r="G2374" s="664"/>
      <c r="H2374" s="665"/>
      <c r="I2374" s="599"/>
      <c r="J2374" s="599"/>
      <c r="K2374" s="611"/>
      <c r="L2374" s="611"/>
      <c r="M2374" s="621"/>
      <c r="N2374" s="621"/>
      <c r="O2374" s="621"/>
      <c r="P2374" s="706"/>
      <c r="Q2374" s="622"/>
      <c r="R2374" s="36"/>
      <c r="S2374" s="36"/>
      <c r="T2374" s="36"/>
      <c r="U2374" s="36"/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</row>
    <row r="2375" ht="22.5" customHeight="1">
      <c r="A2375" s="614"/>
      <c r="B2375" s="185"/>
      <c r="C2375" s="609"/>
      <c r="D2375" s="609"/>
      <c r="E2375" s="595"/>
      <c r="F2375" s="596"/>
      <c r="G2375" s="664"/>
      <c r="H2375" s="665"/>
      <c r="I2375" s="599"/>
      <c r="J2375" s="599"/>
      <c r="K2375" s="611"/>
      <c r="L2375" s="611"/>
      <c r="M2375" s="621"/>
      <c r="N2375" s="621"/>
      <c r="O2375" s="621"/>
      <c r="P2375" s="706"/>
      <c r="Q2375" s="622"/>
      <c r="R2375" s="36"/>
      <c r="S2375" s="36"/>
      <c r="T2375" s="36"/>
      <c r="U2375" s="36"/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</row>
    <row r="2376" ht="22.5" customHeight="1">
      <c r="A2376" s="614"/>
      <c r="B2376" s="185"/>
      <c r="C2376" s="609"/>
      <c r="D2376" s="609"/>
      <c r="E2376" s="595"/>
      <c r="F2376" s="596"/>
      <c r="G2376" s="664"/>
      <c r="H2376" s="665"/>
      <c r="I2376" s="599"/>
      <c r="J2376" s="599"/>
      <c r="K2376" s="611"/>
      <c r="L2376" s="611"/>
      <c r="M2376" s="621"/>
      <c r="N2376" s="621"/>
      <c r="O2376" s="621"/>
      <c r="P2376" s="706"/>
      <c r="Q2376" s="622"/>
      <c r="R2376" s="36"/>
      <c r="S2376" s="36"/>
      <c r="T2376" s="36"/>
      <c r="U2376" s="36"/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</row>
    <row r="2377" ht="22.5" customHeight="1">
      <c r="A2377" s="614"/>
      <c r="B2377" s="185"/>
      <c r="C2377" s="609"/>
      <c r="D2377" s="609"/>
      <c r="E2377" s="595"/>
      <c r="F2377" s="596"/>
      <c r="G2377" s="664"/>
      <c r="H2377" s="665"/>
      <c r="I2377" s="599"/>
      <c r="J2377" s="599"/>
      <c r="K2377" s="611"/>
      <c r="L2377" s="611"/>
      <c r="M2377" s="621"/>
      <c r="N2377" s="621"/>
      <c r="O2377" s="621"/>
      <c r="P2377" s="706"/>
      <c r="Q2377" s="622"/>
      <c r="R2377" s="36"/>
      <c r="S2377" s="36"/>
      <c r="T2377" s="36"/>
      <c r="U2377" s="36"/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</row>
    <row r="2378" ht="22.5" customHeight="1">
      <c r="A2378" s="614"/>
      <c r="B2378" s="185"/>
      <c r="C2378" s="609"/>
      <c r="D2378" s="609"/>
      <c r="E2378" s="595"/>
      <c r="F2378" s="596"/>
      <c r="G2378" s="664"/>
      <c r="H2378" s="665"/>
      <c r="I2378" s="599"/>
      <c r="J2378" s="599"/>
      <c r="K2378" s="611"/>
      <c r="L2378" s="611"/>
      <c r="M2378" s="621"/>
      <c r="N2378" s="621"/>
      <c r="O2378" s="621"/>
      <c r="P2378" s="706"/>
      <c r="Q2378" s="622"/>
      <c r="R2378" s="36"/>
      <c r="S2378" s="36"/>
      <c r="T2378" s="36"/>
      <c r="U2378" s="36"/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</row>
    <row r="2379" ht="22.5" customHeight="1">
      <c r="A2379" s="614"/>
      <c r="B2379" s="185"/>
      <c r="C2379" s="609"/>
      <c r="D2379" s="609"/>
      <c r="E2379" s="595"/>
      <c r="F2379" s="596"/>
      <c r="G2379" s="664"/>
      <c r="H2379" s="665"/>
      <c r="I2379" s="599"/>
      <c r="J2379" s="599"/>
      <c r="K2379" s="611"/>
      <c r="L2379" s="611"/>
      <c r="M2379" s="621"/>
      <c r="N2379" s="621"/>
      <c r="O2379" s="621"/>
      <c r="P2379" s="706"/>
      <c r="Q2379" s="622"/>
      <c r="R2379" s="36"/>
      <c r="S2379" s="36"/>
      <c r="T2379" s="36"/>
      <c r="U2379" s="36"/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</row>
    <row r="2380" ht="22.5" customHeight="1">
      <c r="A2380" s="614"/>
      <c r="B2380" s="185"/>
      <c r="C2380" s="609"/>
      <c r="D2380" s="609"/>
      <c r="E2380" s="595"/>
      <c r="F2380" s="596"/>
      <c r="G2380" s="664"/>
      <c r="H2380" s="665"/>
      <c r="I2380" s="599"/>
      <c r="J2380" s="599"/>
      <c r="K2380" s="611"/>
      <c r="L2380" s="611"/>
      <c r="M2380" s="621"/>
      <c r="N2380" s="621"/>
      <c r="O2380" s="621"/>
      <c r="P2380" s="706"/>
      <c r="Q2380" s="622"/>
      <c r="R2380" s="36"/>
      <c r="S2380" s="36"/>
      <c r="T2380" s="36"/>
      <c r="U2380" s="36"/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</row>
    <row r="2381" ht="22.5" customHeight="1">
      <c r="A2381" s="614"/>
      <c r="B2381" s="185"/>
      <c r="C2381" s="609"/>
      <c r="D2381" s="609"/>
      <c r="E2381" s="595"/>
      <c r="F2381" s="596"/>
      <c r="G2381" s="664"/>
      <c r="H2381" s="665"/>
      <c r="I2381" s="599"/>
      <c r="J2381" s="599"/>
      <c r="K2381" s="611"/>
      <c r="L2381" s="611"/>
      <c r="M2381" s="621"/>
      <c r="N2381" s="621"/>
      <c r="O2381" s="621"/>
      <c r="P2381" s="706"/>
      <c r="Q2381" s="622"/>
      <c r="R2381" s="36"/>
      <c r="S2381" s="36"/>
      <c r="T2381" s="36"/>
      <c r="U2381" s="36"/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</row>
    <row r="2382" ht="22.5" customHeight="1">
      <c r="A2382" s="614"/>
      <c r="B2382" s="185"/>
      <c r="C2382" s="609"/>
      <c r="D2382" s="609"/>
      <c r="E2382" s="595"/>
      <c r="F2382" s="596"/>
      <c r="G2382" s="664"/>
      <c r="H2382" s="665"/>
      <c r="I2382" s="599"/>
      <c r="J2382" s="599"/>
      <c r="K2382" s="611"/>
      <c r="L2382" s="611"/>
      <c r="M2382" s="621"/>
      <c r="N2382" s="621"/>
      <c r="O2382" s="621"/>
      <c r="P2382" s="706"/>
      <c r="Q2382" s="622"/>
      <c r="R2382" s="36"/>
      <c r="S2382" s="36"/>
      <c r="T2382" s="36"/>
      <c r="U2382" s="36"/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</row>
    <row r="2383" ht="22.5" customHeight="1">
      <c r="A2383" s="614"/>
      <c r="B2383" s="185"/>
      <c r="C2383" s="609"/>
      <c r="D2383" s="609"/>
      <c r="E2383" s="595"/>
      <c r="F2383" s="596"/>
      <c r="G2383" s="664"/>
      <c r="H2383" s="665"/>
      <c r="I2383" s="599"/>
      <c r="J2383" s="599"/>
      <c r="K2383" s="611"/>
      <c r="L2383" s="611"/>
      <c r="M2383" s="621"/>
      <c r="N2383" s="621"/>
      <c r="O2383" s="621"/>
      <c r="P2383" s="706"/>
      <c r="Q2383" s="622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</row>
    <row r="2384" ht="22.5" customHeight="1">
      <c r="A2384" s="614"/>
      <c r="B2384" s="185"/>
      <c r="C2384" s="609"/>
      <c r="D2384" s="609"/>
      <c r="E2384" s="595"/>
      <c r="F2384" s="596"/>
      <c r="G2384" s="664"/>
      <c r="H2384" s="665"/>
      <c r="I2384" s="599"/>
      <c r="J2384" s="599"/>
      <c r="K2384" s="611"/>
      <c r="L2384" s="611"/>
      <c r="M2384" s="621"/>
      <c r="N2384" s="621"/>
      <c r="O2384" s="621"/>
      <c r="P2384" s="706"/>
      <c r="Q2384" s="622"/>
      <c r="R2384" s="36"/>
      <c r="S2384" s="36"/>
      <c r="T2384" s="36"/>
      <c r="U2384" s="36"/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</row>
    <row r="2385" ht="22.5" customHeight="1">
      <c r="A2385" s="614"/>
      <c r="B2385" s="185"/>
      <c r="C2385" s="609"/>
      <c r="D2385" s="609"/>
      <c r="E2385" s="595"/>
      <c r="F2385" s="596"/>
      <c r="G2385" s="664"/>
      <c r="H2385" s="665"/>
      <c r="I2385" s="599"/>
      <c r="J2385" s="599"/>
      <c r="K2385" s="611"/>
      <c r="L2385" s="611"/>
      <c r="M2385" s="621"/>
      <c r="N2385" s="621"/>
      <c r="O2385" s="621"/>
      <c r="P2385" s="706"/>
      <c r="Q2385" s="622"/>
      <c r="R2385" s="36"/>
      <c r="S2385" s="36"/>
      <c r="T2385" s="36"/>
      <c r="U2385" s="36"/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</row>
    <row r="2386" ht="22.5" customHeight="1">
      <c r="A2386" s="614"/>
      <c r="B2386" s="185"/>
      <c r="C2386" s="609"/>
      <c r="D2386" s="609"/>
      <c r="E2386" s="595"/>
      <c r="F2386" s="596"/>
      <c r="G2386" s="664"/>
      <c r="H2386" s="665"/>
      <c r="I2386" s="599"/>
      <c r="J2386" s="599"/>
      <c r="K2386" s="611"/>
      <c r="L2386" s="611"/>
      <c r="M2386" s="621"/>
      <c r="N2386" s="621"/>
      <c r="O2386" s="621"/>
      <c r="P2386" s="706"/>
      <c r="Q2386" s="622"/>
      <c r="R2386" s="36"/>
      <c r="S2386" s="36"/>
      <c r="T2386" s="36"/>
      <c r="U2386" s="36"/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</row>
    <row r="2387" ht="22.5" customHeight="1">
      <c r="A2387" s="614"/>
      <c r="B2387" s="185"/>
      <c r="C2387" s="609"/>
      <c r="D2387" s="609"/>
      <c r="E2387" s="595"/>
      <c r="F2387" s="596"/>
      <c r="G2387" s="664"/>
      <c r="H2387" s="665"/>
      <c r="I2387" s="599"/>
      <c r="J2387" s="599"/>
      <c r="K2387" s="611"/>
      <c r="L2387" s="611"/>
      <c r="M2387" s="621"/>
      <c r="N2387" s="621"/>
      <c r="O2387" s="621"/>
      <c r="P2387" s="706"/>
      <c r="Q2387" s="622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</row>
    <row r="2388" ht="22.5" customHeight="1">
      <c r="A2388" s="614"/>
      <c r="B2388" s="185"/>
      <c r="C2388" s="609"/>
      <c r="D2388" s="609"/>
      <c r="E2388" s="595"/>
      <c r="F2388" s="596"/>
      <c r="G2388" s="664"/>
      <c r="H2388" s="665"/>
      <c r="I2388" s="599"/>
      <c r="J2388" s="599"/>
      <c r="K2388" s="611"/>
      <c r="L2388" s="611"/>
      <c r="M2388" s="621"/>
      <c r="N2388" s="621"/>
      <c r="O2388" s="621"/>
      <c r="P2388" s="706"/>
      <c r="Q2388" s="622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</row>
    <row r="2389" ht="22.5" customHeight="1">
      <c r="A2389" s="614"/>
      <c r="B2389" s="185"/>
      <c r="C2389" s="609"/>
      <c r="D2389" s="609"/>
      <c r="E2389" s="595"/>
      <c r="F2389" s="596"/>
      <c r="G2389" s="664"/>
      <c r="H2389" s="665"/>
      <c r="I2389" s="599"/>
      <c r="J2389" s="599"/>
      <c r="K2389" s="611"/>
      <c r="L2389" s="611"/>
      <c r="M2389" s="621"/>
      <c r="N2389" s="621"/>
      <c r="O2389" s="621"/>
      <c r="P2389" s="706"/>
      <c r="Q2389" s="622"/>
      <c r="R2389" s="36"/>
      <c r="S2389" s="36"/>
      <c r="T2389" s="36"/>
      <c r="U2389" s="36"/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</row>
    <row r="2390" ht="22.5" customHeight="1">
      <c r="A2390" s="614"/>
      <c r="B2390" s="185"/>
      <c r="C2390" s="609"/>
      <c r="D2390" s="609"/>
      <c r="E2390" s="595"/>
      <c r="F2390" s="596"/>
      <c r="G2390" s="664"/>
      <c r="H2390" s="665"/>
      <c r="I2390" s="599"/>
      <c r="J2390" s="599"/>
      <c r="K2390" s="611"/>
      <c r="L2390" s="611"/>
      <c r="M2390" s="621"/>
      <c r="N2390" s="621"/>
      <c r="O2390" s="621"/>
      <c r="P2390" s="706"/>
      <c r="Q2390" s="622"/>
      <c r="R2390" s="36"/>
      <c r="S2390" s="36"/>
      <c r="T2390" s="36"/>
      <c r="U2390" s="36"/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</row>
    <row r="2391" ht="22.5" customHeight="1">
      <c r="A2391" s="614"/>
      <c r="B2391" s="185"/>
      <c r="C2391" s="609"/>
      <c r="D2391" s="609"/>
      <c r="E2391" s="595"/>
      <c r="F2391" s="596"/>
      <c r="G2391" s="664"/>
      <c r="H2391" s="665"/>
      <c r="I2391" s="599"/>
      <c r="J2391" s="599"/>
      <c r="K2391" s="611"/>
      <c r="L2391" s="611"/>
      <c r="M2391" s="621"/>
      <c r="N2391" s="621"/>
      <c r="O2391" s="621"/>
      <c r="P2391" s="706"/>
      <c r="Q2391" s="622"/>
      <c r="R2391" s="36"/>
      <c r="S2391" s="36"/>
      <c r="T2391" s="36"/>
      <c r="U2391" s="36"/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</row>
    <row r="2392" ht="22.5" customHeight="1">
      <c r="A2392" s="614"/>
      <c r="B2392" s="185"/>
      <c r="C2392" s="609"/>
      <c r="D2392" s="609"/>
      <c r="E2392" s="595"/>
      <c r="F2392" s="596"/>
      <c r="G2392" s="664"/>
      <c r="H2392" s="665"/>
      <c r="I2392" s="599"/>
      <c r="J2392" s="599"/>
      <c r="K2392" s="611"/>
      <c r="L2392" s="611"/>
      <c r="M2392" s="621"/>
      <c r="N2392" s="621"/>
      <c r="O2392" s="621"/>
      <c r="P2392" s="706"/>
      <c r="Q2392" s="622"/>
      <c r="R2392" s="36"/>
      <c r="S2392" s="36"/>
      <c r="T2392" s="36"/>
      <c r="U2392" s="36"/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</row>
    <row r="2393" ht="22.5" customHeight="1">
      <c r="A2393" s="614"/>
      <c r="B2393" s="185"/>
      <c r="C2393" s="609"/>
      <c r="D2393" s="609"/>
      <c r="E2393" s="595"/>
      <c r="F2393" s="596"/>
      <c r="G2393" s="664"/>
      <c r="H2393" s="665"/>
      <c r="I2393" s="599"/>
      <c r="J2393" s="599"/>
      <c r="K2393" s="611"/>
      <c r="L2393" s="611"/>
      <c r="M2393" s="621"/>
      <c r="N2393" s="621"/>
      <c r="O2393" s="621"/>
      <c r="P2393" s="706"/>
      <c r="Q2393" s="622"/>
      <c r="R2393" s="36"/>
      <c r="S2393" s="36"/>
      <c r="T2393" s="36"/>
      <c r="U2393" s="36"/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</row>
    <row r="2394" ht="22.5" customHeight="1">
      <c r="A2394" s="614"/>
      <c r="B2394" s="185"/>
      <c r="C2394" s="609"/>
      <c r="D2394" s="609"/>
      <c r="E2394" s="595"/>
      <c r="F2394" s="596"/>
      <c r="G2394" s="664"/>
      <c r="H2394" s="665"/>
      <c r="I2394" s="599"/>
      <c r="J2394" s="599"/>
      <c r="K2394" s="611"/>
      <c r="L2394" s="611"/>
      <c r="M2394" s="621"/>
      <c r="N2394" s="621"/>
      <c r="O2394" s="621"/>
      <c r="P2394" s="706"/>
      <c r="Q2394" s="622"/>
      <c r="R2394" s="36"/>
      <c r="S2394" s="36"/>
      <c r="T2394" s="36"/>
      <c r="U2394" s="36"/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</row>
    <row r="2395" ht="22.5" customHeight="1">
      <c r="A2395" s="614"/>
      <c r="B2395" s="185"/>
      <c r="C2395" s="609"/>
      <c r="D2395" s="609"/>
      <c r="E2395" s="595"/>
      <c r="F2395" s="596"/>
      <c r="G2395" s="664"/>
      <c r="H2395" s="665"/>
      <c r="I2395" s="599"/>
      <c r="J2395" s="599"/>
      <c r="K2395" s="611"/>
      <c r="L2395" s="611"/>
      <c r="M2395" s="621"/>
      <c r="N2395" s="621"/>
      <c r="O2395" s="621"/>
      <c r="P2395" s="706"/>
      <c r="Q2395" s="622"/>
      <c r="R2395" s="36"/>
      <c r="S2395" s="36"/>
      <c r="T2395" s="36"/>
      <c r="U2395" s="36"/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</row>
    <row r="2396" ht="22.5" customHeight="1">
      <c r="A2396" s="614"/>
      <c r="B2396" s="185"/>
      <c r="C2396" s="609"/>
      <c r="D2396" s="609"/>
      <c r="E2396" s="595"/>
      <c r="F2396" s="596"/>
      <c r="G2396" s="664"/>
      <c r="H2396" s="665"/>
      <c r="I2396" s="599"/>
      <c r="J2396" s="599"/>
      <c r="K2396" s="611"/>
      <c r="L2396" s="611"/>
      <c r="M2396" s="621"/>
      <c r="N2396" s="621"/>
      <c r="O2396" s="621"/>
      <c r="P2396" s="706"/>
      <c r="Q2396" s="622"/>
      <c r="R2396" s="36"/>
      <c r="S2396" s="36"/>
      <c r="T2396" s="36"/>
      <c r="U2396" s="36"/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</row>
    <row r="2397" ht="22.5" customHeight="1">
      <c r="A2397" s="614"/>
      <c r="B2397" s="185"/>
      <c r="C2397" s="609"/>
      <c r="D2397" s="609"/>
      <c r="E2397" s="595"/>
      <c r="F2397" s="596"/>
      <c r="G2397" s="664"/>
      <c r="H2397" s="665"/>
      <c r="I2397" s="599"/>
      <c r="J2397" s="599"/>
      <c r="K2397" s="611"/>
      <c r="L2397" s="611"/>
      <c r="M2397" s="621"/>
      <c r="N2397" s="621"/>
      <c r="O2397" s="621"/>
      <c r="P2397" s="706"/>
      <c r="Q2397" s="622"/>
      <c r="R2397" s="36"/>
      <c r="S2397" s="36"/>
      <c r="T2397" s="36"/>
      <c r="U2397" s="36"/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</row>
    <row r="2398" ht="22.5" customHeight="1">
      <c r="A2398" s="614"/>
      <c r="B2398" s="185"/>
      <c r="C2398" s="609"/>
      <c r="D2398" s="609"/>
      <c r="E2398" s="595"/>
      <c r="F2398" s="596"/>
      <c r="G2398" s="664"/>
      <c r="H2398" s="665"/>
      <c r="I2398" s="599"/>
      <c r="J2398" s="599"/>
      <c r="K2398" s="611"/>
      <c r="L2398" s="611"/>
      <c r="M2398" s="621"/>
      <c r="N2398" s="621"/>
      <c r="O2398" s="621"/>
      <c r="P2398" s="706"/>
      <c r="Q2398" s="622"/>
      <c r="R2398" s="36"/>
      <c r="S2398" s="36"/>
      <c r="T2398" s="36"/>
      <c r="U2398" s="36"/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</row>
    <row r="2399" ht="22.5" customHeight="1">
      <c r="A2399" s="614"/>
      <c r="B2399" s="185"/>
      <c r="C2399" s="609"/>
      <c r="D2399" s="609"/>
      <c r="E2399" s="595"/>
      <c r="F2399" s="596"/>
      <c r="G2399" s="664"/>
      <c r="H2399" s="665"/>
      <c r="I2399" s="599"/>
      <c r="J2399" s="599"/>
      <c r="K2399" s="611"/>
      <c r="L2399" s="611"/>
      <c r="M2399" s="621"/>
      <c r="N2399" s="621"/>
      <c r="O2399" s="621"/>
      <c r="P2399" s="706"/>
      <c r="Q2399" s="622"/>
      <c r="R2399" s="36"/>
      <c r="S2399" s="36"/>
      <c r="T2399" s="36"/>
      <c r="U2399" s="36"/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</row>
    <row r="2400" ht="22.5" customHeight="1">
      <c r="A2400" s="614"/>
      <c r="B2400" s="185"/>
      <c r="C2400" s="609"/>
      <c r="D2400" s="609"/>
      <c r="E2400" s="595"/>
      <c r="F2400" s="596"/>
      <c r="G2400" s="664"/>
      <c r="H2400" s="665"/>
      <c r="I2400" s="599"/>
      <c r="J2400" s="599"/>
      <c r="K2400" s="611"/>
      <c r="L2400" s="611"/>
      <c r="M2400" s="621"/>
      <c r="N2400" s="621"/>
      <c r="O2400" s="621"/>
      <c r="P2400" s="706"/>
      <c r="Q2400" s="622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</row>
    <row r="2401" ht="22.5" customHeight="1">
      <c r="A2401" s="614"/>
      <c r="B2401" s="185"/>
      <c r="C2401" s="609"/>
      <c r="D2401" s="609"/>
      <c r="E2401" s="595"/>
      <c r="F2401" s="596"/>
      <c r="G2401" s="664"/>
      <c r="H2401" s="665"/>
      <c r="I2401" s="599"/>
      <c r="J2401" s="599"/>
      <c r="K2401" s="611"/>
      <c r="L2401" s="611"/>
      <c r="M2401" s="621"/>
      <c r="N2401" s="621"/>
      <c r="O2401" s="621"/>
      <c r="P2401" s="706"/>
      <c r="Q2401" s="622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</row>
    <row r="2402" ht="22.5" customHeight="1">
      <c r="A2402" s="614"/>
      <c r="B2402" s="185"/>
      <c r="C2402" s="609"/>
      <c r="D2402" s="609"/>
      <c r="E2402" s="595"/>
      <c r="F2402" s="596"/>
      <c r="G2402" s="664"/>
      <c r="H2402" s="665"/>
      <c r="I2402" s="599"/>
      <c r="J2402" s="599"/>
      <c r="K2402" s="611"/>
      <c r="L2402" s="611"/>
      <c r="M2402" s="621"/>
      <c r="N2402" s="621"/>
      <c r="O2402" s="621"/>
      <c r="P2402" s="706"/>
      <c r="Q2402" s="622"/>
      <c r="R2402" s="36"/>
      <c r="S2402" s="36"/>
      <c r="T2402" s="36"/>
      <c r="U2402" s="36"/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</row>
    <row r="2403" ht="22.5" customHeight="1">
      <c r="A2403" s="614"/>
      <c r="B2403" s="185"/>
      <c r="C2403" s="609"/>
      <c r="D2403" s="609"/>
      <c r="E2403" s="595"/>
      <c r="F2403" s="596"/>
      <c r="G2403" s="664"/>
      <c r="H2403" s="665"/>
      <c r="I2403" s="599"/>
      <c r="J2403" s="599"/>
      <c r="K2403" s="611"/>
      <c r="L2403" s="611"/>
      <c r="M2403" s="621"/>
      <c r="N2403" s="621"/>
      <c r="O2403" s="621"/>
      <c r="P2403" s="706"/>
      <c r="Q2403" s="622"/>
      <c r="R2403" s="36"/>
      <c r="S2403" s="36"/>
      <c r="T2403" s="36"/>
      <c r="U2403" s="36"/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</row>
    <row r="2404" ht="22.5" customHeight="1">
      <c r="A2404" s="614"/>
      <c r="B2404" s="185"/>
      <c r="C2404" s="609"/>
      <c r="D2404" s="609"/>
      <c r="E2404" s="595"/>
      <c r="F2404" s="596"/>
      <c r="G2404" s="664"/>
      <c r="H2404" s="665"/>
      <c r="I2404" s="599"/>
      <c r="J2404" s="599"/>
      <c r="K2404" s="611"/>
      <c r="L2404" s="611"/>
      <c r="M2404" s="621"/>
      <c r="N2404" s="621"/>
      <c r="O2404" s="621"/>
      <c r="P2404" s="706"/>
      <c r="Q2404" s="622"/>
      <c r="R2404" s="36"/>
      <c r="S2404" s="36"/>
      <c r="T2404" s="36"/>
      <c r="U2404" s="36"/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</row>
    <row r="2405" ht="22.5" customHeight="1">
      <c r="A2405" s="614"/>
      <c r="B2405" s="185"/>
      <c r="C2405" s="609"/>
      <c r="D2405" s="609"/>
      <c r="E2405" s="595"/>
      <c r="F2405" s="596"/>
      <c r="G2405" s="664"/>
      <c r="H2405" s="665"/>
      <c r="I2405" s="599"/>
      <c r="J2405" s="599"/>
      <c r="K2405" s="611"/>
      <c r="L2405" s="611"/>
      <c r="M2405" s="621"/>
      <c r="N2405" s="621"/>
      <c r="O2405" s="621"/>
      <c r="P2405" s="706"/>
      <c r="Q2405" s="622"/>
      <c r="R2405" s="36"/>
      <c r="S2405" s="36"/>
      <c r="T2405" s="36"/>
      <c r="U2405" s="36"/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</row>
    <row r="2406" ht="22.5" customHeight="1">
      <c r="A2406" s="614"/>
      <c r="B2406" s="185"/>
      <c r="C2406" s="609"/>
      <c r="D2406" s="609"/>
      <c r="E2406" s="595"/>
      <c r="F2406" s="596"/>
      <c r="G2406" s="664"/>
      <c r="H2406" s="665"/>
      <c r="I2406" s="599"/>
      <c r="J2406" s="599"/>
      <c r="K2406" s="611"/>
      <c r="L2406" s="611"/>
      <c r="M2406" s="621"/>
      <c r="N2406" s="621"/>
      <c r="O2406" s="621"/>
      <c r="P2406" s="706"/>
      <c r="Q2406" s="622"/>
      <c r="R2406" s="36"/>
      <c r="S2406" s="36"/>
      <c r="T2406" s="36"/>
      <c r="U2406" s="36"/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</row>
    <row r="2407" ht="22.5" customHeight="1">
      <c r="A2407" s="614"/>
      <c r="B2407" s="185"/>
      <c r="C2407" s="609"/>
      <c r="D2407" s="609"/>
      <c r="E2407" s="595"/>
      <c r="F2407" s="596"/>
      <c r="G2407" s="664"/>
      <c r="H2407" s="665"/>
      <c r="I2407" s="599"/>
      <c r="J2407" s="599"/>
      <c r="K2407" s="611"/>
      <c r="L2407" s="611"/>
      <c r="M2407" s="621"/>
      <c r="N2407" s="621"/>
      <c r="O2407" s="621"/>
      <c r="P2407" s="706"/>
      <c r="Q2407" s="622"/>
      <c r="R2407" s="36"/>
      <c r="S2407" s="36"/>
      <c r="T2407" s="36"/>
      <c r="U2407" s="36"/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</row>
    <row r="2408" ht="22.5" customHeight="1">
      <c r="A2408" s="614"/>
      <c r="B2408" s="185"/>
      <c r="C2408" s="609"/>
      <c r="D2408" s="609"/>
      <c r="E2408" s="595"/>
      <c r="F2408" s="596"/>
      <c r="G2408" s="664"/>
      <c r="H2408" s="665"/>
      <c r="I2408" s="599"/>
      <c r="J2408" s="599"/>
      <c r="K2408" s="611"/>
      <c r="L2408" s="611"/>
      <c r="M2408" s="621"/>
      <c r="N2408" s="621"/>
      <c r="O2408" s="621"/>
      <c r="P2408" s="706"/>
      <c r="Q2408" s="622"/>
      <c r="R2408" s="36"/>
      <c r="S2408" s="36"/>
      <c r="T2408" s="36"/>
      <c r="U2408" s="36"/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</row>
    <row r="2409" ht="22.5" customHeight="1">
      <c r="A2409" s="614"/>
      <c r="B2409" s="185"/>
      <c r="C2409" s="609"/>
      <c r="D2409" s="609"/>
      <c r="E2409" s="595"/>
      <c r="F2409" s="596"/>
      <c r="G2409" s="664"/>
      <c r="H2409" s="665"/>
      <c r="I2409" s="599"/>
      <c r="J2409" s="599"/>
      <c r="K2409" s="611"/>
      <c r="L2409" s="611"/>
      <c r="M2409" s="621"/>
      <c r="N2409" s="621"/>
      <c r="O2409" s="621"/>
      <c r="P2409" s="706"/>
      <c r="Q2409" s="622"/>
      <c r="R2409" s="36"/>
      <c r="S2409" s="36"/>
      <c r="T2409" s="36"/>
      <c r="U2409" s="36"/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</row>
    <row r="2410" ht="22.5" customHeight="1">
      <c r="A2410" s="614"/>
      <c r="B2410" s="185"/>
      <c r="C2410" s="609"/>
      <c r="D2410" s="609"/>
      <c r="E2410" s="595"/>
      <c r="F2410" s="596"/>
      <c r="G2410" s="664"/>
      <c r="H2410" s="665"/>
      <c r="I2410" s="599"/>
      <c r="J2410" s="599"/>
      <c r="K2410" s="611"/>
      <c r="L2410" s="611"/>
      <c r="M2410" s="621"/>
      <c r="N2410" s="621"/>
      <c r="O2410" s="621"/>
      <c r="P2410" s="706"/>
      <c r="Q2410" s="622"/>
      <c r="R2410" s="36"/>
      <c r="S2410" s="36"/>
      <c r="T2410" s="36"/>
      <c r="U2410" s="36"/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</row>
    <row r="2411" ht="22.5" customHeight="1">
      <c r="A2411" s="614"/>
      <c r="B2411" s="185"/>
      <c r="C2411" s="609"/>
      <c r="D2411" s="609"/>
      <c r="E2411" s="595"/>
      <c r="F2411" s="596"/>
      <c r="G2411" s="664"/>
      <c r="H2411" s="665"/>
      <c r="I2411" s="599"/>
      <c r="J2411" s="599"/>
      <c r="K2411" s="611"/>
      <c r="L2411" s="611"/>
      <c r="M2411" s="621"/>
      <c r="N2411" s="621"/>
      <c r="O2411" s="621"/>
      <c r="P2411" s="706"/>
      <c r="Q2411" s="622"/>
      <c r="R2411" s="36"/>
      <c r="S2411" s="36"/>
      <c r="T2411" s="36"/>
      <c r="U2411" s="36"/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</row>
    <row r="2412" ht="22.5" customHeight="1">
      <c r="A2412" s="614"/>
      <c r="B2412" s="185"/>
      <c r="C2412" s="609"/>
      <c r="D2412" s="609"/>
      <c r="E2412" s="595"/>
      <c r="F2412" s="596"/>
      <c r="G2412" s="664"/>
      <c r="H2412" s="665"/>
      <c r="I2412" s="599"/>
      <c r="J2412" s="599"/>
      <c r="K2412" s="611"/>
      <c r="L2412" s="611"/>
      <c r="M2412" s="621"/>
      <c r="N2412" s="621"/>
      <c r="O2412" s="621"/>
      <c r="P2412" s="706"/>
      <c r="Q2412" s="622"/>
      <c r="R2412" s="36"/>
      <c r="S2412" s="36"/>
      <c r="T2412" s="36"/>
      <c r="U2412" s="36"/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</row>
    <row r="2413" ht="22.5" customHeight="1">
      <c r="A2413" s="614"/>
      <c r="B2413" s="185"/>
      <c r="C2413" s="609"/>
      <c r="D2413" s="609"/>
      <c r="E2413" s="595"/>
      <c r="F2413" s="596"/>
      <c r="G2413" s="664"/>
      <c r="H2413" s="665"/>
      <c r="I2413" s="599"/>
      <c r="J2413" s="599"/>
      <c r="K2413" s="611"/>
      <c r="L2413" s="611"/>
      <c r="M2413" s="621"/>
      <c r="N2413" s="621"/>
      <c r="O2413" s="621"/>
      <c r="P2413" s="706"/>
      <c r="Q2413" s="622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</row>
    <row r="2414" ht="22.5" customHeight="1">
      <c r="A2414" s="614"/>
      <c r="B2414" s="185"/>
      <c r="C2414" s="609"/>
      <c r="D2414" s="609"/>
      <c r="E2414" s="595"/>
      <c r="F2414" s="596"/>
      <c r="G2414" s="664"/>
      <c r="H2414" s="665"/>
      <c r="I2414" s="599"/>
      <c r="J2414" s="599"/>
      <c r="K2414" s="611"/>
      <c r="L2414" s="611"/>
      <c r="M2414" s="621"/>
      <c r="N2414" s="621"/>
      <c r="O2414" s="621"/>
      <c r="P2414" s="706"/>
      <c r="Q2414" s="622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</row>
    <row r="2415" ht="22.5" customHeight="1">
      <c r="A2415" s="614"/>
      <c r="B2415" s="185"/>
      <c r="C2415" s="609"/>
      <c r="D2415" s="609"/>
      <c r="E2415" s="595"/>
      <c r="F2415" s="596"/>
      <c r="G2415" s="664"/>
      <c r="H2415" s="665"/>
      <c r="I2415" s="599"/>
      <c r="J2415" s="599"/>
      <c r="K2415" s="611"/>
      <c r="L2415" s="611"/>
      <c r="M2415" s="621"/>
      <c r="N2415" s="621"/>
      <c r="O2415" s="621"/>
      <c r="P2415" s="706"/>
      <c r="Q2415" s="622"/>
      <c r="R2415" s="36"/>
      <c r="S2415" s="36"/>
      <c r="T2415" s="36"/>
      <c r="U2415" s="36"/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</row>
    <row r="2416" ht="22.5" customHeight="1">
      <c r="A2416" s="614"/>
      <c r="B2416" s="185"/>
      <c r="C2416" s="609"/>
      <c r="D2416" s="609"/>
      <c r="E2416" s="595"/>
      <c r="F2416" s="596"/>
      <c r="G2416" s="664"/>
      <c r="H2416" s="665"/>
      <c r="I2416" s="599"/>
      <c r="J2416" s="599"/>
      <c r="K2416" s="611"/>
      <c r="L2416" s="611"/>
      <c r="M2416" s="621"/>
      <c r="N2416" s="621"/>
      <c r="O2416" s="621"/>
      <c r="P2416" s="706"/>
      <c r="Q2416" s="622"/>
      <c r="R2416" s="36"/>
      <c r="S2416" s="36"/>
      <c r="T2416" s="36"/>
      <c r="U2416" s="36"/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</row>
    <row r="2417" ht="22.5" customHeight="1">
      <c r="A2417" s="614"/>
      <c r="B2417" s="185"/>
      <c r="C2417" s="609"/>
      <c r="D2417" s="609"/>
      <c r="E2417" s="595"/>
      <c r="F2417" s="596"/>
      <c r="G2417" s="664"/>
      <c r="H2417" s="665"/>
      <c r="I2417" s="599"/>
      <c r="J2417" s="599"/>
      <c r="K2417" s="611"/>
      <c r="L2417" s="611"/>
      <c r="M2417" s="621"/>
      <c r="N2417" s="621"/>
      <c r="O2417" s="621"/>
      <c r="P2417" s="706"/>
      <c r="Q2417" s="622"/>
      <c r="R2417" s="36"/>
      <c r="S2417" s="36"/>
      <c r="T2417" s="36"/>
      <c r="U2417" s="36"/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</row>
    <row r="2418" ht="22.5" customHeight="1">
      <c r="A2418" s="614"/>
      <c r="B2418" s="185"/>
      <c r="C2418" s="609"/>
      <c r="D2418" s="609"/>
      <c r="E2418" s="595"/>
      <c r="F2418" s="596"/>
      <c r="G2418" s="664"/>
      <c r="H2418" s="665"/>
      <c r="I2418" s="599"/>
      <c r="J2418" s="599"/>
      <c r="K2418" s="611"/>
      <c r="L2418" s="611"/>
      <c r="M2418" s="621"/>
      <c r="N2418" s="621"/>
      <c r="O2418" s="621"/>
      <c r="P2418" s="706"/>
      <c r="Q2418" s="622"/>
      <c r="R2418" s="36"/>
      <c r="S2418" s="36"/>
      <c r="T2418" s="36"/>
      <c r="U2418" s="36"/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</row>
    <row r="2419" ht="22.5" customHeight="1">
      <c r="A2419" s="614"/>
      <c r="B2419" s="185"/>
      <c r="C2419" s="609"/>
      <c r="D2419" s="609"/>
      <c r="E2419" s="595"/>
      <c r="F2419" s="596"/>
      <c r="G2419" s="664"/>
      <c r="H2419" s="665"/>
      <c r="I2419" s="599"/>
      <c r="J2419" s="599"/>
      <c r="K2419" s="611"/>
      <c r="L2419" s="611"/>
      <c r="M2419" s="621"/>
      <c r="N2419" s="621"/>
      <c r="O2419" s="621"/>
      <c r="P2419" s="706"/>
      <c r="Q2419" s="622"/>
      <c r="R2419" s="36"/>
      <c r="S2419" s="36"/>
      <c r="T2419" s="36"/>
      <c r="U2419" s="36"/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</row>
    <row r="2420" ht="22.5" customHeight="1">
      <c r="A2420" s="614"/>
      <c r="B2420" s="185"/>
      <c r="C2420" s="609"/>
      <c r="D2420" s="609"/>
      <c r="E2420" s="595"/>
      <c r="F2420" s="596"/>
      <c r="G2420" s="664"/>
      <c r="H2420" s="665"/>
      <c r="I2420" s="599"/>
      <c r="J2420" s="599"/>
      <c r="K2420" s="611"/>
      <c r="L2420" s="611"/>
      <c r="M2420" s="621"/>
      <c r="N2420" s="621"/>
      <c r="O2420" s="621"/>
      <c r="P2420" s="706"/>
      <c r="Q2420" s="622"/>
      <c r="R2420" s="36"/>
      <c r="S2420" s="36"/>
      <c r="T2420" s="36"/>
      <c r="U2420" s="36"/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</row>
    <row r="2421" ht="22.5" customHeight="1">
      <c r="A2421" s="614"/>
      <c r="B2421" s="185"/>
      <c r="C2421" s="609"/>
      <c r="D2421" s="609"/>
      <c r="E2421" s="595"/>
      <c r="F2421" s="596"/>
      <c r="G2421" s="664"/>
      <c r="H2421" s="665"/>
      <c r="I2421" s="599"/>
      <c r="J2421" s="599"/>
      <c r="K2421" s="611"/>
      <c r="L2421" s="611"/>
      <c r="M2421" s="621"/>
      <c r="N2421" s="621"/>
      <c r="O2421" s="621"/>
      <c r="P2421" s="706"/>
      <c r="Q2421" s="622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</row>
    <row r="2422" ht="22.5" customHeight="1">
      <c r="A2422" s="614"/>
      <c r="B2422" s="185"/>
      <c r="C2422" s="609"/>
      <c r="D2422" s="609"/>
      <c r="E2422" s="595"/>
      <c r="F2422" s="596"/>
      <c r="G2422" s="664"/>
      <c r="H2422" s="665"/>
      <c r="I2422" s="599"/>
      <c r="J2422" s="599"/>
      <c r="K2422" s="611"/>
      <c r="L2422" s="611"/>
      <c r="M2422" s="621"/>
      <c r="N2422" s="621"/>
      <c r="O2422" s="621"/>
      <c r="P2422" s="706"/>
      <c r="Q2422" s="622"/>
      <c r="R2422" s="36"/>
      <c r="S2422" s="36"/>
      <c r="T2422" s="36"/>
      <c r="U2422" s="36"/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</row>
    <row r="2423" ht="22.5" customHeight="1">
      <c r="A2423" s="614"/>
      <c r="B2423" s="185"/>
      <c r="C2423" s="609"/>
      <c r="D2423" s="609"/>
      <c r="E2423" s="595"/>
      <c r="F2423" s="596"/>
      <c r="G2423" s="664"/>
      <c r="H2423" s="665"/>
      <c r="I2423" s="599"/>
      <c r="J2423" s="599"/>
      <c r="K2423" s="611"/>
      <c r="L2423" s="611"/>
      <c r="M2423" s="621"/>
      <c r="N2423" s="621"/>
      <c r="O2423" s="621"/>
      <c r="P2423" s="706"/>
      <c r="Q2423" s="622"/>
      <c r="R2423" s="36"/>
      <c r="S2423" s="36"/>
      <c r="T2423" s="36"/>
      <c r="U2423" s="36"/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</row>
    <row r="2424" ht="22.5" customHeight="1">
      <c r="A2424" s="614"/>
      <c r="B2424" s="185"/>
      <c r="C2424" s="609"/>
      <c r="D2424" s="609"/>
      <c r="E2424" s="595"/>
      <c r="F2424" s="596"/>
      <c r="G2424" s="664"/>
      <c r="H2424" s="665"/>
      <c r="I2424" s="599"/>
      <c r="J2424" s="599"/>
      <c r="K2424" s="611"/>
      <c r="L2424" s="611"/>
      <c r="M2424" s="621"/>
      <c r="N2424" s="621"/>
      <c r="O2424" s="621"/>
      <c r="P2424" s="706"/>
      <c r="Q2424" s="622"/>
      <c r="R2424" s="36"/>
      <c r="S2424" s="36"/>
      <c r="T2424" s="36"/>
      <c r="U2424" s="36"/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</row>
    <row r="2425" ht="22.5" customHeight="1">
      <c r="A2425" s="614"/>
      <c r="B2425" s="185"/>
      <c r="C2425" s="609"/>
      <c r="D2425" s="609"/>
      <c r="E2425" s="595"/>
      <c r="F2425" s="596"/>
      <c r="G2425" s="664"/>
      <c r="H2425" s="665"/>
      <c r="I2425" s="599"/>
      <c r="J2425" s="599"/>
      <c r="K2425" s="611"/>
      <c r="L2425" s="611"/>
      <c r="M2425" s="621"/>
      <c r="N2425" s="621"/>
      <c r="O2425" s="621"/>
      <c r="P2425" s="706"/>
      <c r="Q2425" s="622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</row>
    <row r="2426" ht="22.5" customHeight="1">
      <c r="A2426" s="614"/>
      <c r="B2426" s="185"/>
      <c r="C2426" s="609"/>
      <c r="D2426" s="609"/>
      <c r="E2426" s="595"/>
      <c r="F2426" s="596"/>
      <c r="G2426" s="664"/>
      <c r="H2426" s="665"/>
      <c r="I2426" s="599"/>
      <c r="J2426" s="599"/>
      <c r="K2426" s="611"/>
      <c r="L2426" s="611"/>
      <c r="M2426" s="621"/>
      <c r="N2426" s="621"/>
      <c r="O2426" s="621"/>
      <c r="P2426" s="706"/>
      <c r="Q2426" s="622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</row>
    <row r="2427" ht="22.5" customHeight="1">
      <c r="A2427" s="614"/>
      <c r="B2427" s="185"/>
      <c r="C2427" s="609"/>
      <c r="D2427" s="609"/>
      <c r="E2427" s="595"/>
      <c r="F2427" s="596"/>
      <c r="G2427" s="664"/>
      <c r="H2427" s="665"/>
      <c r="I2427" s="599"/>
      <c r="J2427" s="599"/>
      <c r="K2427" s="611"/>
      <c r="L2427" s="611"/>
      <c r="M2427" s="621"/>
      <c r="N2427" s="621"/>
      <c r="O2427" s="621"/>
      <c r="P2427" s="706"/>
      <c r="Q2427" s="622"/>
      <c r="R2427" s="36"/>
      <c r="S2427" s="36"/>
      <c r="T2427" s="36"/>
      <c r="U2427" s="36"/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</row>
    <row r="2428" ht="22.5" customHeight="1">
      <c r="A2428" s="614"/>
      <c r="B2428" s="185"/>
      <c r="C2428" s="609"/>
      <c r="D2428" s="609"/>
      <c r="E2428" s="595"/>
      <c r="F2428" s="596"/>
      <c r="G2428" s="664"/>
      <c r="H2428" s="665"/>
      <c r="I2428" s="599"/>
      <c r="J2428" s="599"/>
      <c r="K2428" s="611"/>
      <c r="L2428" s="611"/>
      <c r="M2428" s="621"/>
      <c r="N2428" s="621"/>
      <c r="O2428" s="621"/>
      <c r="P2428" s="706"/>
      <c r="Q2428" s="622"/>
      <c r="R2428" s="36"/>
      <c r="S2428" s="36"/>
      <c r="T2428" s="36"/>
      <c r="U2428" s="36"/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</row>
    <row r="2429" ht="22.5" customHeight="1">
      <c r="A2429" s="614"/>
      <c r="B2429" s="185"/>
      <c r="C2429" s="609"/>
      <c r="D2429" s="609"/>
      <c r="E2429" s="595"/>
      <c r="F2429" s="596"/>
      <c r="G2429" s="664"/>
      <c r="H2429" s="665"/>
      <c r="I2429" s="599"/>
      <c r="J2429" s="599"/>
      <c r="K2429" s="611"/>
      <c r="L2429" s="611"/>
      <c r="M2429" s="621"/>
      <c r="N2429" s="621"/>
      <c r="O2429" s="621"/>
      <c r="P2429" s="706"/>
      <c r="Q2429" s="622"/>
      <c r="R2429" s="36"/>
      <c r="S2429" s="36"/>
      <c r="T2429" s="36"/>
      <c r="U2429" s="36"/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</row>
    <row r="2430" ht="22.5" customHeight="1">
      <c r="A2430" s="614"/>
      <c r="B2430" s="185"/>
      <c r="C2430" s="609"/>
      <c r="D2430" s="609"/>
      <c r="E2430" s="595"/>
      <c r="F2430" s="596"/>
      <c r="G2430" s="664"/>
      <c r="H2430" s="665"/>
      <c r="I2430" s="599"/>
      <c r="J2430" s="599"/>
      <c r="K2430" s="611"/>
      <c r="L2430" s="611"/>
      <c r="M2430" s="621"/>
      <c r="N2430" s="621"/>
      <c r="O2430" s="621"/>
      <c r="P2430" s="706"/>
      <c r="Q2430" s="622"/>
      <c r="R2430" s="36"/>
      <c r="S2430" s="36"/>
      <c r="T2430" s="36"/>
      <c r="U2430" s="36"/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</row>
    <row r="2431" ht="22.5" customHeight="1">
      <c r="A2431" s="614"/>
      <c r="B2431" s="185"/>
      <c r="C2431" s="609"/>
      <c r="D2431" s="609"/>
      <c r="E2431" s="595"/>
      <c r="F2431" s="596"/>
      <c r="G2431" s="664"/>
      <c r="H2431" s="665"/>
      <c r="I2431" s="599"/>
      <c r="J2431" s="599"/>
      <c r="K2431" s="611"/>
      <c r="L2431" s="611"/>
      <c r="M2431" s="621"/>
      <c r="N2431" s="621"/>
      <c r="O2431" s="621"/>
      <c r="P2431" s="706"/>
      <c r="Q2431" s="622"/>
      <c r="R2431" s="36"/>
      <c r="S2431" s="36"/>
      <c r="T2431" s="36"/>
      <c r="U2431" s="36"/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</row>
    <row r="2432" ht="22.5" customHeight="1">
      <c r="A2432" s="614"/>
      <c r="B2432" s="185"/>
      <c r="C2432" s="609"/>
      <c r="D2432" s="609"/>
      <c r="E2432" s="595"/>
      <c r="F2432" s="596"/>
      <c r="G2432" s="664"/>
      <c r="H2432" s="665"/>
      <c r="I2432" s="599"/>
      <c r="J2432" s="599"/>
      <c r="K2432" s="611"/>
      <c r="L2432" s="611"/>
      <c r="M2432" s="621"/>
      <c r="N2432" s="621"/>
      <c r="O2432" s="621"/>
      <c r="P2432" s="706"/>
      <c r="Q2432" s="622"/>
      <c r="R2432" s="36"/>
      <c r="S2432" s="36"/>
      <c r="T2432" s="36"/>
      <c r="U2432" s="36"/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</row>
    <row r="2433" ht="22.5" customHeight="1">
      <c r="A2433" s="614"/>
      <c r="B2433" s="185"/>
      <c r="C2433" s="609"/>
      <c r="D2433" s="609"/>
      <c r="E2433" s="595"/>
      <c r="F2433" s="596"/>
      <c r="G2433" s="664"/>
      <c r="H2433" s="665"/>
      <c r="I2433" s="599"/>
      <c r="J2433" s="599"/>
      <c r="K2433" s="611"/>
      <c r="L2433" s="611"/>
      <c r="M2433" s="621"/>
      <c r="N2433" s="621"/>
      <c r="O2433" s="621"/>
      <c r="P2433" s="706"/>
      <c r="Q2433" s="622"/>
      <c r="R2433" s="36"/>
      <c r="S2433" s="36"/>
      <c r="T2433" s="36"/>
      <c r="U2433" s="36"/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</row>
    <row r="2434" ht="22.5" customHeight="1">
      <c r="A2434" s="614"/>
      <c r="B2434" s="185"/>
      <c r="C2434" s="609"/>
      <c r="D2434" s="609"/>
      <c r="E2434" s="595"/>
      <c r="F2434" s="596"/>
      <c r="G2434" s="664"/>
      <c r="H2434" s="665"/>
      <c r="I2434" s="599"/>
      <c r="J2434" s="599"/>
      <c r="K2434" s="611"/>
      <c r="L2434" s="611"/>
      <c r="M2434" s="621"/>
      <c r="N2434" s="621"/>
      <c r="O2434" s="621"/>
      <c r="P2434" s="706"/>
      <c r="Q2434" s="622"/>
      <c r="R2434" s="36"/>
      <c r="S2434" s="36"/>
      <c r="T2434" s="36"/>
      <c r="U2434" s="36"/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</row>
    <row r="2435" ht="22.5" customHeight="1">
      <c r="A2435" s="614"/>
      <c r="B2435" s="185"/>
      <c r="C2435" s="609"/>
      <c r="D2435" s="609"/>
      <c r="E2435" s="595"/>
      <c r="F2435" s="596"/>
      <c r="G2435" s="664"/>
      <c r="H2435" s="665"/>
      <c r="I2435" s="599"/>
      <c r="J2435" s="599"/>
      <c r="K2435" s="611"/>
      <c r="L2435" s="611"/>
      <c r="M2435" s="621"/>
      <c r="N2435" s="621"/>
      <c r="O2435" s="621"/>
      <c r="P2435" s="706"/>
      <c r="Q2435" s="622"/>
      <c r="R2435" s="36"/>
      <c r="S2435" s="36"/>
      <c r="T2435" s="36"/>
      <c r="U2435" s="36"/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</row>
    <row r="2436" ht="22.5" customHeight="1">
      <c r="A2436" s="614"/>
      <c r="B2436" s="185"/>
      <c r="C2436" s="609"/>
      <c r="D2436" s="609"/>
      <c r="E2436" s="595"/>
      <c r="F2436" s="596"/>
      <c r="G2436" s="664"/>
      <c r="H2436" s="665"/>
      <c r="I2436" s="599"/>
      <c r="J2436" s="599"/>
      <c r="K2436" s="611"/>
      <c r="L2436" s="611"/>
      <c r="M2436" s="621"/>
      <c r="N2436" s="621"/>
      <c r="O2436" s="621"/>
      <c r="P2436" s="706"/>
      <c r="Q2436" s="622"/>
      <c r="R2436" s="36"/>
      <c r="S2436" s="36"/>
      <c r="T2436" s="36"/>
      <c r="U2436" s="36"/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</row>
    <row r="2437" ht="22.5" customHeight="1">
      <c r="A2437" s="614"/>
      <c r="B2437" s="185"/>
      <c r="C2437" s="609"/>
      <c r="D2437" s="609"/>
      <c r="E2437" s="595"/>
      <c r="F2437" s="596"/>
      <c r="G2437" s="664"/>
      <c r="H2437" s="665"/>
      <c r="I2437" s="599"/>
      <c r="J2437" s="599"/>
      <c r="K2437" s="611"/>
      <c r="L2437" s="611"/>
      <c r="M2437" s="621"/>
      <c r="N2437" s="621"/>
      <c r="O2437" s="621"/>
      <c r="P2437" s="706"/>
      <c r="Q2437" s="622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</row>
    <row r="2438" ht="22.5" customHeight="1">
      <c r="A2438" s="614"/>
      <c r="B2438" s="185"/>
      <c r="C2438" s="609"/>
      <c r="D2438" s="609"/>
      <c r="E2438" s="595"/>
      <c r="F2438" s="596"/>
      <c r="G2438" s="664"/>
      <c r="H2438" s="665"/>
      <c r="I2438" s="599"/>
      <c r="J2438" s="599"/>
      <c r="K2438" s="611"/>
      <c r="L2438" s="611"/>
      <c r="M2438" s="621"/>
      <c r="N2438" s="621"/>
      <c r="O2438" s="621"/>
      <c r="P2438" s="706"/>
      <c r="Q2438" s="622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</row>
    <row r="2439" ht="22.5" customHeight="1">
      <c r="A2439" s="614"/>
      <c r="B2439" s="185"/>
      <c r="C2439" s="609"/>
      <c r="D2439" s="609"/>
      <c r="E2439" s="595"/>
      <c r="F2439" s="596"/>
      <c r="G2439" s="664"/>
      <c r="H2439" s="665"/>
      <c r="I2439" s="599"/>
      <c r="J2439" s="599"/>
      <c r="K2439" s="611"/>
      <c r="L2439" s="611"/>
      <c r="M2439" s="621"/>
      <c r="N2439" s="621"/>
      <c r="O2439" s="621"/>
      <c r="P2439" s="706"/>
      <c r="Q2439" s="622"/>
      <c r="R2439" s="36"/>
      <c r="S2439" s="36"/>
      <c r="T2439" s="36"/>
      <c r="U2439" s="36"/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</row>
    <row r="2440" ht="22.5" customHeight="1">
      <c r="A2440" s="614"/>
      <c r="B2440" s="185"/>
      <c r="C2440" s="609"/>
      <c r="D2440" s="609"/>
      <c r="E2440" s="595"/>
      <c r="F2440" s="596"/>
      <c r="G2440" s="664"/>
      <c r="H2440" s="665"/>
      <c r="I2440" s="599"/>
      <c r="J2440" s="599"/>
      <c r="K2440" s="611"/>
      <c r="L2440" s="611"/>
      <c r="M2440" s="621"/>
      <c r="N2440" s="621"/>
      <c r="O2440" s="621"/>
      <c r="P2440" s="706"/>
      <c r="Q2440" s="622"/>
      <c r="R2440" s="36"/>
      <c r="S2440" s="36"/>
      <c r="T2440" s="36"/>
      <c r="U2440" s="36"/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</row>
    <row r="2441" ht="22.5" customHeight="1">
      <c r="A2441" s="614"/>
      <c r="B2441" s="185"/>
      <c r="C2441" s="609"/>
      <c r="D2441" s="609"/>
      <c r="E2441" s="595"/>
      <c r="F2441" s="596"/>
      <c r="G2441" s="664"/>
      <c r="H2441" s="665"/>
      <c r="I2441" s="599"/>
      <c r="J2441" s="599"/>
      <c r="K2441" s="611"/>
      <c r="L2441" s="611"/>
      <c r="M2441" s="621"/>
      <c r="N2441" s="621"/>
      <c r="O2441" s="621"/>
      <c r="P2441" s="706"/>
      <c r="Q2441" s="622"/>
      <c r="R2441" s="36"/>
      <c r="S2441" s="36"/>
      <c r="T2441" s="36"/>
      <c r="U2441" s="36"/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</row>
    <row r="2442" ht="22.5" customHeight="1">
      <c r="A2442" s="614"/>
      <c r="B2442" s="185"/>
      <c r="C2442" s="609"/>
      <c r="D2442" s="609"/>
      <c r="E2442" s="595"/>
      <c r="F2442" s="596"/>
      <c r="G2442" s="664"/>
      <c r="H2442" s="665"/>
      <c r="I2442" s="599"/>
      <c r="J2442" s="599"/>
      <c r="K2442" s="611"/>
      <c r="L2442" s="611"/>
      <c r="M2442" s="621"/>
      <c r="N2442" s="621"/>
      <c r="O2442" s="621"/>
      <c r="P2442" s="706"/>
      <c r="Q2442" s="622"/>
      <c r="R2442" s="36"/>
      <c r="S2442" s="36"/>
      <c r="T2442" s="36"/>
      <c r="U2442" s="36"/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</row>
    <row r="2443" ht="22.5" customHeight="1">
      <c r="A2443" s="614"/>
      <c r="B2443" s="185"/>
      <c r="C2443" s="609"/>
      <c r="D2443" s="609"/>
      <c r="E2443" s="595"/>
      <c r="F2443" s="596"/>
      <c r="G2443" s="664"/>
      <c r="H2443" s="665"/>
      <c r="I2443" s="599"/>
      <c r="J2443" s="599"/>
      <c r="K2443" s="611"/>
      <c r="L2443" s="611"/>
      <c r="M2443" s="621"/>
      <c r="N2443" s="621"/>
      <c r="O2443" s="621"/>
      <c r="P2443" s="706"/>
      <c r="Q2443" s="622"/>
      <c r="R2443" s="36"/>
      <c r="S2443" s="36"/>
      <c r="T2443" s="36"/>
      <c r="U2443" s="36"/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</row>
    <row r="2444" ht="22.5" customHeight="1">
      <c r="A2444" s="614"/>
      <c r="B2444" s="185"/>
      <c r="C2444" s="609"/>
      <c r="D2444" s="609"/>
      <c r="E2444" s="595"/>
      <c r="F2444" s="596"/>
      <c r="G2444" s="664"/>
      <c r="H2444" s="665"/>
      <c r="I2444" s="599"/>
      <c r="J2444" s="599"/>
      <c r="K2444" s="611"/>
      <c r="L2444" s="611"/>
      <c r="M2444" s="621"/>
      <c r="N2444" s="621"/>
      <c r="O2444" s="621"/>
      <c r="P2444" s="706"/>
      <c r="Q2444" s="622"/>
      <c r="R2444" s="36"/>
      <c r="S2444" s="36"/>
      <c r="T2444" s="36"/>
      <c r="U2444" s="36"/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</row>
    <row r="2445" ht="22.5" customHeight="1">
      <c r="A2445" s="614"/>
      <c r="B2445" s="185"/>
      <c r="C2445" s="609"/>
      <c r="D2445" s="609"/>
      <c r="E2445" s="595"/>
      <c r="F2445" s="596"/>
      <c r="G2445" s="664"/>
      <c r="H2445" s="665"/>
      <c r="I2445" s="599"/>
      <c r="J2445" s="599"/>
      <c r="K2445" s="611"/>
      <c r="L2445" s="611"/>
      <c r="M2445" s="621"/>
      <c r="N2445" s="621"/>
      <c r="O2445" s="621"/>
      <c r="P2445" s="706"/>
      <c r="Q2445" s="622"/>
      <c r="R2445" s="36"/>
      <c r="S2445" s="36"/>
      <c r="T2445" s="36"/>
      <c r="U2445" s="36"/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</row>
    <row r="2446" ht="22.5" customHeight="1">
      <c r="A2446" s="614"/>
      <c r="B2446" s="185"/>
      <c r="C2446" s="609"/>
      <c r="D2446" s="609"/>
      <c r="E2446" s="595"/>
      <c r="F2446" s="596"/>
      <c r="G2446" s="664"/>
      <c r="H2446" s="665"/>
      <c r="I2446" s="599"/>
      <c r="J2446" s="599"/>
      <c r="K2446" s="611"/>
      <c r="L2446" s="611"/>
      <c r="M2446" s="621"/>
      <c r="N2446" s="621"/>
      <c r="O2446" s="621"/>
      <c r="P2446" s="706"/>
      <c r="Q2446" s="622"/>
      <c r="R2446" s="36"/>
      <c r="S2446" s="36"/>
      <c r="T2446" s="36"/>
      <c r="U2446" s="36"/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</row>
    <row r="2447" ht="22.5" customHeight="1">
      <c r="A2447" s="614"/>
      <c r="B2447" s="185"/>
      <c r="C2447" s="609"/>
      <c r="D2447" s="609"/>
      <c r="E2447" s="595"/>
      <c r="F2447" s="596"/>
      <c r="G2447" s="664"/>
      <c r="H2447" s="665"/>
      <c r="I2447" s="599"/>
      <c r="J2447" s="599"/>
      <c r="K2447" s="611"/>
      <c r="L2447" s="611"/>
      <c r="M2447" s="621"/>
      <c r="N2447" s="621"/>
      <c r="O2447" s="621"/>
      <c r="P2447" s="706"/>
      <c r="Q2447" s="622"/>
      <c r="R2447" s="36"/>
      <c r="S2447" s="36"/>
      <c r="T2447" s="36"/>
      <c r="U2447" s="36"/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</row>
    <row r="2448" ht="22.5" customHeight="1">
      <c r="A2448" s="614"/>
      <c r="B2448" s="185"/>
      <c r="C2448" s="609"/>
      <c r="D2448" s="609"/>
      <c r="E2448" s="595"/>
      <c r="F2448" s="596"/>
      <c r="G2448" s="664"/>
      <c r="H2448" s="665"/>
      <c r="I2448" s="599"/>
      <c r="J2448" s="599"/>
      <c r="K2448" s="611"/>
      <c r="L2448" s="611"/>
      <c r="M2448" s="621"/>
      <c r="N2448" s="621"/>
      <c r="O2448" s="621"/>
      <c r="P2448" s="706"/>
      <c r="Q2448" s="622"/>
      <c r="R2448" s="36"/>
      <c r="S2448" s="36"/>
      <c r="T2448" s="36"/>
      <c r="U2448" s="36"/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</row>
    <row r="2449" ht="22.5" customHeight="1">
      <c r="A2449" s="614"/>
      <c r="B2449" s="185"/>
      <c r="C2449" s="609"/>
      <c r="D2449" s="609"/>
      <c r="E2449" s="595"/>
      <c r="F2449" s="596"/>
      <c r="G2449" s="664"/>
      <c r="H2449" s="665"/>
      <c r="I2449" s="599"/>
      <c r="J2449" s="599"/>
      <c r="K2449" s="611"/>
      <c r="L2449" s="611"/>
      <c r="M2449" s="621"/>
      <c r="N2449" s="621"/>
      <c r="O2449" s="621"/>
      <c r="P2449" s="706"/>
      <c r="Q2449" s="622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</row>
    <row r="2450" ht="22.5" customHeight="1">
      <c r="A2450" s="614"/>
      <c r="B2450" s="185"/>
      <c r="C2450" s="609"/>
      <c r="D2450" s="609"/>
      <c r="E2450" s="595"/>
      <c r="F2450" s="596"/>
      <c r="G2450" s="664"/>
      <c r="H2450" s="665"/>
      <c r="I2450" s="599"/>
      <c r="J2450" s="599"/>
      <c r="K2450" s="611"/>
      <c r="L2450" s="611"/>
      <c r="M2450" s="621"/>
      <c r="N2450" s="621"/>
      <c r="O2450" s="621"/>
      <c r="P2450" s="706"/>
      <c r="Q2450" s="622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</row>
    <row r="2451" ht="22.5" customHeight="1">
      <c r="A2451" s="614"/>
      <c r="B2451" s="185"/>
      <c r="C2451" s="609"/>
      <c r="D2451" s="609"/>
      <c r="E2451" s="595"/>
      <c r="F2451" s="596"/>
      <c r="G2451" s="664"/>
      <c r="H2451" s="665"/>
      <c r="I2451" s="599"/>
      <c r="J2451" s="599"/>
      <c r="K2451" s="611"/>
      <c r="L2451" s="611"/>
      <c r="M2451" s="621"/>
      <c r="N2451" s="621"/>
      <c r="O2451" s="621"/>
      <c r="P2451" s="706"/>
      <c r="Q2451" s="622"/>
      <c r="R2451" s="36"/>
      <c r="S2451" s="36"/>
      <c r="T2451" s="36"/>
      <c r="U2451" s="36"/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</row>
    <row r="2452" ht="22.5" customHeight="1">
      <c r="A2452" s="614"/>
      <c r="B2452" s="185"/>
      <c r="C2452" s="609"/>
      <c r="D2452" s="609"/>
      <c r="E2452" s="595"/>
      <c r="F2452" s="596"/>
      <c r="G2452" s="664"/>
      <c r="H2452" s="665"/>
      <c r="I2452" s="599"/>
      <c r="J2452" s="599"/>
      <c r="K2452" s="611"/>
      <c r="L2452" s="611"/>
      <c r="M2452" s="621"/>
      <c r="N2452" s="621"/>
      <c r="O2452" s="621"/>
      <c r="P2452" s="706"/>
      <c r="Q2452" s="622"/>
      <c r="R2452" s="36"/>
      <c r="S2452" s="36"/>
      <c r="T2452" s="36"/>
      <c r="U2452" s="36"/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</row>
    <row r="2453" ht="22.5" customHeight="1">
      <c r="A2453" s="614"/>
      <c r="B2453" s="185"/>
      <c r="C2453" s="609"/>
      <c r="D2453" s="609"/>
      <c r="E2453" s="595"/>
      <c r="F2453" s="596"/>
      <c r="G2453" s="664"/>
      <c r="H2453" s="665"/>
      <c r="I2453" s="599"/>
      <c r="J2453" s="599"/>
      <c r="K2453" s="611"/>
      <c r="L2453" s="611"/>
      <c r="M2453" s="621"/>
      <c r="N2453" s="621"/>
      <c r="O2453" s="621"/>
      <c r="P2453" s="706"/>
      <c r="Q2453" s="622"/>
      <c r="R2453" s="36"/>
      <c r="S2453" s="36"/>
      <c r="T2453" s="36"/>
      <c r="U2453" s="36"/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</row>
    <row r="2454" ht="22.5" customHeight="1">
      <c r="A2454" s="614"/>
      <c r="B2454" s="185"/>
      <c r="C2454" s="609"/>
      <c r="D2454" s="609"/>
      <c r="E2454" s="595"/>
      <c r="F2454" s="596"/>
      <c r="G2454" s="664"/>
      <c r="H2454" s="665"/>
      <c r="I2454" s="599"/>
      <c r="J2454" s="599"/>
      <c r="K2454" s="611"/>
      <c r="L2454" s="611"/>
      <c r="M2454" s="621"/>
      <c r="N2454" s="621"/>
      <c r="O2454" s="621"/>
      <c r="P2454" s="706"/>
      <c r="Q2454" s="622"/>
      <c r="R2454" s="36"/>
      <c r="S2454" s="36"/>
      <c r="T2454" s="36"/>
      <c r="U2454" s="36"/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</row>
    <row r="2455" ht="22.5" customHeight="1">
      <c r="A2455" s="614"/>
      <c r="B2455" s="185"/>
      <c r="C2455" s="609"/>
      <c r="D2455" s="609"/>
      <c r="E2455" s="595"/>
      <c r="F2455" s="596"/>
      <c r="G2455" s="664"/>
      <c r="H2455" s="665"/>
      <c r="I2455" s="599"/>
      <c r="J2455" s="599"/>
      <c r="K2455" s="611"/>
      <c r="L2455" s="611"/>
      <c r="M2455" s="621"/>
      <c r="N2455" s="621"/>
      <c r="O2455" s="621"/>
      <c r="P2455" s="706"/>
      <c r="Q2455" s="622"/>
      <c r="R2455" s="36"/>
      <c r="S2455" s="36"/>
      <c r="T2455" s="36"/>
      <c r="U2455" s="36"/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</row>
    <row r="2456" ht="22.5" customHeight="1">
      <c r="A2456" s="614"/>
      <c r="B2456" s="185"/>
      <c r="C2456" s="609"/>
      <c r="D2456" s="609"/>
      <c r="E2456" s="595"/>
      <c r="F2456" s="596"/>
      <c r="G2456" s="664"/>
      <c r="H2456" s="665"/>
      <c r="I2456" s="599"/>
      <c r="J2456" s="599"/>
      <c r="K2456" s="611"/>
      <c r="L2456" s="611"/>
      <c r="M2456" s="621"/>
      <c r="N2456" s="621"/>
      <c r="O2456" s="621"/>
      <c r="P2456" s="706"/>
      <c r="Q2456" s="622"/>
      <c r="R2456" s="36"/>
      <c r="S2456" s="36"/>
      <c r="T2456" s="36"/>
      <c r="U2456" s="36"/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</row>
    <row r="2457" ht="22.5" customHeight="1">
      <c r="A2457" s="614"/>
      <c r="B2457" s="185"/>
      <c r="C2457" s="609"/>
      <c r="D2457" s="609"/>
      <c r="E2457" s="595"/>
      <c r="F2457" s="596"/>
      <c r="G2457" s="664"/>
      <c r="H2457" s="665"/>
      <c r="I2457" s="599"/>
      <c r="J2457" s="599"/>
      <c r="K2457" s="611"/>
      <c r="L2457" s="611"/>
      <c r="M2457" s="621"/>
      <c r="N2457" s="621"/>
      <c r="O2457" s="621"/>
      <c r="P2457" s="706"/>
      <c r="Q2457" s="622"/>
      <c r="R2457" s="36"/>
      <c r="S2457" s="36"/>
      <c r="T2457" s="36"/>
      <c r="U2457" s="36"/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</row>
    <row r="2458" ht="22.5" customHeight="1">
      <c r="A2458" s="614"/>
      <c r="B2458" s="185"/>
      <c r="C2458" s="609"/>
      <c r="D2458" s="609"/>
      <c r="E2458" s="595"/>
      <c r="F2458" s="596"/>
      <c r="G2458" s="664"/>
      <c r="H2458" s="665"/>
      <c r="I2458" s="599"/>
      <c r="J2458" s="599"/>
      <c r="K2458" s="611"/>
      <c r="L2458" s="611"/>
      <c r="M2458" s="621"/>
      <c r="N2458" s="621"/>
      <c r="O2458" s="621"/>
      <c r="P2458" s="706"/>
      <c r="Q2458" s="622"/>
      <c r="R2458" s="36"/>
      <c r="S2458" s="36"/>
      <c r="T2458" s="36"/>
      <c r="U2458" s="36"/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</row>
    <row r="2459" ht="22.5" customHeight="1">
      <c r="A2459" s="614"/>
      <c r="B2459" s="185"/>
      <c r="C2459" s="609"/>
      <c r="D2459" s="609"/>
      <c r="E2459" s="595"/>
      <c r="F2459" s="596"/>
      <c r="G2459" s="664"/>
      <c r="H2459" s="665"/>
      <c r="I2459" s="599"/>
      <c r="J2459" s="599"/>
      <c r="K2459" s="611"/>
      <c r="L2459" s="611"/>
      <c r="M2459" s="621"/>
      <c r="N2459" s="621"/>
      <c r="O2459" s="621"/>
      <c r="P2459" s="706"/>
      <c r="Q2459" s="622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</row>
    <row r="2460" ht="22.5" customHeight="1">
      <c r="A2460" s="614"/>
      <c r="B2460" s="185"/>
      <c r="C2460" s="609"/>
      <c r="D2460" s="609"/>
      <c r="E2460" s="595"/>
      <c r="F2460" s="596"/>
      <c r="G2460" s="664"/>
      <c r="H2460" s="665"/>
      <c r="I2460" s="599"/>
      <c r="J2460" s="599"/>
      <c r="K2460" s="611"/>
      <c r="L2460" s="611"/>
      <c r="M2460" s="621"/>
      <c r="N2460" s="621"/>
      <c r="O2460" s="621"/>
      <c r="P2460" s="706"/>
      <c r="Q2460" s="622"/>
      <c r="R2460" s="36"/>
      <c r="S2460" s="36"/>
      <c r="T2460" s="36"/>
      <c r="U2460" s="36"/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</row>
    <row r="2461" ht="22.5" customHeight="1">
      <c r="A2461" s="614"/>
      <c r="B2461" s="185"/>
      <c r="C2461" s="609"/>
      <c r="D2461" s="609"/>
      <c r="E2461" s="595"/>
      <c r="F2461" s="596"/>
      <c r="G2461" s="664"/>
      <c r="H2461" s="665"/>
      <c r="I2461" s="599"/>
      <c r="J2461" s="599"/>
      <c r="K2461" s="611"/>
      <c r="L2461" s="611"/>
      <c r="M2461" s="621"/>
      <c r="N2461" s="621"/>
      <c r="O2461" s="621"/>
      <c r="P2461" s="706"/>
      <c r="Q2461" s="622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</row>
    <row r="2462" ht="22.5" customHeight="1">
      <c r="A2462" s="614"/>
      <c r="B2462" s="185"/>
      <c r="C2462" s="609"/>
      <c r="D2462" s="609"/>
      <c r="E2462" s="595"/>
      <c r="F2462" s="596"/>
      <c r="G2462" s="664"/>
      <c r="H2462" s="665"/>
      <c r="I2462" s="599"/>
      <c r="J2462" s="599"/>
      <c r="K2462" s="611"/>
      <c r="L2462" s="611"/>
      <c r="M2462" s="621"/>
      <c r="N2462" s="621"/>
      <c r="O2462" s="621"/>
      <c r="P2462" s="706"/>
      <c r="Q2462" s="622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</row>
    <row r="2463" ht="22.5" customHeight="1">
      <c r="A2463" s="614"/>
      <c r="B2463" s="185"/>
      <c r="C2463" s="609"/>
      <c r="D2463" s="609"/>
      <c r="E2463" s="595"/>
      <c r="F2463" s="596"/>
      <c r="G2463" s="664"/>
      <c r="H2463" s="665"/>
      <c r="I2463" s="599"/>
      <c r="J2463" s="599"/>
      <c r="K2463" s="611"/>
      <c r="L2463" s="611"/>
      <c r="M2463" s="621"/>
      <c r="N2463" s="621"/>
      <c r="O2463" s="621"/>
      <c r="P2463" s="706"/>
      <c r="Q2463" s="622"/>
      <c r="R2463" s="36"/>
      <c r="S2463" s="36"/>
      <c r="T2463" s="36"/>
      <c r="U2463" s="36"/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</row>
    <row r="2464" ht="22.5" customHeight="1">
      <c r="A2464" s="614"/>
      <c r="B2464" s="185"/>
      <c r="C2464" s="609"/>
      <c r="D2464" s="609"/>
      <c r="E2464" s="595"/>
      <c r="F2464" s="596"/>
      <c r="G2464" s="664"/>
      <c r="H2464" s="665"/>
      <c r="I2464" s="599"/>
      <c r="J2464" s="599"/>
      <c r="K2464" s="611"/>
      <c r="L2464" s="611"/>
      <c r="M2464" s="621"/>
      <c r="N2464" s="621"/>
      <c r="O2464" s="621"/>
      <c r="P2464" s="706"/>
      <c r="Q2464" s="622"/>
      <c r="R2464" s="36"/>
      <c r="S2464" s="36"/>
      <c r="T2464" s="36"/>
      <c r="U2464" s="36"/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</row>
    <row r="2465" ht="22.5" customHeight="1">
      <c r="A2465" s="614"/>
      <c r="B2465" s="185"/>
      <c r="C2465" s="609"/>
      <c r="D2465" s="609"/>
      <c r="E2465" s="595"/>
      <c r="F2465" s="596"/>
      <c r="G2465" s="664"/>
      <c r="H2465" s="665"/>
      <c r="I2465" s="599"/>
      <c r="J2465" s="599"/>
      <c r="K2465" s="611"/>
      <c r="L2465" s="611"/>
      <c r="M2465" s="621"/>
      <c r="N2465" s="621"/>
      <c r="O2465" s="621"/>
      <c r="P2465" s="706"/>
      <c r="Q2465" s="622"/>
      <c r="R2465" s="36"/>
      <c r="S2465" s="36"/>
      <c r="T2465" s="36"/>
      <c r="U2465" s="36"/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</row>
    <row r="2466" ht="22.5" customHeight="1">
      <c r="A2466" s="614"/>
      <c r="B2466" s="185"/>
      <c r="C2466" s="609"/>
      <c r="D2466" s="609"/>
      <c r="E2466" s="595"/>
      <c r="F2466" s="596"/>
      <c r="G2466" s="664"/>
      <c r="H2466" s="665"/>
      <c r="I2466" s="599"/>
      <c r="J2466" s="599"/>
      <c r="K2466" s="611"/>
      <c r="L2466" s="611"/>
      <c r="M2466" s="621"/>
      <c r="N2466" s="621"/>
      <c r="O2466" s="621"/>
      <c r="P2466" s="706"/>
      <c r="Q2466" s="622"/>
      <c r="R2466" s="36"/>
      <c r="S2466" s="36"/>
      <c r="T2466" s="36"/>
      <c r="U2466" s="36"/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</row>
    <row r="2467" ht="22.5" customHeight="1">
      <c r="A2467" s="614"/>
      <c r="B2467" s="185"/>
      <c r="C2467" s="609"/>
      <c r="D2467" s="609"/>
      <c r="E2467" s="595"/>
      <c r="F2467" s="596"/>
      <c r="G2467" s="664"/>
      <c r="H2467" s="665"/>
      <c r="I2467" s="599"/>
      <c r="J2467" s="599"/>
      <c r="K2467" s="611"/>
      <c r="L2467" s="611"/>
      <c r="M2467" s="621"/>
      <c r="N2467" s="621"/>
      <c r="O2467" s="621"/>
      <c r="P2467" s="706"/>
      <c r="Q2467" s="622"/>
      <c r="R2467" s="36"/>
      <c r="S2467" s="36"/>
      <c r="T2467" s="36"/>
      <c r="U2467" s="36"/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</row>
    <row r="2468" ht="22.5" customHeight="1">
      <c r="A2468" s="614"/>
      <c r="B2468" s="185"/>
      <c r="C2468" s="609"/>
      <c r="D2468" s="609"/>
      <c r="E2468" s="595"/>
      <c r="F2468" s="596"/>
      <c r="G2468" s="664"/>
      <c r="H2468" s="665"/>
      <c r="I2468" s="599"/>
      <c r="J2468" s="599"/>
      <c r="K2468" s="611"/>
      <c r="L2468" s="611"/>
      <c r="M2468" s="621"/>
      <c r="N2468" s="621"/>
      <c r="O2468" s="621"/>
      <c r="P2468" s="706"/>
      <c r="Q2468" s="622"/>
      <c r="R2468" s="36"/>
      <c r="S2468" s="36"/>
      <c r="T2468" s="36"/>
      <c r="U2468" s="36"/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</row>
    <row r="2469" ht="22.5" customHeight="1">
      <c r="A2469" s="614"/>
      <c r="B2469" s="185"/>
      <c r="C2469" s="609"/>
      <c r="D2469" s="609"/>
      <c r="E2469" s="595"/>
      <c r="F2469" s="596"/>
      <c r="G2469" s="664"/>
      <c r="H2469" s="665"/>
      <c r="I2469" s="599"/>
      <c r="J2469" s="599"/>
      <c r="K2469" s="611"/>
      <c r="L2469" s="611"/>
      <c r="M2469" s="621"/>
      <c r="N2469" s="621"/>
      <c r="O2469" s="621"/>
      <c r="P2469" s="706"/>
      <c r="Q2469" s="622"/>
      <c r="R2469" s="36"/>
      <c r="S2469" s="36"/>
      <c r="T2469" s="36"/>
      <c r="U2469" s="36"/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</row>
    <row r="2470" ht="22.5" customHeight="1">
      <c r="A2470" s="614"/>
      <c r="B2470" s="185"/>
      <c r="C2470" s="609"/>
      <c r="D2470" s="609"/>
      <c r="E2470" s="595"/>
      <c r="F2470" s="596"/>
      <c r="G2470" s="664"/>
      <c r="H2470" s="665"/>
      <c r="I2470" s="599"/>
      <c r="J2470" s="599"/>
      <c r="K2470" s="611"/>
      <c r="L2470" s="611"/>
      <c r="M2470" s="621"/>
      <c r="N2470" s="621"/>
      <c r="O2470" s="621"/>
      <c r="P2470" s="706"/>
      <c r="Q2470" s="622"/>
      <c r="R2470" s="36"/>
      <c r="S2470" s="36"/>
      <c r="T2470" s="36"/>
      <c r="U2470" s="36"/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</row>
    <row r="2471" ht="22.5" customHeight="1">
      <c r="A2471" s="614"/>
      <c r="B2471" s="185"/>
      <c r="C2471" s="609"/>
      <c r="D2471" s="609"/>
      <c r="E2471" s="595"/>
      <c r="F2471" s="596"/>
      <c r="G2471" s="664"/>
      <c r="H2471" s="665"/>
      <c r="I2471" s="599"/>
      <c r="J2471" s="599"/>
      <c r="K2471" s="611"/>
      <c r="L2471" s="611"/>
      <c r="M2471" s="621"/>
      <c r="N2471" s="621"/>
      <c r="O2471" s="621"/>
      <c r="P2471" s="706"/>
      <c r="Q2471" s="622"/>
      <c r="R2471" s="36"/>
      <c r="S2471" s="36"/>
      <c r="T2471" s="36"/>
      <c r="U2471" s="36"/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</row>
    <row r="2472" ht="22.5" customHeight="1">
      <c r="A2472" s="614"/>
      <c r="B2472" s="185"/>
      <c r="C2472" s="609"/>
      <c r="D2472" s="609"/>
      <c r="E2472" s="595"/>
      <c r="F2472" s="596"/>
      <c r="G2472" s="664"/>
      <c r="H2472" s="665"/>
      <c r="I2472" s="599"/>
      <c r="J2472" s="599"/>
      <c r="K2472" s="611"/>
      <c r="L2472" s="611"/>
      <c r="M2472" s="621"/>
      <c r="N2472" s="621"/>
      <c r="O2472" s="621"/>
      <c r="P2472" s="706"/>
      <c r="Q2472" s="622"/>
      <c r="R2472" s="36"/>
      <c r="S2472" s="36"/>
      <c r="T2472" s="36"/>
      <c r="U2472" s="36"/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</row>
    <row r="2473" ht="22.5" customHeight="1">
      <c r="A2473" s="614"/>
      <c r="B2473" s="185"/>
      <c r="C2473" s="609"/>
      <c r="D2473" s="609"/>
      <c r="E2473" s="595"/>
      <c r="F2473" s="596"/>
      <c r="G2473" s="664"/>
      <c r="H2473" s="665"/>
      <c r="I2473" s="599"/>
      <c r="J2473" s="599"/>
      <c r="K2473" s="611"/>
      <c r="L2473" s="611"/>
      <c r="M2473" s="621"/>
      <c r="N2473" s="621"/>
      <c r="O2473" s="621"/>
      <c r="P2473" s="706"/>
      <c r="Q2473" s="622"/>
      <c r="R2473" s="36"/>
      <c r="S2473" s="36"/>
      <c r="T2473" s="36"/>
      <c r="U2473" s="36"/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</row>
    <row r="2474" ht="22.5" customHeight="1">
      <c r="A2474" s="614"/>
      <c r="B2474" s="185"/>
      <c r="C2474" s="609"/>
      <c r="D2474" s="609"/>
      <c r="E2474" s="595"/>
      <c r="F2474" s="596"/>
      <c r="G2474" s="664"/>
      <c r="H2474" s="665"/>
      <c r="I2474" s="599"/>
      <c r="J2474" s="599"/>
      <c r="K2474" s="611"/>
      <c r="L2474" s="611"/>
      <c r="M2474" s="621"/>
      <c r="N2474" s="621"/>
      <c r="O2474" s="621"/>
      <c r="P2474" s="706"/>
      <c r="Q2474" s="622"/>
      <c r="R2474" s="36"/>
      <c r="S2474" s="36"/>
      <c r="T2474" s="36"/>
      <c r="U2474" s="36"/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</row>
    <row r="2475" ht="22.5" customHeight="1">
      <c r="A2475" s="614"/>
      <c r="B2475" s="185"/>
      <c r="C2475" s="609"/>
      <c r="D2475" s="609"/>
      <c r="E2475" s="595"/>
      <c r="F2475" s="596"/>
      <c r="G2475" s="664"/>
      <c r="H2475" s="665"/>
      <c r="I2475" s="599"/>
      <c r="J2475" s="599"/>
      <c r="K2475" s="611"/>
      <c r="L2475" s="611"/>
      <c r="M2475" s="621"/>
      <c r="N2475" s="621"/>
      <c r="O2475" s="621"/>
      <c r="P2475" s="706"/>
      <c r="Q2475" s="622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</row>
    <row r="2476" ht="22.5" customHeight="1">
      <c r="A2476" s="614"/>
      <c r="B2476" s="185"/>
      <c r="C2476" s="609"/>
      <c r="D2476" s="609"/>
      <c r="E2476" s="595"/>
      <c r="F2476" s="596"/>
      <c r="G2476" s="664"/>
      <c r="H2476" s="665"/>
      <c r="I2476" s="599"/>
      <c r="J2476" s="599"/>
      <c r="K2476" s="611"/>
      <c r="L2476" s="611"/>
      <c r="M2476" s="621"/>
      <c r="N2476" s="621"/>
      <c r="O2476" s="621"/>
      <c r="P2476" s="706"/>
      <c r="Q2476" s="622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</row>
    <row r="2477" ht="22.5" customHeight="1">
      <c r="A2477" s="614"/>
      <c r="B2477" s="185"/>
      <c r="C2477" s="609"/>
      <c r="D2477" s="609"/>
      <c r="E2477" s="595"/>
      <c r="F2477" s="596"/>
      <c r="G2477" s="664"/>
      <c r="H2477" s="665"/>
      <c r="I2477" s="599"/>
      <c r="J2477" s="599"/>
      <c r="K2477" s="611"/>
      <c r="L2477" s="611"/>
      <c r="M2477" s="621"/>
      <c r="N2477" s="621"/>
      <c r="O2477" s="621"/>
      <c r="P2477" s="706"/>
      <c r="Q2477" s="622"/>
      <c r="R2477" s="36"/>
      <c r="S2477" s="36"/>
      <c r="T2477" s="36"/>
      <c r="U2477" s="36"/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</row>
    <row r="2478" ht="22.5" customHeight="1">
      <c r="A2478" s="614"/>
      <c r="B2478" s="185"/>
      <c r="C2478" s="609"/>
      <c r="D2478" s="609"/>
      <c r="E2478" s="595"/>
      <c r="F2478" s="596"/>
      <c r="G2478" s="664"/>
      <c r="H2478" s="665"/>
      <c r="I2478" s="599"/>
      <c r="J2478" s="599"/>
      <c r="K2478" s="611"/>
      <c r="L2478" s="611"/>
      <c r="M2478" s="621"/>
      <c r="N2478" s="621"/>
      <c r="O2478" s="621"/>
      <c r="P2478" s="706"/>
      <c r="Q2478" s="622"/>
      <c r="R2478" s="36"/>
      <c r="S2478" s="36"/>
      <c r="T2478" s="36"/>
      <c r="U2478" s="36"/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</row>
    <row r="2479" ht="22.5" customHeight="1">
      <c r="A2479" s="614"/>
      <c r="B2479" s="185"/>
      <c r="C2479" s="609"/>
      <c r="D2479" s="609"/>
      <c r="E2479" s="595"/>
      <c r="F2479" s="596"/>
      <c r="G2479" s="664"/>
      <c r="H2479" s="665"/>
      <c r="I2479" s="599"/>
      <c r="J2479" s="599"/>
      <c r="K2479" s="611"/>
      <c r="L2479" s="611"/>
      <c r="M2479" s="621"/>
      <c r="N2479" s="621"/>
      <c r="O2479" s="621"/>
      <c r="P2479" s="706"/>
      <c r="Q2479" s="622"/>
      <c r="R2479" s="36"/>
      <c r="S2479" s="36"/>
      <c r="T2479" s="36"/>
      <c r="U2479" s="36"/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</row>
    <row r="2480" ht="22.5" customHeight="1">
      <c r="A2480" s="614"/>
      <c r="B2480" s="185"/>
      <c r="C2480" s="609"/>
      <c r="D2480" s="609"/>
      <c r="E2480" s="595"/>
      <c r="F2480" s="596"/>
      <c r="G2480" s="664"/>
      <c r="H2480" s="665"/>
      <c r="I2480" s="599"/>
      <c r="J2480" s="599"/>
      <c r="K2480" s="611"/>
      <c r="L2480" s="611"/>
      <c r="M2480" s="621"/>
      <c r="N2480" s="621"/>
      <c r="O2480" s="621"/>
      <c r="P2480" s="706"/>
      <c r="Q2480" s="622"/>
      <c r="R2480" s="36"/>
      <c r="S2480" s="36"/>
      <c r="T2480" s="36"/>
      <c r="U2480" s="36"/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</row>
    <row r="2481" ht="22.5" customHeight="1">
      <c r="A2481" s="614"/>
      <c r="B2481" s="185"/>
      <c r="C2481" s="609"/>
      <c r="D2481" s="609"/>
      <c r="E2481" s="595"/>
      <c r="F2481" s="596"/>
      <c r="G2481" s="664"/>
      <c r="H2481" s="665"/>
      <c r="I2481" s="599"/>
      <c r="J2481" s="599"/>
      <c r="K2481" s="611"/>
      <c r="L2481" s="611"/>
      <c r="M2481" s="621"/>
      <c r="N2481" s="621"/>
      <c r="O2481" s="621"/>
      <c r="P2481" s="706"/>
      <c r="Q2481" s="622"/>
      <c r="R2481" s="36"/>
      <c r="S2481" s="36"/>
      <c r="T2481" s="36"/>
      <c r="U2481" s="36"/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</row>
    <row r="2482" ht="22.5" customHeight="1">
      <c r="A2482" s="614"/>
      <c r="B2482" s="185"/>
      <c r="C2482" s="609"/>
      <c r="D2482" s="609"/>
      <c r="E2482" s="595"/>
      <c r="F2482" s="596"/>
      <c r="G2482" s="664"/>
      <c r="H2482" s="665"/>
      <c r="I2482" s="599"/>
      <c r="J2482" s="599"/>
      <c r="K2482" s="611"/>
      <c r="L2482" s="611"/>
      <c r="M2482" s="621"/>
      <c r="N2482" s="621"/>
      <c r="O2482" s="621"/>
      <c r="P2482" s="706"/>
      <c r="Q2482" s="622"/>
      <c r="R2482" s="36"/>
      <c r="S2482" s="36"/>
      <c r="T2482" s="36"/>
      <c r="U2482" s="36"/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</row>
    <row r="2483" ht="22.5" customHeight="1">
      <c r="A2483" s="614"/>
      <c r="B2483" s="185"/>
      <c r="C2483" s="609"/>
      <c r="D2483" s="609"/>
      <c r="E2483" s="595"/>
      <c r="F2483" s="596"/>
      <c r="G2483" s="664"/>
      <c r="H2483" s="665"/>
      <c r="I2483" s="599"/>
      <c r="J2483" s="599"/>
      <c r="K2483" s="611"/>
      <c r="L2483" s="611"/>
      <c r="M2483" s="621"/>
      <c r="N2483" s="621"/>
      <c r="O2483" s="621"/>
      <c r="P2483" s="706"/>
      <c r="Q2483" s="622"/>
      <c r="R2483" s="36"/>
      <c r="S2483" s="36"/>
      <c r="T2483" s="36"/>
      <c r="U2483" s="36"/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</row>
    <row r="2484" ht="22.5" customHeight="1">
      <c r="A2484" s="614"/>
      <c r="B2484" s="185"/>
      <c r="C2484" s="609"/>
      <c r="D2484" s="609"/>
      <c r="E2484" s="595"/>
      <c r="F2484" s="596"/>
      <c r="G2484" s="664"/>
      <c r="H2484" s="665"/>
      <c r="I2484" s="599"/>
      <c r="J2484" s="599"/>
      <c r="K2484" s="611"/>
      <c r="L2484" s="611"/>
      <c r="M2484" s="621"/>
      <c r="N2484" s="621"/>
      <c r="O2484" s="621"/>
      <c r="P2484" s="706"/>
      <c r="Q2484" s="622"/>
      <c r="R2484" s="36"/>
      <c r="S2484" s="36"/>
      <c r="T2484" s="36"/>
      <c r="U2484" s="36"/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</row>
    <row r="2485" ht="22.5" customHeight="1">
      <c r="A2485" s="614"/>
      <c r="B2485" s="185"/>
      <c r="C2485" s="609"/>
      <c r="D2485" s="609"/>
      <c r="E2485" s="595"/>
      <c r="F2485" s="596"/>
      <c r="G2485" s="664"/>
      <c r="H2485" s="665"/>
      <c r="I2485" s="599"/>
      <c r="J2485" s="599"/>
      <c r="K2485" s="611"/>
      <c r="L2485" s="611"/>
      <c r="M2485" s="621"/>
      <c r="N2485" s="621"/>
      <c r="O2485" s="621"/>
      <c r="P2485" s="706"/>
      <c r="Q2485" s="622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</row>
    <row r="2486" ht="22.5" customHeight="1">
      <c r="A2486" s="614"/>
      <c r="B2486" s="185"/>
      <c r="C2486" s="609"/>
      <c r="D2486" s="609"/>
      <c r="E2486" s="595"/>
      <c r="F2486" s="596"/>
      <c r="G2486" s="664"/>
      <c r="H2486" s="665"/>
      <c r="I2486" s="599"/>
      <c r="J2486" s="599"/>
      <c r="K2486" s="611"/>
      <c r="L2486" s="611"/>
      <c r="M2486" s="621"/>
      <c r="N2486" s="621"/>
      <c r="O2486" s="621"/>
      <c r="P2486" s="706"/>
      <c r="Q2486" s="622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</row>
    <row r="2487" ht="22.5" customHeight="1">
      <c r="A2487" s="614"/>
      <c r="B2487" s="185"/>
      <c r="C2487" s="609"/>
      <c r="D2487" s="609"/>
      <c r="E2487" s="595"/>
      <c r="F2487" s="596"/>
      <c r="G2487" s="664"/>
      <c r="H2487" s="665"/>
      <c r="I2487" s="599"/>
      <c r="J2487" s="599"/>
      <c r="K2487" s="611"/>
      <c r="L2487" s="611"/>
      <c r="M2487" s="621"/>
      <c r="N2487" s="621"/>
      <c r="O2487" s="621"/>
      <c r="P2487" s="706"/>
      <c r="Q2487" s="622"/>
      <c r="R2487" s="36"/>
      <c r="S2487" s="36"/>
      <c r="T2487" s="36"/>
      <c r="U2487" s="36"/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</row>
    <row r="2488" ht="22.5" customHeight="1">
      <c r="A2488" s="614"/>
      <c r="B2488" s="185"/>
      <c r="C2488" s="609"/>
      <c r="D2488" s="609"/>
      <c r="E2488" s="595"/>
      <c r="F2488" s="596"/>
      <c r="G2488" s="664"/>
      <c r="H2488" s="665"/>
      <c r="I2488" s="599"/>
      <c r="J2488" s="599"/>
      <c r="K2488" s="611"/>
      <c r="L2488" s="611"/>
      <c r="M2488" s="621"/>
      <c r="N2488" s="621"/>
      <c r="O2488" s="621"/>
      <c r="P2488" s="706"/>
      <c r="Q2488" s="622"/>
      <c r="R2488" s="36"/>
      <c r="S2488" s="36"/>
      <c r="T2488" s="36"/>
      <c r="U2488" s="36"/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</row>
    <row r="2489" ht="22.5" customHeight="1">
      <c r="A2489" s="614"/>
      <c r="B2489" s="185"/>
      <c r="C2489" s="609"/>
      <c r="D2489" s="609"/>
      <c r="E2489" s="595"/>
      <c r="F2489" s="596"/>
      <c r="G2489" s="664"/>
      <c r="H2489" s="665"/>
      <c r="I2489" s="599"/>
      <c r="J2489" s="599"/>
      <c r="K2489" s="611"/>
      <c r="L2489" s="611"/>
      <c r="M2489" s="621"/>
      <c r="N2489" s="621"/>
      <c r="O2489" s="621"/>
      <c r="P2489" s="706"/>
      <c r="Q2489" s="622"/>
      <c r="R2489" s="36"/>
      <c r="S2489" s="36"/>
      <c r="T2489" s="36"/>
      <c r="U2489" s="36"/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</row>
    <row r="2490" ht="22.5" customHeight="1">
      <c r="A2490" s="614"/>
      <c r="B2490" s="185"/>
      <c r="C2490" s="609"/>
      <c r="D2490" s="609"/>
      <c r="E2490" s="595"/>
      <c r="F2490" s="596"/>
      <c r="G2490" s="664"/>
      <c r="H2490" s="665"/>
      <c r="I2490" s="599"/>
      <c r="J2490" s="599"/>
      <c r="K2490" s="611"/>
      <c r="L2490" s="611"/>
      <c r="M2490" s="621"/>
      <c r="N2490" s="621"/>
      <c r="O2490" s="621"/>
      <c r="P2490" s="706"/>
      <c r="Q2490" s="622"/>
      <c r="R2490" s="36"/>
      <c r="S2490" s="36"/>
      <c r="T2490" s="36"/>
      <c r="U2490" s="36"/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</row>
    <row r="2491" ht="22.5" customHeight="1">
      <c r="A2491" s="614"/>
      <c r="B2491" s="185"/>
      <c r="C2491" s="609"/>
      <c r="D2491" s="609"/>
      <c r="E2491" s="595"/>
      <c r="F2491" s="596"/>
      <c r="G2491" s="664"/>
      <c r="H2491" s="665"/>
      <c r="I2491" s="599"/>
      <c r="J2491" s="599"/>
      <c r="K2491" s="611"/>
      <c r="L2491" s="611"/>
      <c r="M2491" s="621"/>
      <c r="N2491" s="621"/>
      <c r="O2491" s="621"/>
      <c r="P2491" s="706"/>
      <c r="Q2491" s="622"/>
      <c r="R2491" s="36"/>
      <c r="S2491" s="36"/>
      <c r="T2491" s="36"/>
      <c r="U2491" s="36"/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</row>
    <row r="2492" ht="22.5" customHeight="1">
      <c r="A2492" s="614"/>
      <c r="B2492" s="185"/>
      <c r="C2492" s="609"/>
      <c r="D2492" s="609"/>
      <c r="E2492" s="595"/>
      <c r="F2492" s="596"/>
      <c r="G2492" s="664"/>
      <c r="H2492" s="665"/>
      <c r="I2492" s="599"/>
      <c r="J2492" s="599"/>
      <c r="K2492" s="611"/>
      <c r="L2492" s="611"/>
      <c r="M2492" s="621"/>
      <c r="N2492" s="621"/>
      <c r="O2492" s="621"/>
      <c r="P2492" s="706"/>
      <c r="Q2492" s="622"/>
      <c r="R2492" s="36"/>
      <c r="S2492" s="36"/>
      <c r="T2492" s="36"/>
      <c r="U2492" s="36"/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</row>
    <row r="2493" ht="22.5" customHeight="1">
      <c r="A2493" s="614"/>
      <c r="B2493" s="185"/>
      <c r="C2493" s="609"/>
      <c r="D2493" s="609"/>
      <c r="E2493" s="595"/>
      <c r="F2493" s="596"/>
      <c r="G2493" s="664"/>
      <c r="H2493" s="665"/>
      <c r="I2493" s="599"/>
      <c r="J2493" s="599"/>
      <c r="K2493" s="611"/>
      <c r="L2493" s="611"/>
      <c r="M2493" s="621"/>
      <c r="N2493" s="621"/>
      <c r="O2493" s="621"/>
      <c r="P2493" s="706"/>
      <c r="Q2493" s="622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</row>
    <row r="2494" ht="22.5" customHeight="1">
      <c r="A2494" s="614"/>
      <c r="B2494" s="185"/>
      <c r="C2494" s="609"/>
      <c r="D2494" s="609"/>
      <c r="E2494" s="595"/>
      <c r="F2494" s="596"/>
      <c r="G2494" s="664"/>
      <c r="H2494" s="665"/>
      <c r="I2494" s="599"/>
      <c r="J2494" s="599"/>
      <c r="K2494" s="611"/>
      <c r="L2494" s="611"/>
      <c r="M2494" s="621"/>
      <c r="N2494" s="621"/>
      <c r="O2494" s="621"/>
      <c r="P2494" s="706"/>
      <c r="Q2494" s="622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</row>
    <row r="2495" ht="22.5" customHeight="1">
      <c r="A2495" s="614"/>
      <c r="B2495" s="185"/>
      <c r="C2495" s="609"/>
      <c r="D2495" s="609"/>
      <c r="E2495" s="595"/>
      <c r="F2495" s="596"/>
      <c r="G2495" s="664"/>
      <c r="H2495" s="665"/>
      <c r="I2495" s="599"/>
      <c r="J2495" s="599"/>
      <c r="K2495" s="611"/>
      <c r="L2495" s="611"/>
      <c r="M2495" s="621"/>
      <c r="N2495" s="621"/>
      <c r="O2495" s="621"/>
      <c r="P2495" s="706"/>
      <c r="Q2495" s="622"/>
      <c r="R2495" s="36"/>
      <c r="S2495" s="36"/>
      <c r="T2495" s="36"/>
      <c r="U2495" s="36"/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</row>
    <row r="2496" ht="22.5" customHeight="1">
      <c r="A2496" s="614"/>
      <c r="B2496" s="185"/>
      <c r="C2496" s="609"/>
      <c r="D2496" s="609"/>
      <c r="E2496" s="595"/>
      <c r="F2496" s="596"/>
      <c r="G2496" s="664"/>
      <c r="H2496" s="665"/>
      <c r="I2496" s="599"/>
      <c r="J2496" s="599"/>
      <c r="K2496" s="611"/>
      <c r="L2496" s="611"/>
      <c r="M2496" s="621"/>
      <c r="N2496" s="621"/>
      <c r="O2496" s="621"/>
      <c r="P2496" s="706"/>
      <c r="Q2496" s="622"/>
      <c r="R2496" s="36"/>
      <c r="S2496" s="36"/>
      <c r="T2496" s="36"/>
      <c r="U2496" s="36"/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</row>
    <row r="2497" ht="22.5" customHeight="1">
      <c r="A2497" s="614"/>
      <c r="B2497" s="185"/>
      <c r="C2497" s="609"/>
      <c r="D2497" s="609"/>
      <c r="E2497" s="595"/>
      <c r="F2497" s="596"/>
      <c r="G2497" s="664"/>
      <c r="H2497" s="665"/>
      <c r="I2497" s="599"/>
      <c r="J2497" s="599"/>
      <c r="K2497" s="611"/>
      <c r="L2497" s="611"/>
      <c r="M2497" s="621"/>
      <c r="N2497" s="621"/>
      <c r="O2497" s="621"/>
      <c r="P2497" s="706"/>
      <c r="Q2497" s="622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</row>
    <row r="2498" ht="22.5" customHeight="1">
      <c r="A2498" s="614"/>
      <c r="B2498" s="185"/>
      <c r="C2498" s="609"/>
      <c r="D2498" s="609"/>
      <c r="E2498" s="595"/>
      <c r="F2498" s="596"/>
      <c r="G2498" s="664"/>
      <c r="H2498" s="665"/>
      <c r="I2498" s="599"/>
      <c r="J2498" s="599"/>
      <c r="K2498" s="611"/>
      <c r="L2498" s="611"/>
      <c r="M2498" s="621"/>
      <c r="N2498" s="621"/>
      <c r="O2498" s="621"/>
      <c r="P2498" s="706"/>
      <c r="Q2498" s="622"/>
      <c r="R2498" s="36"/>
      <c r="S2498" s="36"/>
      <c r="T2498" s="36"/>
      <c r="U2498" s="36"/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</row>
    <row r="2499" ht="22.5" customHeight="1">
      <c r="A2499" s="614"/>
      <c r="B2499" s="185"/>
      <c r="C2499" s="609"/>
      <c r="D2499" s="609"/>
      <c r="E2499" s="595"/>
      <c r="F2499" s="596"/>
      <c r="G2499" s="664"/>
      <c r="H2499" s="665"/>
      <c r="I2499" s="599"/>
      <c r="J2499" s="599"/>
      <c r="K2499" s="611"/>
      <c r="L2499" s="611"/>
      <c r="M2499" s="621"/>
      <c r="N2499" s="621"/>
      <c r="O2499" s="621"/>
      <c r="P2499" s="706"/>
      <c r="Q2499" s="622"/>
      <c r="R2499" s="36"/>
      <c r="S2499" s="36"/>
      <c r="T2499" s="36"/>
      <c r="U2499" s="36"/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</row>
    <row r="2500" ht="22.5" customHeight="1">
      <c r="A2500" s="614"/>
      <c r="B2500" s="185"/>
      <c r="C2500" s="609"/>
      <c r="D2500" s="609"/>
      <c r="E2500" s="595"/>
      <c r="F2500" s="596"/>
      <c r="G2500" s="664"/>
      <c r="H2500" s="665"/>
      <c r="I2500" s="599"/>
      <c r="J2500" s="599"/>
      <c r="K2500" s="611"/>
      <c r="L2500" s="611"/>
      <c r="M2500" s="621"/>
      <c r="N2500" s="621"/>
      <c r="O2500" s="621"/>
      <c r="P2500" s="706"/>
      <c r="Q2500" s="622"/>
      <c r="R2500" s="36"/>
      <c r="S2500" s="36"/>
      <c r="T2500" s="36"/>
      <c r="U2500" s="36"/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</row>
    <row r="2501" ht="22.5" customHeight="1">
      <c r="A2501" s="614"/>
      <c r="B2501" s="185"/>
      <c r="C2501" s="609"/>
      <c r="D2501" s="609"/>
      <c r="E2501" s="595"/>
      <c r="F2501" s="596"/>
      <c r="G2501" s="664"/>
      <c r="H2501" s="665"/>
      <c r="I2501" s="599"/>
      <c r="J2501" s="599"/>
      <c r="K2501" s="611"/>
      <c r="L2501" s="611"/>
      <c r="M2501" s="621"/>
      <c r="N2501" s="621"/>
      <c r="O2501" s="621"/>
      <c r="P2501" s="706"/>
      <c r="Q2501" s="622"/>
      <c r="R2501" s="36"/>
      <c r="S2501" s="36"/>
      <c r="T2501" s="36"/>
      <c r="U2501" s="36"/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</row>
    <row r="2502" ht="22.5" customHeight="1">
      <c r="A2502" s="614"/>
      <c r="B2502" s="185"/>
      <c r="C2502" s="609"/>
      <c r="D2502" s="609"/>
      <c r="E2502" s="595"/>
      <c r="F2502" s="596"/>
      <c r="G2502" s="664"/>
      <c r="H2502" s="665"/>
      <c r="I2502" s="599"/>
      <c r="J2502" s="599"/>
      <c r="K2502" s="611"/>
      <c r="L2502" s="611"/>
      <c r="M2502" s="621"/>
      <c r="N2502" s="621"/>
      <c r="O2502" s="621"/>
      <c r="P2502" s="706"/>
      <c r="Q2502" s="622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</row>
    <row r="2503" ht="22.5" customHeight="1">
      <c r="A2503" s="614"/>
      <c r="B2503" s="185"/>
      <c r="C2503" s="609"/>
      <c r="D2503" s="609"/>
      <c r="E2503" s="595"/>
      <c r="F2503" s="596"/>
      <c r="G2503" s="664"/>
      <c r="H2503" s="665"/>
      <c r="I2503" s="599"/>
      <c r="J2503" s="599"/>
      <c r="K2503" s="611"/>
      <c r="L2503" s="611"/>
      <c r="M2503" s="621"/>
      <c r="N2503" s="621"/>
      <c r="O2503" s="621"/>
      <c r="P2503" s="706"/>
      <c r="Q2503" s="622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</row>
    <row r="2504" ht="22.5" customHeight="1">
      <c r="A2504" s="614"/>
      <c r="B2504" s="185"/>
      <c r="C2504" s="609"/>
      <c r="D2504" s="609"/>
      <c r="E2504" s="595"/>
      <c r="F2504" s="596"/>
      <c r="G2504" s="664"/>
      <c r="H2504" s="665"/>
      <c r="I2504" s="599"/>
      <c r="J2504" s="599"/>
      <c r="K2504" s="611"/>
      <c r="L2504" s="611"/>
      <c r="M2504" s="621"/>
      <c r="N2504" s="621"/>
      <c r="O2504" s="621"/>
      <c r="P2504" s="706"/>
      <c r="Q2504" s="622"/>
      <c r="R2504" s="36"/>
      <c r="S2504" s="36"/>
      <c r="T2504" s="36"/>
      <c r="U2504" s="36"/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</row>
    <row r="2505" ht="22.5" customHeight="1">
      <c r="A2505" s="614"/>
      <c r="B2505" s="185"/>
      <c r="C2505" s="609"/>
      <c r="D2505" s="609"/>
      <c r="E2505" s="595"/>
      <c r="F2505" s="596"/>
      <c r="G2505" s="664"/>
      <c r="H2505" s="665"/>
      <c r="I2505" s="599"/>
      <c r="J2505" s="599"/>
      <c r="K2505" s="611"/>
      <c r="L2505" s="611"/>
      <c r="M2505" s="621"/>
      <c r="N2505" s="621"/>
      <c r="O2505" s="621"/>
      <c r="P2505" s="706"/>
      <c r="Q2505" s="622"/>
      <c r="R2505" s="36"/>
      <c r="S2505" s="36"/>
      <c r="T2505" s="36"/>
      <c r="U2505" s="36"/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</row>
    <row r="2506" ht="22.5" customHeight="1">
      <c r="A2506" s="614"/>
      <c r="B2506" s="185"/>
      <c r="C2506" s="609"/>
      <c r="D2506" s="609"/>
      <c r="E2506" s="595"/>
      <c r="F2506" s="596"/>
      <c r="G2506" s="664"/>
      <c r="H2506" s="665"/>
      <c r="I2506" s="599"/>
      <c r="J2506" s="599"/>
      <c r="K2506" s="611"/>
      <c r="L2506" s="611"/>
      <c r="M2506" s="621"/>
      <c r="N2506" s="621"/>
      <c r="O2506" s="621"/>
      <c r="P2506" s="706"/>
      <c r="Q2506" s="622"/>
      <c r="R2506" s="36"/>
      <c r="S2506" s="36"/>
      <c r="T2506" s="36"/>
      <c r="U2506" s="36"/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</row>
    <row r="2507" ht="22.5" customHeight="1">
      <c r="A2507" s="614"/>
      <c r="B2507" s="185"/>
      <c r="C2507" s="609"/>
      <c r="D2507" s="609"/>
      <c r="E2507" s="595"/>
      <c r="F2507" s="596"/>
      <c r="G2507" s="664"/>
      <c r="H2507" s="665"/>
      <c r="I2507" s="599"/>
      <c r="J2507" s="599"/>
      <c r="K2507" s="611"/>
      <c r="L2507" s="611"/>
      <c r="M2507" s="621"/>
      <c r="N2507" s="621"/>
      <c r="O2507" s="621"/>
      <c r="P2507" s="706"/>
      <c r="Q2507" s="622"/>
      <c r="R2507" s="36"/>
      <c r="S2507" s="36"/>
      <c r="T2507" s="36"/>
      <c r="U2507" s="36"/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</row>
    <row r="2508" ht="22.5" customHeight="1">
      <c r="A2508" s="614"/>
      <c r="B2508" s="185"/>
      <c r="C2508" s="609"/>
      <c r="D2508" s="609"/>
      <c r="E2508" s="595"/>
      <c r="F2508" s="596"/>
      <c r="G2508" s="664"/>
      <c r="H2508" s="665"/>
      <c r="I2508" s="599"/>
      <c r="J2508" s="599"/>
      <c r="K2508" s="611"/>
      <c r="L2508" s="611"/>
      <c r="M2508" s="621"/>
      <c r="N2508" s="621"/>
      <c r="O2508" s="621"/>
      <c r="P2508" s="706"/>
      <c r="Q2508" s="622"/>
      <c r="R2508" s="36"/>
      <c r="S2508" s="36"/>
      <c r="T2508" s="36"/>
      <c r="U2508" s="36"/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</row>
    <row r="2509" ht="22.5" customHeight="1">
      <c r="A2509" s="614"/>
      <c r="B2509" s="185"/>
      <c r="C2509" s="609"/>
      <c r="D2509" s="609"/>
      <c r="E2509" s="595"/>
      <c r="F2509" s="596"/>
      <c r="G2509" s="664"/>
      <c r="H2509" s="665"/>
      <c r="I2509" s="599"/>
      <c r="J2509" s="599"/>
      <c r="K2509" s="611"/>
      <c r="L2509" s="611"/>
      <c r="M2509" s="621"/>
      <c r="N2509" s="621"/>
      <c r="O2509" s="621"/>
      <c r="P2509" s="706"/>
      <c r="Q2509" s="622"/>
      <c r="R2509" s="36"/>
      <c r="S2509" s="36"/>
      <c r="T2509" s="36"/>
      <c r="U2509" s="36"/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</row>
    <row r="2510" ht="22.5" customHeight="1">
      <c r="A2510" s="614"/>
      <c r="B2510" s="185"/>
      <c r="C2510" s="609"/>
      <c r="D2510" s="609"/>
      <c r="E2510" s="595"/>
      <c r="F2510" s="596"/>
      <c r="G2510" s="664"/>
      <c r="H2510" s="665"/>
      <c r="I2510" s="599"/>
      <c r="J2510" s="599"/>
      <c r="K2510" s="611"/>
      <c r="L2510" s="611"/>
      <c r="M2510" s="621"/>
      <c r="N2510" s="621"/>
      <c r="O2510" s="621"/>
      <c r="P2510" s="706"/>
      <c r="Q2510" s="622"/>
      <c r="R2510" s="36"/>
      <c r="S2510" s="36"/>
      <c r="T2510" s="36"/>
      <c r="U2510" s="36"/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</row>
    <row r="2511" ht="22.5" customHeight="1">
      <c r="A2511" s="614"/>
      <c r="B2511" s="185"/>
      <c r="C2511" s="609"/>
      <c r="D2511" s="609"/>
      <c r="E2511" s="595"/>
      <c r="F2511" s="596"/>
      <c r="G2511" s="664"/>
      <c r="H2511" s="665"/>
      <c r="I2511" s="599"/>
      <c r="J2511" s="599"/>
      <c r="K2511" s="611"/>
      <c r="L2511" s="611"/>
      <c r="M2511" s="621"/>
      <c r="N2511" s="621"/>
      <c r="O2511" s="621"/>
      <c r="P2511" s="706"/>
      <c r="Q2511" s="622"/>
      <c r="R2511" s="36"/>
      <c r="S2511" s="36"/>
      <c r="T2511" s="36"/>
      <c r="U2511" s="36"/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</row>
    <row r="2512" ht="22.5" customHeight="1">
      <c r="A2512" s="614"/>
      <c r="B2512" s="185"/>
      <c r="C2512" s="609"/>
      <c r="D2512" s="609"/>
      <c r="E2512" s="595"/>
      <c r="F2512" s="596"/>
      <c r="G2512" s="664"/>
      <c r="H2512" s="665"/>
      <c r="I2512" s="599"/>
      <c r="J2512" s="599"/>
      <c r="K2512" s="611"/>
      <c r="L2512" s="611"/>
      <c r="M2512" s="621"/>
      <c r="N2512" s="621"/>
      <c r="O2512" s="621"/>
      <c r="P2512" s="706"/>
      <c r="Q2512" s="622"/>
      <c r="R2512" s="36"/>
      <c r="S2512" s="36"/>
      <c r="T2512" s="36"/>
      <c r="U2512" s="36"/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</row>
    <row r="2513" ht="22.5" customHeight="1">
      <c r="A2513" s="614"/>
      <c r="B2513" s="185"/>
      <c r="C2513" s="609"/>
      <c r="D2513" s="609"/>
      <c r="E2513" s="595"/>
      <c r="F2513" s="596"/>
      <c r="G2513" s="664"/>
      <c r="H2513" s="665"/>
      <c r="I2513" s="599"/>
      <c r="J2513" s="599"/>
      <c r="K2513" s="611"/>
      <c r="L2513" s="611"/>
      <c r="M2513" s="621"/>
      <c r="N2513" s="621"/>
      <c r="O2513" s="621"/>
      <c r="P2513" s="706"/>
      <c r="Q2513" s="622"/>
      <c r="R2513" s="36"/>
      <c r="S2513" s="36"/>
      <c r="T2513" s="36"/>
      <c r="U2513" s="36"/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</row>
    <row r="2514" ht="22.5" customHeight="1">
      <c r="A2514" s="614"/>
      <c r="B2514" s="185"/>
      <c r="C2514" s="609"/>
      <c r="D2514" s="609"/>
      <c r="E2514" s="595"/>
      <c r="F2514" s="596"/>
      <c r="G2514" s="664"/>
      <c r="H2514" s="665"/>
      <c r="I2514" s="599"/>
      <c r="J2514" s="599"/>
      <c r="K2514" s="611"/>
      <c r="L2514" s="611"/>
      <c r="M2514" s="621"/>
      <c r="N2514" s="621"/>
      <c r="O2514" s="621"/>
      <c r="P2514" s="706"/>
      <c r="Q2514" s="622"/>
      <c r="R2514" s="36"/>
      <c r="S2514" s="36"/>
      <c r="T2514" s="36"/>
      <c r="U2514" s="36"/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</row>
    <row r="2515" ht="22.5" customHeight="1">
      <c r="A2515" s="614"/>
      <c r="B2515" s="185"/>
      <c r="C2515" s="609"/>
      <c r="D2515" s="609"/>
      <c r="E2515" s="595"/>
      <c r="F2515" s="596"/>
      <c r="G2515" s="664"/>
      <c r="H2515" s="665"/>
      <c r="I2515" s="599"/>
      <c r="J2515" s="599"/>
      <c r="K2515" s="611"/>
      <c r="L2515" s="611"/>
      <c r="M2515" s="621"/>
      <c r="N2515" s="621"/>
      <c r="O2515" s="621"/>
      <c r="P2515" s="706"/>
      <c r="Q2515" s="622"/>
      <c r="R2515" s="36"/>
      <c r="S2515" s="36"/>
      <c r="T2515" s="36"/>
      <c r="U2515" s="36"/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</row>
    <row r="2516" ht="22.5" customHeight="1">
      <c r="A2516" s="614"/>
      <c r="B2516" s="185"/>
      <c r="C2516" s="609"/>
      <c r="D2516" s="609"/>
      <c r="E2516" s="595"/>
      <c r="F2516" s="596"/>
      <c r="G2516" s="664"/>
      <c r="H2516" s="665"/>
      <c r="I2516" s="599"/>
      <c r="J2516" s="599"/>
      <c r="K2516" s="611"/>
      <c r="L2516" s="611"/>
      <c r="M2516" s="621"/>
      <c r="N2516" s="621"/>
      <c r="O2516" s="621"/>
      <c r="P2516" s="706"/>
      <c r="Q2516" s="622"/>
      <c r="R2516" s="36"/>
      <c r="S2516" s="36"/>
      <c r="T2516" s="36"/>
      <c r="U2516" s="36"/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</row>
    <row r="2517" ht="22.5" customHeight="1">
      <c r="A2517" s="614"/>
      <c r="B2517" s="185"/>
      <c r="C2517" s="609"/>
      <c r="D2517" s="609"/>
      <c r="E2517" s="595"/>
      <c r="F2517" s="596"/>
      <c r="G2517" s="664"/>
      <c r="H2517" s="665"/>
      <c r="I2517" s="599"/>
      <c r="J2517" s="599"/>
      <c r="K2517" s="611"/>
      <c r="L2517" s="611"/>
      <c r="M2517" s="621"/>
      <c r="N2517" s="621"/>
      <c r="O2517" s="621"/>
      <c r="P2517" s="706"/>
      <c r="Q2517" s="622"/>
      <c r="R2517" s="36"/>
      <c r="S2517" s="36"/>
      <c r="T2517" s="36"/>
      <c r="U2517" s="36"/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</row>
    <row r="2518" ht="22.5" customHeight="1">
      <c r="A2518" s="614"/>
      <c r="B2518" s="185"/>
      <c r="C2518" s="609"/>
      <c r="D2518" s="609"/>
      <c r="E2518" s="595"/>
      <c r="F2518" s="596"/>
      <c r="G2518" s="664"/>
      <c r="H2518" s="665"/>
      <c r="I2518" s="599"/>
      <c r="J2518" s="599"/>
      <c r="K2518" s="611"/>
      <c r="L2518" s="611"/>
      <c r="M2518" s="621"/>
      <c r="N2518" s="621"/>
      <c r="O2518" s="621"/>
      <c r="P2518" s="706"/>
      <c r="Q2518" s="622"/>
      <c r="R2518" s="36"/>
      <c r="S2518" s="36"/>
      <c r="T2518" s="36"/>
      <c r="U2518" s="36"/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</row>
    <row r="2519" ht="22.5" customHeight="1">
      <c r="A2519" s="614"/>
      <c r="B2519" s="185"/>
      <c r="C2519" s="609"/>
      <c r="D2519" s="609"/>
      <c r="E2519" s="595"/>
      <c r="F2519" s="596"/>
      <c r="G2519" s="664"/>
      <c r="H2519" s="665"/>
      <c r="I2519" s="599"/>
      <c r="J2519" s="599"/>
      <c r="K2519" s="611"/>
      <c r="L2519" s="611"/>
      <c r="M2519" s="621"/>
      <c r="N2519" s="621"/>
      <c r="O2519" s="621"/>
      <c r="P2519" s="706"/>
      <c r="Q2519" s="622"/>
      <c r="R2519" s="36"/>
      <c r="S2519" s="36"/>
      <c r="T2519" s="36"/>
      <c r="U2519" s="36"/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</row>
    <row r="2520" ht="22.5" customHeight="1">
      <c r="A2520" s="614"/>
      <c r="B2520" s="185"/>
      <c r="C2520" s="609"/>
      <c r="D2520" s="609"/>
      <c r="E2520" s="595"/>
      <c r="F2520" s="596"/>
      <c r="G2520" s="664"/>
      <c r="H2520" s="665"/>
      <c r="I2520" s="599"/>
      <c r="J2520" s="599"/>
      <c r="K2520" s="611"/>
      <c r="L2520" s="611"/>
      <c r="M2520" s="621"/>
      <c r="N2520" s="621"/>
      <c r="O2520" s="621"/>
      <c r="P2520" s="706"/>
      <c r="Q2520" s="622"/>
      <c r="R2520" s="36"/>
      <c r="S2520" s="36"/>
      <c r="T2520" s="36"/>
      <c r="U2520" s="36"/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</row>
    <row r="2521" ht="22.5" customHeight="1">
      <c r="A2521" s="614"/>
      <c r="B2521" s="185"/>
      <c r="C2521" s="609"/>
      <c r="D2521" s="609"/>
      <c r="E2521" s="595"/>
      <c r="F2521" s="596"/>
      <c r="G2521" s="664"/>
      <c r="H2521" s="665"/>
      <c r="I2521" s="599"/>
      <c r="J2521" s="599"/>
      <c r="K2521" s="611"/>
      <c r="L2521" s="611"/>
      <c r="M2521" s="621"/>
      <c r="N2521" s="621"/>
      <c r="O2521" s="621"/>
      <c r="P2521" s="706"/>
      <c r="Q2521" s="622"/>
      <c r="R2521" s="36"/>
      <c r="S2521" s="36"/>
      <c r="T2521" s="36"/>
      <c r="U2521" s="36"/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</row>
    <row r="2522" ht="22.5" customHeight="1">
      <c r="A2522" s="614"/>
      <c r="B2522" s="185"/>
      <c r="C2522" s="609"/>
      <c r="D2522" s="609"/>
      <c r="E2522" s="595"/>
      <c r="F2522" s="596"/>
      <c r="G2522" s="664"/>
      <c r="H2522" s="665"/>
      <c r="I2522" s="599"/>
      <c r="J2522" s="599"/>
      <c r="K2522" s="611"/>
      <c r="L2522" s="611"/>
      <c r="M2522" s="621"/>
      <c r="N2522" s="621"/>
      <c r="O2522" s="621"/>
      <c r="P2522" s="706"/>
      <c r="Q2522" s="622"/>
      <c r="R2522" s="36"/>
      <c r="S2522" s="36"/>
      <c r="T2522" s="36"/>
      <c r="U2522" s="36"/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</row>
    <row r="2523" ht="22.5" customHeight="1">
      <c r="A2523" s="614"/>
      <c r="B2523" s="185"/>
      <c r="C2523" s="609"/>
      <c r="D2523" s="609"/>
      <c r="E2523" s="595"/>
      <c r="F2523" s="596"/>
      <c r="G2523" s="664"/>
      <c r="H2523" s="665"/>
      <c r="I2523" s="599"/>
      <c r="J2523" s="599"/>
      <c r="K2523" s="611"/>
      <c r="L2523" s="611"/>
      <c r="M2523" s="621"/>
      <c r="N2523" s="621"/>
      <c r="O2523" s="621"/>
      <c r="P2523" s="706"/>
      <c r="Q2523" s="622"/>
      <c r="R2523" s="36"/>
      <c r="S2523" s="36"/>
      <c r="T2523" s="36"/>
      <c r="U2523" s="36"/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</row>
    <row r="2524" ht="22.5" customHeight="1">
      <c r="A2524" s="614"/>
      <c r="B2524" s="185"/>
      <c r="C2524" s="609"/>
      <c r="D2524" s="609"/>
      <c r="E2524" s="595"/>
      <c r="F2524" s="596"/>
      <c r="G2524" s="664"/>
      <c r="H2524" s="665"/>
      <c r="I2524" s="599"/>
      <c r="J2524" s="599"/>
      <c r="K2524" s="611"/>
      <c r="L2524" s="611"/>
      <c r="M2524" s="621"/>
      <c r="N2524" s="621"/>
      <c r="O2524" s="621"/>
      <c r="P2524" s="706"/>
      <c r="Q2524" s="622"/>
      <c r="R2524" s="36"/>
      <c r="S2524" s="36"/>
      <c r="T2524" s="36"/>
      <c r="U2524" s="36"/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</row>
    <row r="2525" ht="22.5" customHeight="1">
      <c r="A2525" s="614"/>
      <c r="B2525" s="185"/>
      <c r="C2525" s="609"/>
      <c r="D2525" s="609"/>
      <c r="E2525" s="595"/>
      <c r="F2525" s="596"/>
      <c r="G2525" s="664"/>
      <c r="H2525" s="665"/>
      <c r="I2525" s="599"/>
      <c r="J2525" s="599"/>
      <c r="K2525" s="611"/>
      <c r="L2525" s="611"/>
      <c r="M2525" s="621"/>
      <c r="N2525" s="621"/>
      <c r="O2525" s="621"/>
      <c r="P2525" s="706"/>
      <c r="Q2525" s="622"/>
      <c r="R2525" s="36"/>
      <c r="S2525" s="36"/>
      <c r="T2525" s="36"/>
      <c r="U2525" s="36"/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</row>
    <row r="2526" ht="22.5" customHeight="1">
      <c r="A2526" s="614"/>
      <c r="B2526" s="185"/>
      <c r="C2526" s="609"/>
      <c r="D2526" s="609"/>
      <c r="E2526" s="595"/>
      <c r="F2526" s="596"/>
      <c r="G2526" s="664"/>
      <c r="H2526" s="665"/>
      <c r="I2526" s="599"/>
      <c r="J2526" s="599"/>
      <c r="K2526" s="611"/>
      <c r="L2526" s="611"/>
      <c r="M2526" s="621"/>
      <c r="N2526" s="621"/>
      <c r="O2526" s="621"/>
      <c r="P2526" s="706"/>
      <c r="Q2526" s="622"/>
      <c r="R2526" s="36"/>
      <c r="S2526" s="36"/>
      <c r="T2526" s="36"/>
      <c r="U2526" s="36"/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</row>
    <row r="2527" ht="22.5" customHeight="1">
      <c r="A2527" s="614"/>
      <c r="B2527" s="185"/>
      <c r="C2527" s="609"/>
      <c r="D2527" s="609"/>
      <c r="E2527" s="595"/>
      <c r="F2527" s="596"/>
      <c r="G2527" s="664"/>
      <c r="H2527" s="665"/>
      <c r="I2527" s="599"/>
      <c r="J2527" s="599"/>
      <c r="K2527" s="611"/>
      <c r="L2527" s="611"/>
      <c r="M2527" s="621"/>
      <c r="N2527" s="621"/>
      <c r="O2527" s="621"/>
      <c r="P2527" s="706"/>
      <c r="Q2527" s="622"/>
      <c r="R2527" s="36"/>
      <c r="S2527" s="36"/>
      <c r="T2527" s="36"/>
      <c r="U2527" s="36"/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</row>
    <row r="2528" ht="22.5" customHeight="1">
      <c r="A2528" s="614"/>
      <c r="B2528" s="185"/>
      <c r="C2528" s="609"/>
      <c r="D2528" s="609"/>
      <c r="E2528" s="595"/>
      <c r="F2528" s="596"/>
      <c r="G2528" s="664"/>
      <c r="H2528" s="665"/>
      <c r="I2528" s="599"/>
      <c r="J2528" s="599"/>
      <c r="K2528" s="611"/>
      <c r="L2528" s="611"/>
      <c r="M2528" s="621"/>
      <c r="N2528" s="621"/>
      <c r="O2528" s="621"/>
      <c r="P2528" s="706"/>
      <c r="Q2528" s="622"/>
      <c r="R2528" s="36"/>
      <c r="S2528" s="36"/>
      <c r="T2528" s="36"/>
      <c r="U2528" s="36"/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</row>
    <row r="2529" ht="22.5" customHeight="1">
      <c r="A2529" s="614"/>
      <c r="B2529" s="185"/>
      <c r="C2529" s="609"/>
      <c r="D2529" s="609"/>
      <c r="E2529" s="595"/>
      <c r="F2529" s="596"/>
      <c r="G2529" s="664"/>
      <c r="H2529" s="665"/>
      <c r="I2529" s="599"/>
      <c r="J2529" s="599"/>
      <c r="K2529" s="611"/>
      <c r="L2529" s="611"/>
      <c r="M2529" s="621"/>
      <c r="N2529" s="621"/>
      <c r="O2529" s="621"/>
      <c r="P2529" s="706"/>
      <c r="Q2529" s="622"/>
      <c r="R2529" s="36"/>
      <c r="S2529" s="36"/>
      <c r="T2529" s="36"/>
      <c r="U2529" s="36"/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</row>
    <row r="2530" ht="22.5" customHeight="1">
      <c r="A2530" s="614"/>
      <c r="B2530" s="185"/>
      <c r="C2530" s="609"/>
      <c r="D2530" s="609"/>
      <c r="E2530" s="595"/>
      <c r="F2530" s="596"/>
      <c r="G2530" s="664"/>
      <c r="H2530" s="665"/>
      <c r="I2530" s="599"/>
      <c r="J2530" s="599"/>
      <c r="K2530" s="611"/>
      <c r="L2530" s="611"/>
      <c r="M2530" s="621"/>
      <c r="N2530" s="621"/>
      <c r="O2530" s="621"/>
      <c r="P2530" s="706"/>
      <c r="Q2530" s="622"/>
      <c r="R2530" s="36"/>
      <c r="S2530" s="36"/>
      <c r="T2530" s="36"/>
      <c r="U2530" s="36"/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</row>
    <row r="2531" ht="22.5" customHeight="1">
      <c r="A2531" s="614"/>
      <c r="B2531" s="185"/>
      <c r="C2531" s="609"/>
      <c r="D2531" s="609"/>
      <c r="E2531" s="595"/>
      <c r="F2531" s="596"/>
      <c r="G2531" s="664"/>
      <c r="H2531" s="665"/>
      <c r="I2531" s="599"/>
      <c r="J2531" s="599"/>
      <c r="K2531" s="611"/>
      <c r="L2531" s="611"/>
      <c r="M2531" s="621"/>
      <c r="N2531" s="621"/>
      <c r="O2531" s="621"/>
      <c r="P2531" s="706"/>
      <c r="Q2531" s="622"/>
      <c r="R2531" s="36"/>
      <c r="S2531" s="36"/>
      <c r="T2531" s="36"/>
      <c r="U2531" s="36"/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</row>
    <row r="2532" ht="22.5" customHeight="1">
      <c r="A2532" s="614"/>
      <c r="B2532" s="185"/>
      <c r="C2532" s="609"/>
      <c r="D2532" s="609"/>
      <c r="E2532" s="595"/>
      <c r="F2532" s="596"/>
      <c r="G2532" s="664"/>
      <c r="H2532" s="665"/>
      <c r="I2532" s="599"/>
      <c r="J2532" s="599"/>
      <c r="K2532" s="611"/>
      <c r="L2532" s="611"/>
      <c r="M2532" s="621"/>
      <c r="N2532" s="621"/>
      <c r="O2532" s="621"/>
      <c r="P2532" s="706"/>
      <c r="Q2532" s="622"/>
      <c r="R2532" s="36"/>
      <c r="S2532" s="36"/>
      <c r="T2532" s="36"/>
      <c r="U2532" s="36"/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</row>
    <row r="2533" ht="22.5" customHeight="1">
      <c r="A2533" s="614"/>
      <c r="B2533" s="185"/>
      <c r="C2533" s="609"/>
      <c r="D2533" s="609"/>
      <c r="E2533" s="595"/>
      <c r="F2533" s="596"/>
      <c r="G2533" s="664"/>
      <c r="H2533" s="665"/>
      <c r="I2533" s="599"/>
      <c r="J2533" s="599"/>
      <c r="K2533" s="611"/>
      <c r="L2533" s="611"/>
      <c r="M2533" s="621"/>
      <c r="N2533" s="621"/>
      <c r="O2533" s="621"/>
      <c r="P2533" s="706"/>
      <c r="Q2533" s="622"/>
      <c r="R2533" s="36"/>
      <c r="S2533" s="36"/>
      <c r="T2533" s="36"/>
      <c r="U2533" s="36"/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</row>
    <row r="2534" ht="22.5" customHeight="1">
      <c r="A2534" s="614"/>
      <c r="B2534" s="185"/>
      <c r="C2534" s="609"/>
      <c r="D2534" s="609"/>
      <c r="E2534" s="595"/>
      <c r="F2534" s="596"/>
      <c r="G2534" s="664"/>
      <c r="H2534" s="665"/>
      <c r="I2534" s="599"/>
      <c r="J2534" s="599"/>
      <c r="K2534" s="611"/>
      <c r="L2534" s="611"/>
      <c r="M2534" s="621"/>
      <c r="N2534" s="621"/>
      <c r="O2534" s="621"/>
      <c r="P2534" s="706"/>
      <c r="Q2534" s="622"/>
      <c r="R2534" s="36"/>
      <c r="S2534" s="36"/>
      <c r="T2534" s="36"/>
      <c r="U2534" s="36"/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</row>
    <row r="2535" ht="22.5" customHeight="1">
      <c r="A2535" s="614"/>
      <c r="B2535" s="185"/>
      <c r="C2535" s="609"/>
      <c r="D2535" s="609"/>
      <c r="E2535" s="595"/>
      <c r="F2535" s="596"/>
      <c r="G2535" s="664"/>
      <c r="H2535" s="665"/>
      <c r="I2535" s="599"/>
      <c r="J2535" s="599"/>
      <c r="K2535" s="611"/>
      <c r="L2535" s="611"/>
      <c r="M2535" s="621"/>
      <c r="N2535" s="621"/>
      <c r="O2535" s="621"/>
      <c r="P2535" s="706"/>
      <c r="Q2535" s="622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</row>
    <row r="2536" ht="22.5" customHeight="1">
      <c r="A2536" s="614"/>
      <c r="B2536" s="185"/>
      <c r="C2536" s="609"/>
      <c r="D2536" s="609"/>
      <c r="E2536" s="595"/>
      <c r="F2536" s="596"/>
      <c r="G2536" s="664"/>
      <c r="H2536" s="665"/>
      <c r="I2536" s="599"/>
      <c r="J2536" s="599"/>
      <c r="K2536" s="611"/>
      <c r="L2536" s="611"/>
      <c r="M2536" s="621"/>
      <c r="N2536" s="621"/>
      <c r="O2536" s="621"/>
      <c r="P2536" s="706"/>
      <c r="Q2536" s="622"/>
      <c r="R2536" s="36"/>
      <c r="S2536" s="36"/>
      <c r="T2536" s="36"/>
      <c r="U2536" s="36"/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</row>
    <row r="2537" ht="22.5" customHeight="1">
      <c r="A2537" s="614"/>
      <c r="B2537" s="185"/>
      <c r="C2537" s="609"/>
      <c r="D2537" s="609"/>
      <c r="E2537" s="595"/>
      <c r="F2537" s="596"/>
      <c r="G2537" s="664"/>
      <c r="H2537" s="665"/>
      <c r="I2537" s="599"/>
      <c r="J2537" s="599"/>
      <c r="K2537" s="611"/>
      <c r="L2537" s="611"/>
      <c r="M2537" s="621"/>
      <c r="N2537" s="621"/>
      <c r="O2537" s="621"/>
      <c r="P2537" s="706"/>
      <c r="Q2537" s="622"/>
      <c r="R2537" s="36"/>
      <c r="S2537" s="36"/>
      <c r="T2537" s="36"/>
      <c r="U2537" s="36"/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</row>
    <row r="2538" ht="22.5" customHeight="1">
      <c r="A2538" s="614"/>
      <c r="B2538" s="185"/>
      <c r="C2538" s="609"/>
      <c r="D2538" s="609"/>
      <c r="E2538" s="595"/>
      <c r="F2538" s="596"/>
      <c r="G2538" s="664"/>
      <c r="H2538" s="665"/>
      <c r="I2538" s="599"/>
      <c r="J2538" s="599"/>
      <c r="K2538" s="611"/>
      <c r="L2538" s="611"/>
      <c r="M2538" s="621"/>
      <c r="N2538" s="621"/>
      <c r="O2538" s="621"/>
      <c r="P2538" s="706"/>
      <c r="Q2538" s="622"/>
      <c r="R2538" s="36"/>
      <c r="S2538" s="36"/>
      <c r="T2538" s="36"/>
      <c r="U2538" s="36"/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</row>
    <row r="2539" ht="22.5" customHeight="1">
      <c r="A2539" s="614"/>
      <c r="B2539" s="185"/>
      <c r="C2539" s="609"/>
      <c r="D2539" s="609"/>
      <c r="E2539" s="595"/>
      <c r="F2539" s="596"/>
      <c r="G2539" s="664"/>
      <c r="H2539" s="665"/>
      <c r="I2539" s="599"/>
      <c r="J2539" s="599"/>
      <c r="K2539" s="611"/>
      <c r="L2539" s="611"/>
      <c r="M2539" s="621"/>
      <c r="N2539" s="621"/>
      <c r="O2539" s="621"/>
      <c r="P2539" s="706"/>
      <c r="Q2539" s="622"/>
      <c r="R2539" s="36"/>
      <c r="S2539" s="36"/>
      <c r="T2539" s="36"/>
      <c r="U2539" s="36"/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</row>
    <row r="2540" ht="22.5" customHeight="1">
      <c r="A2540" s="614"/>
      <c r="B2540" s="185"/>
      <c r="C2540" s="609"/>
      <c r="D2540" s="609"/>
      <c r="E2540" s="595"/>
      <c r="F2540" s="596"/>
      <c r="G2540" s="664"/>
      <c r="H2540" s="665"/>
      <c r="I2540" s="599"/>
      <c r="J2540" s="599"/>
      <c r="K2540" s="611"/>
      <c r="L2540" s="611"/>
      <c r="M2540" s="621"/>
      <c r="N2540" s="621"/>
      <c r="O2540" s="621"/>
      <c r="P2540" s="706"/>
      <c r="Q2540" s="622"/>
      <c r="R2540" s="36"/>
      <c r="S2540" s="36"/>
      <c r="T2540" s="36"/>
      <c r="U2540" s="36"/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</row>
    <row r="2541" ht="22.5" customHeight="1">
      <c r="A2541" s="614"/>
      <c r="B2541" s="185"/>
      <c r="C2541" s="609"/>
      <c r="D2541" s="609"/>
      <c r="E2541" s="595"/>
      <c r="F2541" s="596"/>
      <c r="G2541" s="664"/>
      <c r="H2541" s="665"/>
      <c r="I2541" s="599"/>
      <c r="J2541" s="599"/>
      <c r="K2541" s="611"/>
      <c r="L2541" s="611"/>
      <c r="M2541" s="621"/>
      <c r="N2541" s="621"/>
      <c r="O2541" s="621"/>
      <c r="P2541" s="706"/>
      <c r="Q2541" s="622"/>
      <c r="R2541" s="36"/>
      <c r="S2541" s="36"/>
      <c r="T2541" s="36"/>
      <c r="U2541" s="36"/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</row>
    <row r="2542" ht="22.5" customHeight="1">
      <c r="A2542" s="614"/>
      <c r="B2542" s="185"/>
      <c r="C2542" s="609"/>
      <c r="D2542" s="609"/>
      <c r="E2542" s="595"/>
      <c r="F2542" s="596"/>
      <c r="G2542" s="664"/>
      <c r="H2542" s="665"/>
      <c r="I2542" s="599"/>
      <c r="J2542" s="599"/>
      <c r="K2542" s="611"/>
      <c r="L2542" s="611"/>
      <c r="M2542" s="621"/>
      <c r="N2542" s="621"/>
      <c r="O2542" s="621"/>
      <c r="P2542" s="706"/>
      <c r="Q2542" s="622"/>
      <c r="R2542" s="36"/>
      <c r="S2542" s="36"/>
      <c r="T2542" s="36"/>
      <c r="U2542" s="36"/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</row>
    <row r="2543" ht="22.5" customHeight="1">
      <c r="A2543" s="614"/>
      <c r="B2543" s="185"/>
      <c r="C2543" s="609"/>
      <c r="D2543" s="609"/>
      <c r="E2543" s="595"/>
      <c r="F2543" s="596"/>
      <c r="G2543" s="664"/>
      <c r="H2543" s="665"/>
      <c r="I2543" s="599"/>
      <c r="J2543" s="599"/>
      <c r="K2543" s="611"/>
      <c r="L2543" s="611"/>
      <c r="M2543" s="621"/>
      <c r="N2543" s="621"/>
      <c r="O2543" s="621"/>
      <c r="P2543" s="706"/>
      <c r="Q2543" s="622"/>
      <c r="R2543" s="36"/>
      <c r="S2543" s="36"/>
      <c r="T2543" s="36"/>
      <c r="U2543" s="36"/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</row>
    <row r="2544" ht="22.5" customHeight="1">
      <c r="A2544" s="614"/>
      <c r="B2544" s="185"/>
      <c r="C2544" s="609"/>
      <c r="D2544" s="609"/>
      <c r="E2544" s="595"/>
      <c r="F2544" s="596"/>
      <c r="G2544" s="664"/>
      <c r="H2544" s="665"/>
      <c r="I2544" s="599"/>
      <c r="J2544" s="599"/>
      <c r="K2544" s="611"/>
      <c r="L2544" s="611"/>
      <c r="M2544" s="621"/>
      <c r="N2544" s="621"/>
      <c r="O2544" s="621"/>
      <c r="P2544" s="706"/>
      <c r="Q2544" s="622"/>
      <c r="R2544" s="36"/>
      <c r="S2544" s="36"/>
      <c r="T2544" s="36"/>
      <c r="U2544" s="36"/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</row>
    <row r="2545" ht="22.5" customHeight="1">
      <c r="A2545" s="614"/>
      <c r="B2545" s="185"/>
      <c r="C2545" s="609"/>
      <c r="D2545" s="609"/>
      <c r="E2545" s="595"/>
      <c r="F2545" s="596"/>
      <c r="G2545" s="664"/>
      <c r="H2545" s="665"/>
      <c r="I2545" s="599"/>
      <c r="J2545" s="599"/>
      <c r="K2545" s="611"/>
      <c r="L2545" s="611"/>
      <c r="M2545" s="621"/>
      <c r="N2545" s="621"/>
      <c r="O2545" s="621"/>
      <c r="P2545" s="706"/>
      <c r="Q2545" s="622"/>
      <c r="R2545" s="36"/>
      <c r="S2545" s="36"/>
      <c r="T2545" s="36"/>
      <c r="U2545" s="36"/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</row>
    <row r="2546" ht="22.5" customHeight="1">
      <c r="A2546" s="614"/>
      <c r="B2546" s="185"/>
      <c r="C2546" s="609"/>
      <c r="D2546" s="609"/>
      <c r="E2546" s="595"/>
      <c r="F2546" s="596"/>
      <c r="G2546" s="664"/>
      <c r="H2546" s="665"/>
      <c r="I2546" s="599"/>
      <c r="J2546" s="599"/>
      <c r="K2546" s="611"/>
      <c r="L2546" s="611"/>
      <c r="M2546" s="621"/>
      <c r="N2546" s="621"/>
      <c r="O2546" s="621"/>
      <c r="P2546" s="706"/>
      <c r="Q2546" s="622"/>
      <c r="R2546" s="36"/>
      <c r="S2546" s="36"/>
      <c r="T2546" s="36"/>
      <c r="U2546" s="36"/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</row>
    <row r="2547" ht="22.5" customHeight="1">
      <c r="A2547" s="614"/>
      <c r="B2547" s="185"/>
      <c r="C2547" s="609"/>
      <c r="D2547" s="609"/>
      <c r="E2547" s="595"/>
      <c r="F2547" s="596"/>
      <c r="G2547" s="664"/>
      <c r="H2547" s="665"/>
      <c r="I2547" s="599"/>
      <c r="J2547" s="599"/>
      <c r="K2547" s="611"/>
      <c r="L2547" s="611"/>
      <c r="M2547" s="621"/>
      <c r="N2547" s="621"/>
      <c r="O2547" s="621"/>
      <c r="P2547" s="706"/>
      <c r="Q2547" s="622"/>
      <c r="R2547" s="36"/>
      <c r="S2547" s="36"/>
      <c r="T2547" s="36"/>
      <c r="U2547" s="36"/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</row>
    <row r="2548" ht="22.5" customHeight="1">
      <c r="A2548" s="614"/>
      <c r="B2548" s="185"/>
      <c r="C2548" s="609"/>
      <c r="D2548" s="609"/>
      <c r="E2548" s="595"/>
      <c r="F2548" s="596"/>
      <c r="G2548" s="664"/>
      <c r="H2548" s="665"/>
      <c r="I2548" s="599"/>
      <c r="J2548" s="599"/>
      <c r="K2548" s="611"/>
      <c r="L2548" s="611"/>
      <c r="M2548" s="621"/>
      <c r="N2548" s="621"/>
      <c r="O2548" s="621"/>
      <c r="P2548" s="706"/>
      <c r="Q2548" s="622"/>
      <c r="R2548" s="36"/>
      <c r="S2548" s="36"/>
      <c r="T2548" s="36"/>
      <c r="U2548" s="36"/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</row>
    <row r="2549" ht="22.5" customHeight="1">
      <c r="A2549" s="614"/>
      <c r="B2549" s="185"/>
      <c r="C2549" s="609"/>
      <c r="D2549" s="609"/>
      <c r="E2549" s="595"/>
      <c r="F2549" s="596"/>
      <c r="G2549" s="664"/>
      <c r="H2549" s="665"/>
      <c r="I2549" s="599"/>
      <c r="J2549" s="599"/>
      <c r="K2549" s="611"/>
      <c r="L2549" s="611"/>
      <c r="M2549" s="621"/>
      <c r="N2549" s="621"/>
      <c r="O2549" s="621"/>
      <c r="P2549" s="706"/>
      <c r="Q2549" s="622"/>
      <c r="R2549" s="36"/>
      <c r="S2549" s="36"/>
      <c r="T2549" s="36"/>
      <c r="U2549" s="36"/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</row>
    <row r="2550" ht="22.5" customHeight="1">
      <c r="A2550" s="614"/>
      <c r="B2550" s="185"/>
      <c r="C2550" s="609"/>
      <c r="D2550" s="609"/>
      <c r="E2550" s="595"/>
      <c r="F2550" s="596"/>
      <c r="G2550" s="664"/>
      <c r="H2550" s="665"/>
      <c r="I2550" s="599"/>
      <c r="J2550" s="599"/>
      <c r="K2550" s="611"/>
      <c r="L2550" s="611"/>
      <c r="M2550" s="621"/>
      <c r="N2550" s="621"/>
      <c r="O2550" s="621"/>
      <c r="P2550" s="706"/>
      <c r="Q2550" s="622"/>
      <c r="R2550" s="36"/>
      <c r="S2550" s="36"/>
      <c r="T2550" s="36"/>
      <c r="U2550" s="36"/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</row>
    <row r="2551" ht="22.5" customHeight="1">
      <c r="A2551" s="614"/>
      <c r="B2551" s="185"/>
      <c r="C2551" s="609"/>
      <c r="D2551" s="609"/>
      <c r="E2551" s="595"/>
      <c r="F2551" s="596"/>
      <c r="G2551" s="664"/>
      <c r="H2551" s="665"/>
      <c r="I2551" s="599"/>
      <c r="J2551" s="599"/>
      <c r="K2551" s="611"/>
      <c r="L2551" s="611"/>
      <c r="M2551" s="621"/>
      <c r="N2551" s="621"/>
      <c r="O2551" s="621"/>
      <c r="P2551" s="706"/>
      <c r="Q2551" s="622"/>
      <c r="R2551" s="36"/>
      <c r="S2551" s="36"/>
      <c r="T2551" s="36"/>
      <c r="U2551" s="36"/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</row>
    <row r="2552" ht="22.5" customHeight="1">
      <c r="A2552" s="614"/>
      <c r="B2552" s="185"/>
      <c r="C2552" s="609"/>
      <c r="D2552" s="609"/>
      <c r="E2552" s="595"/>
      <c r="F2552" s="596"/>
      <c r="G2552" s="664"/>
      <c r="H2552" s="665"/>
      <c r="I2552" s="599"/>
      <c r="J2552" s="599"/>
      <c r="K2552" s="611"/>
      <c r="L2552" s="611"/>
      <c r="M2552" s="621"/>
      <c r="N2552" s="621"/>
      <c r="O2552" s="621"/>
      <c r="P2552" s="706"/>
      <c r="Q2552" s="622"/>
      <c r="R2552" s="36"/>
      <c r="S2552" s="36"/>
      <c r="T2552" s="36"/>
      <c r="U2552" s="36"/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</row>
    <row r="2553" ht="22.5" customHeight="1">
      <c r="A2553" s="614"/>
      <c r="B2553" s="185"/>
      <c r="C2553" s="609"/>
      <c r="D2553" s="609"/>
      <c r="E2553" s="595"/>
      <c r="F2553" s="596"/>
      <c r="G2553" s="664"/>
      <c r="H2553" s="665"/>
      <c r="I2553" s="599"/>
      <c r="J2553" s="599"/>
      <c r="K2553" s="611"/>
      <c r="L2553" s="611"/>
      <c r="M2553" s="621"/>
      <c r="N2553" s="621"/>
      <c r="O2553" s="621"/>
      <c r="P2553" s="706"/>
      <c r="Q2553" s="622"/>
      <c r="R2553" s="36"/>
      <c r="S2553" s="36"/>
      <c r="T2553" s="36"/>
      <c r="U2553" s="36"/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</row>
    <row r="2554" ht="22.5" customHeight="1">
      <c r="A2554" s="614"/>
      <c r="B2554" s="185"/>
      <c r="C2554" s="609"/>
      <c r="D2554" s="609"/>
      <c r="E2554" s="595"/>
      <c r="F2554" s="596"/>
      <c r="G2554" s="664"/>
      <c r="H2554" s="665"/>
      <c r="I2554" s="599"/>
      <c r="J2554" s="599"/>
      <c r="K2554" s="611"/>
      <c r="L2554" s="611"/>
      <c r="M2554" s="621"/>
      <c r="N2554" s="621"/>
      <c r="O2554" s="621"/>
      <c r="P2554" s="706"/>
      <c r="Q2554" s="622"/>
      <c r="R2554" s="36"/>
      <c r="S2554" s="36"/>
      <c r="T2554" s="36"/>
      <c r="U2554" s="36"/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</row>
    <row r="2555" ht="22.5" customHeight="1">
      <c r="A2555" s="614"/>
      <c r="B2555" s="185"/>
      <c r="C2555" s="609"/>
      <c r="D2555" s="609"/>
      <c r="E2555" s="595"/>
      <c r="F2555" s="596"/>
      <c r="G2555" s="664"/>
      <c r="H2555" s="665"/>
      <c r="I2555" s="599"/>
      <c r="J2555" s="599"/>
      <c r="K2555" s="611"/>
      <c r="L2555" s="611"/>
      <c r="M2555" s="621"/>
      <c r="N2555" s="621"/>
      <c r="O2555" s="621"/>
      <c r="P2555" s="706"/>
      <c r="Q2555" s="622"/>
      <c r="R2555" s="36"/>
      <c r="S2555" s="36"/>
      <c r="T2555" s="36"/>
      <c r="U2555" s="36"/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</row>
    <row r="2556" ht="22.5" customHeight="1">
      <c r="A2556" s="614"/>
      <c r="B2556" s="185"/>
      <c r="C2556" s="609"/>
      <c r="D2556" s="609"/>
      <c r="E2556" s="595"/>
      <c r="F2556" s="596"/>
      <c r="G2556" s="664"/>
      <c r="H2556" s="665"/>
      <c r="I2556" s="599"/>
      <c r="J2556" s="599"/>
      <c r="K2556" s="611"/>
      <c r="L2556" s="611"/>
      <c r="M2556" s="621"/>
      <c r="N2556" s="621"/>
      <c r="O2556" s="621"/>
      <c r="P2556" s="706"/>
      <c r="Q2556" s="622"/>
      <c r="R2556" s="36"/>
      <c r="S2556" s="36"/>
      <c r="T2556" s="36"/>
      <c r="U2556" s="36"/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</row>
    <row r="2557" ht="22.5" customHeight="1">
      <c r="A2557" s="614"/>
      <c r="B2557" s="185"/>
      <c r="C2557" s="609"/>
      <c r="D2557" s="609"/>
      <c r="E2557" s="595"/>
      <c r="F2557" s="596"/>
      <c r="G2557" s="664"/>
      <c r="H2557" s="665"/>
      <c r="I2557" s="599"/>
      <c r="J2557" s="599"/>
      <c r="K2557" s="611"/>
      <c r="L2557" s="611"/>
      <c r="M2557" s="621"/>
      <c r="N2557" s="621"/>
      <c r="O2557" s="621"/>
      <c r="P2557" s="706"/>
      <c r="Q2557" s="622"/>
      <c r="R2557" s="36"/>
      <c r="S2557" s="36"/>
      <c r="T2557" s="36"/>
      <c r="U2557" s="36"/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</row>
    <row r="2558" ht="22.5" customHeight="1">
      <c r="A2558" s="614"/>
      <c r="B2558" s="185"/>
      <c r="C2558" s="609"/>
      <c r="D2558" s="609"/>
      <c r="E2558" s="595"/>
      <c r="F2558" s="596"/>
      <c r="G2558" s="664"/>
      <c r="H2558" s="665"/>
      <c r="I2558" s="599"/>
      <c r="J2558" s="599"/>
      <c r="K2558" s="611"/>
      <c r="L2558" s="611"/>
      <c r="M2558" s="621"/>
      <c r="N2558" s="621"/>
      <c r="O2558" s="621"/>
      <c r="P2558" s="706"/>
      <c r="Q2558" s="622"/>
      <c r="R2558" s="36"/>
      <c r="S2558" s="36"/>
      <c r="T2558" s="36"/>
      <c r="U2558" s="36"/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</row>
    <row r="2559" ht="22.5" customHeight="1">
      <c r="A2559" s="614"/>
      <c r="B2559" s="185"/>
      <c r="C2559" s="609"/>
      <c r="D2559" s="609"/>
      <c r="E2559" s="595"/>
      <c r="F2559" s="596"/>
      <c r="G2559" s="664"/>
      <c r="H2559" s="665"/>
      <c r="I2559" s="599"/>
      <c r="J2559" s="599"/>
      <c r="K2559" s="611"/>
      <c r="L2559" s="611"/>
      <c r="M2559" s="621"/>
      <c r="N2559" s="621"/>
      <c r="O2559" s="621"/>
      <c r="P2559" s="706"/>
      <c r="Q2559" s="622"/>
      <c r="R2559" s="36"/>
      <c r="S2559" s="36"/>
      <c r="T2559" s="36"/>
      <c r="U2559" s="36"/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</row>
    <row r="2560" ht="22.5" customHeight="1">
      <c r="A2560" s="614"/>
      <c r="B2560" s="185"/>
      <c r="C2560" s="609"/>
      <c r="D2560" s="609"/>
      <c r="E2560" s="595"/>
      <c r="F2560" s="596"/>
      <c r="G2560" s="664"/>
      <c r="H2560" s="665"/>
      <c r="I2560" s="599"/>
      <c r="J2560" s="599"/>
      <c r="K2560" s="611"/>
      <c r="L2560" s="611"/>
      <c r="M2560" s="621"/>
      <c r="N2560" s="621"/>
      <c r="O2560" s="621"/>
      <c r="P2560" s="706"/>
      <c r="Q2560" s="622"/>
      <c r="R2560" s="36"/>
      <c r="S2560" s="36"/>
      <c r="T2560" s="36"/>
      <c r="U2560" s="36"/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</row>
    <row r="2561" ht="22.5" customHeight="1">
      <c r="A2561" s="614"/>
      <c r="B2561" s="185"/>
      <c r="C2561" s="609"/>
      <c r="D2561" s="609"/>
      <c r="E2561" s="595"/>
      <c r="F2561" s="596"/>
      <c r="G2561" s="664"/>
      <c r="H2561" s="665"/>
      <c r="I2561" s="599"/>
      <c r="J2561" s="599"/>
      <c r="K2561" s="611"/>
      <c r="L2561" s="611"/>
      <c r="M2561" s="621"/>
      <c r="N2561" s="621"/>
      <c r="O2561" s="621"/>
      <c r="P2561" s="706"/>
      <c r="Q2561" s="622"/>
      <c r="R2561" s="36"/>
      <c r="S2561" s="36"/>
      <c r="T2561" s="36"/>
      <c r="U2561" s="36"/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</row>
    <row r="2562" ht="22.5" customHeight="1">
      <c r="A2562" s="614"/>
      <c r="B2562" s="185"/>
      <c r="C2562" s="609"/>
      <c r="D2562" s="609"/>
      <c r="E2562" s="595"/>
      <c r="F2562" s="596"/>
      <c r="G2562" s="664"/>
      <c r="H2562" s="665"/>
      <c r="I2562" s="599"/>
      <c r="J2562" s="599"/>
      <c r="K2562" s="611"/>
      <c r="L2562" s="611"/>
      <c r="M2562" s="621"/>
      <c r="N2562" s="621"/>
      <c r="O2562" s="621"/>
      <c r="P2562" s="706"/>
      <c r="Q2562" s="622"/>
      <c r="R2562" s="36"/>
      <c r="S2562" s="36"/>
      <c r="T2562" s="36"/>
      <c r="U2562" s="36"/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</row>
    <row r="2563" ht="22.5" customHeight="1">
      <c r="A2563" s="614"/>
      <c r="B2563" s="185"/>
      <c r="C2563" s="609"/>
      <c r="D2563" s="609"/>
      <c r="E2563" s="595"/>
      <c r="F2563" s="596"/>
      <c r="G2563" s="664"/>
      <c r="H2563" s="665"/>
      <c r="I2563" s="599"/>
      <c r="J2563" s="599"/>
      <c r="K2563" s="611"/>
      <c r="L2563" s="611"/>
      <c r="M2563" s="621"/>
      <c r="N2563" s="621"/>
      <c r="O2563" s="621"/>
      <c r="P2563" s="706"/>
      <c r="Q2563" s="622"/>
      <c r="R2563" s="36"/>
      <c r="S2563" s="36"/>
      <c r="T2563" s="36"/>
      <c r="U2563" s="36"/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</row>
    <row r="2564" ht="22.5" customHeight="1">
      <c r="A2564" s="614"/>
      <c r="B2564" s="185"/>
      <c r="C2564" s="609"/>
      <c r="D2564" s="609"/>
      <c r="E2564" s="595"/>
      <c r="F2564" s="596"/>
      <c r="G2564" s="664"/>
      <c r="H2564" s="665"/>
      <c r="I2564" s="599"/>
      <c r="J2564" s="599"/>
      <c r="K2564" s="611"/>
      <c r="L2564" s="611"/>
      <c r="M2564" s="621"/>
      <c r="N2564" s="621"/>
      <c r="O2564" s="621"/>
      <c r="P2564" s="706"/>
      <c r="Q2564" s="622"/>
      <c r="R2564" s="36"/>
      <c r="S2564" s="36"/>
      <c r="T2564" s="36"/>
      <c r="U2564" s="36"/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</row>
    <row r="2565" ht="22.5" customHeight="1">
      <c r="A2565" s="614"/>
      <c r="B2565" s="185"/>
      <c r="C2565" s="609"/>
      <c r="D2565" s="609"/>
      <c r="E2565" s="595"/>
      <c r="F2565" s="596"/>
      <c r="G2565" s="664"/>
      <c r="H2565" s="665"/>
      <c r="I2565" s="599"/>
      <c r="J2565" s="599"/>
      <c r="K2565" s="611"/>
      <c r="L2565" s="611"/>
      <c r="M2565" s="621"/>
      <c r="N2565" s="621"/>
      <c r="O2565" s="621"/>
      <c r="P2565" s="706"/>
      <c r="Q2565" s="622"/>
      <c r="R2565" s="36"/>
      <c r="S2565" s="36"/>
      <c r="T2565" s="36"/>
      <c r="U2565" s="36"/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</row>
    <row r="2566" ht="22.5" customHeight="1">
      <c r="A2566" s="614"/>
      <c r="B2566" s="185"/>
      <c r="C2566" s="609"/>
      <c r="D2566" s="609"/>
      <c r="E2566" s="595"/>
      <c r="F2566" s="596"/>
      <c r="G2566" s="664"/>
      <c r="H2566" s="665"/>
      <c r="I2566" s="599"/>
      <c r="J2566" s="599"/>
      <c r="K2566" s="611"/>
      <c r="L2566" s="611"/>
      <c r="M2566" s="621"/>
      <c r="N2566" s="621"/>
      <c r="O2566" s="621"/>
      <c r="P2566" s="706"/>
      <c r="Q2566" s="622"/>
      <c r="R2566" s="36"/>
      <c r="S2566" s="36"/>
      <c r="T2566" s="36"/>
      <c r="U2566" s="36"/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</row>
    <row r="2567" ht="22.5" customHeight="1">
      <c r="A2567" s="614"/>
      <c r="B2567" s="185"/>
      <c r="C2567" s="609"/>
      <c r="D2567" s="609"/>
      <c r="E2567" s="595"/>
      <c r="F2567" s="596"/>
      <c r="G2567" s="664"/>
      <c r="H2567" s="665"/>
      <c r="I2567" s="599"/>
      <c r="J2567" s="599"/>
      <c r="K2567" s="611"/>
      <c r="L2567" s="611"/>
      <c r="M2567" s="621"/>
      <c r="N2567" s="621"/>
      <c r="O2567" s="621"/>
      <c r="P2567" s="706"/>
      <c r="Q2567" s="622"/>
      <c r="R2567" s="36"/>
      <c r="S2567" s="36"/>
      <c r="T2567" s="36"/>
      <c r="U2567" s="36"/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</row>
    <row r="2568" ht="22.5" customHeight="1">
      <c r="A2568" s="614"/>
      <c r="B2568" s="185"/>
      <c r="C2568" s="609"/>
      <c r="D2568" s="609"/>
      <c r="E2568" s="595"/>
      <c r="F2568" s="596"/>
      <c r="G2568" s="664"/>
      <c r="H2568" s="665"/>
      <c r="I2568" s="599"/>
      <c r="J2568" s="599"/>
      <c r="K2568" s="611"/>
      <c r="L2568" s="611"/>
      <c r="M2568" s="621"/>
      <c r="N2568" s="621"/>
      <c r="O2568" s="621"/>
      <c r="P2568" s="706"/>
      <c r="Q2568" s="622"/>
      <c r="R2568" s="36"/>
      <c r="S2568" s="36"/>
      <c r="T2568" s="36"/>
      <c r="U2568" s="36"/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</row>
    <row r="2569" ht="22.5" customHeight="1">
      <c r="A2569" s="614"/>
      <c r="B2569" s="185"/>
      <c r="C2569" s="609"/>
      <c r="D2569" s="609"/>
      <c r="E2569" s="595"/>
      <c r="F2569" s="596"/>
      <c r="G2569" s="664"/>
      <c r="H2569" s="665"/>
      <c r="I2569" s="599"/>
      <c r="J2569" s="599"/>
      <c r="K2569" s="611"/>
      <c r="L2569" s="611"/>
      <c r="M2569" s="621"/>
      <c r="N2569" s="621"/>
      <c r="O2569" s="621"/>
      <c r="P2569" s="706"/>
      <c r="Q2569" s="622"/>
      <c r="R2569" s="36"/>
      <c r="S2569" s="36"/>
      <c r="T2569" s="36"/>
      <c r="U2569" s="36"/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</row>
    <row r="2570" ht="22.5" customHeight="1">
      <c r="A2570" s="614"/>
      <c r="B2570" s="185"/>
      <c r="C2570" s="609"/>
      <c r="D2570" s="609"/>
      <c r="E2570" s="595"/>
      <c r="F2570" s="596"/>
      <c r="G2570" s="664"/>
      <c r="H2570" s="665"/>
      <c r="I2570" s="599"/>
      <c r="J2570" s="599"/>
      <c r="K2570" s="611"/>
      <c r="L2570" s="611"/>
      <c r="M2570" s="621"/>
      <c r="N2570" s="621"/>
      <c r="O2570" s="621"/>
      <c r="P2570" s="706"/>
      <c r="Q2570" s="622"/>
      <c r="R2570" s="36"/>
      <c r="S2570" s="36"/>
      <c r="T2570" s="36"/>
      <c r="U2570" s="36"/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</row>
    <row r="2571" ht="22.5" customHeight="1">
      <c r="A2571" s="614"/>
      <c r="B2571" s="185"/>
      <c r="C2571" s="609"/>
      <c r="D2571" s="609"/>
      <c r="E2571" s="595"/>
      <c r="F2571" s="596"/>
      <c r="G2571" s="664"/>
      <c r="H2571" s="665"/>
      <c r="I2571" s="599"/>
      <c r="J2571" s="599"/>
      <c r="K2571" s="611"/>
      <c r="L2571" s="611"/>
      <c r="M2571" s="621"/>
      <c r="N2571" s="621"/>
      <c r="O2571" s="621"/>
      <c r="P2571" s="706"/>
      <c r="Q2571" s="622"/>
      <c r="R2571" s="36"/>
      <c r="S2571" s="36"/>
      <c r="T2571" s="36"/>
      <c r="U2571" s="36"/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</row>
    <row r="2572" ht="22.5" customHeight="1">
      <c r="A2572" s="614"/>
      <c r="B2572" s="185"/>
      <c r="C2572" s="609"/>
      <c r="D2572" s="609"/>
      <c r="E2572" s="595"/>
      <c r="F2572" s="596"/>
      <c r="G2572" s="664"/>
      <c r="H2572" s="665"/>
      <c r="I2572" s="599"/>
      <c r="J2572" s="599"/>
      <c r="K2572" s="611"/>
      <c r="L2572" s="611"/>
      <c r="M2572" s="621"/>
      <c r="N2572" s="621"/>
      <c r="O2572" s="621"/>
      <c r="P2572" s="706"/>
      <c r="Q2572" s="622"/>
      <c r="R2572" s="36"/>
      <c r="S2572" s="36"/>
      <c r="T2572" s="36"/>
      <c r="U2572" s="36"/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</row>
    <row r="2573" ht="22.5" customHeight="1">
      <c r="A2573" s="614"/>
      <c r="B2573" s="185"/>
      <c r="C2573" s="609"/>
      <c r="D2573" s="609"/>
      <c r="E2573" s="595"/>
      <c r="F2573" s="596"/>
      <c r="G2573" s="664"/>
      <c r="H2573" s="665"/>
      <c r="I2573" s="599"/>
      <c r="J2573" s="599"/>
      <c r="K2573" s="611"/>
      <c r="L2573" s="611"/>
      <c r="M2573" s="621"/>
      <c r="N2573" s="621"/>
      <c r="O2573" s="621"/>
      <c r="P2573" s="706"/>
      <c r="Q2573" s="622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</row>
    <row r="2574" ht="22.5" customHeight="1">
      <c r="A2574" s="614"/>
      <c r="B2574" s="185"/>
      <c r="C2574" s="609"/>
      <c r="D2574" s="609"/>
      <c r="E2574" s="595"/>
      <c r="F2574" s="596"/>
      <c r="G2574" s="664"/>
      <c r="H2574" s="665"/>
      <c r="I2574" s="599"/>
      <c r="J2574" s="599"/>
      <c r="K2574" s="611"/>
      <c r="L2574" s="611"/>
      <c r="M2574" s="621"/>
      <c r="N2574" s="621"/>
      <c r="O2574" s="621"/>
      <c r="P2574" s="706"/>
      <c r="Q2574" s="622"/>
      <c r="R2574" s="36"/>
      <c r="S2574" s="36"/>
      <c r="T2574" s="36"/>
      <c r="U2574" s="36"/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</row>
    <row r="2575" ht="22.5" customHeight="1">
      <c r="A2575" s="614"/>
      <c r="B2575" s="185"/>
      <c r="C2575" s="609"/>
      <c r="D2575" s="609"/>
      <c r="E2575" s="595"/>
      <c r="F2575" s="596"/>
      <c r="G2575" s="664"/>
      <c r="H2575" s="665"/>
      <c r="I2575" s="599"/>
      <c r="J2575" s="599"/>
      <c r="K2575" s="611"/>
      <c r="L2575" s="611"/>
      <c r="M2575" s="621"/>
      <c r="N2575" s="621"/>
      <c r="O2575" s="621"/>
      <c r="P2575" s="706"/>
      <c r="Q2575" s="622"/>
      <c r="R2575" s="36"/>
      <c r="S2575" s="36"/>
      <c r="T2575" s="36"/>
      <c r="U2575" s="36"/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</row>
    <row r="2576" ht="22.5" customHeight="1">
      <c r="A2576" s="614"/>
      <c r="B2576" s="185"/>
      <c r="C2576" s="609"/>
      <c r="D2576" s="609"/>
      <c r="E2576" s="595"/>
      <c r="F2576" s="596"/>
      <c r="G2576" s="664"/>
      <c r="H2576" s="665"/>
      <c r="I2576" s="599"/>
      <c r="J2576" s="599"/>
      <c r="K2576" s="611"/>
      <c r="L2576" s="611"/>
      <c r="M2576" s="621"/>
      <c r="N2576" s="621"/>
      <c r="O2576" s="621"/>
      <c r="P2576" s="706"/>
      <c r="Q2576" s="622"/>
      <c r="R2576" s="36"/>
      <c r="S2576" s="36"/>
      <c r="T2576" s="36"/>
      <c r="U2576" s="36"/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</row>
    <row r="2577" ht="22.5" customHeight="1">
      <c r="A2577" s="614"/>
      <c r="B2577" s="185"/>
      <c r="C2577" s="609"/>
      <c r="D2577" s="609"/>
      <c r="E2577" s="595"/>
      <c r="F2577" s="596"/>
      <c r="G2577" s="664"/>
      <c r="H2577" s="665"/>
      <c r="I2577" s="599"/>
      <c r="J2577" s="599"/>
      <c r="K2577" s="611"/>
      <c r="L2577" s="611"/>
      <c r="M2577" s="621"/>
      <c r="N2577" s="621"/>
      <c r="O2577" s="621"/>
      <c r="P2577" s="706"/>
      <c r="Q2577" s="622"/>
      <c r="R2577" s="36"/>
      <c r="S2577" s="36"/>
      <c r="T2577" s="36"/>
      <c r="U2577" s="36"/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</row>
    <row r="2578" ht="22.5" customHeight="1">
      <c r="A2578" s="614"/>
      <c r="B2578" s="185"/>
      <c r="C2578" s="609"/>
      <c r="D2578" s="609"/>
      <c r="E2578" s="595"/>
      <c r="F2578" s="596"/>
      <c r="G2578" s="664"/>
      <c r="H2578" s="665"/>
      <c r="I2578" s="599"/>
      <c r="J2578" s="599"/>
      <c r="K2578" s="611"/>
      <c r="L2578" s="611"/>
      <c r="M2578" s="621"/>
      <c r="N2578" s="621"/>
      <c r="O2578" s="621"/>
      <c r="P2578" s="706"/>
      <c r="Q2578" s="622"/>
      <c r="R2578" s="36"/>
      <c r="S2578" s="36"/>
      <c r="T2578" s="36"/>
      <c r="U2578" s="36"/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</row>
    <row r="2579" ht="22.5" customHeight="1">
      <c r="A2579" s="614"/>
      <c r="B2579" s="185"/>
      <c r="C2579" s="609"/>
      <c r="D2579" s="609"/>
      <c r="E2579" s="595"/>
      <c r="F2579" s="596"/>
      <c r="G2579" s="664"/>
      <c r="H2579" s="665"/>
      <c r="I2579" s="599"/>
      <c r="J2579" s="599"/>
      <c r="K2579" s="611"/>
      <c r="L2579" s="611"/>
      <c r="M2579" s="621"/>
      <c r="N2579" s="621"/>
      <c r="O2579" s="621"/>
      <c r="P2579" s="706"/>
      <c r="Q2579" s="622"/>
      <c r="R2579" s="36"/>
      <c r="S2579" s="36"/>
      <c r="T2579" s="36"/>
      <c r="U2579" s="36"/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</row>
    <row r="2580" ht="22.5" customHeight="1">
      <c r="A2580" s="614"/>
      <c r="B2580" s="185"/>
      <c r="C2580" s="609"/>
      <c r="D2580" s="609"/>
      <c r="E2580" s="595"/>
      <c r="F2580" s="596"/>
      <c r="G2580" s="664"/>
      <c r="H2580" s="665"/>
      <c r="I2580" s="599"/>
      <c r="J2580" s="599"/>
      <c r="K2580" s="611"/>
      <c r="L2580" s="611"/>
      <c r="M2580" s="621"/>
      <c r="N2580" s="621"/>
      <c r="O2580" s="621"/>
      <c r="P2580" s="706"/>
      <c r="Q2580" s="622"/>
      <c r="R2580" s="36"/>
      <c r="S2580" s="36"/>
      <c r="T2580" s="36"/>
      <c r="U2580" s="36"/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</row>
    <row r="2581" ht="22.5" customHeight="1">
      <c r="A2581" s="614"/>
      <c r="B2581" s="185"/>
      <c r="C2581" s="609"/>
      <c r="D2581" s="609"/>
      <c r="E2581" s="595"/>
      <c r="F2581" s="596"/>
      <c r="G2581" s="664"/>
      <c r="H2581" s="665"/>
      <c r="I2581" s="599"/>
      <c r="J2581" s="599"/>
      <c r="K2581" s="611"/>
      <c r="L2581" s="611"/>
      <c r="M2581" s="621"/>
      <c r="N2581" s="621"/>
      <c r="O2581" s="621"/>
      <c r="P2581" s="706"/>
      <c r="Q2581" s="622"/>
      <c r="R2581" s="36"/>
      <c r="S2581" s="36"/>
      <c r="T2581" s="36"/>
      <c r="U2581" s="36"/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</row>
    <row r="2582" ht="22.5" customHeight="1">
      <c r="A2582" s="614"/>
      <c r="B2582" s="185"/>
      <c r="C2582" s="609"/>
      <c r="D2582" s="609"/>
      <c r="E2582" s="595"/>
      <c r="F2582" s="596"/>
      <c r="G2582" s="664"/>
      <c r="H2582" s="665"/>
      <c r="I2582" s="599"/>
      <c r="J2582" s="599"/>
      <c r="K2582" s="611"/>
      <c r="L2582" s="611"/>
      <c r="M2582" s="621"/>
      <c r="N2582" s="621"/>
      <c r="O2582" s="621"/>
      <c r="P2582" s="706"/>
      <c r="Q2582" s="622"/>
      <c r="R2582" s="36"/>
      <c r="S2582" s="36"/>
      <c r="T2582" s="36"/>
      <c r="U2582" s="36"/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</row>
    <row r="2583" ht="22.5" customHeight="1">
      <c r="A2583" s="614"/>
      <c r="B2583" s="185"/>
      <c r="C2583" s="609"/>
      <c r="D2583" s="609"/>
      <c r="E2583" s="595"/>
      <c r="F2583" s="596"/>
      <c r="G2583" s="664"/>
      <c r="H2583" s="665"/>
      <c r="I2583" s="599"/>
      <c r="J2583" s="599"/>
      <c r="K2583" s="611"/>
      <c r="L2583" s="611"/>
      <c r="M2583" s="621"/>
      <c r="N2583" s="621"/>
      <c r="O2583" s="621"/>
      <c r="P2583" s="706"/>
      <c r="Q2583" s="622"/>
      <c r="R2583" s="36"/>
      <c r="S2583" s="36"/>
      <c r="T2583" s="36"/>
      <c r="U2583" s="36"/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</row>
    <row r="2584" ht="22.5" customHeight="1">
      <c r="A2584" s="614"/>
      <c r="B2584" s="185"/>
      <c r="C2584" s="609"/>
      <c r="D2584" s="609"/>
      <c r="E2584" s="595"/>
      <c r="F2584" s="596"/>
      <c r="G2584" s="664"/>
      <c r="H2584" s="665"/>
      <c r="I2584" s="599"/>
      <c r="J2584" s="599"/>
      <c r="K2584" s="611"/>
      <c r="L2584" s="611"/>
      <c r="M2584" s="621"/>
      <c r="N2584" s="621"/>
      <c r="O2584" s="621"/>
      <c r="P2584" s="706"/>
      <c r="Q2584" s="622"/>
      <c r="R2584" s="36"/>
      <c r="S2584" s="36"/>
      <c r="T2584" s="36"/>
      <c r="U2584" s="36"/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</row>
    <row r="2585" ht="22.5" customHeight="1">
      <c r="A2585" s="614"/>
      <c r="B2585" s="185"/>
      <c r="C2585" s="609"/>
      <c r="D2585" s="609"/>
      <c r="E2585" s="595"/>
      <c r="F2585" s="596"/>
      <c r="G2585" s="664"/>
      <c r="H2585" s="665"/>
      <c r="I2585" s="599"/>
      <c r="J2585" s="599"/>
      <c r="K2585" s="611"/>
      <c r="L2585" s="611"/>
      <c r="M2585" s="621"/>
      <c r="N2585" s="621"/>
      <c r="O2585" s="621"/>
      <c r="P2585" s="706"/>
      <c r="Q2585" s="622"/>
      <c r="R2585" s="36"/>
      <c r="S2585" s="36"/>
      <c r="T2585" s="36"/>
      <c r="U2585" s="36"/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</row>
    <row r="2586" ht="22.5" customHeight="1">
      <c r="A2586" s="614"/>
      <c r="B2586" s="185"/>
      <c r="C2586" s="609"/>
      <c r="D2586" s="609"/>
      <c r="E2586" s="595"/>
      <c r="F2586" s="596"/>
      <c r="G2586" s="664"/>
      <c r="H2586" s="665"/>
      <c r="I2586" s="599"/>
      <c r="J2586" s="599"/>
      <c r="K2586" s="611"/>
      <c r="L2586" s="611"/>
      <c r="M2586" s="621"/>
      <c r="N2586" s="621"/>
      <c r="O2586" s="621"/>
      <c r="P2586" s="706"/>
      <c r="Q2586" s="622"/>
      <c r="R2586" s="36"/>
      <c r="S2586" s="36"/>
      <c r="T2586" s="36"/>
      <c r="U2586" s="36"/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</row>
    <row r="2587" ht="22.5" customHeight="1">
      <c r="A2587" s="614"/>
      <c r="B2587" s="185"/>
      <c r="C2587" s="609"/>
      <c r="D2587" s="609"/>
      <c r="E2587" s="595"/>
      <c r="F2587" s="596"/>
      <c r="G2587" s="664"/>
      <c r="H2587" s="665"/>
      <c r="I2587" s="599"/>
      <c r="J2587" s="599"/>
      <c r="K2587" s="611"/>
      <c r="L2587" s="611"/>
      <c r="M2587" s="621"/>
      <c r="N2587" s="621"/>
      <c r="O2587" s="621"/>
      <c r="P2587" s="706"/>
      <c r="Q2587" s="622"/>
      <c r="R2587" s="36"/>
      <c r="S2587" s="36"/>
      <c r="T2587" s="36"/>
      <c r="U2587" s="36"/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</row>
    <row r="2588" ht="22.5" customHeight="1">
      <c r="A2588" s="614"/>
      <c r="B2588" s="185"/>
      <c r="C2588" s="609"/>
      <c r="D2588" s="609"/>
      <c r="E2588" s="595"/>
      <c r="F2588" s="596"/>
      <c r="G2588" s="664"/>
      <c r="H2588" s="665"/>
      <c r="I2588" s="599"/>
      <c r="J2588" s="599"/>
      <c r="K2588" s="611"/>
      <c r="L2588" s="611"/>
      <c r="M2588" s="621"/>
      <c r="N2588" s="621"/>
      <c r="O2588" s="621"/>
      <c r="P2588" s="706"/>
      <c r="Q2588" s="622"/>
      <c r="R2588" s="36"/>
      <c r="S2588" s="36"/>
      <c r="T2588" s="36"/>
      <c r="U2588" s="36"/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</row>
    <row r="2589" ht="22.5" customHeight="1">
      <c r="A2589" s="614"/>
      <c r="B2589" s="185"/>
      <c r="C2589" s="609"/>
      <c r="D2589" s="609"/>
      <c r="E2589" s="595"/>
      <c r="F2589" s="596"/>
      <c r="G2589" s="664"/>
      <c r="H2589" s="665"/>
      <c r="I2589" s="599"/>
      <c r="J2589" s="599"/>
      <c r="K2589" s="611"/>
      <c r="L2589" s="611"/>
      <c r="M2589" s="621"/>
      <c r="N2589" s="621"/>
      <c r="O2589" s="621"/>
      <c r="P2589" s="706"/>
      <c r="Q2589" s="622"/>
      <c r="R2589" s="36"/>
      <c r="S2589" s="36"/>
      <c r="T2589" s="36"/>
      <c r="U2589" s="36"/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</row>
    <row r="2590" ht="22.5" customHeight="1">
      <c r="A2590" s="614"/>
      <c r="B2590" s="185"/>
      <c r="C2590" s="609"/>
      <c r="D2590" s="609"/>
      <c r="E2590" s="595"/>
      <c r="F2590" s="596"/>
      <c r="G2590" s="664"/>
      <c r="H2590" s="665"/>
      <c r="I2590" s="599"/>
      <c r="J2590" s="599"/>
      <c r="K2590" s="611"/>
      <c r="L2590" s="611"/>
      <c r="M2590" s="621"/>
      <c r="N2590" s="621"/>
      <c r="O2590" s="621"/>
      <c r="P2590" s="706"/>
      <c r="Q2590" s="622"/>
      <c r="R2590" s="36"/>
      <c r="S2590" s="36"/>
      <c r="T2590" s="36"/>
      <c r="U2590" s="36"/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</row>
    <row r="2591" ht="22.5" customHeight="1">
      <c r="A2591" s="614"/>
      <c r="B2591" s="185"/>
      <c r="C2591" s="609"/>
      <c r="D2591" s="609"/>
      <c r="E2591" s="595"/>
      <c r="F2591" s="596"/>
      <c r="G2591" s="664"/>
      <c r="H2591" s="665"/>
      <c r="I2591" s="599"/>
      <c r="J2591" s="599"/>
      <c r="K2591" s="611"/>
      <c r="L2591" s="611"/>
      <c r="M2591" s="621"/>
      <c r="N2591" s="621"/>
      <c r="O2591" s="621"/>
      <c r="P2591" s="706"/>
      <c r="Q2591" s="622"/>
      <c r="R2591" s="36"/>
      <c r="S2591" s="36"/>
      <c r="T2591" s="36"/>
      <c r="U2591" s="36"/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</row>
    <row r="2592" ht="22.5" customHeight="1">
      <c r="A2592" s="614"/>
      <c r="B2592" s="185"/>
      <c r="C2592" s="609"/>
      <c r="D2592" s="609"/>
      <c r="E2592" s="595"/>
      <c r="F2592" s="596"/>
      <c r="G2592" s="664"/>
      <c r="H2592" s="665"/>
      <c r="I2592" s="599"/>
      <c r="J2592" s="599"/>
      <c r="K2592" s="611"/>
      <c r="L2592" s="611"/>
      <c r="M2592" s="621"/>
      <c r="N2592" s="621"/>
      <c r="O2592" s="621"/>
      <c r="P2592" s="706"/>
      <c r="Q2592" s="622"/>
      <c r="R2592" s="36"/>
      <c r="S2592" s="36"/>
      <c r="T2592" s="36"/>
      <c r="U2592" s="36"/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</row>
    <row r="2593" ht="22.5" customHeight="1">
      <c r="A2593" s="614"/>
      <c r="B2593" s="185"/>
      <c r="C2593" s="609"/>
      <c r="D2593" s="609"/>
      <c r="E2593" s="595"/>
      <c r="F2593" s="596"/>
      <c r="G2593" s="664"/>
      <c r="H2593" s="665"/>
      <c r="I2593" s="599"/>
      <c r="J2593" s="599"/>
      <c r="K2593" s="611"/>
      <c r="L2593" s="611"/>
      <c r="M2593" s="621"/>
      <c r="N2593" s="621"/>
      <c r="O2593" s="621"/>
      <c r="P2593" s="706"/>
      <c r="Q2593" s="622"/>
      <c r="R2593" s="36"/>
      <c r="S2593" s="36"/>
      <c r="T2593" s="36"/>
      <c r="U2593" s="36"/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</row>
    <row r="2594" ht="22.5" customHeight="1">
      <c r="A2594" s="614"/>
      <c r="B2594" s="185"/>
      <c r="C2594" s="609"/>
      <c r="D2594" s="609"/>
      <c r="E2594" s="595"/>
      <c r="F2594" s="596"/>
      <c r="G2594" s="664"/>
      <c r="H2594" s="665"/>
      <c r="I2594" s="599"/>
      <c r="J2594" s="599"/>
      <c r="K2594" s="611"/>
      <c r="L2594" s="611"/>
      <c r="M2594" s="621"/>
      <c r="N2594" s="621"/>
      <c r="O2594" s="621"/>
      <c r="P2594" s="706"/>
      <c r="Q2594" s="622"/>
      <c r="R2594" s="36"/>
      <c r="S2594" s="36"/>
      <c r="T2594" s="36"/>
      <c r="U2594" s="36"/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</row>
    <row r="2595" ht="22.5" customHeight="1">
      <c r="A2595" s="614"/>
      <c r="B2595" s="185"/>
      <c r="C2595" s="609"/>
      <c r="D2595" s="609"/>
      <c r="E2595" s="595"/>
      <c r="F2595" s="596"/>
      <c r="G2595" s="664"/>
      <c r="H2595" s="665"/>
      <c r="I2595" s="599"/>
      <c r="J2595" s="599"/>
      <c r="K2595" s="611"/>
      <c r="L2595" s="611"/>
      <c r="M2595" s="621"/>
      <c r="N2595" s="621"/>
      <c r="O2595" s="621"/>
      <c r="P2595" s="706"/>
      <c r="Q2595" s="622"/>
      <c r="R2595" s="36"/>
      <c r="S2595" s="36"/>
      <c r="T2595" s="36"/>
      <c r="U2595" s="36"/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</row>
    <row r="2596" ht="22.5" customHeight="1">
      <c r="A2596" s="614"/>
      <c r="B2596" s="185"/>
      <c r="C2596" s="609"/>
      <c r="D2596" s="609"/>
      <c r="E2596" s="595"/>
      <c r="F2596" s="596"/>
      <c r="G2596" s="664"/>
      <c r="H2596" s="665"/>
      <c r="I2596" s="599"/>
      <c r="J2596" s="599"/>
      <c r="K2596" s="611"/>
      <c r="L2596" s="611"/>
      <c r="M2596" s="621"/>
      <c r="N2596" s="621"/>
      <c r="O2596" s="621"/>
      <c r="P2596" s="706"/>
      <c r="Q2596" s="622"/>
      <c r="R2596" s="36"/>
      <c r="S2596" s="36"/>
      <c r="T2596" s="36"/>
      <c r="U2596" s="36"/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</row>
    <row r="2597" ht="22.5" customHeight="1">
      <c r="A2597" s="614"/>
      <c r="B2597" s="185"/>
      <c r="C2597" s="609"/>
      <c r="D2597" s="609"/>
      <c r="E2597" s="595"/>
      <c r="F2597" s="596"/>
      <c r="G2597" s="664"/>
      <c r="H2597" s="665"/>
      <c r="I2597" s="599"/>
      <c r="J2597" s="599"/>
      <c r="K2597" s="611"/>
      <c r="L2597" s="611"/>
      <c r="M2597" s="621"/>
      <c r="N2597" s="621"/>
      <c r="O2597" s="621"/>
      <c r="P2597" s="706"/>
      <c r="Q2597" s="622"/>
      <c r="R2597" s="36"/>
      <c r="S2597" s="36"/>
      <c r="T2597" s="36"/>
      <c r="U2597" s="36"/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</row>
    <row r="2598" ht="22.5" customHeight="1">
      <c r="A2598" s="614"/>
      <c r="B2598" s="185"/>
      <c r="C2598" s="609"/>
      <c r="D2598" s="609"/>
      <c r="E2598" s="595"/>
      <c r="F2598" s="596"/>
      <c r="G2598" s="664"/>
      <c r="H2598" s="665"/>
      <c r="I2598" s="599"/>
      <c r="J2598" s="599"/>
      <c r="K2598" s="611"/>
      <c r="L2598" s="611"/>
      <c r="M2598" s="621"/>
      <c r="N2598" s="621"/>
      <c r="O2598" s="621"/>
      <c r="P2598" s="706"/>
      <c r="Q2598" s="622"/>
      <c r="R2598" s="36"/>
      <c r="S2598" s="36"/>
      <c r="T2598" s="36"/>
      <c r="U2598" s="36"/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</row>
    <row r="2599" ht="22.5" customHeight="1">
      <c r="A2599" s="614"/>
      <c r="B2599" s="185"/>
      <c r="C2599" s="609"/>
      <c r="D2599" s="609"/>
      <c r="E2599" s="595"/>
      <c r="F2599" s="596"/>
      <c r="G2599" s="664"/>
      <c r="H2599" s="665"/>
      <c r="I2599" s="599"/>
      <c r="J2599" s="599"/>
      <c r="K2599" s="611"/>
      <c r="L2599" s="611"/>
      <c r="M2599" s="621"/>
      <c r="N2599" s="621"/>
      <c r="O2599" s="621"/>
      <c r="P2599" s="706"/>
      <c r="Q2599" s="622"/>
      <c r="R2599" s="36"/>
      <c r="S2599" s="36"/>
      <c r="T2599" s="36"/>
      <c r="U2599" s="36"/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</row>
    <row r="2600" ht="22.5" customHeight="1">
      <c r="A2600" s="614"/>
      <c r="B2600" s="185"/>
      <c r="C2600" s="609"/>
      <c r="D2600" s="609"/>
      <c r="E2600" s="595"/>
      <c r="F2600" s="596"/>
      <c r="G2600" s="664"/>
      <c r="H2600" s="665"/>
      <c r="I2600" s="599"/>
      <c r="J2600" s="599"/>
      <c r="K2600" s="611"/>
      <c r="L2600" s="611"/>
      <c r="M2600" s="621"/>
      <c r="N2600" s="621"/>
      <c r="O2600" s="621"/>
      <c r="P2600" s="706"/>
      <c r="Q2600" s="622"/>
      <c r="R2600" s="36"/>
      <c r="S2600" s="36"/>
      <c r="T2600" s="36"/>
      <c r="U2600" s="36"/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</row>
    <row r="2601" ht="22.5" customHeight="1">
      <c r="A2601" s="614"/>
      <c r="B2601" s="185"/>
      <c r="C2601" s="609"/>
      <c r="D2601" s="609"/>
      <c r="E2601" s="595"/>
      <c r="F2601" s="596"/>
      <c r="G2601" s="664"/>
      <c r="H2601" s="665"/>
      <c r="I2601" s="599"/>
      <c r="J2601" s="599"/>
      <c r="K2601" s="611"/>
      <c r="L2601" s="611"/>
      <c r="M2601" s="621"/>
      <c r="N2601" s="621"/>
      <c r="O2601" s="621"/>
      <c r="P2601" s="706"/>
      <c r="Q2601" s="622"/>
      <c r="R2601" s="36"/>
      <c r="S2601" s="36"/>
      <c r="T2601" s="36"/>
      <c r="U2601" s="36"/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</row>
    <row r="2602" ht="22.5" customHeight="1">
      <c r="A2602" s="614"/>
      <c r="B2602" s="185"/>
      <c r="C2602" s="609"/>
      <c r="D2602" s="609"/>
      <c r="E2602" s="595"/>
      <c r="F2602" s="596"/>
      <c r="G2602" s="664"/>
      <c r="H2602" s="665"/>
      <c r="I2602" s="599"/>
      <c r="J2602" s="599"/>
      <c r="K2602" s="611"/>
      <c r="L2602" s="611"/>
      <c r="M2602" s="621"/>
      <c r="N2602" s="621"/>
      <c r="O2602" s="621"/>
      <c r="P2602" s="706"/>
      <c r="Q2602" s="622"/>
      <c r="R2602" s="36"/>
      <c r="S2602" s="36"/>
      <c r="T2602" s="36"/>
      <c r="U2602" s="36"/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</row>
    <row r="2603" ht="22.5" customHeight="1">
      <c r="A2603" s="614"/>
      <c r="B2603" s="185"/>
      <c r="C2603" s="609"/>
      <c r="D2603" s="609"/>
      <c r="E2603" s="595"/>
      <c r="F2603" s="596"/>
      <c r="G2603" s="664"/>
      <c r="H2603" s="665"/>
      <c r="I2603" s="599"/>
      <c r="J2603" s="599"/>
      <c r="K2603" s="611"/>
      <c r="L2603" s="611"/>
      <c r="M2603" s="621"/>
      <c r="N2603" s="621"/>
      <c r="O2603" s="621"/>
      <c r="P2603" s="706"/>
      <c r="Q2603" s="622"/>
      <c r="R2603" s="36"/>
      <c r="S2603" s="36"/>
      <c r="T2603" s="36"/>
      <c r="U2603" s="36"/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</row>
    <row r="2604" ht="22.5" customHeight="1">
      <c r="A2604" s="614"/>
      <c r="B2604" s="185"/>
      <c r="C2604" s="609"/>
      <c r="D2604" s="609"/>
      <c r="E2604" s="595"/>
      <c r="F2604" s="596"/>
      <c r="G2604" s="664"/>
      <c r="H2604" s="665"/>
      <c r="I2604" s="599"/>
      <c r="J2604" s="599"/>
      <c r="K2604" s="611"/>
      <c r="L2604" s="611"/>
      <c r="M2604" s="621"/>
      <c r="N2604" s="621"/>
      <c r="O2604" s="621"/>
      <c r="P2604" s="706"/>
      <c r="Q2604" s="622"/>
      <c r="R2604" s="36"/>
      <c r="S2604" s="36"/>
      <c r="T2604" s="36"/>
      <c r="U2604" s="36"/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</row>
    <row r="2605" ht="22.5" customHeight="1">
      <c r="A2605" s="640"/>
      <c r="B2605" s="186"/>
      <c r="C2605" s="724"/>
      <c r="D2605" s="724"/>
      <c r="E2605" s="725"/>
      <c r="F2605" s="726"/>
      <c r="G2605" s="727"/>
      <c r="H2605" s="728"/>
      <c r="I2605" s="729"/>
      <c r="J2605" s="729"/>
      <c r="K2605" s="730"/>
      <c r="L2605" s="730"/>
      <c r="M2605" s="625"/>
      <c r="N2605" s="625"/>
      <c r="O2605" s="625"/>
      <c r="P2605" s="602"/>
      <c r="Q2605" s="651"/>
      <c r="R2605" s="36"/>
      <c r="S2605" s="36"/>
      <c r="T2605" s="36"/>
      <c r="U2605" s="36"/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</row>
    <row r="2606" ht="22.5" customHeight="1">
      <c r="A2606" s="640"/>
      <c r="B2606" s="186"/>
      <c r="C2606" s="724"/>
      <c r="D2606" s="724"/>
      <c r="E2606" s="725"/>
      <c r="F2606" s="726"/>
      <c r="G2606" s="727"/>
      <c r="H2606" s="728"/>
      <c r="I2606" s="729"/>
      <c r="J2606" s="729"/>
      <c r="K2606" s="730"/>
      <c r="L2606" s="730"/>
      <c r="M2606" s="625"/>
      <c r="N2606" s="625"/>
      <c r="O2606" s="625"/>
      <c r="P2606" s="602"/>
      <c r="Q2606" s="651"/>
      <c r="R2606" s="36"/>
      <c r="S2606" s="36"/>
      <c r="T2606" s="36"/>
      <c r="U2606" s="36"/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</row>
    <row r="2607" ht="22.5" customHeight="1">
      <c r="A2607" s="640"/>
      <c r="B2607" s="186"/>
      <c r="C2607" s="724"/>
      <c r="D2607" s="724"/>
      <c r="E2607" s="725"/>
      <c r="F2607" s="726"/>
      <c r="G2607" s="727"/>
      <c r="H2607" s="728"/>
      <c r="I2607" s="729"/>
      <c r="J2607" s="729"/>
      <c r="K2607" s="730"/>
      <c r="L2607" s="730"/>
      <c r="M2607" s="625"/>
      <c r="N2607" s="625"/>
      <c r="O2607" s="625"/>
      <c r="P2607" s="602"/>
      <c r="Q2607" s="651"/>
      <c r="R2607" s="36"/>
      <c r="S2607" s="36"/>
      <c r="T2607" s="36"/>
      <c r="U2607" s="36"/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</row>
    <row r="2608" ht="22.5" customHeight="1">
      <c r="A2608" s="640"/>
      <c r="B2608" s="186"/>
      <c r="C2608" s="724"/>
      <c r="D2608" s="724"/>
      <c r="E2608" s="725"/>
      <c r="F2608" s="726"/>
      <c r="G2608" s="727"/>
      <c r="H2608" s="728"/>
      <c r="I2608" s="729"/>
      <c r="J2608" s="729"/>
      <c r="K2608" s="730"/>
      <c r="L2608" s="730"/>
      <c r="M2608" s="625"/>
      <c r="N2608" s="625"/>
      <c r="O2608" s="625"/>
      <c r="P2608" s="602"/>
      <c r="Q2608" s="651"/>
      <c r="R2608" s="36"/>
      <c r="S2608" s="36"/>
      <c r="T2608" s="36"/>
      <c r="U2608" s="36"/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</row>
    <row r="2609" ht="22.5" customHeight="1">
      <c r="A2609" s="640"/>
      <c r="B2609" s="186"/>
      <c r="C2609" s="724"/>
      <c r="D2609" s="724"/>
      <c r="E2609" s="725"/>
      <c r="F2609" s="726"/>
      <c r="G2609" s="727"/>
      <c r="H2609" s="728"/>
      <c r="I2609" s="729"/>
      <c r="J2609" s="729"/>
      <c r="K2609" s="730"/>
      <c r="L2609" s="730"/>
      <c r="M2609" s="625"/>
      <c r="N2609" s="625"/>
      <c r="O2609" s="625"/>
      <c r="P2609" s="602"/>
      <c r="Q2609" s="651"/>
      <c r="R2609" s="36"/>
      <c r="S2609" s="36"/>
      <c r="T2609" s="36"/>
      <c r="U2609" s="36"/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</row>
    <row r="2610" ht="22.5" customHeight="1">
      <c r="A2610" s="640"/>
      <c r="B2610" s="186"/>
      <c r="C2610" s="724"/>
      <c r="D2610" s="724"/>
      <c r="E2610" s="725"/>
      <c r="F2610" s="726"/>
      <c r="G2610" s="727"/>
      <c r="H2610" s="728"/>
      <c r="I2610" s="729"/>
      <c r="J2610" s="729"/>
      <c r="K2610" s="730"/>
      <c r="L2610" s="730"/>
      <c r="M2610" s="625"/>
      <c r="N2610" s="625"/>
      <c r="O2610" s="625"/>
      <c r="P2610" s="602"/>
      <c r="Q2610" s="651"/>
      <c r="R2610" s="36"/>
      <c r="S2610" s="36"/>
      <c r="T2610" s="36"/>
      <c r="U2610" s="36"/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</row>
    <row r="2611" ht="22.5" customHeight="1">
      <c r="A2611" s="640"/>
      <c r="B2611" s="186"/>
      <c r="C2611" s="724"/>
      <c r="D2611" s="724"/>
      <c r="E2611" s="725"/>
      <c r="F2611" s="726"/>
      <c r="G2611" s="727"/>
      <c r="H2611" s="728"/>
      <c r="I2611" s="729"/>
      <c r="J2611" s="729"/>
      <c r="K2611" s="730"/>
      <c r="L2611" s="730"/>
      <c r="M2611" s="625"/>
      <c r="N2611" s="625"/>
      <c r="O2611" s="625"/>
      <c r="P2611" s="602"/>
      <c r="Q2611" s="651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</row>
    <row r="2612" ht="22.5" customHeight="1">
      <c r="A2612" s="640"/>
      <c r="B2612" s="186"/>
      <c r="C2612" s="724"/>
      <c r="D2612" s="724"/>
      <c r="E2612" s="725"/>
      <c r="F2612" s="726"/>
      <c r="G2612" s="727"/>
      <c r="H2612" s="728"/>
      <c r="I2612" s="729"/>
      <c r="J2612" s="729"/>
      <c r="K2612" s="730"/>
      <c r="L2612" s="730"/>
      <c r="M2612" s="625"/>
      <c r="N2612" s="625"/>
      <c r="O2612" s="625"/>
      <c r="P2612" s="602"/>
      <c r="Q2612" s="651"/>
      <c r="R2612" s="36"/>
      <c r="S2612" s="36"/>
      <c r="T2612" s="36"/>
      <c r="U2612" s="36"/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</row>
    <row r="2613" ht="22.5" customHeight="1">
      <c r="A2613" s="640"/>
      <c r="B2613" s="186"/>
      <c r="C2613" s="724"/>
      <c r="D2613" s="724"/>
      <c r="E2613" s="725"/>
      <c r="F2613" s="726"/>
      <c r="G2613" s="727"/>
      <c r="H2613" s="728"/>
      <c r="I2613" s="729"/>
      <c r="J2613" s="729"/>
      <c r="K2613" s="730"/>
      <c r="L2613" s="730"/>
      <c r="M2613" s="625"/>
      <c r="N2613" s="625"/>
      <c r="O2613" s="625"/>
      <c r="P2613" s="602"/>
      <c r="Q2613" s="651"/>
      <c r="R2613" s="36"/>
      <c r="S2613" s="36"/>
      <c r="T2613" s="36"/>
      <c r="U2613" s="36"/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</row>
    <row r="2614" ht="22.5" customHeight="1">
      <c r="A2614" s="640"/>
      <c r="B2614" s="186"/>
      <c r="C2614" s="724"/>
      <c r="D2614" s="724"/>
      <c r="E2614" s="725"/>
      <c r="F2614" s="726"/>
      <c r="G2614" s="727"/>
      <c r="H2614" s="728"/>
      <c r="I2614" s="729"/>
      <c r="J2614" s="729"/>
      <c r="K2614" s="730"/>
      <c r="L2614" s="730"/>
      <c r="M2614" s="625"/>
      <c r="N2614" s="625"/>
      <c r="O2614" s="625"/>
      <c r="P2614" s="602"/>
      <c r="Q2614" s="651"/>
      <c r="R2614" s="36"/>
      <c r="S2614" s="36"/>
      <c r="T2614" s="36"/>
      <c r="U2614" s="36"/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</row>
    <row r="2615" ht="22.5" customHeight="1">
      <c r="A2615" s="640"/>
      <c r="B2615" s="186"/>
      <c r="C2615" s="724"/>
      <c r="D2615" s="724"/>
      <c r="E2615" s="725"/>
      <c r="F2615" s="726"/>
      <c r="G2615" s="727"/>
      <c r="H2615" s="728"/>
      <c r="I2615" s="729"/>
      <c r="J2615" s="729"/>
      <c r="K2615" s="730"/>
      <c r="L2615" s="730"/>
      <c r="M2615" s="625"/>
      <c r="N2615" s="625"/>
      <c r="O2615" s="625"/>
      <c r="P2615" s="602"/>
      <c r="Q2615" s="651"/>
      <c r="R2615" s="36"/>
      <c r="S2615" s="36"/>
      <c r="T2615" s="36"/>
      <c r="U2615" s="36"/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</row>
    <row r="2616" ht="22.5" customHeight="1">
      <c r="A2616" s="640"/>
      <c r="B2616" s="186"/>
      <c r="C2616" s="724"/>
      <c r="D2616" s="724"/>
      <c r="E2616" s="725"/>
      <c r="F2616" s="726"/>
      <c r="G2616" s="727"/>
      <c r="H2616" s="728"/>
      <c r="I2616" s="729"/>
      <c r="J2616" s="729"/>
      <c r="K2616" s="730"/>
      <c r="L2616" s="730"/>
      <c r="M2616" s="625"/>
      <c r="N2616" s="625"/>
      <c r="O2616" s="625"/>
      <c r="P2616" s="602"/>
      <c r="Q2616" s="651"/>
      <c r="R2616" s="36"/>
      <c r="S2616" s="36"/>
      <c r="T2616" s="36"/>
      <c r="U2616" s="36"/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</row>
    <row r="2617" ht="22.5" customHeight="1">
      <c r="A2617" s="640"/>
      <c r="B2617" s="186"/>
      <c r="C2617" s="724"/>
      <c r="D2617" s="724"/>
      <c r="E2617" s="725"/>
      <c r="F2617" s="726"/>
      <c r="G2617" s="727"/>
      <c r="H2617" s="728"/>
      <c r="I2617" s="729"/>
      <c r="J2617" s="729"/>
      <c r="K2617" s="730"/>
      <c r="L2617" s="730"/>
      <c r="M2617" s="625"/>
      <c r="N2617" s="625"/>
      <c r="O2617" s="625"/>
      <c r="P2617" s="602"/>
      <c r="Q2617" s="651"/>
      <c r="R2617" s="36"/>
      <c r="S2617" s="36"/>
      <c r="T2617" s="36"/>
      <c r="U2617" s="36"/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</row>
    <row r="2618" ht="22.5" customHeight="1">
      <c r="A2618" s="640"/>
      <c r="B2618" s="186"/>
      <c r="C2618" s="724"/>
      <c r="D2618" s="724"/>
      <c r="E2618" s="725"/>
      <c r="F2618" s="726"/>
      <c r="G2618" s="727"/>
      <c r="H2618" s="728"/>
      <c r="I2618" s="729"/>
      <c r="J2618" s="729"/>
      <c r="K2618" s="730"/>
      <c r="L2618" s="730"/>
      <c r="M2618" s="625"/>
      <c r="N2618" s="625"/>
      <c r="O2618" s="625"/>
      <c r="P2618" s="602"/>
      <c r="Q2618" s="651"/>
      <c r="R2618" s="36"/>
      <c r="S2618" s="36"/>
      <c r="T2618" s="36"/>
      <c r="U2618" s="36"/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</row>
    <row r="2619" ht="22.5" customHeight="1">
      <c r="A2619" s="640"/>
      <c r="B2619" s="186"/>
      <c r="C2619" s="724"/>
      <c r="D2619" s="724"/>
      <c r="E2619" s="725"/>
      <c r="F2619" s="726"/>
      <c r="G2619" s="727"/>
      <c r="H2619" s="728"/>
      <c r="I2619" s="729"/>
      <c r="J2619" s="729"/>
      <c r="K2619" s="730"/>
      <c r="L2619" s="730"/>
      <c r="M2619" s="625"/>
      <c r="N2619" s="625"/>
      <c r="O2619" s="625"/>
      <c r="P2619" s="602"/>
      <c r="Q2619" s="651"/>
      <c r="R2619" s="36"/>
      <c r="S2619" s="36"/>
      <c r="T2619" s="36"/>
      <c r="U2619" s="36"/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</row>
    <row r="2620" ht="22.5" customHeight="1">
      <c r="A2620" s="640"/>
      <c r="B2620" s="186"/>
      <c r="C2620" s="724"/>
      <c r="D2620" s="724"/>
      <c r="E2620" s="725"/>
      <c r="F2620" s="726"/>
      <c r="G2620" s="727"/>
      <c r="H2620" s="728"/>
      <c r="I2620" s="729"/>
      <c r="J2620" s="729"/>
      <c r="K2620" s="730"/>
      <c r="L2620" s="730"/>
      <c r="M2620" s="625"/>
      <c r="N2620" s="625"/>
      <c r="O2620" s="625"/>
      <c r="P2620" s="602"/>
      <c r="Q2620" s="651"/>
      <c r="R2620" s="36"/>
      <c r="S2620" s="36"/>
      <c r="T2620" s="36"/>
      <c r="U2620" s="36"/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</row>
    <row r="2621" ht="22.5" customHeight="1">
      <c r="A2621" s="640"/>
      <c r="B2621" s="186"/>
      <c r="C2621" s="724"/>
      <c r="D2621" s="724"/>
      <c r="E2621" s="725"/>
      <c r="F2621" s="726"/>
      <c r="G2621" s="727"/>
      <c r="H2621" s="728"/>
      <c r="I2621" s="729"/>
      <c r="J2621" s="729"/>
      <c r="K2621" s="730"/>
      <c r="L2621" s="730"/>
      <c r="M2621" s="625"/>
      <c r="N2621" s="625"/>
      <c r="O2621" s="625"/>
      <c r="P2621" s="602"/>
      <c r="Q2621" s="651"/>
      <c r="R2621" s="36"/>
      <c r="S2621" s="36"/>
      <c r="T2621" s="36"/>
      <c r="U2621" s="36"/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</row>
    <row r="2622" ht="22.5" customHeight="1">
      <c r="A2622" s="640"/>
      <c r="B2622" s="186"/>
      <c r="C2622" s="724"/>
      <c r="D2622" s="724"/>
      <c r="E2622" s="725"/>
      <c r="F2622" s="726"/>
      <c r="G2622" s="727"/>
      <c r="H2622" s="728"/>
      <c r="I2622" s="729"/>
      <c r="J2622" s="729"/>
      <c r="K2622" s="730"/>
      <c r="L2622" s="730"/>
      <c r="M2622" s="625"/>
      <c r="N2622" s="625"/>
      <c r="O2622" s="625"/>
      <c r="P2622" s="602"/>
      <c r="Q2622" s="651"/>
      <c r="R2622" s="36"/>
      <c r="S2622" s="36"/>
      <c r="T2622" s="36"/>
      <c r="U2622" s="36"/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</row>
    <row r="2623" ht="22.5" customHeight="1">
      <c r="A2623" s="640"/>
      <c r="B2623" s="186"/>
      <c r="C2623" s="724"/>
      <c r="D2623" s="724"/>
      <c r="E2623" s="725"/>
      <c r="F2623" s="726"/>
      <c r="G2623" s="727"/>
      <c r="H2623" s="728"/>
      <c r="I2623" s="729"/>
      <c r="J2623" s="729"/>
      <c r="K2623" s="730"/>
      <c r="L2623" s="730"/>
      <c r="M2623" s="625"/>
      <c r="N2623" s="625"/>
      <c r="O2623" s="625"/>
      <c r="P2623" s="602"/>
      <c r="Q2623" s="651"/>
      <c r="R2623" s="36"/>
      <c r="S2623" s="36"/>
      <c r="T2623" s="36"/>
      <c r="U2623" s="36"/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</row>
    <row r="2624" ht="22.5" customHeight="1">
      <c r="A2624" s="640"/>
      <c r="B2624" s="186"/>
      <c r="C2624" s="724"/>
      <c r="D2624" s="724"/>
      <c r="E2624" s="725"/>
      <c r="F2624" s="726"/>
      <c r="G2624" s="727"/>
      <c r="H2624" s="728"/>
      <c r="I2624" s="729"/>
      <c r="J2624" s="729"/>
      <c r="K2624" s="730"/>
      <c r="L2624" s="730"/>
      <c r="M2624" s="625"/>
      <c r="N2624" s="625"/>
      <c r="O2624" s="625"/>
      <c r="P2624" s="602"/>
      <c r="Q2624" s="651"/>
      <c r="R2624" s="36"/>
      <c r="S2624" s="36"/>
      <c r="T2624" s="36"/>
      <c r="U2624" s="36"/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</row>
    <row r="2625" ht="22.5" customHeight="1">
      <c r="A2625" s="640"/>
      <c r="B2625" s="186"/>
      <c r="C2625" s="724"/>
      <c r="D2625" s="724"/>
      <c r="E2625" s="725"/>
      <c r="F2625" s="726"/>
      <c r="G2625" s="727"/>
      <c r="H2625" s="728"/>
      <c r="I2625" s="729"/>
      <c r="J2625" s="729"/>
      <c r="K2625" s="730"/>
      <c r="L2625" s="730"/>
      <c r="M2625" s="625"/>
      <c r="N2625" s="625"/>
      <c r="O2625" s="625"/>
      <c r="P2625" s="602"/>
      <c r="Q2625" s="651"/>
      <c r="R2625" s="36"/>
      <c r="S2625" s="36"/>
      <c r="T2625" s="36"/>
      <c r="U2625" s="36"/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</row>
    <row r="2626" ht="22.5" customHeight="1">
      <c r="A2626" s="640"/>
      <c r="B2626" s="186"/>
      <c r="C2626" s="724"/>
      <c r="D2626" s="724"/>
      <c r="E2626" s="725"/>
      <c r="F2626" s="726"/>
      <c r="G2626" s="727"/>
      <c r="H2626" s="728"/>
      <c r="I2626" s="729"/>
      <c r="J2626" s="729"/>
      <c r="K2626" s="730"/>
      <c r="L2626" s="730"/>
      <c r="M2626" s="625"/>
      <c r="N2626" s="625"/>
      <c r="O2626" s="625"/>
      <c r="P2626" s="602"/>
      <c r="Q2626" s="651"/>
      <c r="R2626" s="36"/>
      <c r="S2626" s="36"/>
      <c r="T2626" s="36"/>
      <c r="U2626" s="36"/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</row>
    <row r="2627" ht="22.5" customHeight="1">
      <c r="A2627" s="640"/>
      <c r="B2627" s="186"/>
      <c r="C2627" s="724"/>
      <c r="D2627" s="724"/>
      <c r="E2627" s="725"/>
      <c r="F2627" s="726"/>
      <c r="G2627" s="727"/>
      <c r="H2627" s="728"/>
      <c r="I2627" s="729"/>
      <c r="J2627" s="729"/>
      <c r="K2627" s="730"/>
      <c r="L2627" s="730"/>
      <c r="M2627" s="625"/>
      <c r="N2627" s="625"/>
      <c r="O2627" s="625"/>
      <c r="P2627" s="602"/>
      <c r="Q2627" s="651"/>
      <c r="R2627" s="36"/>
      <c r="S2627" s="36"/>
      <c r="T2627" s="36"/>
      <c r="U2627" s="36"/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</row>
    <row r="2628" ht="22.5" customHeight="1">
      <c r="A2628" s="640"/>
      <c r="B2628" s="186"/>
      <c r="C2628" s="724"/>
      <c r="D2628" s="724"/>
      <c r="E2628" s="725"/>
      <c r="F2628" s="726"/>
      <c r="G2628" s="727"/>
      <c r="H2628" s="728"/>
      <c r="I2628" s="729"/>
      <c r="J2628" s="729"/>
      <c r="K2628" s="730"/>
      <c r="L2628" s="730"/>
      <c r="M2628" s="625"/>
      <c r="N2628" s="625"/>
      <c r="O2628" s="625"/>
      <c r="P2628" s="602"/>
      <c r="Q2628" s="651"/>
      <c r="R2628" s="36"/>
      <c r="S2628" s="36"/>
      <c r="T2628" s="36"/>
      <c r="U2628" s="36"/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</row>
    <row r="2629" ht="22.5" customHeight="1">
      <c r="A2629" s="640"/>
      <c r="B2629" s="186"/>
      <c r="C2629" s="724"/>
      <c r="D2629" s="724"/>
      <c r="E2629" s="725"/>
      <c r="F2629" s="726"/>
      <c r="G2629" s="727"/>
      <c r="H2629" s="728"/>
      <c r="I2629" s="729"/>
      <c r="J2629" s="729"/>
      <c r="K2629" s="730"/>
      <c r="L2629" s="730"/>
      <c r="M2629" s="625"/>
      <c r="N2629" s="625"/>
      <c r="O2629" s="625"/>
      <c r="P2629" s="602"/>
      <c r="Q2629" s="651"/>
      <c r="R2629" s="36"/>
      <c r="S2629" s="36"/>
      <c r="T2629" s="36"/>
      <c r="U2629" s="36"/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</row>
    <row r="2630" ht="22.5" customHeight="1">
      <c r="A2630" s="640"/>
      <c r="B2630" s="186"/>
      <c r="C2630" s="724"/>
      <c r="D2630" s="724"/>
      <c r="E2630" s="725"/>
      <c r="F2630" s="726"/>
      <c r="G2630" s="727"/>
      <c r="H2630" s="728"/>
      <c r="I2630" s="729"/>
      <c r="J2630" s="729"/>
      <c r="K2630" s="730"/>
      <c r="L2630" s="730"/>
      <c r="M2630" s="625"/>
      <c r="N2630" s="625"/>
      <c r="O2630" s="625"/>
      <c r="P2630" s="602"/>
      <c r="Q2630" s="651"/>
      <c r="R2630" s="36"/>
      <c r="S2630" s="36"/>
      <c r="T2630" s="36"/>
      <c r="U2630" s="36"/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</row>
    <row r="2631" ht="22.5" customHeight="1">
      <c r="A2631" s="640"/>
      <c r="B2631" s="186"/>
      <c r="C2631" s="724"/>
      <c r="D2631" s="724"/>
      <c r="E2631" s="725"/>
      <c r="F2631" s="726"/>
      <c r="G2631" s="727"/>
      <c r="H2631" s="728"/>
      <c r="I2631" s="729"/>
      <c r="J2631" s="729"/>
      <c r="K2631" s="730"/>
      <c r="L2631" s="730"/>
      <c r="M2631" s="625"/>
      <c r="N2631" s="625"/>
      <c r="O2631" s="625"/>
      <c r="P2631" s="602"/>
      <c r="Q2631" s="651"/>
      <c r="R2631" s="36"/>
      <c r="S2631" s="36"/>
      <c r="T2631" s="36"/>
      <c r="U2631" s="36"/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</row>
    <row r="2632" ht="22.5" customHeight="1">
      <c r="A2632" s="640"/>
      <c r="B2632" s="186"/>
      <c r="C2632" s="724"/>
      <c r="D2632" s="724"/>
      <c r="E2632" s="725"/>
      <c r="F2632" s="726"/>
      <c r="G2632" s="727"/>
      <c r="H2632" s="728"/>
      <c r="I2632" s="729"/>
      <c r="J2632" s="729"/>
      <c r="K2632" s="730"/>
      <c r="L2632" s="730"/>
      <c r="M2632" s="625"/>
      <c r="N2632" s="625"/>
      <c r="O2632" s="625"/>
      <c r="P2632" s="602"/>
      <c r="Q2632" s="651"/>
      <c r="R2632" s="36"/>
      <c r="S2632" s="36"/>
      <c r="T2632" s="36"/>
      <c r="U2632" s="36"/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</row>
    <row r="2633" ht="22.5" customHeight="1">
      <c r="A2633" s="640"/>
      <c r="B2633" s="186"/>
      <c r="C2633" s="724"/>
      <c r="D2633" s="724"/>
      <c r="E2633" s="725"/>
      <c r="F2633" s="726"/>
      <c r="G2633" s="727"/>
      <c r="H2633" s="728"/>
      <c r="I2633" s="729"/>
      <c r="J2633" s="729"/>
      <c r="K2633" s="730"/>
      <c r="L2633" s="730"/>
      <c r="M2633" s="625"/>
      <c r="N2633" s="625"/>
      <c r="O2633" s="625"/>
      <c r="P2633" s="602"/>
      <c r="Q2633" s="651"/>
      <c r="R2633" s="36"/>
      <c r="S2633" s="36"/>
      <c r="T2633" s="36"/>
      <c r="U2633" s="36"/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</row>
    <row r="2634" ht="22.5" customHeight="1">
      <c r="A2634" s="640"/>
      <c r="B2634" s="186"/>
      <c r="C2634" s="724"/>
      <c r="D2634" s="724"/>
      <c r="E2634" s="725"/>
      <c r="F2634" s="726"/>
      <c r="G2634" s="727"/>
      <c r="H2634" s="728"/>
      <c r="I2634" s="729"/>
      <c r="J2634" s="729"/>
      <c r="K2634" s="730"/>
      <c r="L2634" s="730"/>
      <c r="M2634" s="625"/>
      <c r="N2634" s="625"/>
      <c r="O2634" s="625"/>
      <c r="P2634" s="602"/>
      <c r="Q2634" s="651"/>
      <c r="R2634" s="36"/>
      <c r="S2634" s="36"/>
      <c r="T2634" s="36"/>
      <c r="U2634" s="36"/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</row>
    <row r="2635" ht="22.5" customHeight="1">
      <c r="A2635" s="640"/>
      <c r="B2635" s="186"/>
      <c r="C2635" s="724"/>
      <c r="D2635" s="724"/>
      <c r="E2635" s="725"/>
      <c r="F2635" s="726"/>
      <c r="G2635" s="727"/>
      <c r="H2635" s="728"/>
      <c r="I2635" s="729"/>
      <c r="J2635" s="729"/>
      <c r="K2635" s="730"/>
      <c r="L2635" s="730"/>
      <c r="M2635" s="625"/>
      <c r="N2635" s="625"/>
      <c r="O2635" s="625"/>
      <c r="P2635" s="602"/>
      <c r="Q2635" s="651"/>
      <c r="R2635" s="36"/>
      <c r="S2635" s="36"/>
      <c r="T2635" s="36"/>
      <c r="U2635" s="36"/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</row>
    <row r="2636" ht="22.5" customHeight="1">
      <c r="A2636" s="640"/>
      <c r="B2636" s="186"/>
      <c r="C2636" s="724"/>
      <c r="D2636" s="724"/>
      <c r="E2636" s="725"/>
      <c r="F2636" s="726"/>
      <c r="G2636" s="727"/>
      <c r="H2636" s="728"/>
      <c r="I2636" s="729"/>
      <c r="J2636" s="729"/>
      <c r="K2636" s="730"/>
      <c r="L2636" s="730"/>
      <c r="M2636" s="625"/>
      <c r="N2636" s="625"/>
      <c r="O2636" s="625"/>
      <c r="P2636" s="602"/>
      <c r="Q2636" s="651"/>
      <c r="R2636" s="36"/>
      <c r="S2636" s="36"/>
      <c r="T2636" s="36"/>
      <c r="U2636" s="36"/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</row>
    <row r="2637" ht="22.5" customHeight="1">
      <c r="A2637" s="640"/>
      <c r="B2637" s="186"/>
      <c r="C2637" s="724"/>
      <c r="D2637" s="724"/>
      <c r="E2637" s="725"/>
      <c r="F2637" s="726"/>
      <c r="G2637" s="727"/>
      <c r="H2637" s="728"/>
      <c r="I2637" s="729"/>
      <c r="J2637" s="729"/>
      <c r="K2637" s="730"/>
      <c r="L2637" s="730"/>
      <c r="M2637" s="625"/>
      <c r="N2637" s="625"/>
      <c r="O2637" s="625"/>
      <c r="P2637" s="602"/>
      <c r="Q2637" s="651"/>
      <c r="R2637" s="36"/>
      <c r="S2637" s="36"/>
      <c r="T2637" s="36"/>
      <c r="U2637" s="36"/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</row>
    <row r="2638" ht="22.5" customHeight="1">
      <c r="A2638" s="640"/>
      <c r="B2638" s="186"/>
      <c r="C2638" s="724"/>
      <c r="D2638" s="724"/>
      <c r="E2638" s="725"/>
      <c r="F2638" s="726"/>
      <c r="G2638" s="727"/>
      <c r="H2638" s="728"/>
      <c r="I2638" s="729"/>
      <c r="J2638" s="729"/>
      <c r="K2638" s="730"/>
      <c r="L2638" s="730"/>
      <c r="M2638" s="625"/>
      <c r="N2638" s="625"/>
      <c r="O2638" s="625"/>
      <c r="P2638" s="602"/>
      <c r="Q2638" s="651"/>
      <c r="R2638" s="36"/>
      <c r="S2638" s="36"/>
      <c r="T2638" s="36"/>
      <c r="U2638" s="36"/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</row>
    <row r="2639" ht="22.5" customHeight="1">
      <c r="A2639" s="640"/>
      <c r="B2639" s="186"/>
      <c r="C2639" s="724"/>
      <c r="D2639" s="724"/>
      <c r="E2639" s="725"/>
      <c r="F2639" s="726"/>
      <c r="G2639" s="727"/>
      <c r="H2639" s="728"/>
      <c r="I2639" s="729"/>
      <c r="J2639" s="729"/>
      <c r="K2639" s="730"/>
      <c r="L2639" s="730"/>
      <c r="M2639" s="625"/>
      <c r="N2639" s="625"/>
      <c r="O2639" s="625"/>
      <c r="P2639" s="602"/>
      <c r="Q2639" s="651"/>
      <c r="R2639" s="36"/>
      <c r="S2639" s="36"/>
      <c r="T2639" s="36"/>
      <c r="U2639" s="36"/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</row>
    <row r="2640" ht="22.5" customHeight="1">
      <c r="A2640" s="640"/>
      <c r="B2640" s="186"/>
      <c r="C2640" s="724"/>
      <c r="D2640" s="724"/>
      <c r="E2640" s="725"/>
      <c r="F2640" s="726"/>
      <c r="G2640" s="727"/>
      <c r="H2640" s="728"/>
      <c r="I2640" s="729"/>
      <c r="J2640" s="729"/>
      <c r="K2640" s="730"/>
      <c r="L2640" s="730"/>
      <c r="M2640" s="625"/>
      <c r="N2640" s="625"/>
      <c r="O2640" s="625"/>
      <c r="P2640" s="602"/>
      <c r="Q2640" s="651"/>
      <c r="R2640" s="36"/>
      <c r="S2640" s="36"/>
      <c r="T2640" s="36"/>
      <c r="U2640" s="36"/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</row>
    <row r="2641" ht="22.5" customHeight="1">
      <c r="A2641" s="640"/>
      <c r="B2641" s="186"/>
      <c r="C2641" s="724"/>
      <c r="D2641" s="724"/>
      <c r="E2641" s="725"/>
      <c r="F2641" s="726"/>
      <c r="G2641" s="727"/>
      <c r="H2641" s="728"/>
      <c r="I2641" s="729"/>
      <c r="J2641" s="729"/>
      <c r="K2641" s="730"/>
      <c r="L2641" s="730"/>
      <c r="M2641" s="625"/>
      <c r="N2641" s="625"/>
      <c r="O2641" s="625"/>
      <c r="P2641" s="602"/>
      <c r="Q2641" s="651"/>
      <c r="R2641" s="36"/>
      <c r="S2641" s="36"/>
      <c r="T2641" s="36"/>
      <c r="U2641" s="36"/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</row>
    <row r="2642" ht="22.5" customHeight="1">
      <c r="A2642" s="640"/>
      <c r="B2642" s="186"/>
      <c r="C2642" s="724"/>
      <c r="D2642" s="724"/>
      <c r="E2642" s="725"/>
      <c r="F2642" s="726"/>
      <c r="G2642" s="727"/>
      <c r="H2642" s="728"/>
      <c r="I2642" s="729"/>
      <c r="J2642" s="729"/>
      <c r="K2642" s="730"/>
      <c r="L2642" s="730"/>
      <c r="M2642" s="625"/>
      <c r="N2642" s="625"/>
      <c r="O2642" s="625"/>
      <c r="P2642" s="602"/>
      <c r="Q2642" s="651"/>
      <c r="R2642" s="36"/>
      <c r="S2642" s="36"/>
      <c r="T2642" s="36"/>
      <c r="U2642" s="36"/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</row>
    <row r="2643" ht="22.5" customHeight="1">
      <c r="A2643" s="640"/>
      <c r="B2643" s="186"/>
      <c r="C2643" s="724"/>
      <c r="D2643" s="724"/>
      <c r="E2643" s="725"/>
      <c r="F2643" s="726"/>
      <c r="G2643" s="727"/>
      <c r="H2643" s="728"/>
      <c r="I2643" s="729"/>
      <c r="J2643" s="729"/>
      <c r="K2643" s="730"/>
      <c r="L2643" s="730"/>
      <c r="M2643" s="625"/>
      <c r="N2643" s="625"/>
      <c r="O2643" s="625"/>
      <c r="P2643" s="602"/>
      <c r="Q2643" s="651"/>
      <c r="R2643" s="36"/>
      <c r="S2643" s="36"/>
      <c r="T2643" s="36"/>
      <c r="U2643" s="36"/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</row>
    <row r="2644" ht="22.5" customHeight="1">
      <c r="A2644" s="640"/>
      <c r="B2644" s="186"/>
      <c r="C2644" s="724"/>
      <c r="D2644" s="724"/>
      <c r="E2644" s="725"/>
      <c r="F2644" s="726"/>
      <c r="G2644" s="727"/>
      <c r="H2644" s="728"/>
      <c r="I2644" s="729"/>
      <c r="J2644" s="729"/>
      <c r="K2644" s="730"/>
      <c r="L2644" s="730"/>
      <c r="M2644" s="625"/>
      <c r="N2644" s="625"/>
      <c r="O2644" s="625"/>
      <c r="P2644" s="602"/>
      <c r="Q2644" s="651"/>
      <c r="R2644" s="36"/>
      <c r="S2644" s="36"/>
      <c r="T2644" s="36"/>
      <c r="U2644" s="36"/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</row>
    <row r="2645" ht="22.5" customHeight="1">
      <c r="A2645" s="640"/>
      <c r="B2645" s="186"/>
      <c r="C2645" s="724"/>
      <c r="D2645" s="724"/>
      <c r="E2645" s="725"/>
      <c r="F2645" s="726"/>
      <c r="G2645" s="727"/>
      <c r="H2645" s="728"/>
      <c r="I2645" s="729"/>
      <c r="J2645" s="729"/>
      <c r="K2645" s="730"/>
      <c r="L2645" s="730"/>
      <c r="M2645" s="625"/>
      <c r="N2645" s="625"/>
      <c r="O2645" s="625"/>
      <c r="P2645" s="602"/>
      <c r="Q2645" s="651"/>
      <c r="R2645" s="36"/>
      <c r="S2645" s="36"/>
      <c r="T2645" s="36"/>
      <c r="U2645" s="36"/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</row>
    <row r="2646" ht="22.5" customHeight="1">
      <c r="A2646" s="640"/>
      <c r="B2646" s="186"/>
      <c r="C2646" s="724"/>
      <c r="D2646" s="724"/>
      <c r="E2646" s="725"/>
      <c r="F2646" s="726"/>
      <c r="G2646" s="727"/>
      <c r="H2646" s="728"/>
      <c r="I2646" s="729"/>
      <c r="J2646" s="729"/>
      <c r="K2646" s="730"/>
      <c r="L2646" s="730"/>
      <c r="M2646" s="625"/>
      <c r="N2646" s="625"/>
      <c r="O2646" s="625"/>
      <c r="P2646" s="602"/>
      <c r="Q2646" s="651"/>
      <c r="R2646" s="36"/>
      <c r="S2646" s="36"/>
      <c r="T2646" s="36"/>
      <c r="U2646" s="36"/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</row>
    <row r="2647" ht="22.5" customHeight="1">
      <c r="A2647" s="640"/>
      <c r="B2647" s="186"/>
      <c r="C2647" s="724"/>
      <c r="D2647" s="724"/>
      <c r="E2647" s="725"/>
      <c r="F2647" s="726"/>
      <c r="G2647" s="727"/>
      <c r="H2647" s="728"/>
      <c r="I2647" s="729"/>
      <c r="J2647" s="729"/>
      <c r="K2647" s="730"/>
      <c r="L2647" s="730"/>
      <c r="M2647" s="625"/>
      <c r="N2647" s="625"/>
      <c r="O2647" s="625"/>
      <c r="P2647" s="602"/>
      <c r="Q2647" s="651"/>
      <c r="R2647" s="36"/>
      <c r="S2647" s="36"/>
      <c r="T2647" s="36"/>
      <c r="U2647" s="36"/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</row>
    <row r="2648" ht="22.5" customHeight="1">
      <c r="A2648" s="640"/>
      <c r="B2648" s="186"/>
      <c r="C2648" s="724"/>
      <c r="D2648" s="724"/>
      <c r="E2648" s="725"/>
      <c r="F2648" s="726"/>
      <c r="G2648" s="727"/>
      <c r="H2648" s="728"/>
      <c r="I2648" s="729"/>
      <c r="J2648" s="729"/>
      <c r="K2648" s="730"/>
      <c r="L2648" s="730"/>
      <c r="M2648" s="625"/>
      <c r="N2648" s="625"/>
      <c r="O2648" s="625"/>
      <c r="P2648" s="602"/>
      <c r="Q2648" s="651"/>
      <c r="R2648" s="36"/>
      <c r="S2648" s="36"/>
      <c r="T2648" s="36"/>
      <c r="U2648" s="36"/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</row>
    <row r="2649" ht="22.5" customHeight="1">
      <c r="A2649" s="640"/>
      <c r="B2649" s="186"/>
      <c r="C2649" s="724"/>
      <c r="D2649" s="724"/>
      <c r="E2649" s="725"/>
      <c r="F2649" s="726"/>
      <c r="G2649" s="727"/>
      <c r="H2649" s="728"/>
      <c r="I2649" s="729"/>
      <c r="J2649" s="729"/>
      <c r="K2649" s="730"/>
      <c r="L2649" s="730"/>
      <c r="M2649" s="625"/>
      <c r="N2649" s="625"/>
      <c r="O2649" s="625"/>
      <c r="P2649" s="602"/>
      <c r="Q2649" s="651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</row>
    <row r="2650" ht="22.5" customHeight="1">
      <c r="A2650" s="640"/>
      <c r="B2650" s="186"/>
      <c r="C2650" s="724"/>
      <c r="D2650" s="724"/>
      <c r="E2650" s="725"/>
      <c r="F2650" s="726"/>
      <c r="G2650" s="727"/>
      <c r="H2650" s="728"/>
      <c r="I2650" s="729"/>
      <c r="J2650" s="729"/>
      <c r="K2650" s="730"/>
      <c r="L2650" s="730"/>
      <c r="M2650" s="625"/>
      <c r="N2650" s="625"/>
      <c r="O2650" s="625"/>
      <c r="P2650" s="602"/>
      <c r="Q2650" s="651"/>
      <c r="R2650" s="36"/>
      <c r="S2650" s="36"/>
      <c r="T2650" s="36"/>
      <c r="U2650" s="36"/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</row>
    <row r="2651" ht="22.5" customHeight="1">
      <c r="A2651" s="640"/>
      <c r="B2651" s="186"/>
      <c r="C2651" s="724"/>
      <c r="D2651" s="724"/>
      <c r="E2651" s="725"/>
      <c r="F2651" s="726"/>
      <c r="G2651" s="727"/>
      <c r="H2651" s="728"/>
      <c r="I2651" s="729"/>
      <c r="J2651" s="729"/>
      <c r="K2651" s="730"/>
      <c r="L2651" s="730"/>
      <c r="M2651" s="625"/>
      <c r="N2651" s="625"/>
      <c r="O2651" s="625"/>
      <c r="P2651" s="602"/>
      <c r="Q2651" s="651"/>
      <c r="R2651" s="36"/>
      <c r="S2651" s="36"/>
      <c r="T2651" s="36"/>
      <c r="U2651" s="36"/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</row>
    <row r="2652" ht="22.5" customHeight="1">
      <c r="A2652" s="640"/>
      <c r="B2652" s="186"/>
      <c r="C2652" s="724"/>
      <c r="D2652" s="724"/>
      <c r="E2652" s="725"/>
      <c r="F2652" s="726"/>
      <c r="G2652" s="727"/>
      <c r="H2652" s="728"/>
      <c r="I2652" s="729"/>
      <c r="J2652" s="729"/>
      <c r="K2652" s="730"/>
      <c r="L2652" s="730"/>
      <c r="M2652" s="625"/>
      <c r="N2652" s="625"/>
      <c r="O2652" s="625"/>
      <c r="P2652" s="602"/>
      <c r="Q2652" s="651"/>
      <c r="R2652" s="36"/>
      <c r="S2652" s="36"/>
      <c r="T2652" s="36"/>
      <c r="U2652" s="36"/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</row>
    <row r="2653" ht="22.5" customHeight="1">
      <c r="A2653" s="640"/>
      <c r="B2653" s="186"/>
      <c r="C2653" s="724"/>
      <c r="D2653" s="724"/>
      <c r="E2653" s="725"/>
      <c r="F2653" s="726"/>
      <c r="G2653" s="727"/>
      <c r="H2653" s="728"/>
      <c r="I2653" s="729"/>
      <c r="J2653" s="729"/>
      <c r="K2653" s="730"/>
      <c r="L2653" s="730"/>
      <c r="M2653" s="625"/>
      <c r="N2653" s="625"/>
      <c r="O2653" s="625"/>
      <c r="P2653" s="602"/>
      <c r="Q2653" s="651"/>
      <c r="R2653" s="36"/>
      <c r="S2653" s="36"/>
      <c r="T2653" s="36"/>
      <c r="U2653" s="36"/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</row>
    <row r="2654" ht="22.5" customHeight="1">
      <c r="A2654" s="640"/>
      <c r="B2654" s="186"/>
      <c r="C2654" s="724"/>
      <c r="D2654" s="724"/>
      <c r="E2654" s="725"/>
      <c r="F2654" s="726"/>
      <c r="G2654" s="727"/>
      <c r="H2654" s="728"/>
      <c r="I2654" s="729"/>
      <c r="J2654" s="729"/>
      <c r="K2654" s="730"/>
      <c r="L2654" s="730"/>
      <c r="M2654" s="625"/>
      <c r="N2654" s="625"/>
      <c r="O2654" s="625"/>
      <c r="P2654" s="602"/>
      <c r="Q2654" s="651"/>
      <c r="R2654" s="36"/>
      <c r="S2654" s="36"/>
      <c r="T2654" s="36"/>
      <c r="U2654" s="36"/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</row>
    <row r="2655" ht="22.5" customHeight="1">
      <c r="A2655" s="640"/>
      <c r="B2655" s="186"/>
      <c r="C2655" s="724"/>
      <c r="D2655" s="724"/>
      <c r="E2655" s="725"/>
      <c r="F2655" s="726"/>
      <c r="G2655" s="727"/>
      <c r="H2655" s="728"/>
      <c r="I2655" s="729"/>
      <c r="J2655" s="729"/>
      <c r="K2655" s="730"/>
      <c r="L2655" s="730"/>
      <c r="M2655" s="625"/>
      <c r="N2655" s="625"/>
      <c r="O2655" s="625"/>
      <c r="P2655" s="602"/>
      <c r="Q2655" s="651"/>
      <c r="R2655" s="36"/>
      <c r="S2655" s="36"/>
      <c r="T2655" s="36"/>
      <c r="U2655" s="36"/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</row>
    <row r="2656" ht="22.5" customHeight="1">
      <c r="A2656" s="640"/>
      <c r="B2656" s="186"/>
      <c r="C2656" s="724"/>
      <c r="D2656" s="724"/>
      <c r="E2656" s="725"/>
      <c r="F2656" s="726"/>
      <c r="G2656" s="727"/>
      <c r="H2656" s="728"/>
      <c r="I2656" s="729"/>
      <c r="J2656" s="729"/>
      <c r="K2656" s="730"/>
      <c r="L2656" s="730"/>
      <c r="M2656" s="625"/>
      <c r="N2656" s="625"/>
      <c r="O2656" s="625"/>
      <c r="P2656" s="602"/>
      <c r="Q2656" s="651"/>
      <c r="R2656" s="36"/>
      <c r="S2656" s="36"/>
      <c r="T2656" s="36"/>
      <c r="U2656" s="36"/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</row>
    <row r="2657" ht="22.5" customHeight="1">
      <c r="A2657" s="640"/>
      <c r="B2657" s="186"/>
      <c r="C2657" s="724"/>
      <c r="D2657" s="724"/>
      <c r="E2657" s="725"/>
      <c r="F2657" s="726"/>
      <c r="G2657" s="727"/>
      <c r="H2657" s="728"/>
      <c r="I2657" s="729"/>
      <c r="J2657" s="729"/>
      <c r="K2657" s="730"/>
      <c r="L2657" s="730"/>
      <c r="M2657" s="625"/>
      <c r="N2657" s="625"/>
      <c r="O2657" s="625"/>
      <c r="P2657" s="602"/>
      <c r="Q2657" s="651"/>
      <c r="R2657" s="36"/>
      <c r="S2657" s="36"/>
      <c r="T2657" s="36"/>
      <c r="U2657" s="36"/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</row>
    <row r="2658" ht="22.5" customHeight="1">
      <c r="A2658" s="640"/>
      <c r="B2658" s="186"/>
      <c r="C2658" s="724"/>
      <c r="D2658" s="724"/>
      <c r="E2658" s="725"/>
      <c r="F2658" s="726"/>
      <c r="G2658" s="727"/>
      <c r="H2658" s="728"/>
      <c r="I2658" s="729"/>
      <c r="J2658" s="729"/>
      <c r="K2658" s="730"/>
      <c r="L2658" s="730"/>
      <c r="M2658" s="625"/>
      <c r="N2658" s="625"/>
      <c r="O2658" s="625"/>
      <c r="P2658" s="602"/>
      <c r="Q2658" s="651"/>
      <c r="R2658" s="36"/>
      <c r="S2658" s="36"/>
      <c r="T2658" s="36"/>
      <c r="U2658" s="36"/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</row>
    <row r="2659" ht="22.5" customHeight="1">
      <c r="A2659" s="640"/>
      <c r="B2659" s="186"/>
      <c r="C2659" s="724"/>
      <c r="D2659" s="724"/>
      <c r="E2659" s="725"/>
      <c r="F2659" s="726"/>
      <c r="G2659" s="727"/>
      <c r="H2659" s="728"/>
      <c r="I2659" s="729"/>
      <c r="J2659" s="729"/>
      <c r="K2659" s="730"/>
      <c r="L2659" s="730"/>
      <c r="M2659" s="625"/>
      <c r="N2659" s="625"/>
      <c r="O2659" s="625"/>
      <c r="P2659" s="602"/>
      <c r="Q2659" s="651"/>
      <c r="R2659" s="36"/>
      <c r="S2659" s="36"/>
      <c r="T2659" s="36"/>
      <c r="U2659" s="36"/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</row>
    <row r="2660" ht="22.5" customHeight="1">
      <c r="A2660" s="640"/>
      <c r="B2660" s="186"/>
      <c r="C2660" s="724"/>
      <c r="D2660" s="724"/>
      <c r="E2660" s="725"/>
      <c r="F2660" s="726"/>
      <c r="G2660" s="727"/>
      <c r="H2660" s="728"/>
      <c r="I2660" s="729"/>
      <c r="J2660" s="729"/>
      <c r="K2660" s="730"/>
      <c r="L2660" s="730"/>
      <c r="M2660" s="625"/>
      <c r="N2660" s="625"/>
      <c r="O2660" s="625"/>
      <c r="P2660" s="602"/>
      <c r="Q2660" s="651"/>
      <c r="R2660" s="36"/>
      <c r="S2660" s="36"/>
      <c r="T2660" s="36"/>
      <c r="U2660" s="36"/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</row>
    <row r="2661" ht="22.5" customHeight="1">
      <c r="A2661" s="640"/>
      <c r="B2661" s="186"/>
      <c r="C2661" s="724"/>
      <c r="D2661" s="724"/>
      <c r="E2661" s="725"/>
      <c r="F2661" s="726"/>
      <c r="G2661" s="727"/>
      <c r="H2661" s="728"/>
      <c r="I2661" s="729"/>
      <c r="J2661" s="729"/>
      <c r="K2661" s="730"/>
      <c r="L2661" s="730"/>
      <c r="M2661" s="625"/>
      <c r="N2661" s="625"/>
      <c r="O2661" s="625"/>
      <c r="P2661" s="602"/>
      <c r="Q2661" s="651"/>
      <c r="R2661" s="36"/>
      <c r="S2661" s="36"/>
      <c r="T2661" s="36"/>
      <c r="U2661" s="36"/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</row>
    <row r="2662" ht="22.5" customHeight="1">
      <c r="A2662" s="640"/>
      <c r="B2662" s="186"/>
      <c r="C2662" s="724"/>
      <c r="D2662" s="724"/>
      <c r="E2662" s="725"/>
      <c r="F2662" s="726"/>
      <c r="G2662" s="727"/>
      <c r="H2662" s="728"/>
      <c r="I2662" s="729"/>
      <c r="J2662" s="729"/>
      <c r="K2662" s="730"/>
      <c r="L2662" s="730"/>
      <c r="M2662" s="625"/>
      <c r="N2662" s="625"/>
      <c r="O2662" s="625"/>
      <c r="P2662" s="602"/>
      <c r="Q2662" s="651"/>
      <c r="R2662" s="36"/>
      <c r="S2662" s="36"/>
      <c r="T2662" s="36"/>
      <c r="U2662" s="36"/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</row>
    <row r="2663" ht="22.5" customHeight="1">
      <c r="A2663" s="640"/>
      <c r="B2663" s="186"/>
      <c r="C2663" s="724"/>
      <c r="D2663" s="724"/>
      <c r="E2663" s="725"/>
      <c r="F2663" s="726"/>
      <c r="G2663" s="727"/>
      <c r="H2663" s="728"/>
      <c r="I2663" s="729"/>
      <c r="J2663" s="729"/>
      <c r="K2663" s="730"/>
      <c r="L2663" s="730"/>
      <c r="M2663" s="625"/>
      <c r="N2663" s="625"/>
      <c r="O2663" s="625"/>
      <c r="P2663" s="602"/>
      <c r="Q2663" s="651"/>
      <c r="R2663" s="36"/>
      <c r="S2663" s="36"/>
      <c r="T2663" s="36"/>
      <c r="U2663" s="36"/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</row>
    <row r="2664" ht="22.5" customHeight="1">
      <c r="A2664" s="640"/>
      <c r="B2664" s="186"/>
      <c r="C2664" s="724"/>
      <c r="D2664" s="724"/>
      <c r="E2664" s="725"/>
      <c r="F2664" s="726"/>
      <c r="G2664" s="727"/>
      <c r="H2664" s="728"/>
      <c r="I2664" s="729"/>
      <c r="J2664" s="729"/>
      <c r="K2664" s="730"/>
      <c r="L2664" s="730"/>
      <c r="M2664" s="625"/>
      <c r="N2664" s="625"/>
      <c r="O2664" s="625"/>
      <c r="P2664" s="602"/>
      <c r="Q2664" s="651"/>
      <c r="R2664" s="36"/>
      <c r="S2664" s="36"/>
      <c r="T2664" s="36"/>
      <c r="U2664" s="36"/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</row>
    <row r="2665" ht="22.5" customHeight="1">
      <c r="A2665" s="640"/>
      <c r="B2665" s="186"/>
      <c r="C2665" s="724"/>
      <c r="D2665" s="724"/>
      <c r="E2665" s="725"/>
      <c r="F2665" s="726"/>
      <c r="G2665" s="727"/>
      <c r="H2665" s="728"/>
      <c r="I2665" s="729"/>
      <c r="J2665" s="729"/>
      <c r="K2665" s="730"/>
      <c r="L2665" s="730"/>
      <c r="M2665" s="625"/>
      <c r="N2665" s="625"/>
      <c r="O2665" s="625"/>
      <c r="P2665" s="602"/>
      <c r="Q2665" s="651"/>
      <c r="R2665" s="36"/>
      <c r="S2665" s="36"/>
      <c r="T2665" s="36"/>
      <c r="U2665" s="36"/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</row>
    <row r="2666" ht="22.5" customHeight="1">
      <c r="A2666" s="640"/>
      <c r="B2666" s="186"/>
      <c r="C2666" s="724"/>
      <c r="D2666" s="724"/>
      <c r="E2666" s="725"/>
      <c r="F2666" s="726"/>
      <c r="G2666" s="727"/>
      <c r="H2666" s="728"/>
      <c r="I2666" s="729"/>
      <c r="J2666" s="729"/>
      <c r="K2666" s="730"/>
      <c r="L2666" s="730"/>
      <c r="M2666" s="625"/>
      <c r="N2666" s="625"/>
      <c r="O2666" s="625"/>
      <c r="P2666" s="602"/>
      <c r="Q2666" s="651"/>
      <c r="R2666" s="36"/>
      <c r="S2666" s="36"/>
      <c r="T2666" s="36"/>
      <c r="U2666" s="36"/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</row>
    <row r="2667" ht="22.5" customHeight="1">
      <c r="A2667" s="640"/>
      <c r="B2667" s="186"/>
      <c r="C2667" s="724"/>
      <c r="D2667" s="724"/>
      <c r="E2667" s="725"/>
      <c r="F2667" s="726"/>
      <c r="G2667" s="727"/>
      <c r="H2667" s="728"/>
      <c r="I2667" s="729"/>
      <c r="J2667" s="729"/>
      <c r="K2667" s="730"/>
      <c r="L2667" s="730"/>
      <c r="M2667" s="625"/>
      <c r="N2667" s="625"/>
      <c r="O2667" s="625"/>
      <c r="P2667" s="602"/>
      <c r="Q2667" s="651"/>
      <c r="R2667" s="36"/>
      <c r="S2667" s="36"/>
      <c r="T2667" s="36"/>
      <c r="U2667" s="36"/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</row>
    <row r="2668" ht="22.5" customHeight="1">
      <c r="A2668" s="640"/>
      <c r="B2668" s="186"/>
      <c r="C2668" s="724"/>
      <c r="D2668" s="724"/>
      <c r="E2668" s="725"/>
      <c r="F2668" s="726"/>
      <c r="G2668" s="727"/>
      <c r="H2668" s="728"/>
      <c r="I2668" s="729"/>
      <c r="J2668" s="729"/>
      <c r="K2668" s="730"/>
      <c r="L2668" s="730"/>
      <c r="M2668" s="625"/>
      <c r="N2668" s="625"/>
      <c r="O2668" s="625"/>
      <c r="P2668" s="602"/>
      <c r="Q2668" s="651"/>
      <c r="R2668" s="36"/>
      <c r="S2668" s="36"/>
      <c r="T2668" s="36"/>
      <c r="U2668" s="36"/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</row>
    <row r="2669" ht="22.5" customHeight="1">
      <c r="A2669" s="640"/>
      <c r="B2669" s="186"/>
      <c r="C2669" s="724"/>
      <c r="D2669" s="724"/>
      <c r="E2669" s="725"/>
      <c r="F2669" s="726"/>
      <c r="G2669" s="727"/>
      <c r="H2669" s="728"/>
      <c r="I2669" s="729"/>
      <c r="J2669" s="729"/>
      <c r="K2669" s="730"/>
      <c r="L2669" s="730"/>
      <c r="M2669" s="625"/>
      <c r="N2669" s="625"/>
      <c r="O2669" s="625"/>
      <c r="P2669" s="602"/>
      <c r="Q2669" s="651"/>
      <c r="R2669" s="36"/>
      <c r="S2669" s="36"/>
      <c r="T2669" s="36"/>
      <c r="U2669" s="36"/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</row>
    <row r="2670" ht="22.5" customHeight="1">
      <c r="A2670" s="640"/>
      <c r="B2670" s="186"/>
      <c r="C2670" s="724"/>
      <c r="D2670" s="724"/>
      <c r="E2670" s="725"/>
      <c r="F2670" s="726"/>
      <c r="G2670" s="727"/>
      <c r="H2670" s="728"/>
      <c r="I2670" s="729"/>
      <c r="J2670" s="729"/>
      <c r="K2670" s="730"/>
      <c r="L2670" s="730"/>
      <c r="M2670" s="625"/>
      <c r="N2670" s="625"/>
      <c r="O2670" s="625"/>
      <c r="P2670" s="602"/>
      <c r="Q2670" s="651"/>
      <c r="R2670" s="36"/>
      <c r="S2670" s="36"/>
      <c r="T2670" s="36"/>
      <c r="U2670" s="36"/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</row>
    <row r="2671" ht="22.5" customHeight="1">
      <c r="A2671" s="640"/>
      <c r="B2671" s="186"/>
      <c r="C2671" s="724"/>
      <c r="D2671" s="724"/>
      <c r="E2671" s="725"/>
      <c r="F2671" s="726"/>
      <c r="G2671" s="727"/>
      <c r="H2671" s="728"/>
      <c r="I2671" s="729"/>
      <c r="J2671" s="729"/>
      <c r="K2671" s="730"/>
      <c r="L2671" s="730"/>
      <c r="M2671" s="625"/>
      <c r="N2671" s="625"/>
      <c r="O2671" s="625"/>
      <c r="P2671" s="602"/>
      <c r="Q2671" s="651"/>
      <c r="R2671" s="36"/>
      <c r="S2671" s="36"/>
      <c r="T2671" s="36"/>
      <c r="U2671" s="36"/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</row>
    <row r="2672" ht="22.5" customHeight="1">
      <c r="A2672" s="640"/>
      <c r="B2672" s="186"/>
      <c r="C2672" s="724"/>
      <c r="D2672" s="724"/>
      <c r="E2672" s="725"/>
      <c r="F2672" s="726"/>
      <c r="G2672" s="727"/>
      <c r="H2672" s="728"/>
      <c r="I2672" s="729"/>
      <c r="J2672" s="729"/>
      <c r="K2672" s="730"/>
      <c r="L2672" s="730"/>
      <c r="M2672" s="625"/>
      <c r="N2672" s="625"/>
      <c r="O2672" s="625"/>
      <c r="P2672" s="602"/>
      <c r="Q2672" s="651"/>
      <c r="R2672" s="36"/>
      <c r="S2672" s="36"/>
      <c r="T2672" s="36"/>
      <c r="U2672" s="36"/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</row>
    <row r="2673" ht="22.5" customHeight="1">
      <c r="A2673" s="640"/>
      <c r="B2673" s="186"/>
      <c r="C2673" s="724"/>
      <c r="D2673" s="724"/>
      <c r="E2673" s="725"/>
      <c r="F2673" s="726"/>
      <c r="G2673" s="727"/>
      <c r="H2673" s="728"/>
      <c r="I2673" s="729"/>
      <c r="J2673" s="729"/>
      <c r="K2673" s="730"/>
      <c r="L2673" s="730"/>
      <c r="M2673" s="625"/>
      <c r="N2673" s="625"/>
      <c r="O2673" s="625"/>
      <c r="P2673" s="602"/>
      <c r="Q2673" s="651"/>
      <c r="R2673" s="36"/>
      <c r="S2673" s="36"/>
      <c r="T2673" s="36"/>
      <c r="U2673" s="36"/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</row>
    <row r="2674" ht="22.5" customHeight="1">
      <c r="A2674" s="640"/>
      <c r="B2674" s="186"/>
      <c r="C2674" s="724"/>
      <c r="D2674" s="724"/>
      <c r="E2674" s="725"/>
      <c r="F2674" s="726"/>
      <c r="G2674" s="727"/>
      <c r="H2674" s="728"/>
      <c r="I2674" s="729"/>
      <c r="J2674" s="729"/>
      <c r="K2674" s="730"/>
      <c r="L2674" s="730"/>
      <c r="M2674" s="625"/>
      <c r="N2674" s="625"/>
      <c r="O2674" s="625"/>
      <c r="P2674" s="602"/>
      <c r="Q2674" s="651"/>
      <c r="R2674" s="36"/>
      <c r="S2674" s="36"/>
      <c r="T2674" s="36"/>
      <c r="U2674" s="36"/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</row>
    <row r="2675" ht="22.5" customHeight="1">
      <c r="A2675" s="640"/>
      <c r="B2675" s="186"/>
      <c r="C2675" s="724"/>
      <c r="D2675" s="724"/>
      <c r="E2675" s="725"/>
      <c r="F2675" s="726"/>
      <c r="G2675" s="727"/>
      <c r="H2675" s="728"/>
      <c r="I2675" s="729"/>
      <c r="J2675" s="729"/>
      <c r="K2675" s="730"/>
      <c r="L2675" s="730"/>
      <c r="M2675" s="625"/>
      <c r="N2675" s="625"/>
      <c r="O2675" s="625"/>
      <c r="P2675" s="602"/>
      <c r="Q2675" s="651"/>
      <c r="R2675" s="36"/>
      <c r="S2675" s="36"/>
      <c r="T2675" s="36"/>
      <c r="U2675" s="36"/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</row>
    <row r="2676" ht="22.5" customHeight="1">
      <c r="A2676" s="640"/>
      <c r="B2676" s="186"/>
      <c r="C2676" s="724"/>
      <c r="D2676" s="724"/>
      <c r="E2676" s="725"/>
      <c r="F2676" s="726"/>
      <c r="G2676" s="727"/>
      <c r="H2676" s="728"/>
      <c r="I2676" s="729"/>
      <c r="J2676" s="729"/>
      <c r="K2676" s="730"/>
      <c r="L2676" s="730"/>
      <c r="M2676" s="625"/>
      <c r="N2676" s="625"/>
      <c r="O2676" s="625"/>
      <c r="P2676" s="602"/>
      <c r="Q2676" s="651"/>
      <c r="R2676" s="36"/>
      <c r="S2676" s="36"/>
      <c r="T2676" s="36"/>
      <c r="U2676" s="36"/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</row>
    <row r="2677" ht="22.5" customHeight="1">
      <c r="A2677" s="640"/>
      <c r="B2677" s="186"/>
      <c r="C2677" s="724"/>
      <c r="D2677" s="724"/>
      <c r="E2677" s="725"/>
      <c r="F2677" s="726"/>
      <c r="G2677" s="727"/>
      <c r="H2677" s="728"/>
      <c r="I2677" s="729"/>
      <c r="J2677" s="729"/>
      <c r="K2677" s="730"/>
      <c r="L2677" s="730"/>
      <c r="M2677" s="625"/>
      <c r="N2677" s="625"/>
      <c r="O2677" s="625"/>
      <c r="P2677" s="602"/>
      <c r="Q2677" s="651"/>
      <c r="R2677" s="36"/>
      <c r="S2677" s="36"/>
      <c r="T2677" s="36"/>
      <c r="U2677" s="36"/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</row>
    <row r="2678" ht="22.5" customHeight="1">
      <c r="A2678" s="640"/>
      <c r="B2678" s="186"/>
      <c r="C2678" s="724"/>
      <c r="D2678" s="724"/>
      <c r="E2678" s="725"/>
      <c r="F2678" s="726"/>
      <c r="G2678" s="727"/>
      <c r="H2678" s="728"/>
      <c r="I2678" s="729"/>
      <c r="J2678" s="729"/>
      <c r="K2678" s="730"/>
      <c r="L2678" s="730"/>
      <c r="M2678" s="625"/>
      <c r="N2678" s="625"/>
      <c r="O2678" s="625"/>
      <c r="P2678" s="602"/>
      <c r="Q2678" s="651"/>
      <c r="R2678" s="36"/>
      <c r="S2678" s="36"/>
      <c r="T2678" s="36"/>
      <c r="U2678" s="36"/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</row>
    <row r="2679" ht="22.5" customHeight="1">
      <c r="A2679" s="640"/>
      <c r="B2679" s="186"/>
      <c r="C2679" s="724"/>
      <c r="D2679" s="724"/>
      <c r="E2679" s="725"/>
      <c r="F2679" s="726"/>
      <c r="G2679" s="727"/>
      <c r="H2679" s="728"/>
      <c r="I2679" s="729"/>
      <c r="J2679" s="729"/>
      <c r="K2679" s="730"/>
      <c r="L2679" s="730"/>
      <c r="M2679" s="625"/>
      <c r="N2679" s="625"/>
      <c r="O2679" s="625"/>
      <c r="P2679" s="602"/>
      <c r="Q2679" s="651"/>
      <c r="R2679" s="36"/>
      <c r="S2679" s="36"/>
      <c r="T2679" s="36"/>
      <c r="U2679" s="36"/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</row>
    <row r="2680" ht="22.5" customHeight="1">
      <c r="A2680" s="640"/>
      <c r="B2680" s="186"/>
      <c r="C2680" s="724"/>
      <c r="D2680" s="724"/>
      <c r="E2680" s="725"/>
      <c r="F2680" s="726"/>
      <c r="G2680" s="727"/>
      <c r="H2680" s="728"/>
      <c r="I2680" s="729"/>
      <c r="J2680" s="729"/>
      <c r="K2680" s="730"/>
      <c r="L2680" s="730"/>
      <c r="M2680" s="625"/>
      <c r="N2680" s="625"/>
      <c r="O2680" s="625"/>
      <c r="P2680" s="602"/>
      <c r="Q2680" s="651"/>
      <c r="R2680" s="36"/>
      <c r="S2680" s="36"/>
      <c r="T2680" s="36"/>
      <c r="U2680" s="36"/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</row>
    <row r="2681" ht="22.5" customHeight="1">
      <c r="A2681" s="640"/>
      <c r="B2681" s="186"/>
      <c r="C2681" s="724"/>
      <c r="D2681" s="724"/>
      <c r="E2681" s="725"/>
      <c r="F2681" s="726"/>
      <c r="G2681" s="727"/>
      <c r="H2681" s="728"/>
      <c r="I2681" s="729"/>
      <c r="J2681" s="729"/>
      <c r="K2681" s="730"/>
      <c r="L2681" s="730"/>
      <c r="M2681" s="625"/>
      <c r="N2681" s="625"/>
      <c r="O2681" s="625"/>
      <c r="P2681" s="602"/>
      <c r="Q2681" s="651"/>
      <c r="R2681" s="36"/>
      <c r="S2681" s="36"/>
      <c r="T2681" s="36"/>
      <c r="U2681" s="36"/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</row>
    <row r="2682" ht="22.5" customHeight="1">
      <c r="A2682" s="640"/>
      <c r="B2682" s="186"/>
      <c r="C2682" s="724"/>
      <c r="D2682" s="724"/>
      <c r="E2682" s="725"/>
      <c r="F2682" s="726"/>
      <c r="G2682" s="727"/>
      <c r="H2682" s="728"/>
      <c r="I2682" s="729"/>
      <c r="J2682" s="729"/>
      <c r="K2682" s="730"/>
      <c r="L2682" s="730"/>
      <c r="M2682" s="625"/>
      <c r="N2682" s="625"/>
      <c r="O2682" s="625"/>
      <c r="P2682" s="602"/>
      <c r="Q2682" s="651"/>
      <c r="R2682" s="36"/>
      <c r="S2682" s="36"/>
      <c r="T2682" s="36"/>
      <c r="U2682" s="36"/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</row>
    <row r="2683" ht="22.5" customHeight="1">
      <c r="A2683" s="640"/>
      <c r="B2683" s="186"/>
      <c r="C2683" s="724"/>
      <c r="D2683" s="724"/>
      <c r="E2683" s="725"/>
      <c r="F2683" s="726"/>
      <c r="G2683" s="727"/>
      <c r="H2683" s="728"/>
      <c r="I2683" s="729"/>
      <c r="J2683" s="729"/>
      <c r="K2683" s="730"/>
      <c r="L2683" s="730"/>
      <c r="M2683" s="625"/>
      <c r="N2683" s="625"/>
      <c r="O2683" s="625"/>
      <c r="P2683" s="602"/>
      <c r="Q2683" s="651"/>
      <c r="R2683" s="36"/>
      <c r="S2683" s="36"/>
      <c r="T2683" s="36"/>
      <c r="U2683" s="36"/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</row>
    <row r="2684" ht="22.5" customHeight="1">
      <c r="A2684" s="640"/>
      <c r="B2684" s="186"/>
      <c r="C2684" s="724"/>
      <c r="D2684" s="724"/>
      <c r="E2684" s="725"/>
      <c r="F2684" s="726"/>
      <c r="G2684" s="727"/>
      <c r="H2684" s="728"/>
      <c r="I2684" s="729"/>
      <c r="J2684" s="729"/>
      <c r="K2684" s="730"/>
      <c r="L2684" s="730"/>
      <c r="M2684" s="625"/>
      <c r="N2684" s="625"/>
      <c r="O2684" s="625"/>
      <c r="P2684" s="602"/>
      <c r="Q2684" s="651"/>
      <c r="R2684" s="36"/>
      <c r="S2684" s="36"/>
      <c r="T2684" s="36"/>
      <c r="U2684" s="36"/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</row>
    <row r="2685" ht="22.5" customHeight="1">
      <c r="A2685" s="640"/>
      <c r="B2685" s="186"/>
      <c r="C2685" s="724"/>
      <c r="D2685" s="724"/>
      <c r="E2685" s="725"/>
      <c r="F2685" s="726"/>
      <c r="G2685" s="727"/>
      <c r="H2685" s="728"/>
      <c r="I2685" s="729"/>
      <c r="J2685" s="729"/>
      <c r="K2685" s="730"/>
      <c r="L2685" s="730"/>
      <c r="M2685" s="625"/>
      <c r="N2685" s="625"/>
      <c r="O2685" s="625"/>
      <c r="P2685" s="602"/>
      <c r="Q2685" s="651"/>
      <c r="R2685" s="36"/>
      <c r="S2685" s="36"/>
      <c r="T2685" s="36"/>
      <c r="U2685" s="36"/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</row>
    <row r="2686" ht="22.5" customHeight="1">
      <c r="A2686" s="640"/>
      <c r="B2686" s="186"/>
      <c r="C2686" s="724"/>
      <c r="D2686" s="724"/>
      <c r="E2686" s="725"/>
      <c r="F2686" s="726"/>
      <c r="G2686" s="727"/>
      <c r="H2686" s="728"/>
      <c r="I2686" s="729"/>
      <c r="J2686" s="729"/>
      <c r="K2686" s="730"/>
      <c r="L2686" s="730"/>
      <c r="M2686" s="625"/>
      <c r="N2686" s="625"/>
      <c r="O2686" s="625"/>
      <c r="P2686" s="602"/>
      <c r="Q2686" s="651"/>
      <c r="R2686" s="36"/>
      <c r="S2686" s="36"/>
      <c r="T2686" s="36"/>
      <c r="U2686" s="36"/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</row>
    <row r="2687" ht="22.5" customHeight="1">
      <c r="A2687" s="640"/>
      <c r="B2687" s="186"/>
      <c r="C2687" s="724"/>
      <c r="D2687" s="724"/>
      <c r="E2687" s="725"/>
      <c r="F2687" s="726"/>
      <c r="G2687" s="727"/>
      <c r="H2687" s="728"/>
      <c r="I2687" s="729"/>
      <c r="J2687" s="729"/>
      <c r="K2687" s="730"/>
      <c r="L2687" s="730"/>
      <c r="M2687" s="625"/>
      <c r="N2687" s="625"/>
      <c r="O2687" s="625"/>
      <c r="P2687" s="602"/>
      <c r="Q2687" s="651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</row>
    <row r="2688" ht="22.5" customHeight="1">
      <c r="A2688" s="640"/>
      <c r="B2688" s="186"/>
      <c r="C2688" s="724"/>
      <c r="D2688" s="724"/>
      <c r="E2688" s="725"/>
      <c r="F2688" s="726"/>
      <c r="G2688" s="727"/>
      <c r="H2688" s="728"/>
      <c r="I2688" s="729"/>
      <c r="J2688" s="729"/>
      <c r="K2688" s="730"/>
      <c r="L2688" s="730"/>
      <c r="M2688" s="625"/>
      <c r="N2688" s="625"/>
      <c r="O2688" s="625"/>
      <c r="P2688" s="602"/>
      <c r="Q2688" s="651"/>
      <c r="R2688" s="36"/>
      <c r="S2688" s="36"/>
      <c r="T2688" s="36"/>
      <c r="U2688" s="36"/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</row>
    <row r="2689" ht="22.5" customHeight="1">
      <c r="A2689" s="640"/>
      <c r="B2689" s="186"/>
      <c r="C2689" s="724"/>
      <c r="D2689" s="724"/>
      <c r="E2689" s="725"/>
      <c r="F2689" s="726"/>
      <c r="G2689" s="727"/>
      <c r="H2689" s="728"/>
      <c r="I2689" s="729"/>
      <c r="J2689" s="729"/>
      <c r="K2689" s="730"/>
      <c r="L2689" s="730"/>
      <c r="M2689" s="625"/>
      <c r="N2689" s="625"/>
      <c r="O2689" s="625"/>
      <c r="P2689" s="602"/>
      <c r="Q2689" s="651"/>
      <c r="R2689" s="36"/>
      <c r="S2689" s="36"/>
      <c r="T2689" s="36"/>
      <c r="U2689" s="36"/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</row>
    <row r="2690" ht="22.5" customHeight="1">
      <c r="A2690" s="640"/>
      <c r="B2690" s="186"/>
      <c r="C2690" s="724"/>
      <c r="D2690" s="724"/>
      <c r="E2690" s="725"/>
      <c r="F2690" s="726"/>
      <c r="G2690" s="727"/>
      <c r="H2690" s="728"/>
      <c r="I2690" s="729"/>
      <c r="J2690" s="729"/>
      <c r="K2690" s="730"/>
      <c r="L2690" s="730"/>
      <c r="M2690" s="625"/>
      <c r="N2690" s="625"/>
      <c r="O2690" s="625"/>
      <c r="P2690" s="602"/>
      <c r="Q2690" s="651"/>
      <c r="R2690" s="36"/>
      <c r="S2690" s="36"/>
      <c r="T2690" s="36"/>
      <c r="U2690" s="36"/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</row>
    <row r="2691" ht="22.5" customHeight="1">
      <c r="A2691" s="640"/>
      <c r="B2691" s="186"/>
      <c r="C2691" s="724"/>
      <c r="D2691" s="724"/>
      <c r="E2691" s="725"/>
      <c r="F2691" s="726"/>
      <c r="G2691" s="727"/>
      <c r="H2691" s="728"/>
      <c r="I2691" s="729"/>
      <c r="J2691" s="729"/>
      <c r="K2691" s="730"/>
      <c r="L2691" s="730"/>
      <c r="M2691" s="625"/>
      <c r="N2691" s="625"/>
      <c r="O2691" s="625"/>
      <c r="P2691" s="602"/>
      <c r="Q2691" s="651"/>
      <c r="R2691" s="36"/>
      <c r="S2691" s="36"/>
      <c r="T2691" s="36"/>
      <c r="U2691" s="36"/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</row>
    <row r="2692" ht="22.5" customHeight="1">
      <c r="A2692" s="640"/>
      <c r="B2692" s="186"/>
      <c r="C2692" s="724"/>
      <c r="D2692" s="724"/>
      <c r="E2692" s="725"/>
      <c r="F2692" s="726"/>
      <c r="G2692" s="727"/>
      <c r="H2692" s="728"/>
      <c r="I2692" s="729"/>
      <c r="J2692" s="729"/>
      <c r="K2692" s="730"/>
      <c r="L2692" s="730"/>
      <c r="M2692" s="625"/>
      <c r="N2692" s="625"/>
      <c r="O2692" s="625"/>
      <c r="P2692" s="602"/>
      <c r="Q2692" s="651"/>
      <c r="R2692" s="36"/>
      <c r="S2692" s="36"/>
      <c r="T2692" s="36"/>
      <c r="U2692" s="36"/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</row>
    <row r="2693" ht="22.5" customHeight="1">
      <c r="A2693" s="640"/>
      <c r="B2693" s="186"/>
      <c r="C2693" s="724"/>
      <c r="D2693" s="724"/>
      <c r="E2693" s="725"/>
      <c r="F2693" s="726"/>
      <c r="G2693" s="727"/>
      <c r="H2693" s="728"/>
      <c r="I2693" s="729"/>
      <c r="J2693" s="729"/>
      <c r="K2693" s="730"/>
      <c r="L2693" s="730"/>
      <c r="M2693" s="625"/>
      <c r="N2693" s="625"/>
      <c r="O2693" s="625"/>
      <c r="P2693" s="602"/>
      <c r="Q2693" s="651"/>
      <c r="R2693" s="36"/>
      <c r="S2693" s="36"/>
      <c r="T2693" s="36"/>
      <c r="U2693" s="36"/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</row>
    <row r="2694" ht="22.5" customHeight="1">
      <c r="A2694" s="640"/>
      <c r="B2694" s="186"/>
      <c r="C2694" s="724"/>
      <c r="D2694" s="724"/>
      <c r="E2694" s="725"/>
      <c r="F2694" s="726"/>
      <c r="G2694" s="727"/>
      <c r="H2694" s="728"/>
      <c r="I2694" s="729"/>
      <c r="J2694" s="729"/>
      <c r="K2694" s="730"/>
      <c r="L2694" s="730"/>
      <c r="M2694" s="625"/>
      <c r="N2694" s="625"/>
      <c r="O2694" s="625"/>
      <c r="P2694" s="602"/>
      <c r="Q2694" s="651"/>
      <c r="R2694" s="36"/>
      <c r="S2694" s="36"/>
      <c r="T2694" s="36"/>
      <c r="U2694" s="36"/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</row>
    <row r="2695" ht="22.5" customHeight="1">
      <c r="A2695" s="640"/>
      <c r="B2695" s="186"/>
      <c r="C2695" s="724"/>
      <c r="D2695" s="724"/>
      <c r="E2695" s="725"/>
      <c r="F2695" s="726"/>
      <c r="G2695" s="727"/>
      <c r="H2695" s="728"/>
      <c r="I2695" s="729"/>
      <c r="J2695" s="729"/>
      <c r="K2695" s="730"/>
      <c r="L2695" s="730"/>
      <c r="M2695" s="625"/>
      <c r="N2695" s="625"/>
      <c r="O2695" s="625"/>
      <c r="P2695" s="602"/>
      <c r="Q2695" s="651"/>
      <c r="R2695" s="36"/>
      <c r="S2695" s="36"/>
      <c r="T2695" s="36"/>
      <c r="U2695" s="36"/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</row>
    <row r="2696" ht="22.5" customHeight="1">
      <c r="A2696" s="640"/>
      <c r="B2696" s="186"/>
      <c r="C2696" s="724"/>
      <c r="D2696" s="724"/>
      <c r="E2696" s="725"/>
      <c r="F2696" s="726"/>
      <c r="G2696" s="727"/>
      <c r="H2696" s="728"/>
      <c r="I2696" s="729"/>
      <c r="J2696" s="729"/>
      <c r="K2696" s="730"/>
      <c r="L2696" s="730"/>
      <c r="M2696" s="625"/>
      <c r="N2696" s="625"/>
      <c r="O2696" s="625"/>
      <c r="P2696" s="602"/>
      <c r="Q2696" s="651"/>
      <c r="R2696" s="36"/>
      <c r="S2696" s="36"/>
      <c r="T2696" s="36"/>
      <c r="U2696" s="36"/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</row>
    <row r="2697" ht="22.5" customHeight="1">
      <c r="A2697" s="640"/>
      <c r="B2697" s="186"/>
      <c r="C2697" s="724"/>
      <c r="D2697" s="724"/>
      <c r="E2697" s="725"/>
      <c r="F2697" s="726"/>
      <c r="G2697" s="727"/>
      <c r="H2697" s="728"/>
      <c r="I2697" s="729"/>
      <c r="J2697" s="729"/>
      <c r="K2697" s="730"/>
      <c r="L2697" s="730"/>
      <c r="M2697" s="625"/>
      <c r="N2697" s="625"/>
      <c r="O2697" s="625"/>
      <c r="P2697" s="602"/>
      <c r="Q2697" s="651"/>
      <c r="R2697" s="36"/>
      <c r="S2697" s="36"/>
      <c r="T2697" s="36"/>
      <c r="U2697" s="36"/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</row>
    <row r="2698" ht="22.5" customHeight="1">
      <c r="A2698" s="640"/>
      <c r="B2698" s="186"/>
      <c r="C2698" s="724"/>
      <c r="D2698" s="724"/>
      <c r="E2698" s="725"/>
      <c r="F2698" s="726"/>
      <c r="G2698" s="727"/>
      <c r="H2698" s="728"/>
      <c r="I2698" s="729"/>
      <c r="J2698" s="729"/>
      <c r="K2698" s="730"/>
      <c r="L2698" s="730"/>
      <c r="M2698" s="625"/>
      <c r="N2698" s="625"/>
      <c r="O2698" s="625"/>
      <c r="P2698" s="602"/>
      <c r="Q2698" s="651"/>
      <c r="R2698" s="36"/>
      <c r="S2698" s="36"/>
      <c r="T2698" s="36"/>
      <c r="U2698" s="36"/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</row>
    <row r="2699" ht="22.5" customHeight="1">
      <c r="A2699" s="640"/>
      <c r="B2699" s="186"/>
      <c r="C2699" s="724"/>
      <c r="D2699" s="724"/>
      <c r="E2699" s="725"/>
      <c r="F2699" s="726"/>
      <c r="G2699" s="727"/>
      <c r="H2699" s="728"/>
      <c r="I2699" s="729"/>
      <c r="J2699" s="729"/>
      <c r="K2699" s="730"/>
      <c r="L2699" s="730"/>
      <c r="M2699" s="625"/>
      <c r="N2699" s="625"/>
      <c r="O2699" s="625"/>
      <c r="P2699" s="602"/>
      <c r="Q2699" s="651"/>
      <c r="R2699" s="36"/>
      <c r="S2699" s="36"/>
      <c r="T2699" s="36"/>
      <c r="U2699" s="36"/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</row>
    <row r="2700" ht="22.5" customHeight="1">
      <c r="A2700" s="640"/>
      <c r="B2700" s="186"/>
      <c r="C2700" s="724"/>
      <c r="D2700" s="724"/>
      <c r="E2700" s="725"/>
      <c r="F2700" s="726"/>
      <c r="G2700" s="727"/>
      <c r="H2700" s="728"/>
      <c r="I2700" s="729"/>
      <c r="J2700" s="729"/>
      <c r="K2700" s="730"/>
      <c r="L2700" s="730"/>
      <c r="M2700" s="625"/>
      <c r="N2700" s="625"/>
      <c r="O2700" s="625"/>
      <c r="P2700" s="602"/>
      <c r="Q2700" s="651"/>
      <c r="R2700" s="36"/>
      <c r="S2700" s="36"/>
      <c r="T2700" s="36"/>
      <c r="U2700" s="36"/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</row>
    <row r="2701" ht="22.5" customHeight="1">
      <c r="A2701" s="640"/>
      <c r="B2701" s="186"/>
      <c r="C2701" s="724"/>
      <c r="D2701" s="724"/>
      <c r="E2701" s="725"/>
      <c r="F2701" s="726"/>
      <c r="G2701" s="727"/>
      <c r="H2701" s="728"/>
      <c r="I2701" s="729"/>
      <c r="J2701" s="729"/>
      <c r="K2701" s="730"/>
      <c r="L2701" s="730"/>
      <c r="M2701" s="625"/>
      <c r="N2701" s="625"/>
      <c r="O2701" s="625"/>
      <c r="P2701" s="602"/>
      <c r="Q2701" s="651"/>
      <c r="R2701" s="36"/>
      <c r="S2701" s="36"/>
      <c r="T2701" s="36"/>
      <c r="U2701" s="36"/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</row>
    <row r="2702" ht="22.5" customHeight="1">
      <c r="A2702" s="640"/>
      <c r="B2702" s="186"/>
      <c r="C2702" s="724"/>
      <c r="D2702" s="724"/>
      <c r="E2702" s="725"/>
      <c r="F2702" s="726"/>
      <c r="G2702" s="727"/>
      <c r="H2702" s="728"/>
      <c r="I2702" s="729"/>
      <c r="J2702" s="729"/>
      <c r="K2702" s="730"/>
      <c r="L2702" s="730"/>
      <c r="M2702" s="625"/>
      <c r="N2702" s="625"/>
      <c r="O2702" s="625"/>
      <c r="P2702" s="602"/>
      <c r="Q2702" s="651"/>
      <c r="R2702" s="36"/>
      <c r="S2702" s="36"/>
      <c r="T2702" s="36"/>
      <c r="U2702" s="36"/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</row>
    <row r="2703" ht="22.5" customHeight="1">
      <c r="A2703" s="640"/>
      <c r="B2703" s="186"/>
      <c r="C2703" s="724"/>
      <c r="D2703" s="724"/>
      <c r="E2703" s="725"/>
      <c r="F2703" s="726"/>
      <c r="G2703" s="727"/>
      <c r="H2703" s="728"/>
      <c r="I2703" s="729"/>
      <c r="J2703" s="729"/>
      <c r="K2703" s="730"/>
      <c r="L2703" s="730"/>
      <c r="M2703" s="625"/>
      <c r="N2703" s="625"/>
      <c r="O2703" s="625"/>
      <c r="P2703" s="602"/>
      <c r="Q2703" s="651"/>
      <c r="R2703" s="36"/>
      <c r="S2703" s="36"/>
      <c r="T2703" s="36"/>
      <c r="U2703" s="36"/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</row>
    <row r="2704" ht="22.5" customHeight="1">
      <c r="A2704" s="640"/>
      <c r="B2704" s="186"/>
      <c r="C2704" s="724"/>
      <c r="D2704" s="724"/>
      <c r="E2704" s="725"/>
      <c r="F2704" s="726"/>
      <c r="G2704" s="727"/>
      <c r="H2704" s="728"/>
      <c r="I2704" s="729"/>
      <c r="J2704" s="729"/>
      <c r="K2704" s="730"/>
      <c r="L2704" s="730"/>
      <c r="M2704" s="625"/>
      <c r="N2704" s="625"/>
      <c r="O2704" s="625"/>
      <c r="P2704" s="602"/>
      <c r="Q2704" s="651"/>
      <c r="R2704" s="36"/>
      <c r="S2704" s="36"/>
      <c r="T2704" s="36"/>
      <c r="U2704" s="36"/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</row>
    <row r="2705" ht="22.5" customHeight="1">
      <c r="A2705" s="640"/>
      <c r="B2705" s="186"/>
      <c r="C2705" s="724"/>
      <c r="D2705" s="724"/>
      <c r="E2705" s="725"/>
      <c r="F2705" s="726"/>
      <c r="G2705" s="727"/>
      <c r="H2705" s="728"/>
      <c r="I2705" s="729"/>
      <c r="J2705" s="729"/>
      <c r="K2705" s="730"/>
      <c r="L2705" s="730"/>
      <c r="M2705" s="625"/>
      <c r="N2705" s="625"/>
      <c r="O2705" s="625"/>
      <c r="P2705" s="602"/>
      <c r="Q2705" s="651"/>
      <c r="R2705" s="36"/>
      <c r="S2705" s="36"/>
      <c r="T2705" s="36"/>
      <c r="U2705" s="36"/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</row>
    <row r="2706" ht="22.5" customHeight="1">
      <c r="A2706" s="640"/>
      <c r="B2706" s="186"/>
      <c r="C2706" s="724"/>
      <c r="D2706" s="724"/>
      <c r="E2706" s="725"/>
      <c r="F2706" s="726"/>
      <c r="G2706" s="727"/>
      <c r="H2706" s="728"/>
      <c r="I2706" s="729"/>
      <c r="J2706" s="729"/>
      <c r="K2706" s="730"/>
      <c r="L2706" s="730"/>
      <c r="M2706" s="625"/>
      <c r="N2706" s="625"/>
      <c r="O2706" s="625"/>
      <c r="P2706" s="602"/>
      <c r="Q2706" s="651"/>
      <c r="R2706" s="36"/>
      <c r="S2706" s="36"/>
      <c r="T2706" s="36"/>
      <c r="U2706" s="36"/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</row>
    <row r="2707" ht="22.5" customHeight="1">
      <c r="A2707" s="640"/>
      <c r="B2707" s="186"/>
      <c r="C2707" s="724"/>
      <c r="D2707" s="724"/>
      <c r="E2707" s="725"/>
      <c r="F2707" s="726"/>
      <c r="G2707" s="727"/>
      <c r="H2707" s="728"/>
      <c r="I2707" s="729"/>
      <c r="J2707" s="729"/>
      <c r="K2707" s="730"/>
      <c r="L2707" s="730"/>
      <c r="M2707" s="625"/>
      <c r="N2707" s="625"/>
      <c r="O2707" s="625"/>
      <c r="P2707" s="602"/>
      <c r="Q2707" s="651"/>
      <c r="R2707" s="36"/>
      <c r="S2707" s="36"/>
      <c r="T2707" s="36"/>
      <c r="U2707" s="36"/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</row>
    <row r="2708" ht="22.5" customHeight="1">
      <c r="A2708" s="640"/>
      <c r="B2708" s="186"/>
      <c r="C2708" s="724"/>
      <c r="D2708" s="724"/>
      <c r="E2708" s="725"/>
      <c r="F2708" s="726"/>
      <c r="G2708" s="727"/>
      <c r="H2708" s="728"/>
      <c r="I2708" s="729"/>
      <c r="J2708" s="729"/>
      <c r="K2708" s="730"/>
      <c r="L2708" s="730"/>
      <c r="M2708" s="625"/>
      <c r="N2708" s="625"/>
      <c r="O2708" s="625"/>
      <c r="P2708" s="602"/>
      <c r="Q2708" s="651"/>
      <c r="R2708" s="36"/>
      <c r="S2708" s="36"/>
      <c r="T2708" s="36"/>
      <c r="U2708" s="36"/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</row>
    <row r="2709" ht="22.5" customHeight="1">
      <c r="A2709" s="640"/>
      <c r="B2709" s="186"/>
      <c r="C2709" s="724"/>
      <c r="D2709" s="724"/>
      <c r="E2709" s="725"/>
      <c r="F2709" s="726"/>
      <c r="G2709" s="727"/>
      <c r="H2709" s="728"/>
      <c r="I2709" s="729"/>
      <c r="J2709" s="729"/>
      <c r="K2709" s="730"/>
      <c r="L2709" s="730"/>
      <c r="M2709" s="625"/>
      <c r="N2709" s="625"/>
      <c r="O2709" s="625"/>
      <c r="P2709" s="602"/>
      <c r="Q2709" s="651"/>
      <c r="R2709" s="36"/>
      <c r="S2709" s="36"/>
      <c r="T2709" s="36"/>
      <c r="U2709" s="36"/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</row>
    <row r="2710" ht="22.5" customHeight="1">
      <c r="A2710" s="640"/>
      <c r="B2710" s="186"/>
      <c r="C2710" s="724"/>
      <c r="D2710" s="724"/>
      <c r="E2710" s="725"/>
      <c r="F2710" s="726"/>
      <c r="G2710" s="727"/>
      <c r="H2710" s="728"/>
      <c r="I2710" s="729"/>
      <c r="J2710" s="729"/>
      <c r="K2710" s="730"/>
      <c r="L2710" s="730"/>
      <c r="M2710" s="625"/>
      <c r="N2710" s="625"/>
      <c r="O2710" s="625"/>
      <c r="P2710" s="602"/>
      <c r="Q2710" s="651"/>
      <c r="R2710" s="36"/>
      <c r="S2710" s="36"/>
      <c r="T2710" s="36"/>
      <c r="U2710" s="36"/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</row>
    <row r="2711" ht="22.5" customHeight="1">
      <c r="A2711" s="640"/>
      <c r="B2711" s="186"/>
      <c r="C2711" s="724"/>
      <c r="D2711" s="724"/>
      <c r="E2711" s="725"/>
      <c r="F2711" s="726"/>
      <c r="G2711" s="727"/>
      <c r="H2711" s="728"/>
      <c r="I2711" s="729"/>
      <c r="J2711" s="729"/>
      <c r="K2711" s="730"/>
      <c r="L2711" s="730"/>
      <c r="M2711" s="625"/>
      <c r="N2711" s="625"/>
      <c r="O2711" s="625"/>
      <c r="P2711" s="602"/>
      <c r="Q2711" s="651"/>
      <c r="R2711" s="36"/>
      <c r="S2711" s="36"/>
      <c r="T2711" s="36"/>
      <c r="U2711" s="36"/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</row>
    <row r="2712" ht="22.5" customHeight="1">
      <c r="A2712" s="640"/>
      <c r="B2712" s="186"/>
      <c r="C2712" s="724"/>
      <c r="D2712" s="724"/>
      <c r="E2712" s="725"/>
      <c r="F2712" s="726"/>
      <c r="G2712" s="727"/>
      <c r="H2712" s="728"/>
      <c r="I2712" s="729"/>
      <c r="J2712" s="729"/>
      <c r="K2712" s="730"/>
      <c r="L2712" s="730"/>
      <c r="M2712" s="625"/>
      <c r="N2712" s="625"/>
      <c r="O2712" s="625"/>
      <c r="P2712" s="602"/>
      <c r="Q2712" s="651"/>
      <c r="R2712" s="36"/>
      <c r="S2712" s="36"/>
      <c r="T2712" s="36"/>
      <c r="U2712" s="36"/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</row>
    <row r="2713" ht="22.5" customHeight="1">
      <c r="A2713" s="640"/>
      <c r="B2713" s="186"/>
      <c r="C2713" s="724"/>
      <c r="D2713" s="724"/>
      <c r="E2713" s="725"/>
      <c r="F2713" s="726"/>
      <c r="G2713" s="727"/>
      <c r="H2713" s="728"/>
      <c r="I2713" s="729"/>
      <c r="J2713" s="729"/>
      <c r="K2713" s="730"/>
      <c r="L2713" s="730"/>
      <c r="M2713" s="625"/>
      <c r="N2713" s="625"/>
      <c r="O2713" s="625"/>
      <c r="P2713" s="602"/>
      <c r="Q2713" s="651"/>
      <c r="R2713" s="36"/>
      <c r="S2713" s="36"/>
      <c r="T2713" s="36"/>
      <c r="U2713" s="36"/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</row>
    <row r="2714" ht="22.5" customHeight="1">
      <c r="A2714" s="640"/>
      <c r="B2714" s="186"/>
      <c r="C2714" s="724"/>
      <c r="D2714" s="724"/>
      <c r="E2714" s="725"/>
      <c r="F2714" s="726"/>
      <c r="G2714" s="727"/>
      <c r="H2714" s="728"/>
      <c r="I2714" s="729"/>
      <c r="J2714" s="729"/>
      <c r="K2714" s="730"/>
      <c r="L2714" s="730"/>
      <c r="M2714" s="625"/>
      <c r="N2714" s="625"/>
      <c r="O2714" s="625"/>
      <c r="P2714" s="602"/>
      <c r="Q2714" s="651"/>
      <c r="R2714" s="36"/>
      <c r="S2714" s="36"/>
      <c r="T2714" s="36"/>
      <c r="U2714" s="36"/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</row>
    <row r="2715" ht="22.5" customHeight="1">
      <c r="A2715" s="640"/>
      <c r="B2715" s="186"/>
      <c r="C2715" s="724"/>
      <c r="D2715" s="724"/>
      <c r="E2715" s="725"/>
      <c r="F2715" s="726"/>
      <c r="G2715" s="727"/>
      <c r="H2715" s="728"/>
      <c r="I2715" s="729"/>
      <c r="J2715" s="729"/>
      <c r="K2715" s="730"/>
      <c r="L2715" s="730"/>
      <c r="M2715" s="625"/>
      <c r="N2715" s="625"/>
      <c r="O2715" s="625"/>
      <c r="P2715" s="602"/>
      <c r="Q2715" s="651"/>
      <c r="R2715" s="36"/>
      <c r="S2715" s="36"/>
      <c r="T2715" s="36"/>
      <c r="U2715" s="36"/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</row>
    <row r="2716" ht="22.5" customHeight="1">
      <c r="A2716" s="640"/>
      <c r="B2716" s="186"/>
      <c r="C2716" s="724"/>
      <c r="D2716" s="724"/>
      <c r="E2716" s="725"/>
      <c r="F2716" s="726"/>
      <c r="G2716" s="727"/>
      <c r="H2716" s="728"/>
      <c r="I2716" s="729"/>
      <c r="J2716" s="729"/>
      <c r="K2716" s="730"/>
      <c r="L2716" s="730"/>
      <c r="M2716" s="625"/>
      <c r="N2716" s="625"/>
      <c r="O2716" s="625"/>
      <c r="P2716" s="602"/>
      <c r="Q2716" s="651"/>
      <c r="R2716" s="36"/>
      <c r="S2716" s="36"/>
      <c r="T2716" s="36"/>
      <c r="U2716" s="36"/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</row>
    <row r="2717" ht="22.5" customHeight="1">
      <c r="A2717" s="640"/>
      <c r="B2717" s="186"/>
      <c r="C2717" s="724"/>
      <c r="D2717" s="724"/>
      <c r="E2717" s="725"/>
      <c r="F2717" s="726"/>
      <c r="G2717" s="727"/>
      <c r="H2717" s="728"/>
      <c r="I2717" s="729"/>
      <c r="J2717" s="729"/>
      <c r="K2717" s="730"/>
      <c r="L2717" s="730"/>
      <c r="M2717" s="625"/>
      <c r="N2717" s="625"/>
      <c r="O2717" s="625"/>
      <c r="P2717" s="602"/>
      <c r="Q2717" s="651"/>
      <c r="R2717" s="36"/>
      <c r="S2717" s="36"/>
      <c r="T2717" s="36"/>
      <c r="U2717" s="36"/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</row>
    <row r="2718" ht="22.5" customHeight="1">
      <c r="A2718" s="640"/>
      <c r="B2718" s="186"/>
      <c r="C2718" s="724"/>
      <c r="D2718" s="724"/>
      <c r="E2718" s="725"/>
      <c r="F2718" s="726"/>
      <c r="G2718" s="727"/>
      <c r="H2718" s="728"/>
      <c r="I2718" s="729"/>
      <c r="J2718" s="729"/>
      <c r="K2718" s="730"/>
      <c r="L2718" s="730"/>
      <c r="M2718" s="625"/>
      <c r="N2718" s="625"/>
      <c r="O2718" s="625"/>
      <c r="P2718" s="602"/>
      <c r="Q2718" s="651"/>
      <c r="R2718" s="36"/>
      <c r="S2718" s="36"/>
      <c r="T2718" s="36"/>
      <c r="U2718" s="36"/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</row>
    <row r="2719" ht="22.5" customHeight="1">
      <c r="A2719" s="640"/>
      <c r="B2719" s="186"/>
      <c r="C2719" s="724"/>
      <c r="D2719" s="724"/>
      <c r="E2719" s="725"/>
      <c r="F2719" s="726"/>
      <c r="G2719" s="727"/>
      <c r="H2719" s="728"/>
      <c r="I2719" s="729"/>
      <c r="J2719" s="729"/>
      <c r="K2719" s="730"/>
      <c r="L2719" s="730"/>
      <c r="M2719" s="625"/>
      <c r="N2719" s="625"/>
      <c r="O2719" s="625"/>
      <c r="P2719" s="602"/>
      <c r="Q2719" s="651"/>
      <c r="R2719" s="36"/>
      <c r="S2719" s="36"/>
      <c r="T2719" s="36"/>
      <c r="U2719" s="36"/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</row>
    <row r="2720" ht="22.5" customHeight="1">
      <c r="A2720" s="640"/>
      <c r="B2720" s="186"/>
      <c r="C2720" s="724"/>
      <c r="D2720" s="724"/>
      <c r="E2720" s="725"/>
      <c r="F2720" s="726"/>
      <c r="G2720" s="727"/>
      <c r="H2720" s="728"/>
      <c r="I2720" s="729"/>
      <c r="J2720" s="729"/>
      <c r="K2720" s="730"/>
      <c r="L2720" s="730"/>
      <c r="M2720" s="625"/>
      <c r="N2720" s="625"/>
      <c r="O2720" s="625"/>
      <c r="P2720" s="602"/>
      <c r="Q2720" s="651"/>
      <c r="R2720" s="36"/>
      <c r="S2720" s="36"/>
      <c r="T2720" s="36"/>
      <c r="U2720" s="36"/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</row>
    <row r="2721" ht="22.5" customHeight="1">
      <c r="A2721" s="640"/>
      <c r="B2721" s="186"/>
      <c r="C2721" s="724"/>
      <c r="D2721" s="724"/>
      <c r="E2721" s="725"/>
      <c r="F2721" s="726"/>
      <c r="G2721" s="727"/>
      <c r="H2721" s="728"/>
      <c r="I2721" s="729"/>
      <c r="J2721" s="729"/>
      <c r="K2721" s="730"/>
      <c r="L2721" s="730"/>
      <c r="M2721" s="625"/>
      <c r="N2721" s="625"/>
      <c r="O2721" s="625"/>
      <c r="P2721" s="602"/>
      <c r="Q2721" s="651"/>
      <c r="R2721" s="36"/>
      <c r="S2721" s="36"/>
      <c r="T2721" s="36"/>
      <c r="U2721" s="36"/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</row>
    <row r="2722" ht="22.5" customHeight="1">
      <c r="A2722" s="640"/>
      <c r="B2722" s="186"/>
      <c r="C2722" s="724"/>
      <c r="D2722" s="724"/>
      <c r="E2722" s="725"/>
      <c r="F2722" s="726"/>
      <c r="G2722" s="727"/>
      <c r="H2722" s="728"/>
      <c r="I2722" s="729"/>
      <c r="J2722" s="729"/>
      <c r="K2722" s="730"/>
      <c r="L2722" s="730"/>
      <c r="M2722" s="625"/>
      <c r="N2722" s="625"/>
      <c r="O2722" s="625"/>
      <c r="P2722" s="602"/>
      <c r="Q2722" s="651"/>
      <c r="R2722" s="36"/>
      <c r="S2722" s="36"/>
      <c r="T2722" s="36"/>
      <c r="U2722" s="36"/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</row>
    <row r="2723" ht="22.5" customHeight="1">
      <c r="A2723" s="640"/>
      <c r="B2723" s="186"/>
      <c r="C2723" s="724"/>
      <c r="D2723" s="724"/>
      <c r="E2723" s="725"/>
      <c r="F2723" s="726"/>
      <c r="G2723" s="727"/>
      <c r="H2723" s="728"/>
      <c r="I2723" s="729"/>
      <c r="J2723" s="729"/>
      <c r="K2723" s="730"/>
      <c r="L2723" s="730"/>
      <c r="M2723" s="625"/>
      <c r="N2723" s="625"/>
      <c r="O2723" s="625"/>
      <c r="P2723" s="602"/>
      <c r="Q2723" s="651"/>
      <c r="R2723" s="36"/>
      <c r="S2723" s="36"/>
      <c r="T2723" s="36"/>
      <c r="U2723" s="36"/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</row>
    <row r="2724" ht="22.5" customHeight="1">
      <c r="A2724" s="640"/>
      <c r="B2724" s="186"/>
      <c r="C2724" s="724"/>
      <c r="D2724" s="724"/>
      <c r="E2724" s="725"/>
      <c r="F2724" s="726"/>
      <c r="G2724" s="727"/>
      <c r="H2724" s="728"/>
      <c r="I2724" s="729"/>
      <c r="J2724" s="729"/>
      <c r="K2724" s="730"/>
      <c r="L2724" s="730"/>
      <c r="M2724" s="625"/>
      <c r="N2724" s="625"/>
      <c r="O2724" s="625"/>
      <c r="P2724" s="602"/>
      <c r="Q2724" s="651"/>
      <c r="R2724" s="36"/>
      <c r="S2724" s="36"/>
      <c r="T2724" s="36"/>
      <c r="U2724" s="36"/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</row>
    <row r="2725" ht="22.5" customHeight="1">
      <c r="A2725" s="640"/>
      <c r="B2725" s="186"/>
      <c r="C2725" s="724"/>
      <c r="D2725" s="724"/>
      <c r="E2725" s="725"/>
      <c r="F2725" s="726"/>
      <c r="G2725" s="727"/>
      <c r="H2725" s="728"/>
      <c r="I2725" s="729"/>
      <c r="J2725" s="729"/>
      <c r="K2725" s="730"/>
      <c r="L2725" s="730"/>
      <c r="M2725" s="625"/>
      <c r="N2725" s="625"/>
      <c r="O2725" s="625"/>
      <c r="P2725" s="602"/>
      <c r="Q2725" s="651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</row>
    <row r="2726" ht="22.5" customHeight="1">
      <c r="A2726" s="640"/>
      <c r="B2726" s="186"/>
      <c r="C2726" s="724"/>
      <c r="D2726" s="724"/>
      <c r="E2726" s="725"/>
      <c r="F2726" s="726"/>
      <c r="G2726" s="727"/>
      <c r="H2726" s="728"/>
      <c r="I2726" s="729"/>
      <c r="J2726" s="729"/>
      <c r="K2726" s="730"/>
      <c r="L2726" s="730"/>
      <c r="M2726" s="625"/>
      <c r="N2726" s="625"/>
      <c r="O2726" s="625"/>
      <c r="P2726" s="602"/>
      <c r="Q2726" s="651"/>
      <c r="R2726" s="36"/>
      <c r="S2726" s="36"/>
      <c r="T2726" s="36"/>
      <c r="U2726" s="36"/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</row>
    <row r="2727" ht="22.5" customHeight="1">
      <c r="A2727" s="640"/>
      <c r="B2727" s="186"/>
      <c r="C2727" s="724"/>
      <c r="D2727" s="724"/>
      <c r="E2727" s="725"/>
      <c r="F2727" s="726"/>
      <c r="G2727" s="727"/>
      <c r="H2727" s="728"/>
      <c r="I2727" s="729"/>
      <c r="J2727" s="729"/>
      <c r="K2727" s="730"/>
      <c r="L2727" s="730"/>
      <c r="M2727" s="625"/>
      <c r="N2727" s="625"/>
      <c r="O2727" s="625"/>
      <c r="P2727" s="602"/>
      <c r="Q2727" s="651"/>
      <c r="R2727" s="36"/>
      <c r="S2727" s="36"/>
      <c r="T2727" s="36"/>
      <c r="U2727" s="36"/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</row>
    <row r="2728" ht="22.5" customHeight="1">
      <c r="A2728" s="640"/>
      <c r="B2728" s="186"/>
      <c r="C2728" s="724"/>
      <c r="D2728" s="724"/>
      <c r="E2728" s="725"/>
      <c r="F2728" s="726"/>
      <c r="G2728" s="727"/>
      <c r="H2728" s="728"/>
      <c r="I2728" s="729"/>
      <c r="J2728" s="729"/>
      <c r="K2728" s="730"/>
      <c r="L2728" s="730"/>
      <c r="M2728" s="625"/>
      <c r="N2728" s="625"/>
      <c r="O2728" s="625"/>
      <c r="P2728" s="602"/>
      <c r="Q2728" s="651"/>
      <c r="R2728" s="36"/>
      <c r="S2728" s="36"/>
      <c r="T2728" s="36"/>
      <c r="U2728" s="36"/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</row>
    <row r="2729" ht="22.5" customHeight="1">
      <c r="A2729" s="640"/>
      <c r="B2729" s="186"/>
      <c r="C2729" s="724"/>
      <c r="D2729" s="724"/>
      <c r="E2729" s="725"/>
      <c r="F2729" s="726"/>
      <c r="G2729" s="727"/>
      <c r="H2729" s="728"/>
      <c r="I2729" s="729"/>
      <c r="J2729" s="729"/>
      <c r="K2729" s="730"/>
      <c r="L2729" s="730"/>
      <c r="M2729" s="625"/>
      <c r="N2729" s="625"/>
      <c r="O2729" s="625"/>
      <c r="P2729" s="602"/>
      <c r="Q2729" s="651"/>
      <c r="R2729" s="36"/>
      <c r="S2729" s="36"/>
      <c r="T2729" s="36"/>
      <c r="U2729" s="36"/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</row>
    <row r="2730" ht="22.5" customHeight="1">
      <c r="A2730" s="640"/>
      <c r="B2730" s="186"/>
      <c r="C2730" s="724"/>
      <c r="D2730" s="724"/>
      <c r="E2730" s="725"/>
      <c r="F2730" s="726"/>
      <c r="G2730" s="727"/>
      <c r="H2730" s="728"/>
      <c r="I2730" s="729"/>
      <c r="J2730" s="729"/>
      <c r="K2730" s="730"/>
      <c r="L2730" s="730"/>
      <c r="M2730" s="625"/>
      <c r="N2730" s="625"/>
      <c r="O2730" s="625"/>
      <c r="P2730" s="602"/>
      <c r="Q2730" s="651"/>
      <c r="R2730" s="36"/>
      <c r="S2730" s="36"/>
      <c r="T2730" s="36"/>
      <c r="U2730" s="36"/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</row>
    <row r="2731" ht="22.5" customHeight="1">
      <c r="A2731" s="640"/>
      <c r="B2731" s="186"/>
      <c r="C2731" s="724"/>
      <c r="D2731" s="724"/>
      <c r="E2731" s="725"/>
      <c r="F2731" s="726"/>
      <c r="G2731" s="727"/>
      <c r="H2731" s="728"/>
      <c r="I2731" s="729"/>
      <c r="J2731" s="729"/>
      <c r="K2731" s="730"/>
      <c r="L2731" s="730"/>
      <c r="M2731" s="625"/>
      <c r="N2731" s="625"/>
      <c r="O2731" s="625"/>
      <c r="P2731" s="602"/>
      <c r="Q2731" s="651"/>
      <c r="R2731" s="36"/>
      <c r="S2731" s="36"/>
      <c r="T2731" s="36"/>
      <c r="U2731" s="36"/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</row>
    <row r="2732" ht="22.5" customHeight="1">
      <c r="A2732" s="640"/>
      <c r="B2732" s="186"/>
      <c r="C2732" s="724"/>
      <c r="D2732" s="724"/>
      <c r="E2732" s="725"/>
      <c r="F2732" s="726"/>
      <c r="G2732" s="727"/>
      <c r="H2732" s="728"/>
      <c r="I2732" s="729"/>
      <c r="J2732" s="729"/>
      <c r="K2732" s="730"/>
      <c r="L2732" s="730"/>
      <c r="M2732" s="625"/>
      <c r="N2732" s="625"/>
      <c r="O2732" s="625"/>
      <c r="P2732" s="602"/>
      <c r="Q2732" s="651"/>
      <c r="R2732" s="36"/>
      <c r="S2732" s="36"/>
      <c r="T2732" s="36"/>
      <c r="U2732" s="36"/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</row>
    <row r="2733" ht="22.5" customHeight="1">
      <c r="A2733" s="640"/>
      <c r="B2733" s="186"/>
      <c r="C2733" s="724"/>
      <c r="D2733" s="724"/>
      <c r="E2733" s="725"/>
      <c r="F2733" s="726"/>
      <c r="G2733" s="727"/>
      <c r="H2733" s="728"/>
      <c r="I2733" s="729"/>
      <c r="J2733" s="729"/>
      <c r="K2733" s="730"/>
      <c r="L2733" s="730"/>
      <c r="M2733" s="625"/>
      <c r="N2733" s="625"/>
      <c r="O2733" s="625"/>
      <c r="P2733" s="602"/>
      <c r="Q2733" s="651"/>
      <c r="R2733" s="36"/>
      <c r="S2733" s="36"/>
      <c r="T2733" s="36"/>
      <c r="U2733" s="36"/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</row>
    <row r="2734" ht="22.5" customHeight="1">
      <c r="A2734" s="640"/>
      <c r="B2734" s="186"/>
      <c r="C2734" s="724"/>
      <c r="D2734" s="724"/>
      <c r="E2734" s="725"/>
      <c r="F2734" s="726"/>
      <c r="G2734" s="727"/>
      <c r="H2734" s="728"/>
      <c r="I2734" s="729"/>
      <c r="J2734" s="729"/>
      <c r="K2734" s="730"/>
      <c r="L2734" s="730"/>
      <c r="M2734" s="625"/>
      <c r="N2734" s="625"/>
      <c r="O2734" s="625"/>
      <c r="P2734" s="602"/>
      <c r="Q2734" s="651"/>
      <c r="R2734" s="36"/>
      <c r="S2734" s="36"/>
      <c r="T2734" s="36"/>
      <c r="U2734" s="36"/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</row>
    <row r="2735" ht="22.5" customHeight="1">
      <c r="A2735" s="640"/>
      <c r="B2735" s="186"/>
      <c r="C2735" s="724"/>
      <c r="D2735" s="724"/>
      <c r="E2735" s="725"/>
      <c r="F2735" s="726"/>
      <c r="G2735" s="727"/>
      <c r="H2735" s="728"/>
      <c r="I2735" s="729"/>
      <c r="J2735" s="729"/>
      <c r="K2735" s="730"/>
      <c r="L2735" s="730"/>
      <c r="M2735" s="625"/>
      <c r="N2735" s="625"/>
      <c r="O2735" s="625"/>
      <c r="P2735" s="602"/>
      <c r="Q2735" s="651"/>
      <c r="R2735" s="36"/>
      <c r="S2735" s="36"/>
      <c r="T2735" s="36"/>
      <c r="U2735" s="36"/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</row>
    <row r="2736" ht="22.5" customHeight="1">
      <c r="A2736" s="640"/>
      <c r="B2736" s="186"/>
      <c r="C2736" s="724"/>
      <c r="D2736" s="724"/>
      <c r="E2736" s="725"/>
      <c r="F2736" s="726"/>
      <c r="G2736" s="727"/>
      <c r="H2736" s="728"/>
      <c r="I2736" s="729"/>
      <c r="J2736" s="729"/>
      <c r="K2736" s="730"/>
      <c r="L2736" s="730"/>
      <c r="M2736" s="625"/>
      <c r="N2736" s="625"/>
      <c r="O2736" s="625"/>
      <c r="P2736" s="602"/>
      <c r="Q2736" s="651"/>
      <c r="R2736" s="36"/>
      <c r="S2736" s="36"/>
      <c r="T2736" s="36"/>
      <c r="U2736" s="36"/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</row>
    <row r="2737" ht="22.5" customHeight="1">
      <c r="A2737" s="640"/>
      <c r="B2737" s="186"/>
      <c r="C2737" s="724"/>
      <c r="D2737" s="724"/>
      <c r="E2737" s="725"/>
      <c r="F2737" s="726"/>
      <c r="G2737" s="727"/>
      <c r="H2737" s="728"/>
      <c r="I2737" s="729"/>
      <c r="J2737" s="729"/>
      <c r="K2737" s="730"/>
      <c r="L2737" s="730"/>
      <c r="M2737" s="625"/>
      <c r="N2737" s="625"/>
      <c r="O2737" s="625"/>
      <c r="P2737" s="602"/>
      <c r="Q2737" s="651"/>
      <c r="R2737" s="36"/>
      <c r="S2737" s="36"/>
      <c r="T2737" s="36"/>
      <c r="U2737" s="36"/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</row>
    <row r="2738" ht="22.5" customHeight="1">
      <c r="A2738" s="640"/>
      <c r="B2738" s="186"/>
      <c r="C2738" s="724"/>
      <c r="D2738" s="724"/>
      <c r="E2738" s="725"/>
      <c r="F2738" s="726"/>
      <c r="G2738" s="727"/>
      <c r="H2738" s="728"/>
      <c r="I2738" s="729"/>
      <c r="J2738" s="729"/>
      <c r="K2738" s="730"/>
      <c r="L2738" s="730"/>
      <c r="M2738" s="625"/>
      <c r="N2738" s="625"/>
      <c r="O2738" s="625"/>
      <c r="P2738" s="602"/>
      <c r="Q2738" s="651"/>
      <c r="R2738" s="36"/>
      <c r="S2738" s="36"/>
      <c r="T2738" s="36"/>
      <c r="U2738" s="36"/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</row>
    <row r="2739" ht="22.5" customHeight="1">
      <c r="A2739" s="640"/>
      <c r="B2739" s="186"/>
      <c r="C2739" s="724"/>
      <c r="D2739" s="724"/>
      <c r="E2739" s="725"/>
      <c r="F2739" s="726"/>
      <c r="G2739" s="727"/>
      <c r="H2739" s="728"/>
      <c r="I2739" s="729"/>
      <c r="J2739" s="729"/>
      <c r="K2739" s="730"/>
      <c r="L2739" s="730"/>
      <c r="M2739" s="625"/>
      <c r="N2739" s="625"/>
      <c r="O2739" s="625"/>
      <c r="P2739" s="602"/>
      <c r="Q2739" s="651"/>
      <c r="R2739" s="36"/>
      <c r="S2739" s="36"/>
      <c r="T2739" s="36"/>
      <c r="U2739" s="36"/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</row>
    <row r="2740" ht="22.5" customHeight="1">
      <c r="A2740" s="640"/>
      <c r="B2740" s="186"/>
      <c r="C2740" s="724"/>
      <c r="D2740" s="724"/>
      <c r="E2740" s="725"/>
      <c r="F2740" s="726"/>
      <c r="G2740" s="727"/>
      <c r="H2740" s="728"/>
      <c r="I2740" s="729"/>
      <c r="J2740" s="729"/>
      <c r="K2740" s="730"/>
      <c r="L2740" s="730"/>
      <c r="M2740" s="625"/>
      <c r="N2740" s="625"/>
      <c r="O2740" s="625"/>
      <c r="P2740" s="602"/>
      <c r="Q2740" s="651"/>
      <c r="R2740" s="36"/>
      <c r="S2740" s="36"/>
      <c r="T2740" s="36"/>
      <c r="U2740" s="36"/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</row>
    <row r="2741" ht="22.5" customHeight="1">
      <c r="A2741" s="640"/>
      <c r="B2741" s="186"/>
      <c r="C2741" s="724"/>
      <c r="D2741" s="724"/>
      <c r="E2741" s="725"/>
      <c r="F2741" s="726"/>
      <c r="G2741" s="727"/>
      <c r="H2741" s="728"/>
      <c r="I2741" s="729"/>
      <c r="J2741" s="729"/>
      <c r="K2741" s="730"/>
      <c r="L2741" s="730"/>
      <c r="M2741" s="625"/>
      <c r="N2741" s="625"/>
      <c r="O2741" s="625"/>
      <c r="P2741" s="602"/>
      <c r="Q2741" s="651"/>
      <c r="R2741" s="36"/>
      <c r="S2741" s="36"/>
      <c r="T2741" s="36"/>
      <c r="U2741" s="36"/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</row>
    <row r="2742" ht="22.5" customHeight="1">
      <c r="A2742" s="640"/>
      <c r="B2742" s="186"/>
      <c r="C2742" s="724"/>
      <c r="D2742" s="724"/>
      <c r="E2742" s="725"/>
      <c r="F2742" s="726"/>
      <c r="G2742" s="727"/>
      <c r="H2742" s="728"/>
      <c r="I2742" s="729"/>
      <c r="J2742" s="729"/>
      <c r="K2742" s="730"/>
      <c r="L2742" s="730"/>
      <c r="M2742" s="625"/>
      <c r="N2742" s="625"/>
      <c r="O2742" s="625"/>
      <c r="P2742" s="602"/>
      <c r="Q2742" s="651"/>
      <c r="R2742" s="36"/>
      <c r="S2742" s="36"/>
      <c r="T2742" s="36"/>
      <c r="U2742" s="36"/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</row>
    <row r="2743" ht="22.5" customHeight="1">
      <c r="A2743" s="640"/>
      <c r="B2743" s="186"/>
      <c r="C2743" s="724"/>
      <c r="D2743" s="724"/>
      <c r="E2743" s="725"/>
      <c r="F2743" s="726"/>
      <c r="G2743" s="727"/>
      <c r="H2743" s="728"/>
      <c r="I2743" s="729"/>
      <c r="J2743" s="729"/>
      <c r="K2743" s="730"/>
      <c r="L2743" s="730"/>
      <c r="M2743" s="625"/>
      <c r="N2743" s="625"/>
      <c r="O2743" s="625"/>
      <c r="P2743" s="602"/>
      <c r="Q2743" s="651"/>
      <c r="R2743" s="36"/>
      <c r="S2743" s="36"/>
      <c r="T2743" s="36"/>
      <c r="U2743" s="36"/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</row>
    <row r="2744" ht="22.5" customHeight="1">
      <c r="A2744" s="640"/>
      <c r="B2744" s="186"/>
      <c r="C2744" s="724"/>
      <c r="D2744" s="724"/>
      <c r="E2744" s="725"/>
      <c r="F2744" s="726"/>
      <c r="G2744" s="727"/>
      <c r="H2744" s="728"/>
      <c r="I2744" s="729"/>
      <c r="J2744" s="729"/>
      <c r="K2744" s="730"/>
      <c r="L2744" s="730"/>
      <c r="M2744" s="625"/>
      <c r="N2744" s="625"/>
      <c r="O2744" s="625"/>
      <c r="P2744" s="602"/>
      <c r="Q2744" s="651"/>
      <c r="R2744" s="36"/>
      <c r="S2744" s="36"/>
      <c r="T2744" s="36"/>
      <c r="U2744" s="36"/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</row>
    <row r="2745" ht="22.5" customHeight="1">
      <c r="A2745" s="640"/>
      <c r="B2745" s="186"/>
      <c r="C2745" s="724"/>
      <c r="D2745" s="724"/>
      <c r="E2745" s="725"/>
      <c r="F2745" s="726"/>
      <c r="G2745" s="727"/>
      <c r="H2745" s="728"/>
      <c r="I2745" s="729"/>
      <c r="J2745" s="729"/>
      <c r="K2745" s="730"/>
      <c r="L2745" s="730"/>
      <c r="M2745" s="625"/>
      <c r="N2745" s="625"/>
      <c r="O2745" s="625"/>
      <c r="P2745" s="602"/>
      <c r="Q2745" s="651"/>
      <c r="R2745" s="36"/>
      <c r="S2745" s="36"/>
      <c r="T2745" s="36"/>
      <c r="U2745" s="36"/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</row>
    <row r="2746" ht="22.5" customHeight="1">
      <c r="A2746" s="640"/>
      <c r="B2746" s="186"/>
      <c r="C2746" s="724"/>
      <c r="D2746" s="724"/>
      <c r="E2746" s="725"/>
      <c r="F2746" s="726"/>
      <c r="G2746" s="727"/>
      <c r="H2746" s="728"/>
      <c r="I2746" s="729"/>
      <c r="J2746" s="729"/>
      <c r="K2746" s="730"/>
      <c r="L2746" s="730"/>
      <c r="M2746" s="625"/>
      <c r="N2746" s="625"/>
      <c r="O2746" s="625"/>
      <c r="P2746" s="602"/>
      <c r="Q2746" s="651"/>
      <c r="R2746" s="36"/>
      <c r="S2746" s="36"/>
      <c r="T2746" s="36"/>
      <c r="U2746" s="36"/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</row>
    <row r="2747" ht="22.5" customHeight="1">
      <c r="A2747" s="640"/>
      <c r="B2747" s="186"/>
      <c r="C2747" s="724"/>
      <c r="D2747" s="724"/>
      <c r="E2747" s="725"/>
      <c r="F2747" s="726"/>
      <c r="G2747" s="727"/>
      <c r="H2747" s="728"/>
      <c r="I2747" s="729"/>
      <c r="J2747" s="729"/>
      <c r="K2747" s="730"/>
      <c r="L2747" s="730"/>
      <c r="M2747" s="625"/>
      <c r="N2747" s="625"/>
      <c r="O2747" s="625"/>
      <c r="P2747" s="602"/>
      <c r="Q2747" s="651"/>
      <c r="R2747" s="36"/>
      <c r="S2747" s="36"/>
      <c r="T2747" s="36"/>
      <c r="U2747" s="36"/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</row>
    <row r="2748" ht="22.5" customHeight="1">
      <c r="A2748" s="640"/>
      <c r="B2748" s="186"/>
      <c r="C2748" s="724"/>
      <c r="D2748" s="724"/>
      <c r="E2748" s="725"/>
      <c r="F2748" s="726"/>
      <c r="G2748" s="727"/>
      <c r="H2748" s="728"/>
      <c r="I2748" s="729"/>
      <c r="J2748" s="729"/>
      <c r="K2748" s="730"/>
      <c r="L2748" s="730"/>
      <c r="M2748" s="625"/>
      <c r="N2748" s="625"/>
      <c r="O2748" s="625"/>
      <c r="P2748" s="602"/>
      <c r="Q2748" s="651"/>
      <c r="R2748" s="36"/>
      <c r="S2748" s="36"/>
      <c r="T2748" s="36"/>
      <c r="U2748" s="36"/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</row>
    <row r="2749" ht="22.5" customHeight="1">
      <c r="A2749" s="640"/>
      <c r="B2749" s="186"/>
      <c r="C2749" s="724"/>
      <c r="D2749" s="724"/>
      <c r="E2749" s="725"/>
      <c r="F2749" s="726"/>
      <c r="G2749" s="727"/>
      <c r="H2749" s="728"/>
      <c r="I2749" s="729"/>
      <c r="J2749" s="729"/>
      <c r="K2749" s="730"/>
      <c r="L2749" s="730"/>
      <c r="M2749" s="625"/>
      <c r="N2749" s="625"/>
      <c r="O2749" s="625"/>
      <c r="P2749" s="602"/>
      <c r="Q2749" s="651"/>
      <c r="R2749" s="36"/>
      <c r="S2749" s="36"/>
      <c r="T2749" s="36"/>
      <c r="U2749" s="36"/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</row>
    <row r="2750" ht="22.5" customHeight="1">
      <c r="A2750" s="640"/>
      <c r="B2750" s="186"/>
      <c r="C2750" s="724"/>
      <c r="D2750" s="724"/>
      <c r="E2750" s="725"/>
      <c r="F2750" s="726"/>
      <c r="G2750" s="727"/>
      <c r="H2750" s="728"/>
      <c r="I2750" s="729"/>
      <c r="J2750" s="729"/>
      <c r="K2750" s="730"/>
      <c r="L2750" s="730"/>
      <c r="M2750" s="625"/>
      <c r="N2750" s="625"/>
      <c r="O2750" s="625"/>
      <c r="P2750" s="602"/>
      <c r="Q2750" s="651"/>
      <c r="R2750" s="36"/>
      <c r="S2750" s="36"/>
      <c r="T2750" s="36"/>
      <c r="U2750" s="36"/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</row>
    <row r="2751" ht="22.5" customHeight="1">
      <c r="A2751" s="640"/>
      <c r="B2751" s="186"/>
      <c r="C2751" s="724"/>
      <c r="D2751" s="724"/>
      <c r="E2751" s="725"/>
      <c r="F2751" s="726"/>
      <c r="G2751" s="727"/>
      <c r="H2751" s="728"/>
      <c r="I2751" s="729"/>
      <c r="J2751" s="729"/>
      <c r="K2751" s="730"/>
      <c r="L2751" s="730"/>
      <c r="M2751" s="625"/>
      <c r="N2751" s="625"/>
      <c r="O2751" s="625"/>
      <c r="P2751" s="602"/>
      <c r="Q2751" s="651"/>
      <c r="R2751" s="36"/>
      <c r="S2751" s="36"/>
      <c r="T2751" s="36"/>
      <c r="U2751" s="36"/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</row>
    <row r="2752" ht="22.5" customHeight="1">
      <c r="A2752" s="640"/>
      <c r="B2752" s="186"/>
      <c r="C2752" s="724"/>
      <c r="D2752" s="724"/>
      <c r="E2752" s="725"/>
      <c r="F2752" s="726"/>
      <c r="G2752" s="727"/>
      <c r="H2752" s="728"/>
      <c r="I2752" s="729"/>
      <c r="J2752" s="729"/>
      <c r="K2752" s="730"/>
      <c r="L2752" s="730"/>
      <c r="M2752" s="625"/>
      <c r="N2752" s="625"/>
      <c r="O2752" s="625"/>
      <c r="P2752" s="602"/>
      <c r="Q2752" s="651"/>
      <c r="R2752" s="36"/>
      <c r="S2752" s="36"/>
      <c r="T2752" s="36"/>
      <c r="U2752" s="36"/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</row>
    <row r="2753" ht="22.5" customHeight="1">
      <c r="A2753" s="640"/>
      <c r="B2753" s="186"/>
      <c r="C2753" s="724"/>
      <c r="D2753" s="724"/>
      <c r="E2753" s="725"/>
      <c r="F2753" s="726"/>
      <c r="G2753" s="727"/>
      <c r="H2753" s="728"/>
      <c r="I2753" s="729"/>
      <c r="J2753" s="729"/>
      <c r="K2753" s="730"/>
      <c r="L2753" s="730"/>
      <c r="M2753" s="625"/>
      <c r="N2753" s="625"/>
      <c r="O2753" s="625"/>
      <c r="P2753" s="602"/>
      <c r="Q2753" s="651"/>
      <c r="R2753" s="36"/>
      <c r="S2753" s="36"/>
      <c r="T2753" s="36"/>
      <c r="U2753" s="36"/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</row>
    <row r="2754" ht="22.5" customHeight="1">
      <c r="A2754" s="640"/>
      <c r="B2754" s="186"/>
      <c r="C2754" s="724"/>
      <c r="D2754" s="724"/>
      <c r="E2754" s="725"/>
      <c r="F2754" s="726"/>
      <c r="G2754" s="727"/>
      <c r="H2754" s="728"/>
      <c r="I2754" s="729"/>
      <c r="J2754" s="729"/>
      <c r="K2754" s="730"/>
      <c r="L2754" s="730"/>
      <c r="M2754" s="625"/>
      <c r="N2754" s="625"/>
      <c r="O2754" s="625"/>
      <c r="P2754" s="602"/>
      <c r="Q2754" s="651"/>
      <c r="R2754" s="36"/>
      <c r="S2754" s="36"/>
      <c r="T2754" s="36"/>
      <c r="U2754" s="36"/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</row>
    <row r="2755" ht="22.5" customHeight="1">
      <c r="A2755" s="640"/>
      <c r="B2755" s="186"/>
      <c r="C2755" s="724"/>
      <c r="D2755" s="724"/>
      <c r="E2755" s="725"/>
      <c r="F2755" s="726"/>
      <c r="G2755" s="727"/>
      <c r="H2755" s="728"/>
      <c r="I2755" s="729"/>
      <c r="J2755" s="729"/>
      <c r="K2755" s="730"/>
      <c r="L2755" s="730"/>
      <c r="M2755" s="625"/>
      <c r="N2755" s="625"/>
      <c r="O2755" s="625"/>
      <c r="P2755" s="602"/>
      <c r="Q2755" s="651"/>
      <c r="R2755" s="36"/>
      <c r="S2755" s="36"/>
      <c r="T2755" s="36"/>
      <c r="U2755" s="36"/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</row>
    <row r="2756" ht="22.5" customHeight="1">
      <c r="A2756" s="640"/>
      <c r="B2756" s="186"/>
      <c r="C2756" s="724"/>
      <c r="D2756" s="724"/>
      <c r="E2756" s="725"/>
      <c r="F2756" s="726"/>
      <c r="G2756" s="727"/>
      <c r="H2756" s="728"/>
      <c r="I2756" s="729"/>
      <c r="J2756" s="729"/>
      <c r="K2756" s="730"/>
      <c r="L2756" s="730"/>
      <c r="M2756" s="625"/>
      <c r="N2756" s="625"/>
      <c r="O2756" s="625"/>
      <c r="P2756" s="602"/>
      <c r="Q2756" s="651"/>
      <c r="R2756" s="36"/>
      <c r="S2756" s="36"/>
      <c r="T2756" s="36"/>
      <c r="U2756" s="36"/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</row>
    <row r="2757" ht="22.5" customHeight="1">
      <c r="A2757" s="640"/>
      <c r="B2757" s="186"/>
      <c r="C2757" s="724"/>
      <c r="D2757" s="724"/>
      <c r="E2757" s="725"/>
      <c r="F2757" s="726"/>
      <c r="G2757" s="727"/>
      <c r="H2757" s="728"/>
      <c r="I2757" s="729"/>
      <c r="J2757" s="729"/>
      <c r="K2757" s="730"/>
      <c r="L2757" s="730"/>
      <c r="M2757" s="625"/>
      <c r="N2757" s="625"/>
      <c r="O2757" s="625"/>
      <c r="P2757" s="602"/>
      <c r="Q2757" s="651"/>
      <c r="R2757" s="36"/>
      <c r="S2757" s="36"/>
      <c r="T2757" s="36"/>
      <c r="U2757" s="36"/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</row>
    <row r="2758" ht="22.5" customHeight="1">
      <c r="A2758" s="640"/>
      <c r="B2758" s="186"/>
      <c r="C2758" s="724"/>
      <c r="D2758" s="724"/>
      <c r="E2758" s="725"/>
      <c r="F2758" s="726"/>
      <c r="G2758" s="727"/>
      <c r="H2758" s="728"/>
      <c r="I2758" s="729"/>
      <c r="J2758" s="729"/>
      <c r="K2758" s="730"/>
      <c r="L2758" s="730"/>
      <c r="M2758" s="625"/>
      <c r="N2758" s="625"/>
      <c r="O2758" s="625"/>
      <c r="P2758" s="602"/>
      <c r="Q2758" s="651"/>
      <c r="R2758" s="36"/>
      <c r="S2758" s="36"/>
      <c r="T2758" s="36"/>
      <c r="U2758" s="36"/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</row>
    <row r="2759" ht="22.5" customHeight="1">
      <c r="A2759" s="640"/>
      <c r="B2759" s="186"/>
      <c r="C2759" s="724"/>
      <c r="D2759" s="724"/>
      <c r="E2759" s="725"/>
      <c r="F2759" s="726"/>
      <c r="G2759" s="727"/>
      <c r="H2759" s="728"/>
      <c r="I2759" s="729"/>
      <c r="J2759" s="729"/>
      <c r="K2759" s="730"/>
      <c r="L2759" s="730"/>
      <c r="M2759" s="625"/>
      <c r="N2759" s="625"/>
      <c r="O2759" s="625"/>
      <c r="P2759" s="602"/>
      <c r="Q2759" s="651"/>
      <c r="R2759" s="36"/>
      <c r="S2759" s="36"/>
      <c r="T2759" s="36"/>
      <c r="U2759" s="36"/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</row>
    <row r="2760" ht="22.5" customHeight="1">
      <c r="A2760" s="640"/>
      <c r="B2760" s="186"/>
      <c r="C2760" s="724"/>
      <c r="D2760" s="724"/>
      <c r="E2760" s="725"/>
      <c r="F2760" s="726"/>
      <c r="G2760" s="727"/>
      <c r="H2760" s="728"/>
      <c r="I2760" s="729"/>
      <c r="J2760" s="729"/>
      <c r="K2760" s="730"/>
      <c r="L2760" s="730"/>
      <c r="M2760" s="625"/>
      <c r="N2760" s="625"/>
      <c r="O2760" s="625"/>
      <c r="P2760" s="602"/>
      <c r="Q2760" s="651"/>
      <c r="R2760" s="36"/>
      <c r="S2760" s="36"/>
      <c r="T2760" s="36"/>
      <c r="U2760" s="36"/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</row>
    <row r="2761" ht="22.5" customHeight="1">
      <c r="A2761" s="640"/>
      <c r="B2761" s="186"/>
      <c r="C2761" s="724"/>
      <c r="D2761" s="724"/>
      <c r="E2761" s="725"/>
      <c r="F2761" s="726"/>
      <c r="G2761" s="727"/>
      <c r="H2761" s="728"/>
      <c r="I2761" s="729"/>
      <c r="J2761" s="729"/>
      <c r="K2761" s="730"/>
      <c r="L2761" s="730"/>
      <c r="M2761" s="625"/>
      <c r="N2761" s="625"/>
      <c r="O2761" s="625"/>
      <c r="P2761" s="602"/>
      <c r="Q2761" s="651"/>
      <c r="R2761" s="36"/>
      <c r="S2761" s="36"/>
      <c r="T2761" s="36"/>
      <c r="U2761" s="36"/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</row>
    <row r="2762" ht="22.5" customHeight="1">
      <c r="A2762" s="640"/>
      <c r="B2762" s="186"/>
      <c r="C2762" s="724"/>
      <c r="D2762" s="724"/>
      <c r="E2762" s="725"/>
      <c r="F2762" s="726"/>
      <c r="G2762" s="727"/>
      <c r="H2762" s="728"/>
      <c r="I2762" s="729"/>
      <c r="J2762" s="729"/>
      <c r="K2762" s="730"/>
      <c r="L2762" s="730"/>
      <c r="M2762" s="625"/>
      <c r="N2762" s="625"/>
      <c r="O2762" s="625"/>
      <c r="P2762" s="602"/>
      <c r="Q2762" s="651"/>
      <c r="R2762" s="36"/>
      <c r="S2762" s="36"/>
      <c r="T2762" s="36"/>
      <c r="U2762" s="36"/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</row>
    <row r="2763" ht="22.5" customHeight="1">
      <c r="A2763" s="640"/>
      <c r="B2763" s="186"/>
      <c r="C2763" s="724"/>
      <c r="D2763" s="724"/>
      <c r="E2763" s="725"/>
      <c r="F2763" s="726"/>
      <c r="G2763" s="727"/>
      <c r="H2763" s="728"/>
      <c r="I2763" s="729"/>
      <c r="J2763" s="729"/>
      <c r="K2763" s="730"/>
      <c r="L2763" s="730"/>
      <c r="M2763" s="625"/>
      <c r="N2763" s="625"/>
      <c r="O2763" s="625"/>
      <c r="P2763" s="602"/>
      <c r="Q2763" s="651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</row>
    <row r="2764" ht="22.5" customHeight="1">
      <c r="A2764" s="640"/>
      <c r="B2764" s="186"/>
      <c r="C2764" s="724"/>
      <c r="D2764" s="724"/>
      <c r="E2764" s="725"/>
      <c r="F2764" s="726"/>
      <c r="G2764" s="727"/>
      <c r="H2764" s="728"/>
      <c r="I2764" s="729"/>
      <c r="J2764" s="729"/>
      <c r="K2764" s="730"/>
      <c r="L2764" s="730"/>
      <c r="M2764" s="625"/>
      <c r="N2764" s="625"/>
      <c r="O2764" s="625"/>
      <c r="P2764" s="602"/>
      <c r="Q2764" s="651"/>
      <c r="R2764" s="36"/>
      <c r="S2764" s="36"/>
      <c r="T2764" s="36"/>
      <c r="U2764" s="36"/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</row>
    <row r="2765" ht="22.5" customHeight="1">
      <c r="A2765" s="640"/>
      <c r="B2765" s="186"/>
      <c r="C2765" s="724"/>
      <c r="D2765" s="724"/>
      <c r="E2765" s="725"/>
      <c r="F2765" s="726"/>
      <c r="G2765" s="727"/>
      <c r="H2765" s="728"/>
      <c r="I2765" s="729"/>
      <c r="J2765" s="729"/>
      <c r="K2765" s="730"/>
      <c r="L2765" s="730"/>
      <c r="M2765" s="625"/>
      <c r="N2765" s="625"/>
      <c r="O2765" s="625"/>
      <c r="P2765" s="602"/>
      <c r="Q2765" s="651"/>
      <c r="R2765" s="36"/>
      <c r="S2765" s="36"/>
      <c r="T2765" s="36"/>
      <c r="U2765" s="36"/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</row>
    <row r="2766" ht="22.5" customHeight="1">
      <c r="A2766" s="640"/>
      <c r="B2766" s="186"/>
      <c r="C2766" s="724"/>
      <c r="D2766" s="724"/>
      <c r="E2766" s="725"/>
      <c r="F2766" s="726"/>
      <c r="G2766" s="727"/>
      <c r="H2766" s="728"/>
      <c r="I2766" s="729"/>
      <c r="J2766" s="729"/>
      <c r="K2766" s="730"/>
      <c r="L2766" s="730"/>
      <c r="M2766" s="625"/>
      <c r="N2766" s="625"/>
      <c r="O2766" s="625"/>
      <c r="P2766" s="602"/>
      <c r="Q2766" s="651"/>
      <c r="R2766" s="36"/>
      <c r="S2766" s="36"/>
      <c r="T2766" s="36"/>
      <c r="U2766" s="36"/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</row>
    <row r="2767" ht="22.5" customHeight="1">
      <c r="A2767" s="640"/>
      <c r="B2767" s="186"/>
      <c r="C2767" s="724"/>
      <c r="D2767" s="724"/>
      <c r="E2767" s="725"/>
      <c r="F2767" s="726"/>
      <c r="G2767" s="727"/>
      <c r="H2767" s="728"/>
      <c r="I2767" s="729"/>
      <c r="J2767" s="729"/>
      <c r="K2767" s="730"/>
      <c r="L2767" s="730"/>
      <c r="M2767" s="625"/>
      <c r="N2767" s="625"/>
      <c r="O2767" s="625"/>
      <c r="P2767" s="602"/>
      <c r="Q2767" s="651"/>
      <c r="R2767" s="36"/>
      <c r="S2767" s="36"/>
      <c r="T2767" s="36"/>
      <c r="U2767" s="36"/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</row>
    <row r="2768" ht="22.5" customHeight="1">
      <c r="A2768" s="640"/>
      <c r="B2768" s="186"/>
      <c r="C2768" s="724"/>
      <c r="D2768" s="724"/>
      <c r="E2768" s="725"/>
      <c r="F2768" s="726"/>
      <c r="G2768" s="727"/>
      <c r="H2768" s="728"/>
      <c r="I2768" s="729"/>
      <c r="J2768" s="729"/>
      <c r="K2768" s="730"/>
      <c r="L2768" s="730"/>
      <c r="M2768" s="625"/>
      <c r="N2768" s="625"/>
      <c r="O2768" s="625"/>
      <c r="P2768" s="602"/>
      <c r="Q2768" s="651"/>
      <c r="R2768" s="36"/>
      <c r="S2768" s="36"/>
      <c r="T2768" s="36"/>
      <c r="U2768" s="36"/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</row>
    <row r="2769" ht="22.5" customHeight="1">
      <c r="A2769" s="640"/>
      <c r="B2769" s="186"/>
      <c r="C2769" s="724"/>
      <c r="D2769" s="724"/>
      <c r="E2769" s="725"/>
      <c r="F2769" s="726"/>
      <c r="G2769" s="727"/>
      <c r="H2769" s="728"/>
      <c r="I2769" s="729"/>
      <c r="J2769" s="729"/>
      <c r="K2769" s="730"/>
      <c r="L2769" s="730"/>
      <c r="M2769" s="625"/>
      <c r="N2769" s="625"/>
      <c r="O2769" s="625"/>
      <c r="P2769" s="602"/>
      <c r="Q2769" s="651"/>
      <c r="R2769" s="36"/>
      <c r="S2769" s="36"/>
      <c r="T2769" s="36"/>
      <c r="U2769" s="36"/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</row>
    <row r="2770" ht="22.5" customHeight="1">
      <c r="A2770" s="640"/>
      <c r="B2770" s="186"/>
      <c r="C2770" s="724"/>
      <c r="D2770" s="724"/>
      <c r="E2770" s="725"/>
      <c r="F2770" s="726"/>
      <c r="G2770" s="727"/>
      <c r="H2770" s="728"/>
      <c r="I2770" s="729"/>
      <c r="J2770" s="729"/>
      <c r="K2770" s="730"/>
      <c r="L2770" s="730"/>
      <c r="M2770" s="625"/>
      <c r="N2770" s="625"/>
      <c r="O2770" s="625"/>
      <c r="P2770" s="602"/>
      <c r="Q2770" s="651"/>
      <c r="R2770" s="36"/>
      <c r="S2770" s="36"/>
      <c r="T2770" s="36"/>
      <c r="U2770" s="36"/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</row>
    <row r="2771" ht="22.5" customHeight="1">
      <c r="A2771" s="640"/>
      <c r="B2771" s="186"/>
      <c r="C2771" s="724"/>
      <c r="D2771" s="724"/>
      <c r="E2771" s="725"/>
      <c r="F2771" s="726"/>
      <c r="G2771" s="727"/>
      <c r="H2771" s="728"/>
      <c r="I2771" s="729"/>
      <c r="J2771" s="729"/>
      <c r="K2771" s="730"/>
      <c r="L2771" s="730"/>
      <c r="M2771" s="625"/>
      <c r="N2771" s="625"/>
      <c r="O2771" s="625"/>
      <c r="P2771" s="602"/>
      <c r="Q2771" s="651"/>
      <c r="R2771" s="36"/>
      <c r="S2771" s="36"/>
      <c r="T2771" s="36"/>
      <c r="U2771" s="36"/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</row>
    <row r="2772" ht="22.5" customHeight="1">
      <c r="A2772" s="640"/>
      <c r="B2772" s="186"/>
      <c r="C2772" s="724"/>
      <c r="D2772" s="724"/>
      <c r="E2772" s="725"/>
      <c r="F2772" s="726"/>
      <c r="G2772" s="727"/>
      <c r="H2772" s="728"/>
      <c r="I2772" s="729"/>
      <c r="J2772" s="729"/>
      <c r="K2772" s="730"/>
      <c r="L2772" s="730"/>
      <c r="M2772" s="625"/>
      <c r="N2772" s="625"/>
      <c r="O2772" s="625"/>
      <c r="P2772" s="602"/>
      <c r="Q2772" s="651"/>
      <c r="R2772" s="36"/>
      <c r="S2772" s="36"/>
      <c r="T2772" s="36"/>
      <c r="U2772" s="36"/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</row>
    <row r="2773" ht="22.5" customHeight="1">
      <c r="A2773" s="640"/>
      <c r="B2773" s="186"/>
      <c r="C2773" s="724"/>
      <c r="D2773" s="724"/>
      <c r="E2773" s="725"/>
      <c r="F2773" s="726"/>
      <c r="G2773" s="727"/>
      <c r="H2773" s="728"/>
      <c r="I2773" s="729"/>
      <c r="J2773" s="729"/>
      <c r="K2773" s="730"/>
      <c r="L2773" s="730"/>
      <c r="M2773" s="625"/>
      <c r="N2773" s="625"/>
      <c r="O2773" s="625"/>
      <c r="P2773" s="602"/>
      <c r="Q2773" s="651"/>
      <c r="R2773" s="36"/>
      <c r="S2773" s="36"/>
      <c r="T2773" s="36"/>
      <c r="U2773" s="36"/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</row>
    <row r="2774" ht="22.5" customHeight="1">
      <c r="A2774" s="640"/>
      <c r="B2774" s="186"/>
      <c r="C2774" s="724"/>
      <c r="D2774" s="724"/>
      <c r="E2774" s="725"/>
      <c r="F2774" s="726"/>
      <c r="G2774" s="727"/>
      <c r="H2774" s="728"/>
      <c r="I2774" s="729"/>
      <c r="J2774" s="729"/>
      <c r="K2774" s="730"/>
      <c r="L2774" s="730"/>
      <c r="M2774" s="625"/>
      <c r="N2774" s="625"/>
      <c r="O2774" s="625"/>
      <c r="P2774" s="602"/>
      <c r="Q2774" s="651"/>
      <c r="R2774" s="36"/>
      <c r="S2774" s="36"/>
      <c r="T2774" s="36"/>
      <c r="U2774" s="36"/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</row>
    <row r="2775" ht="22.5" customHeight="1">
      <c r="A2775" s="640"/>
      <c r="B2775" s="186"/>
      <c r="C2775" s="724"/>
      <c r="D2775" s="724"/>
      <c r="E2775" s="725"/>
      <c r="F2775" s="726"/>
      <c r="G2775" s="727"/>
      <c r="H2775" s="728"/>
      <c r="I2775" s="729"/>
      <c r="J2775" s="729"/>
      <c r="K2775" s="730"/>
      <c r="L2775" s="730"/>
      <c r="M2775" s="625"/>
      <c r="N2775" s="625"/>
      <c r="O2775" s="625"/>
      <c r="P2775" s="602"/>
      <c r="Q2775" s="651"/>
      <c r="R2775" s="36"/>
      <c r="S2775" s="36"/>
      <c r="T2775" s="36"/>
      <c r="U2775" s="36"/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</row>
    <row r="2776" ht="22.5" customHeight="1">
      <c r="A2776" s="640"/>
      <c r="B2776" s="186"/>
      <c r="C2776" s="724"/>
      <c r="D2776" s="724"/>
      <c r="E2776" s="725"/>
      <c r="F2776" s="726"/>
      <c r="G2776" s="727"/>
      <c r="H2776" s="728"/>
      <c r="I2776" s="729"/>
      <c r="J2776" s="729"/>
      <c r="K2776" s="730"/>
      <c r="L2776" s="730"/>
      <c r="M2776" s="625"/>
      <c r="N2776" s="625"/>
      <c r="O2776" s="625"/>
      <c r="P2776" s="602"/>
      <c r="Q2776" s="651"/>
      <c r="R2776" s="36"/>
      <c r="S2776" s="36"/>
      <c r="T2776" s="36"/>
      <c r="U2776" s="36"/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</row>
    <row r="2777" ht="22.5" customHeight="1">
      <c r="A2777" s="640"/>
      <c r="B2777" s="186"/>
      <c r="C2777" s="724"/>
      <c r="D2777" s="724"/>
      <c r="E2777" s="725"/>
      <c r="F2777" s="726"/>
      <c r="G2777" s="727"/>
      <c r="H2777" s="728"/>
      <c r="I2777" s="729"/>
      <c r="J2777" s="729"/>
      <c r="K2777" s="730"/>
      <c r="L2777" s="730"/>
      <c r="M2777" s="625"/>
      <c r="N2777" s="625"/>
      <c r="O2777" s="625"/>
      <c r="P2777" s="602"/>
      <c r="Q2777" s="651"/>
      <c r="R2777" s="36"/>
      <c r="S2777" s="36"/>
      <c r="T2777" s="36"/>
      <c r="U2777" s="36"/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</row>
    <row r="2778" ht="22.5" customHeight="1">
      <c r="A2778" s="640"/>
      <c r="B2778" s="186"/>
      <c r="C2778" s="724"/>
      <c r="D2778" s="724"/>
      <c r="E2778" s="725"/>
      <c r="F2778" s="726"/>
      <c r="G2778" s="727"/>
      <c r="H2778" s="728"/>
      <c r="I2778" s="729"/>
      <c r="J2778" s="729"/>
      <c r="K2778" s="730"/>
      <c r="L2778" s="730"/>
      <c r="M2778" s="625"/>
      <c r="N2778" s="625"/>
      <c r="O2778" s="625"/>
      <c r="P2778" s="602"/>
      <c r="Q2778" s="651"/>
      <c r="R2778" s="36"/>
      <c r="S2778" s="36"/>
      <c r="T2778" s="36"/>
      <c r="U2778" s="36"/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</row>
    <row r="2779" ht="22.5" customHeight="1">
      <c r="A2779" s="640"/>
      <c r="B2779" s="186"/>
      <c r="C2779" s="724"/>
      <c r="D2779" s="724"/>
      <c r="E2779" s="725"/>
      <c r="F2779" s="726"/>
      <c r="G2779" s="727"/>
      <c r="H2779" s="728"/>
      <c r="I2779" s="729"/>
      <c r="J2779" s="729"/>
      <c r="K2779" s="730"/>
      <c r="L2779" s="730"/>
      <c r="M2779" s="625"/>
      <c r="N2779" s="625"/>
      <c r="O2779" s="625"/>
      <c r="P2779" s="602"/>
      <c r="Q2779" s="651"/>
      <c r="R2779" s="36"/>
      <c r="S2779" s="36"/>
      <c r="T2779" s="36"/>
      <c r="U2779" s="36"/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</row>
    <row r="2780" ht="22.5" customHeight="1">
      <c r="A2780" s="640"/>
      <c r="B2780" s="186"/>
      <c r="C2780" s="724"/>
      <c r="D2780" s="724"/>
      <c r="E2780" s="725"/>
      <c r="F2780" s="726"/>
      <c r="G2780" s="727"/>
      <c r="H2780" s="728"/>
      <c r="I2780" s="729"/>
      <c r="J2780" s="729"/>
      <c r="K2780" s="730"/>
      <c r="L2780" s="730"/>
      <c r="M2780" s="625"/>
      <c r="N2780" s="625"/>
      <c r="O2780" s="625"/>
      <c r="P2780" s="602"/>
      <c r="Q2780" s="651"/>
      <c r="R2780" s="36"/>
      <c r="S2780" s="36"/>
      <c r="T2780" s="36"/>
      <c r="U2780" s="36"/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</row>
    <row r="2781" ht="22.5" customHeight="1">
      <c r="A2781" s="640"/>
      <c r="B2781" s="186"/>
      <c r="C2781" s="724"/>
      <c r="D2781" s="724"/>
      <c r="E2781" s="725"/>
      <c r="F2781" s="726"/>
      <c r="G2781" s="727"/>
      <c r="H2781" s="728"/>
      <c r="I2781" s="729"/>
      <c r="J2781" s="729"/>
      <c r="K2781" s="730"/>
      <c r="L2781" s="730"/>
      <c r="M2781" s="625"/>
      <c r="N2781" s="625"/>
      <c r="O2781" s="625"/>
      <c r="P2781" s="602"/>
      <c r="Q2781" s="651"/>
      <c r="R2781" s="36"/>
      <c r="S2781" s="36"/>
      <c r="T2781" s="36"/>
      <c r="U2781" s="36"/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</row>
    <row r="2782" ht="22.5" customHeight="1">
      <c r="A2782" s="640"/>
      <c r="B2782" s="186"/>
      <c r="C2782" s="724"/>
      <c r="D2782" s="724"/>
      <c r="E2782" s="725"/>
      <c r="F2782" s="726"/>
      <c r="G2782" s="727"/>
      <c r="H2782" s="728"/>
      <c r="I2782" s="729"/>
      <c r="J2782" s="729"/>
      <c r="K2782" s="730"/>
      <c r="L2782" s="730"/>
      <c r="M2782" s="625"/>
      <c r="N2782" s="625"/>
      <c r="O2782" s="625"/>
      <c r="P2782" s="602"/>
      <c r="Q2782" s="651"/>
      <c r="R2782" s="36"/>
      <c r="S2782" s="36"/>
      <c r="T2782" s="36"/>
      <c r="U2782" s="36"/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</row>
    <row r="2783" ht="22.5" customHeight="1">
      <c r="A2783" s="640"/>
      <c r="B2783" s="186"/>
      <c r="C2783" s="724"/>
      <c r="D2783" s="724"/>
      <c r="E2783" s="725"/>
      <c r="F2783" s="726"/>
      <c r="G2783" s="727"/>
      <c r="H2783" s="728"/>
      <c r="I2783" s="729"/>
      <c r="J2783" s="729"/>
      <c r="K2783" s="730"/>
      <c r="L2783" s="730"/>
      <c r="M2783" s="625"/>
      <c r="N2783" s="625"/>
      <c r="O2783" s="625"/>
      <c r="P2783" s="602"/>
      <c r="Q2783" s="651"/>
      <c r="R2783" s="36"/>
      <c r="S2783" s="36"/>
      <c r="T2783" s="36"/>
      <c r="U2783" s="36"/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</row>
    <row r="2784" ht="22.5" customHeight="1">
      <c r="A2784" s="640"/>
      <c r="B2784" s="186"/>
      <c r="C2784" s="724"/>
      <c r="D2784" s="724"/>
      <c r="E2784" s="725"/>
      <c r="F2784" s="726"/>
      <c r="G2784" s="727"/>
      <c r="H2784" s="728"/>
      <c r="I2784" s="729"/>
      <c r="J2784" s="729"/>
      <c r="K2784" s="730"/>
      <c r="L2784" s="730"/>
      <c r="M2784" s="625"/>
      <c r="N2784" s="625"/>
      <c r="O2784" s="625"/>
      <c r="P2784" s="602"/>
      <c r="Q2784" s="651"/>
      <c r="R2784" s="36"/>
      <c r="S2784" s="36"/>
      <c r="T2784" s="36"/>
      <c r="U2784" s="36"/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</row>
    <row r="2785" ht="22.5" customHeight="1">
      <c r="A2785" s="640"/>
      <c r="B2785" s="186"/>
      <c r="C2785" s="724"/>
      <c r="D2785" s="724"/>
      <c r="E2785" s="725"/>
      <c r="F2785" s="726"/>
      <c r="G2785" s="727"/>
      <c r="H2785" s="728"/>
      <c r="I2785" s="729"/>
      <c r="J2785" s="729"/>
      <c r="K2785" s="730"/>
      <c r="L2785" s="730"/>
      <c r="M2785" s="625"/>
      <c r="N2785" s="625"/>
      <c r="O2785" s="625"/>
      <c r="P2785" s="602"/>
      <c r="Q2785" s="651"/>
      <c r="R2785" s="36"/>
      <c r="S2785" s="36"/>
      <c r="T2785" s="36"/>
      <c r="U2785" s="36"/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</row>
    <row r="2786" ht="22.5" customHeight="1">
      <c r="A2786" s="640"/>
      <c r="B2786" s="186"/>
      <c r="C2786" s="724"/>
      <c r="D2786" s="724"/>
      <c r="E2786" s="725"/>
      <c r="F2786" s="726"/>
      <c r="G2786" s="727"/>
      <c r="H2786" s="728"/>
      <c r="I2786" s="729"/>
      <c r="J2786" s="729"/>
      <c r="K2786" s="730"/>
      <c r="L2786" s="730"/>
      <c r="M2786" s="625"/>
      <c r="N2786" s="625"/>
      <c r="O2786" s="625"/>
      <c r="P2786" s="602"/>
      <c r="Q2786" s="651"/>
      <c r="R2786" s="36"/>
      <c r="S2786" s="36"/>
      <c r="T2786" s="36"/>
      <c r="U2786" s="36"/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</row>
    <row r="2787" ht="22.5" customHeight="1">
      <c r="A2787" s="640"/>
      <c r="B2787" s="186"/>
      <c r="C2787" s="724"/>
      <c r="D2787" s="724"/>
      <c r="E2787" s="725"/>
      <c r="F2787" s="726"/>
      <c r="G2787" s="727"/>
      <c r="H2787" s="728"/>
      <c r="I2787" s="729"/>
      <c r="J2787" s="729"/>
      <c r="K2787" s="730"/>
      <c r="L2787" s="730"/>
      <c r="M2787" s="625"/>
      <c r="N2787" s="625"/>
      <c r="O2787" s="625"/>
      <c r="P2787" s="602"/>
      <c r="Q2787" s="651"/>
      <c r="R2787" s="36"/>
      <c r="S2787" s="36"/>
      <c r="T2787" s="36"/>
      <c r="U2787" s="36"/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</row>
    <row r="2788" ht="22.5" customHeight="1">
      <c r="A2788" s="640"/>
      <c r="B2788" s="186"/>
      <c r="C2788" s="724"/>
      <c r="D2788" s="724"/>
      <c r="E2788" s="725"/>
      <c r="F2788" s="726"/>
      <c r="G2788" s="727"/>
      <c r="H2788" s="728"/>
      <c r="I2788" s="729"/>
      <c r="J2788" s="729"/>
      <c r="K2788" s="730"/>
      <c r="L2788" s="730"/>
      <c r="M2788" s="625"/>
      <c r="N2788" s="625"/>
      <c r="O2788" s="625"/>
      <c r="P2788" s="602"/>
      <c r="Q2788" s="651"/>
      <c r="R2788" s="36"/>
      <c r="S2788" s="36"/>
      <c r="T2788" s="36"/>
      <c r="U2788" s="36"/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</row>
    <row r="2789" ht="22.5" customHeight="1">
      <c r="A2789" s="640"/>
      <c r="B2789" s="186"/>
      <c r="C2789" s="724"/>
      <c r="D2789" s="724"/>
      <c r="E2789" s="725"/>
      <c r="F2789" s="726"/>
      <c r="G2789" s="727"/>
      <c r="H2789" s="728"/>
      <c r="I2789" s="729"/>
      <c r="J2789" s="729"/>
      <c r="K2789" s="730"/>
      <c r="L2789" s="730"/>
      <c r="M2789" s="625"/>
      <c r="N2789" s="625"/>
      <c r="O2789" s="625"/>
      <c r="P2789" s="602"/>
      <c r="Q2789" s="651"/>
      <c r="R2789" s="36"/>
      <c r="S2789" s="36"/>
      <c r="T2789" s="36"/>
      <c r="U2789" s="36"/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</row>
    <row r="2790" ht="22.5" customHeight="1">
      <c r="A2790" s="640"/>
      <c r="B2790" s="186"/>
      <c r="C2790" s="724"/>
      <c r="D2790" s="724"/>
      <c r="E2790" s="725"/>
      <c r="F2790" s="726"/>
      <c r="G2790" s="727"/>
      <c r="H2790" s="728"/>
      <c r="I2790" s="729"/>
      <c r="J2790" s="729"/>
      <c r="K2790" s="730"/>
      <c r="L2790" s="730"/>
      <c r="M2790" s="625"/>
      <c r="N2790" s="625"/>
      <c r="O2790" s="625"/>
      <c r="P2790" s="602"/>
      <c r="Q2790" s="651"/>
      <c r="R2790" s="36"/>
      <c r="S2790" s="36"/>
      <c r="T2790" s="36"/>
      <c r="U2790" s="36"/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</row>
    <row r="2791" ht="22.5" customHeight="1">
      <c r="A2791" s="640"/>
      <c r="B2791" s="186"/>
      <c r="C2791" s="724"/>
      <c r="D2791" s="724"/>
      <c r="E2791" s="725"/>
      <c r="F2791" s="726"/>
      <c r="G2791" s="727"/>
      <c r="H2791" s="728"/>
      <c r="I2791" s="729"/>
      <c r="J2791" s="729"/>
      <c r="K2791" s="730"/>
      <c r="L2791" s="730"/>
      <c r="M2791" s="625"/>
      <c r="N2791" s="625"/>
      <c r="O2791" s="625"/>
      <c r="P2791" s="602"/>
      <c r="Q2791" s="651"/>
      <c r="R2791" s="36"/>
      <c r="S2791" s="36"/>
      <c r="T2791" s="36"/>
      <c r="U2791" s="36"/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</row>
    <row r="2792" ht="22.5" customHeight="1">
      <c r="A2792" s="640"/>
      <c r="B2792" s="186"/>
      <c r="C2792" s="724"/>
      <c r="D2792" s="724"/>
      <c r="E2792" s="725"/>
      <c r="F2792" s="726"/>
      <c r="G2792" s="727"/>
      <c r="H2792" s="728"/>
      <c r="I2792" s="729"/>
      <c r="J2792" s="729"/>
      <c r="K2792" s="730"/>
      <c r="L2792" s="730"/>
      <c r="M2792" s="625"/>
      <c r="N2792" s="625"/>
      <c r="O2792" s="625"/>
      <c r="P2792" s="602"/>
      <c r="Q2792" s="651"/>
      <c r="R2792" s="36"/>
      <c r="S2792" s="36"/>
      <c r="T2792" s="36"/>
      <c r="U2792" s="36"/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</row>
    <row r="2793" ht="22.5" customHeight="1">
      <c r="A2793" s="640"/>
      <c r="B2793" s="186"/>
      <c r="C2793" s="724"/>
      <c r="D2793" s="724"/>
      <c r="E2793" s="725"/>
      <c r="F2793" s="726"/>
      <c r="G2793" s="727"/>
      <c r="H2793" s="728"/>
      <c r="I2793" s="729"/>
      <c r="J2793" s="729"/>
      <c r="K2793" s="730"/>
      <c r="L2793" s="730"/>
      <c r="M2793" s="625"/>
      <c r="N2793" s="625"/>
      <c r="O2793" s="625"/>
      <c r="P2793" s="602"/>
      <c r="Q2793" s="651"/>
      <c r="R2793" s="36"/>
      <c r="S2793" s="36"/>
      <c r="T2793" s="36"/>
      <c r="U2793" s="36"/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</row>
    <row r="2794" ht="22.5" customHeight="1">
      <c r="A2794" s="640"/>
      <c r="B2794" s="186"/>
      <c r="C2794" s="724"/>
      <c r="D2794" s="724"/>
      <c r="E2794" s="725"/>
      <c r="F2794" s="726"/>
      <c r="G2794" s="727"/>
      <c r="H2794" s="728"/>
      <c r="I2794" s="729"/>
      <c r="J2794" s="729"/>
      <c r="K2794" s="730"/>
      <c r="L2794" s="730"/>
      <c r="M2794" s="625"/>
      <c r="N2794" s="625"/>
      <c r="O2794" s="625"/>
      <c r="P2794" s="602"/>
      <c r="Q2794" s="651"/>
      <c r="R2794" s="36"/>
      <c r="S2794" s="36"/>
      <c r="T2794" s="36"/>
      <c r="U2794" s="36"/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</row>
    <row r="2795" ht="22.5" customHeight="1">
      <c r="A2795" s="640"/>
      <c r="B2795" s="186"/>
      <c r="C2795" s="724"/>
      <c r="D2795" s="724"/>
      <c r="E2795" s="725"/>
      <c r="F2795" s="726"/>
      <c r="G2795" s="727"/>
      <c r="H2795" s="728"/>
      <c r="I2795" s="729"/>
      <c r="J2795" s="729"/>
      <c r="K2795" s="730"/>
      <c r="L2795" s="730"/>
      <c r="M2795" s="625"/>
      <c r="N2795" s="625"/>
      <c r="O2795" s="625"/>
      <c r="P2795" s="602"/>
      <c r="Q2795" s="651"/>
      <c r="R2795" s="36"/>
      <c r="S2795" s="36"/>
      <c r="T2795" s="36"/>
      <c r="U2795" s="36"/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</row>
    <row r="2796" ht="22.5" customHeight="1">
      <c r="A2796" s="640"/>
      <c r="B2796" s="186"/>
      <c r="C2796" s="724"/>
      <c r="D2796" s="724"/>
      <c r="E2796" s="725"/>
      <c r="F2796" s="726"/>
      <c r="G2796" s="727"/>
      <c r="H2796" s="728"/>
      <c r="I2796" s="729"/>
      <c r="J2796" s="729"/>
      <c r="K2796" s="730"/>
      <c r="L2796" s="730"/>
      <c r="M2796" s="625"/>
      <c r="N2796" s="625"/>
      <c r="O2796" s="625"/>
      <c r="P2796" s="602"/>
      <c r="Q2796" s="651"/>
      <c r="R2796" s="36"/>
      <c r="S2796" s="36"/>
      <c r="T2796" s="36"/>
      <c r="U2796" s="36"/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</row>
    <row r="2797" ht="22.5" customHeight="1">
      <c r="A2797" s="640"/>
      <c r="B2797" s="186"/>
      <c r="C2797" s="724"/>
      <c r="D2797" s="724"/>
      <c r="E2797" s="725"/>
      <c r="F2797" s="726"/>
      <c r="G2797" s="727"/>
      <c r="H2797" s="728"/>
      <c r="I2797" s="729"/>
      <c r="J2797" s="729"/>
      <c r="K2797" s="730"/>
      <c r="L2797" s="730"/>
      <c r="M2797" s="625"/>
      <c r="N2797" s="625"/>
      <c r="O2797" s="625"/>
      <c r="P2797" s="602"/>
      <c r="Q2797" s="651"/>
      <c r="R2797" s="36"/>
      <c r="S2797" s="36"/>
      <c r="T2797" s="36"/>
      <c r="U2797" s="36"/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</row>
    <row r="2798" ht="22.5" customHeight="1">
      <c r="A2798" s="640"/>
      <c r="B2798" s="186"/>
      <c r="C2798" s="724"/>
      <c r="D2798" s="724"/>
      <c r="E2798" s="725"/>
      <c r="F2798" s="726"/>
      <c r="G2798" s="727"/>
      <c r="H2798" s="728"/>
      <c r="I2798" s="729"/>
      <c r="J2798" s="729"/>
      <c r="K2798" s="730"/>
      <c r="L2798" s="730"/>
      <c r="M2798" s="625"/>
      <c r="N2798" s="625"/>
      <c r="O2798" s="625"/>
      <c r="P2798" s="602"/>
      <c r="Q2798" s="651"/>
      <c r="R2798" s="36"/>
      <c r="S2798" s="36"/>
      <c r="T2798" s="36"/>
      <c r="U2798" s="36"/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</row>
    <row r="2799" ht="22.5" customHeight="1">
      <c r="A2799" s="640"/>
      <c r="B2799" s="186"/>
      <c r="C2799" s="724"/>
      <c r="D2799" s="724"/>
      <c r="E2799" s="725"/>
      <c r="F2799" s="726"/>
      <c r="G2799" s="727"/>
      <c r="H2799" s="728"/>
      <c r="I2799" s="729"/>
      <c r="J2799" s="729"/>
      <c r="K2799" s="730"/>
      <c r="L2799" s="730"/>
      <c r="M2799" s="625"/>
      <c r="N2799" s="625"/>
      <c r="O2799" s="625"/>
      <c r="P2799" s="602"/>
      <c r="Q2799" s="651"/>
      <c r="R2799" s="36"/>
      <c r="S2799" s="36"/>
      <c r="T2799" s="36"/>
      <c r="U2799" s="36"/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</row>
    <row r="2800" ht="22.5" customHeight="1">
      <c r="A2800" s="640"/>
      <c r="B2800" s="186"/>
      <c r="C2800" s="724"/>
      <c r="D2800" s="724"/>
      <c r="E2800" s="725"/>
      <c r="F2800" s="726"/>
      <c r="G2800" s="727"/>
      <c r="H2800" s="728"/>
      <c r="I2800" s="729"/>
      <c r="J2800" s="729"/>
      <c r="K2800" s="730"/>
      <c r="L2800" s="730"/>
      <c r="M2800" s="625"/>
      <c r="N2800" s="625"/>
      <c r="O2800" s="625"/>
      <c r="P2800" s="602"/>
      <c r="Q2800" s="651"/>
      <c r="R2800" s="36"/>
      <c r="S2800" s="36"/>
      <c r="T2800" s="36"/>
      <c r="U2800" s="36"/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</row>
    <row r="2801" ht="22.5" customHeight="1">
      <c r="A2801" s="640"/>
      <c r="B2801" s="186"/>
      <c r="C2801" s="724"/>
      <c r="D2801" s="724"/>
      <c r="E2801" s="725"/>
      <c r="F2801" s="726"/>
      <c r="G2801" s="727"/>
      <c r="H2801" s="728"/>
      <c r="I2801" s="729"/>
      <c r="J2801" s="729"/>
      <c r="K2801" s="730"/>
      <c r="L2801" s="730"/>
      <c r="M2801" s="625"/>
      <c r="N2801" s="625"/>
      <c r="O2801" s="625"/>
      <c r="P2801" s="602"/>
      <c r="Q2801" s="651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</row>
    <row r="2802" ht="22.5" customHeight="1">
      <c r="A2802" s="640"/>
      <c r="B2802" s="186"/>
      <c r="C2802" s="724"/>
      <c r="D2802" s="724"/>
      <c r="E2802" s="725"/>
      <c r="F2802" s="726"/>
      <c r="G2802" s="727"/>
      <c r="H2802" s="728"/>
      <c r="I2802" s="729"/>
      <c r="J2802" s="729"/>
      <c r="K2802" s="730"/>
      <c r="L2802" s="730"/>
      <c r="M2802" s="625"/>
      <c r="N2802" s="625"/>
      <c r="O2802" s="625"/>
      <c r="P2802" s="602"/>
      <c r="Q2802" s="651"/>
      <c r="R2802" s="36"/>
      <c r="S2802" s="36"/>
      <c r="T2802" s="36"/>
      <c r="U2802" s="36"/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</row>
    <row r="2803" ht="22.5" customHeight="1">
      <c r="A2803" s="640"/>
      <c r="B2803" s="186"/>
      <c r="C2803" s="724"/>
      <c r="D2803" s="724"/>
      <c r="E2803" s="725"/>
      <c r="F2803" s="726"/>
      <c r="G2803" s="727"/>
      <c r="H2803" s="728"/>
      <c r="I2803" s="729"/>
      <c r="J2803" s="729"/>
      <c r="K2803" s="730"/>
      <c r="L2803" s="730"/>
      <c r="M2803" s="625"/>
      <c r="N2803" s="625"/>
      <c r="O2803" s="625"/>
      <c r="P2803" s="602"/>
      <c r="Q2803" s="651"/>
      <c r="R2803" s="36"/>
      <c r="S2803" s="36"/>
      <c r="T2803" s="36"/>
      <c r="U2803" s="36"/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</row>
    <row r="2804" ht="22.5" customHeight="1">
      <c r="A2804" s="640"/>
      <c r="B2804" s="186"/>
      <c r="C2804" s="724"/>
      <c r="D2804" s="724"/>
      <c r="E2804" s="725"/>
      <c r="F2804" s="726"/>
      <c r="G2804" s="727"/>
      <c r="H2804" s="728"/>
      <c r="I2804" s="729"/>
      <c r="J2804" s="729"/>
      <c r="K2804" s="730"/>
      <c r="L2804" s="730"/>
      <c r="M2804" s="625"/>
      <c r="N2804" s="625"/>
      <c r="O2804" s="625"/>
      <c r="P2804" s="602"/>
      <c r="Q2804" s="651"/>
      <c r="R2804" s="36"/>
      <c r="S2804" s="36"/>
      <c r="T2804" s="36"/>
      <c r="U2804" s="36"/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</row>
    <row r="2805" ht="22.5" customHeight="1">
      <c r="A2805" s="640"/>
      <c r="B2805" s="186"/>
      <c r="C2805" s="724"/>
      <c r="D2805" s="724"/>
      <c r="E2805" s="725"/>
      <c r="F2805" s="726"/>
      <c r="G2805" s="727"/>
      <c r="H2805" s="728"/>
      <c r="I2805" s="729"/>
      <c r="J2805" s="729"/>
      <c r="K2805" s="730"/>
      <c r="L2805" s="730"/>
      <c r="M2805" s="625"/>
      <c r="N2805" s="625"/>
      <c r="O2805" s="625"/>
      <c r="P2805" s="602"/>
      <c r="Q2805" s="651"/>
      <c r="R2805" s="36"/>
      <c r="S2805" s="36"/>
      <c r="T2805" s="36"/>
      <c r="U2805" s="36"/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</row>
    <row r="2806" ht="22.5" customHeight="1">
      <c r="A2806" s="640"/>
      <c r="B2806" s="186"/>
      <c r="C2806" s="724"/>
      <c r="D2806" s="724"/>
      <c r="E2806" s="725"/>
      <c r="F2806" s="726"/>
      <c r="G2806" s="727"/>
      <c r="H2806" s="728"/>
      <c r="I2806" s="729"/>
      <c r="J2806" s="729"/>
      <c r="K2806" s="730"/>
      <c r="L2806" s="730"/>
      <c r="M2806" s="625"/>
      <c r="N2806" s="625"/>
      <c r="O2806" s="625"/>
      <c r="P2806" s="602"/>
      <c r="Q2806" s="651"/>
      <c r="R2806" s="36"/>
      <c r="S2806" s="36"/>
      <c r="T2806" s="36"/>
      <c r="U2806" s="36"/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</row>
    <row r="2807" ht="22.5" customHeight="1">
      <c r="A2807" s="640"/>
      <c r="B2807" s="186"/>
      <c r="C2807" s="724"/>
      <c r="D2807" s="724"/>
      <c r="E2807" s="725"/>
      <c r="F2807" s="726"/>
      <c r="G2807" s="727"/>
      <c r="H2807" s="728"/>
      <c r="I2807" s="729"/>
      <c r="J2807" s="729"/>
      <c r="K2807" s="730"/>
      <c r="L2807" s="730"/>
      <c r="M2807" s="625"/>
      <c r="N2807" s="625"/>
      <c r="O2807" s="625"/>
      <c r="P2807" s="602"/>
      <c r="Q2807" s="651"/>
      <c r="R2807" s="36"/>
      <c r="S2807" s="36"/>
      <c r="T2807" s="36"/>
      <c r="U2807" s="36"/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</row>
    <row r="2808" ht="22.5" customHeight="1">
      <c r="A2808" s="640"/>
      <c r="B2808" s="186"/>
      <c r="C2808" s="724"/>
      <c r="D2808" s="724"/>
      <c r="E2808" s="725"/>
      <c r="F2808" s="726"/>
      <c r="G2808" s="727"/>
      <c r="H2808" s="728"/>
      <c r="I2808" s="729"/>
      <c r="J2808" s="729"/>
      <c r="K2808" s="730"/>
      <c r="L2808" s="730"/>
      <c r="M2808" s="625"/>
      <c r="N2808" s="625"/>
      <c r="O2808" s="625"/>
      <c r="P2808" s="602"/>
      <c r="Q2808" s="651"/>
      <c r="R2808" s="36"/>
      <c r="S2808" s="36"/>
      <c r="T2808" s="36"/>
      <c r="U2808" s="36"/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</row>
    <row r="2809" ht="22.5" customHeight="1">
      <c r="A2809" s="640"/>
      <c r="B2809" s="186"/>
      <c r="C2809" s="724"/>
      <c r="D2809" s="724"/>
      <c r="E2809" s="725"/>
      <c r="F2809" s="726"/>
      <c r="G2809" s="727"/>
      <c r="H2809" s="728"/>
      <c r="I2809" s="729"/>
      <c r="J2809" s="729"/>
      <c r="K2809" s="730"/>
      <c r="L2809" s="730"/>
      <c r="M2809" s="625"/>
      <c r="N2809" s="625"/>
      <c r="O2809" s="625"/>
      <c r="P2809" s="602"/>
      <c r="Q2809" s="651"/>
      <c r="R2809" s="36"/>
      <c r="S2809" s="36"/>
      <c r="T2809" s="36"/>
      <c r="U2809" s="36"/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</row>
    <row r="2810" ht="22.5" customHeight="1">
      <c r="A2810" s="640"/>
      <c r="B2810" s="186"/>
      <c r="C2810" s="724"/>
      <c r="D2810" s="724"/>
      <c r="E2810" s="725"/>
      <c r="F2810" s="726"/>
      <c r="G2810" s="727"/>
      <c r="H2810" s="728"/>
      <c r="I2810" s="729"/>
      <c r="J2810" s="729"/>
      <c r="K2810" s="730"/>
      <c r="L2810" s="730"/>
      <c r="M2810" s="625"/>
      <c r="N2810" s="625"/>
      <c r="O2810" s="625"/>
      <c r="P2810" s="602"/>
      <c r="Q2810" s="651"/>
      <c r="R2810" s="36"/>
      <c r="S2810" s="36"/>
      <c r="T2810" s="36"/>
      <c r="U2810" s="36"/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</row>
    <row r="2811" ht="22.5" customHeight="1">
      <c r="A2811" s="640"/>
      <c r="B2811" s="186"/>
      <c r="C2811" s="724"/>
      <c r="D2811" s="724"/>
      <c r="E2811" s="725"/>
      <c r="F2811" s="726"/>
      <c r="G2811" s="727"/>
      <c r="H2811" s="728"/>
      <c r="I2811" s="729"/>
      <c r="J2811" s="729"/>
      <c r="K2811" s="730"/>
      <c r="L2811" s="730"/>
      <c r="M2811" s="625"/>
      <c r="N2811" s="625"/>
      <c r="O2811" s="625"/>
      <c r="P2811" s="602"/>
      <c r="Q2811" s="651"/>
      <c r="R2811" s="36"/>
      <c r="S2811" s="36"/>
      <c r="T2811" s="36"/>
      <c r="U2811" s="36"/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</row>
    <row r="2812" ht="22.5" customHeight="1">
      <c r="A2812" s="640"/>
      <c r="B2812" s="186"/>
      <c r="C2812" s="724"/>
      <c r="D2812" s="724"/>
      <c r="E2812" s="725"/>
      <c r="F2812" s="726"/>
      <c r="G2812" s="727"/>
      <c r="H2812" s="728"/>
      <c r="I2812" s="729"/>
      <c r="J2812" s="729"/>
      <c r="K2812" s="730"/>
      <c r="L2812" s="730"/>
      <c r="M2812" s="625"/>
      <c r="N2812" s="625"/>
      <c r="O2812" s="625"/>
      <c r="P2812" s="602"/>
      <c r="Q2812" s="651"/>
      <c r="R2812" s="36"/>
      <c r="S2812" s="36"/>
      <c r="T2812" s="36"/>
      <c r="U2812" s="36"/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</row>
    <row r="2813" ht="22.5" customHeight="1">
      <c r="A2813" s="640"/>
      <c r="B2813" s="186"/>
      <c r="C2813" s="724"/>
      <c r="D2813" s="724"/>
      <c r="E2813" s="725"/>
      <c r="F2813" s="726"/>
      <c r="G2813" s="727"/>
      <c r="H2813" s="728"/>
      <c r="I2813" s="729"/>
      <c r="J2813" s="729"/>
      <c r="K2813" s="730"/>
      <c r="L2813" s="730"/>
      <c r="M2813" s="625"/>
      <c r="N2813" s="625"/>
      <c r="O2813" s="625"/>
      <c r="P2813" s="602"/>
      <c r="Q2813" s="651"/>
      <c r="R2813" s="36"/>
      <c r="S2813" s="36"/>
      <c r="T2813" s="36"/>
      <c r="U2813" s="36"/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</row>
    <row r="2814" ht="22.5" customHeight="1">
      <c r="A2814" s="640"/>
      <c r="B2814" s="186"/>
      <c r="C2814" s="724"/>
      <c r="D2814" s="724"/>
      <c r="E2814" s="725"/>
      <c r="F2814" s="726"/>
      <c r="G2814" s="727"/>
      <c r="H2814" s="728"/>
      <c r="I2814" s="729"/>
      <c r="J2814" s="729"/>
      <c r="K2814" s="730"/>
      <c r="L2814" s="730"/>
      <c r="M2814" s="625"/>
      <c r="N2814" s="625"/>
      <c r="O2814" s="625"/>
      <c r="P2814" s="602"/>
      <c r="Q2814" s="651"/>
      <c r="R2814" s="36"/>
      <c r="S2814" s="36"/>
      <c r="T2814" s="36"/>
      <c r="U2814" s="36"/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</row>
    <row r="2815" ht="22.5" customHeight="1">
      <c r="A2815" s="640"/>
      <c r="B2815" s="186"/>
      <c r="C2815" s="724"/>
      <c r="D2815" s="724"/>
      <c r="E2815" s="725"/>
      <c r="F2815" s="726"/>
      <c r="G2815" s="727"/>
      <c r="H2815" s="728"/>
      <c r="I2815" s="729"/>
      <c r="J2815" s="729"/>
      <c r="K2815" s="730"/>
      <c r="L2815" s="730"/>
      <c r="M2815" s="625"/>
      <c r="N2815" s="625"/>
      <c r="O2815" s="625"/>
      <c r="P2815" s="602"/>
      <c r="Q2815" s="651"/>
      <c r="R2815" s="36"/>
      <c r="S2815" s="36"/>
      <c r="T2815" s="36"/>
      <c r="U2815" s="36"/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</row>
    <row r="2816" ht="22.5" customHeight="1">
      <c r="A2816" s="640"/>
      <c r="B2816" s="186"/>
      <c r="C2816" s="724"/>
      <c r="D2816" s="724"/>
      <c r="E2816" s="725"/>
      <c r="F2816" s="726"/>
      <c r="G2816" s="727"/>
      <c r="H2816" s="728"/>
      <c r="I2816" s="729"/>
      <c r="J2816" s="729"/>
      <c r="K2816" s="730"/>
      <c r="L2816" s="730"/>
      <c r="M2816" s="625"/>
      <c r="N2816" s="625"/>
      <c r="O2816" s="625"/>
      <c r="P2816" s="602"/>
      <c r="Q2816" s="651"/>
      <c r="R2816" s="36"/>
      <c r="S2816" s="36"/>
      <c r="T2816" s="36"/>
      <c r="U2816" s="36"/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</row>
    <row r="2817" ht="22.5" customHeight="1">
      <c r="A2817" s="640"/>
      <c r="B2817" s="186"/>
      <c r="C2817" s="724"/>
      <c r="D2817" s="724"/>
      <c r="E2817" s="725"/>
      <c r="F2817" s="726"/>
      <c r="G2817" s="727"/>
      <c r="H2817" s="728"/>
      <c r="I2817" s="729"/>
      <c r="J2817" s="729"/>
      <c r="K2817" s="730"/>
      <c r="L2817" s="730"/>
      <c r="M2817" s="625"/>
      <c r="N2817" s="625"/>
      <c r="O2817" s="625"/>
      <c r="P2817" s="602"/>
      <c r="Q2817" s="651"/>
      <c r="R2817" s="36"/>
      <c r="S2817" s="36"/>
      <c r="T2817" s="36"/>
      <c r="U2817" s="36"/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</row>
    <row r="2818" ht="22.5" customHeight="1">
      <c r="A2818" s="640"/>
      <c r="B2818" s="186"/>
      <c r="C2818" s="724"/>
      <c r="D2818" s="724"/>
      <c r="E2818" s="725"/>
      <c r="F2818" s="726"/>
      <c r="G2818" s="727"/>
      <c r="H2818" s="728"/>
      <c r="I2818" s="729"/>
      <c r="J2818" s="729"/>
      <c r="K2818" s="730"/>
      <c r="L2818" s="730"/>
      <c r="M2818" s="625"/>
      <c r="N2818" s="625"/>
      <c r="O2818" s="625"/>
      <c r="P2818" s="602"/>
      <c r="Q2818" s="651"/>
      <c r="R2818" s="36"/>
      <c r="S2818" s="36"/>
      <c r="T2818" s="36"/>
      <c r="U2818" s="36"/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</row>
    <row r="2819" ht="22.5" customHeight="1">
      <c r="A2819" s="640"/>
      <c r="B2819" s="186"/>
      <c r="C2819" s="724"/>
      <c r="D2819" s="724"/>
      <c r="E2819" s="725"/>
      <c r="F2819" s="726"/>
      <c r="G2819" s="727"/>
      <c r="H2819" s="728"/>
      <c r="I2819" s="729"/>
      <c r="J2819" s="729"/>
      <c r="K2819" s="730"/>
      <c r="L2819" s="730"/>
      <c r="M2819" s="625"/>
      <c r="N2819" s="625"/>
      <c r="O2819" s="625"/>
      <c r="P2819" s="602"/>
      <c r="Q2819" s="651"/>
      <c r="R2819" s="36"/>
      <c r="S2819" s="36"/>
      <c r="T2819" s="36"/>
      <c r="U2819" s="36"/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</row>
    <row r="2820" ht="22.5" customHeight="1">
      <c r="A2820" s="640"/>
      <c r="B2820" s="186"/>
      <c r="C2820" s="724"/>
      <c r="D2820" s="724"/>
      <c r="E2820" s="725"/>
      <c r="F2820" s="726"/>
      <c r="G2820" s="727"/>
      <c r="H2820" s="728"/>
      <c r="I2820" s="729"/>
      <c r="J2820" s="729"/>
      <c r="K2820" s="730"/>
      <c r="L2820" s="730"/>
      <c r="M2820" s="625"/>
      <c r="N2820" s="625"/>
      <c r="O2820" s="625"/>
      <c r="P2820" s="602"/>
      <c r="Q2820" s="651"/>
      <c r="R2820" s="36"/>
      <c r="S2820" s="36"/>
      <c r="T2820" s="36"/>
      <c r="U2820" s="36"/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</row>
    <row r="2821" ht="22.5" customHeight="1">
      <c r="A2821" s="640"/>
      <c r="B2821" s="186"/>
      <c r="C2821" s="724"/>
      <c r="D2821" s="724"/>
      <c r="E2821" s="725"/>
      <c r="F2821" s="726"/>
      <c r="G2821" s="727"/>
      <c r="H2821" s="728"/>
      <c r="I2821" s="729"/>
      <c r="J2821" s="729"/>
      <c r="K2821" s="730"/>
      <c r="L2821" s="730"/>
      <c r="M2821" s="625"/>
      <c r="N2821" s="625"/>
      <c r="O2821" s="625"/>
      <c r="P2821" s="602"/>
      <c r="Q2821" s="651"/>
      <c r="R2821" s="36"/>
      <c r="S2821" s="36"/>
      <c r="T2821" s="36"/>
      <c r="U2821" s="36"/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</row>
    <row r="2822" ht="22.5" customHeight="1">
      <c r="A2822" s="640"/>
      <c r="B2822" s="186"/>
      <c r="C2822" s="724"/>
      <c r="D2822" s="724"/>
      <c r="E2822" s="725"/>
      <c r="F2822" s="726"/>
      <c r="G2822" s="727"/>
      <c r="H2822" s="728"/>
      <c r="I2822" s="729"/>
      <c r="J2822" s="729"/>
      <c r="K2822" s="730"/>
      <c r="L2822" s="730"/>
      <c r="M2822" s="625"/>
      <c r="N2822" s="625"/>
      <c r="O2822" s="625"/>
      <c r="P2822" s="602"/>
      <c r="Q2822" s="651"/>
      <c r="R2822" s="36"/>
      <c r="S2822" s="36"/>
      <c r="T2822" s="36"/>
      <c r="U2822" s="36"/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</row>
    <row r="2823" ht="22.5" customHeight="1">
      <c r="A2823" s="640"/>
      <c r="B2823" s="186"/>
      <c r="C2823" s="724"/>
      <c r="D2823" s="724"/>
      <c r="E2823" s="725"/>
      <c r="F2823" s="726"/>
      <c r="G2823" s="727"/>
      <c r="H2823" s="728"/>
      <c r="I2823" s="729"/>
      <c r="J2823" s="729"/>
      <c r="K2823" s="730"/>
      <c r="L2823" s="730"/>
      <c r="M2823" s="625"/>
      <c r="N2823" s="625"/>
      <c r="O2823" s="625"/>
      <c r="P2823" s="602"/>
      <c r="Q2823" s="651"/>
      <c r="R2823" s="36"/>
      <c r="S2823" s="36"/>
      <c r="T2823" s="36"/>
      <c r="U2823" s="36"/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</row>
    <row r="2824" ht="22.5" customHeight="1">
      <c r="A2824" s="640"/>
      <c r="B2824" s="186"/>
      <c r="C2824" s="724"/>
      <c r="D2824" s="724"/>
      <c r="E2824" s="725"/>
      <c r="F2824" s="726"/>
      <c r="G2824" s="727"/>
      <c r="H2824" s="728"/>
      <c r="I2824" s="729"/>
      <c r="J2824" s="729"/>
      <c r="K2824" s="730"/>
      <c r="L2824" s="730"/>
      <c r="M2824" s="625"/>
      <c r="N2824" s="625"/>
      <c r="O2824" s="625"/>
      <c r="P2824" s="602"/>
      <c r="Q2824" s="651"/>
      <c r="R2824" s="36"/>
      <c r="S2824" s="36"/>
      <c r="T2824" s="36"/>
      <c r="U2824" s="36"/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</row>
    <row r="2825" ht="22.5" customHeight="1">
      <c r="A2825" s="640"/>
      <c r="B2825" s="186"/>
      <c r="C2825" s="724"/>
      <c r="D2825" s="724"/>
      <c r="E2825" s="725"/>
      <c r="F2825" s="726"/>
      <c r="G2825" s="727"/>
      <c r="H2825" s="728"/>
      <c r="I2825" s="729"/>
      <c r="J2825" s="729"/>
      <c r="K2825" s="730"/>
      <c r="L2825" s="730"/>
      <c r="M2825" s="625"/>
      <c r="N2825" s="625"/>
      <c r="O2825" s="625"/>
      <c r="P2825" s="602"/>
      <c r="Q2825" s="651"/>
      <c r="R2825" s="36"/>
      <c r="S2825" s="36"/>
      <c r="T2825" s="36"/>
      <c r="U2825" s="36"/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</row>
    <row r="2826" ht="22.5" customHeight="1">
      <c r="A2826" s="640"/>
      <c r="B2826" s="186"/>
      <c r="C2826" s="724"/>
      <c r="D2826" s="724"/>
      <c r="E2826" s="725"/>
      <c r="F2826" s="726"/>
      <c r="G2826" s="727"/>
      <c r="H2826" s="728"/>
      <c r="I2826" s="729"/>
      <c r="J2826" s="729"/>
      <c r="K2826" s="730"/>
      <c r="L2826" s="730"/>
      <c r="M2826" s="625"/>
      <c r="N2826" s="625"/>
      <c r="O2826" s="625"/>
      <c r="P2826" s="602"/>
      <c r="Q2826" s="651"/>
      <c r="R2826" s="36"/>
      <c r="S2826" s="36"/>
      <c r="T2826" s="36"/>
      <c r="U2826" s="36"/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</row>
    <row r="2827" ht="22.5" customHeight="1">
      <c r="A2827" s="640"/>
      <c r="B2827" s="186"/>
      <c r="C2827" s="724"/>
      <c r="D2827" s="724"/>
      <c r="E2827" s="725"/>
      <c r="F2827" s="726"/>
      <c r="G2827" s="727"/>
      <c r="H2827" s="728"/>
      <c r="I2827" s="729"/>
      <c r="J2827" s="729"/>
      <c r="K2827" s="730"/>
      <c r="L2827" s="730"/>
      <c r="M2827" s="625"/>
      <c r="N2827" s="625"/>
      <c r="O2827" s="625"/>
      <c r="P2827" s="602"/>
      <c r="Q2827" s="651"/>
      <c r="R2827" s="36"/>
      <c r="S2827" s="36"/>
      <c r="T2827" s="36"/>
      <c r="U2827" s="36"/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</row>
    <row r="2828" ht="22.5" customHeight="1">
      <c r="A2828" s="640"/>
      <c r="B2828" s="186"/>
      <c r="C2828" s="724"/>
      <c r="D2828" s="724"/>
      <c r="E2828" s="725"/>
      <c r="F2828" s="726"/>
      <c r="G2828" s="727"/>
      <c r="H2828" s="728"/>
      <c r="I2828" s="729"/>
      <c r="J2828" s="729"/>
      <c r="K2828" s="730"/>
      <c r="L2828" s="730"/>
      <c r="M2828" s="625"/>
      <c r="N2828" s="625"/>
      <c r="O2828" s="625"/>
      <c r="P2828" s="602"/>
      <c r="Q2828" s="651"/>
      <c r="R2828" s="36"/>
      <c r="S2828" s="36"/>
      <c r="T2828" s="36"/>
      <c r="U2828" s="36"/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</row>
    <row r="2829" ht="22.5" customHeight="1">
      <c r="A2829" s="640"/>
      <c r="B2829" s="186"/>
      <c r="C2829" s="724"/>
      <c r="D2829" s="724"/>
      <c r="E2829" s="725"/>
      <c r="F2829" s="726"/>
      <c r="G2829" s="727"/>
      <c r="H2829" s="728"/>
      <c r="I2829" s="729"/>
      <c r="J2829" s="729"/>
      <c r="K2829" s="730"/>
      <c r="L2829" s="730"/>
      <c r="M2829" s="625"/>
      <c r="N2829" s="625"/>
      <c r="O2829" s="625"/>
      <c r="P2829" s="602"/>
      <c r="Q2829" s="651"/>
      <c r="R2829" s="36"/>
      <c r="S2829" s="36"/>
      <c r="T2829" s="36"/>
      <c r="U2829" s="36"/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</row>
    <row r="2830" ht="22.5" customHeight="1">
      <c r="A2830" s="640"/>
      <c r="B2830" s="186"/>
      <c r="C2830" s="724"/>
      <c r="D2830" s="724"/>
      <c r="E2830" s="725"/>
      <c r="F2830" s="726"/>
      <c r="G2830" s="727"/>
      <c r="H2830" s="728"/>
      <c r="I2830" s="729"/>
      <c r="J2830" s="729"/>
      <c r="K2830" s="730"/>
      <c r="L2830" s="730"/>
      <c r="M2830" s="625"/>
      <c r="N2830" s="625"/>
      <c r="O2830" s="625"/>
      <c r="P2830" s="602"/>
      <c r="Q2830" s="651"/>
      <c r="R2830" s="36"/>
      <c r="S2830" s="36"/>
      <c r="T2830" s="36"/>
      <c r="U2830" s="36"/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</row>
    <row r="2831" ht="22.5" customHeight="1">
      <c r="A2831" s="640"/>
      <c r="B2831" s="186"/>
      <c r="C2831" s="724"/>
      <c r="D2831" s="724"/>
      <c r="E2831" s="725"/>
      <c r="F2831" s="726"/>
      <c r="G2831" s="727"/>
      <c r="H2831" s="728"/>
      <c r="I2831" s="729"/>
      <c r="J2831" s="729"/>
      <c r="K2831" s="730"/>
      <c r="L2831" s="730"/>
      <c r="M2831" s="625"/>
      <c r="N2831" s="625"/>
      <c r="O2831" s="625"/>
      <c r="P2831" s="602"/>
      <c r="Q2831" s="651"/>
      <c r="R2831" s="36"/>
      <c r="S2831" s="36"/>
      <c r="T2831" s="36"/>
      <c r="U2831" s="36"/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</row>
    <row r="2832" ht="22.5" customHeight="1">
      <c r="A2832" s="640"/>
      <c r="B2832" s="186"/>
      <c r="C2832" s="724"/>
      <c r="D2832" s="724"/>
      <c r="E2832" s="725"/>
      <c r="F2832" s="726"/>
      <c r="G2832" s="727"/>
      <c r="H2832" s="728"/>
      <c r="I2832" s="729"/>
      <c r="J2832" s="729"/>
      <c r="K2832" s="730"/>
      <c r="L2832" s="730"/>
      <c r="M2832" s="625"/>
      <c r="N2832" s="625"/>
      <c r="O2832" s="625"/>
      <c r="P2832" s="602"/>
      <c r="Q2832" s="651"/>
      <c r="R2832" s="36"/>
      <c r="S2832" s="36"/>
      <c r="T2832" s="36"/>
      <c r="U2832" s="36"/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</row>
    <row r="2833" ht="22.5" customHeight="1">
      <c r="A2833" s="640"/>
      <c r="B2833" s="186"/>
      <c r="C2833" s="724"/>
      <c r="D2833" s="724"/>
      <c r="E2833" s="725"/>
      <c r="F2833" s="726"/>
      <c r="G2833" s="727"/>
      <c r="H2833" s="728"/>
      <c r="I2833" s="729"/>
      <c r="J2833" s="729"/>
      <c r="K2833" s="730"/>
      <c r="L2833" s="730"/>
      <c r="M2833" s="625"/>
      <c r="N2833" s="625"/>
      <c r="O2833" s="625"/>
      <c r="P2833" s="602"/>
      <c r="Q2833" s="651"/>
      <c r="R2833" s="36"/>
      <c r="S2833" s="36"/>
      <c r="T2833" s="36"/>
      <c r="U2833" s="36"/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</row>
    <row r="2834" ht="22.5" customHeight="1">
      <c r="A2834" s="640"/>
      <c r="B2834" s="186"/>
      <c r="C2834" s="724"/>
      <c r="D2834" s="724"/>
      <c r="E2834" s="725"/>
      <c r="F2834" s="726"/>
      <c r="G2834" s="727"/>
      <c r="H2834" s="728"/>
      <c r="I2834" s="729"/>
      <c r="J2834" s="729"/>
      <c r="K2834" s="730"/>
      <c r="L2834" s="730"/>
      <c r="M2834" s="625"/>
      <c r="N2834" s="625"/>
      <c r="O2834" s="625"/>
      <c r="P2834" s="602"/>
      <c r="Q2834" s="651"/>
      <c r="R2834" s="36"/>
      <c r="S2834" s="36"/>
      <c r="T2834" s="36"/>
      <c r="U2834" s="36"/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</row>
    <row r="2835" ht="22.5" customHeight="1">
      <c r="A2835" s="640"/>
      <c r="B2835" s="186"/>
      <c r="C2835" s="724"/>
      <c r="D2835" s="724"/>
      <c r="E2835" s="725"/>
      <c r="F2835" s="726"/>
      <c r="G2835" s="727"/>
      <c r="H2835" s="728"/>
      <c r="I2835" s="729"/>
      <c r="J2835" s="729"/>
      <c r="K2835" s="730"/>
      <c r="L2835" s="730"/>
      <c r="M2835" s="625"/>
      <c r="N2835" s="625"/>
      <c r="O2835" s="625"/>
      <c r="P2835" s="602"/>
      <c r="Q2835" s="651"/>
      <c r="R2835" s="36"/>
      <c r="S2835" s="36"/>
      <c r="T2835" s="36"/>
      <c r="U2835" s="36"/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</row>
    <row r="2836" ht="22.5" customHeight="1">
      <c r="A2836" s="640"/>
      <c r="B2836" s="186"/>
      <c r="C2836" s="724"/>
      <c r="D2836" s="724"/>
      <c r="E2836" s="725"/>
      <c r="F2836" s="726"/>
      <c r="G2836" s="727"/>
      <c r="H2836" s="728"/>
      <c r="I2836" s="729"/>
      <c r="J2836" s="729"/>
      <c r="K2836" s="730"/>
      <c r="L2836" s="730"/>
      <c r="M2836" s="625"/>
      <c r="N2836" s="625"/>
      <c r="O2836" s="625"/>
      <c r="P2836" s="602"/>
      <c r="Q2836" s="651"/>
      <c r="R2836" s="36"/>
      <c r="S2836" s="36"/>
      <c r="T2836" s="36"/>
      <c r="U2836" s="36"/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</row>
    <row r="2837" ht="22.5" customHeight="1">
      <c r="A2837" s="640"/>
      <c r="B2837" s="186"/>
      <c r="C2837" s="724"/>
      <c r="D2837" s="724"/>
      <c r="E2837" s="725"/>
      <c r="F2837" s="726"/>
      <c r="G2837" s="727"/>
      <c r="H2837" s="728"/>
      <c r="I2837" s="729"/>
      <c r="J2837" s="729"/>
      <c r="K2837" s="730"/>
      <c r="L2837" s="730"/>
      <c r="M2837" s="625"/>
      <c r="N2837" s="625"/>
      <c r="O2837" s="625"/>
      <c r="P2837" s="602"/>
      <c r="Q2837" s="651"/>
      <c r="R2837" s="36"/>
      <c r="S2837" s="36"/>
      <c r="T2837" s="36"/>
      <c r="U2837" s="36"/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</row>
    <row r="2838" ht="22.5" customHeight="1">
      <c r="A2838" s="640"/>
      <c r="B2838" s="186"/>
      <c r="C2838" s="724"/>
      <c r="D2838" s="724"/>
      <c r="E2838" s="725"/>
      <c r="F2838" s="726"/>
      <c r="G2838" s="727"/>
      <c r="H2838" s="728"/>
      <c r="I2838" s="729"/>
      <c r="J2838" s="729"/>
      <c r="K2838" s="730"/>
      <c r="L2838" s="730"/>
      <c r="M2838" s="625"/>
      <c r="N2838" s="625"/>
      <c r="O2838" s="625"/>
      <c r="P2838" s="602"/>
      <c r="Q2838" s="651"/>
      <c r="R2838" s="36"/>
      <c r="S2838" s="36"/>
      <c r="T2838" s="36"/>
      <c r="U2838" s="36"/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</row>
    <row r="2839" ht="22.5" customHeight="1">
      <c r="A2839" s="640"/>
      <c r="B2839" s="186"/>
      <c r="C2839" s="724"/>
      <c r="D2839" s="724"/>
      <c r="E2839" s="725"/>
      <c r="F2839" s="726"/>
      <c r="G2839" s="727"/>
      <c r="H2839" s="728"/>
      <c r="I2839" s="729"/>
      <c r="J2839" s="729"/>
      <c r="K2839" s="730"/>
      <c r="L2839" s="730"/>
      <c r="M2839" s="625"/>
      <c r="N2839" s="625"/>
      <c r="O2839" s="625"/>
      <c r="P2839" s="602"/>
      <c r="Q2839" s="651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</row>
    <row r="2840" ht="22.5" customHeight="1">
      <c r="A2840" s="640"/>
      <c r="B2840" s="186"/>
      <c r="C2840" s="724"/>
      <c r="D2840" s="724"/>
      <c r="E2840" s="725"/>
      <c r="F2840" s="726"/>
      <c r="G2840" s="727"/>
      <c r="H2840" s="728"/>
      <c r="I2840" s="729"/>
      <c r="J2840" s="729"/>
      <c r="K2840" s="730"/>
      <c r="L2840" s="730"/>
      <c r="M2840" s="625"/>
      <c r="N2840" s="625"/>
      <c r="O2840" s="625"/>
      <c r="P2840" s="602"/>
      <c r="Q2840" s="651"/>
      <c r="R2840" s="36"/>
      <c r="S2840" s="36"/>
      <c r="T2840" s="36"/>
      <c r="U2840" s="36"/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</row>
    <row r="2841" ht="22.5" customHeight="1">
      <c r="A2841" s="640"/>
      <c r="B2841" s="186"/>
      <c r="C2841" s="724"/>
      <c r="D2841" s="724"/>
      <c r="E2841" s="725"/>
      <c r="F2841" s="726"/>
      <c r="G2841" s="727"/>
      <c r="H2841" s="728"/>
      <c r="I2841" s="729"/>
      <c r="J2841" s="729"/>
      <c r="K2841" s="730"/>
      <c r="L2841" s="730"/>
      <c r="M2841" s="625"/>
      <c r="N2841" s="625"/>
      <c r="O2841" s="625"/>
      <c r="P2841" s="602"/>
      <c r="Q2841" s="651"/>
      <c r="R2841" s="36"/>
      <c r="S2841" s="36"/>
      <c r="T2841" s="36"/>
      <c r="U2841" s="36"/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</row>
    <row r="2842" ht="22.5" customHeight="1">
      <c r="A2842" s="640"/>
      <c r="B2842" s="186"/>
      <c r="C2842" s="724"/>
      <c r="D2842" s="724"/>
      <c r="E2842" s="725"/>
      <c r="F2842" s="726"/>
      <c r="G2842" s="727"/>
      <c r="H2842" s="728"/>
      <c r="I2842" s="729"/>
      <c r="J2842" s="729"/>
      <c r="K2842" s="730"/>
      <c r="L2842" s="730"/>
      <c r="M2842" s="625"/>
      <c r="N2842" s="625"/>
      <c r="O2842" s="625"/>
      <c r="P2842" s="602"/>
      <c r="Q2842" s="651"/>
      <c r="R2842" s="36"/>
      <c r="S2842" s="36"/>
      <c r="T2842" s="36"/>
      <c r="U2842" s="36"/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</row>
    <row r="2843" ht="22.5" customHeight="1">
      <c r="A2843" s="640"/>
      <c r="B2843" s="186"/>
      <c r="C2843" s="724"/>
      <c r="D2843" s="724"/>
      <c r="E2843" s="725"/>
      <c r="F2843" s="726"/>
      <c r="G2843" s="727"/>
      <c r="H2843" s="728"/>
      <c r="I2843" s="729"/>
      <c r="J2843" s="729"/>
      <c r="K2843" s="730"/>
      <c r="L2843" s="730"/>
      <c r="M2843" s="625"/>
      <c r="N2843" s="625"/>
      <c r="O2843" s="625"/>
      <c r="P2843" s="602"/>
      <c r="Q2843" s="651"/>
      <c r="R2843" s="36"/>
      <c r="S2843" s="36"/>
      <c r="T2843" s="36"/>
      <c r="U2843" s="36"/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</row>
    <row r="2844" ht="22.5" customHeight="1">
      <c r="A2844" s="640"/>
      <c r="B2844" s="186"/>
      <c r="C2844" s="724"/>
      <c r="D2844" s="724"/>
      <c r="E2844" s="725"/>
      <c r="F2844" s="726"/>
      <c r="G2844" s="727"/>
      <c r="H2844" s="728"/>
      <c r="I2844" s="729"/>
      <c r="J2844" s="729"/>
      <c r="K2844" s="730"/>
      <c r="L2844" s="730"/>
      <c r="M2844" s="625"/>
      <c r="N2844" s="625"/>
      <c r="O2844" s="625"/>
      <c r="P2844" s="602"/>
      <c r="Q2844" s="651"/>
      <c r="R2844" s="36"/>
      <c r="S2844" s="36"/>
      <c r="T2844" s="36"/>
      <c r="U2844" s="36"/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</row>
    <row r="2845" ht="22.5" customHeight="1">
      <c r="A2845" s="640"/>
      <c r="B2845" s="186"/>
      <c r="C2845" s="724"/>
      <c r="D2845" s="724"/>
      <c r="E2845" s="725"/>
      <c r="F2845" s="726"/>
      <c r="G2845" s="727"/>
      <c r="H2845" s="728"/>
      <c r="I2845" s="729"/>
      <c r="J2845" s="729"/>
      <c r="K2845" s="730"/>
      <c r="L2845" s="730"/>
      <c r="M2845" s="625"/>
      <c r="N2845" s="625"/>
      <c r="O2845" s="625"/>
      <c r="P2845" s="602"/>
      <c r="Q2845" s="651"/>
      <c r="R2845" s="36"/>
      <c r="S2845" s="36"/>
      <c r="T2845" s="36"/>
      <c r="U2845" s="36"/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</row>
    <row r="2846" ht="22.5" customHeight="1">
      <c r="A2846" s="640"/>
      <c r="B2846" s="186"/>
      <c r="C2846" s="724"/>
      <c r="D2846" s="724"/>
      <c r="E2846" s="725"/>
      <c r="F2846" s="726"/>
      <c r="G2846" s="727"/>
      <c r="H2846" s="728"/>
      <c r="I2846" s="729"/>
      <c r="J2846" s="729"/>
      <c r="K2846" s="730"/>
      <c r="L2846" s="730"/>
      <c r="M2846" s="625"/>
      <c r="N2846" s="625"/>
      <c r="O2846" s="625"/>
      <c r="P2846" s="602"/>
      <c r="Q2846" s="651"/>
      <c r="R2846" s="36"/>
      <c r="S2846" s="36"/>
      <c r="T2846" s="36"/>
      <c r="U2846" s="36"/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</row>
    <row r="2847" ht="22.5" customHeight="1">
      <c r="A2847" s="640"/>
      <c r="B2847" s="186"/>
      <c r="C2847" s="724"/>
      <c r="D2847" s="724"/>
      <c r="E2847" s="725"/>
      <c r="F2847" s="726"/>
      <c r="G2847" s="727"/>
      <c r="H2847" s="728"/>
      <c r="I2847" s="729"/>
      <c r="J2847" s="729"/>
      <c r="K2847" s="730"/>
      <c r="L2847" s="730"/>
      <c r="M2847" s="625"/>
      <c r="N2847" s="625"/>
      <c r="O2847" s="625"/>
      <c r="P2847" s="602"/>
      <c r="Q2847" s="651"/>
      <c r="R2847" s="36"/>
      <c r="S2847" s="36"/>
      <c r="T2847" s="36"/>
      <c r="U2847" s="36"/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</row>
    <row r="2848" ht="22.5" customHeight="1">
      <c r="A2848" s="640"/>
      <c r="B2848" s="186"/>
      <c r="C2848" s="724"/>
      <c r="D2848" s="724"/>
      <c r="E2848" s="725"/>
      <c r="F2848" s="726"/>
      <c r="G2848" s="727"/>
      <c r="H2848" s="728"/>
      <c r="I2848" s="729"/>
      <c r="J2848" s="729"/>
      <c r="K2848" s="730"/>
      <c r="L2848" s="730"/>
      <c r="M2848" s="625"/>
      <c r="N2848" s="625"/>
      <c r="O2848" s="625"/>
      <c r="P2848" s="602"/>
      <c r="Q2848" s="651"/>
      <c r="R2848" s="36"/>
      <c r="S2848" s="36"/>
      <c r="T2848" s="36"/>
      <c r="U2848" s="36"/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</row>
    <row r="2849" ht="22.5" customHeight="1">
      <c r="A2849" s="640"/>
      <c r="B2849" s="186"/>
      <c r="C2849" s="724"/>
      <c r="D2849" s="724"/>
      <c r="E2849" s="725"/>
      <c r="F2849" s="726"/>
      <c r="G2849" s="727"/>
      <c r="H2849" s="728"/>
      <c r="I2849" s="729"/>
      <c r="J2849" s="729"/>
      <c r="K2849" s="730"/>
      <c r="L2849" s="730"/>
      <c r="M2849" s="625"/>
      <c r="N2849" s="625"/>
      <c r="O2849" s="625"/>
      <c r="P2849" s="602"/>
      <c r="Q2849" s="651"/>
      <c r="R2849" s="36"/>
      <c r="S2849" s="36"/>
      <c r="T2849" s="36"/>
      <c r="U2849" s="36"/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</row>
    <row r="2850" ht="22.5" customHeight="1">
      <c r="A2850" s="640"/>
      <c r="B2850" s="186"/>
      <c r="C2850" s="724"/>
      <c r="D2850" s="724"/>
      <c r="E2850" s="725"/>
      <c r="F2850" s="726"/>
      <c r="G2850" s="727"/>
      <c r="H2850" s="728"/>
      <c r="I2850" s="729"/>
      <c r="J2850" s="729"/>
      <c r="K2850" s="730"/>
      <c r="L2850" s="730"/>
      <c r="M2850" s="625"/>
      <c r="N2850" s="625"/>
      <c r="O2850" s="625"/>
      <c r="P2850" s="602"/>
      <c r="Q2850" s="651"/>
      <c r="R2850" s="36"/>
      <c r="S2850" s="36"/>
      <c r="T2850" s="36"/>
      <c r="U2850" s="36"/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</row>
    <row r="2851" ht="22.5" customHeight="1">
      <c r="A2851" s="640"/>
      <c r="B2851" s="186"/>
      <c r="C2851" s="724"/>
      <c r="D2851" s="724"/>
      <c r="E2851" s="725"/>
      <c r="F2851" s="726"/>
      <c r="G2851" s="727"/>
      <c r="H2851" s="728"/>
      <c r="I2851" s="729"/>
      <c r="J2851" s="729"/>
      <c r="K2851" s="730"/>
      <c r="L2851" s="730"/>
      <c r="M2851" s="625"/>
      <c r="N2851" s="625"/>
      <c r="O2851" s="625"/>
      <c r="P2851" s="602"/>
      <c r="Q2851" s="651"/>
      <c r="R2851" s="36"/>
      <c r="S2851" s="36"/>
      <c r="T2851" s="36"/>
      <c r="U2851" s="36"/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</row>
    <row r="2852" ht="22.5" customHeight="1">
      <c r="A2852" s="640"/>
      <c r="B2852" s="186"/>
      <c r="C2852" s="724"/>
      <c r="D2852" s="724"/>
      <c r="E2852" s="725"/>
      <c r="F2852" s="726"/>
      <c r="G2852" s="727"/>
      <c r="H2852" s="728"/>
      <c r="I2852" s="729"/>
      <c r="J2852" s="729"/>
      <c r="K2852" s="730"/>
      <c r="L2852" s="730"/>
      <c r="M2852" s="625"/>
      <c r="N2852" s="625"/>
      <c r="O2852" s="625"/>
      <c r="P2852" s="602"/>
      <c r="Q2852" s="651"/>
      <c r="R2852" s="36"/>
      <c r="S2852" s="36"/>
      <c r="T2852" s="36"/>
      <c r="U2852" s="36"/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</row>
    <row r="2853" ht="22.5" customHeight="1">
      <c r="A2853" s="640"/>
      <c r="B2853" s="186"/>
      <c r="C2853" s="724"/>
      <c r="D2853" s="724"/>
      <c r="E2853" s="725"/>
      <c r="F2853" s="726"/>
      <c r="G2853" s="727"/>
      <c r="H2853" s="728"/>
      <c r="I2853" s="729"/>
      <c r="J2853" s="729"/>
      <c r="K2853" s="730"/>
      <c r="L2853" s="730"/>
      <c r="M2853" s="625"/>
      <c r="N2853" s="625"/>
      <c r="O2853" s="625"/>
      <c r="P2853" s="602"/>
      <c r="Q2853" s="651"/>
      <c r="R2853" s="36"/>
      <c r="S2853" s="36"/>
      <c r="T2853" s="36"/>
      <c r="U2853" s="36"/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</row>
    <row r="2854" ht="22.5" customHeight="1">
      <c r="A2854" s="640"/>
      <c r="B2854" s="186"/>
      <c r="C2854" s="724"/>
      <c r="D2854" s="724"/>
      <c r="E2854" s="725"/>
      <c r="F2854" s="726"/>
      <c r="G2854" s="727"/>
      <c r="H2854" s="728"/>
      <c r="I2854" s="729"/>
      <c r="J2854" s="729"/>
      <c r="K2854" s="730"/>
      <c r="L2854" s="730"/>
      <c r="M2854" s="625"/>
      <c r="N2854" s="625"/>
      <c r="O2854" s="625"/>
      <c r="P2854" s="602"/>
      <c r="Q2854" s="651"/>
      <c r="R2854" s="36"/>
      <c r="S2854" s="36"/>
      <c r="T2854" s="36"/>
      <c r="U2854" s="36"/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</row>
    <row r="2855" ht="22.5" customHeight="1">
      <c r="A2855" s="640"/>
      <c r="B2855" s="186"/>
      <c r="C2855" s="724"/>
      <c r="D2855" s="724"/>
      <c r="E2855" s="725"/>
      <c r="F2855" s="726"/>
      <c r="G2855" s="727"/>
      <c r="H2855" s="728"/>
      <c r="I2855" s="729"/>
      <c r="J2855" s="729"/>
      <c r="K2855" s="730"/>
      <c r="L2855" s="730"/>
      <c r="M2855" s="625"/>
      <c r="N2855" s="625"/>
      <c r="O2855" s="625"/>
      <c r="P2855" s="602"/>
      <c r="Q2855" s="651"/>
      <c r="R2855" s="36"/>
      <c r="S2855" s="36"/>
      <c r="T2855" s="36"/>
      <c r="U2855" s="36"/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</row>
    <row r="2856" ht="22.5" customHeight="1">
      <c r="A2856" s="640"/>
      <c r="B2856" s="186"/>
      <c r="C2856" s="724"/>
      <c r="D2856" s="724"/>
      <c r="E2856" s="725"/>
      <c r="F2856" s="726"/>
      <c r="G2856" s="727"/>
      <c r="H2856" s="728"/>
      <c r="I2856" s="729"/>
      <c r="J2856" s="729"/>
      <c r="K2856" s="730"/>
      <c r="L2856" s="730"/>
      <c r="M2856" s="625"/>
      <c r="N2856" s="625"/>
      <c r="O2856" s="625"/>
      <c r="P2856" s="602"/>
      <c r="Q2856" s="651"/>
      <c r="R2856" s="36"/>
      <c r="S2856" s="36"/>
      <c r="T2856" s="36"/>
      <c r="U2856" s="36"/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</row>
    <row r="2857" ht="22.5" customHeight="1">
      <c r="A2857" s="640"/>
      <c r="B2857" s="186"/>
      <c r="C2857" s="724"/>
      <c r="D2857" s="724"/>
      <c r="E2857" s="725"/>
      <c r="F2857" s="726"/>
      <c r="G2857" s="727"/>
      <c r="H2857" s="728"/>
      <c r="I2857" s="729"/>
      <c r="J2857" s="729"/>
      <c r="K2857" s="730"/>
      <c r="L2857" s="730"/>
      <c r="M2857" s="625"/>
      <c r="N2857" s="625"/>
      <c r="O2857" s="625"/>
      <c r="P2857" s="602"/>
      <c r="Q2857" s="651"/>
      <c r="R2857" s="36"/>
      <c r="S2857" s="36"/>
      <c r="T2857" s="36"/>
      <c r="U2857" s="36"/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</row>
    <row r="2858" ht="22.5" customHeight="1">
      <c r="A2858" s="640"/>
      <c r="B2858" s="186"/>
      <c r="C2858" s="724"/>
      <c r="D2858" s="724"/>
      <c r="E2858" s="725"/>
      <c r="F2858" s="726"/>
      <c r="G2858" s="727"/>
      <c r="H2858" s="728"/>
      <c r="I2858" s="729"/>
      <c r="J2858" s="729"/>
      <c r="K2858" s="730"/>
      <c r="L2858" s="730"/>
      <c r="M2858" s="625"/>
      <c r="N2858" s="625"/>
      <c r="O2858" s="625"/>
      <c r="P2858" s="602"/>
      <c r="Q2858" s="651"/>
      <c r="R2858" s="36"/>
      <c r="S2858" s="36"/>
      <c r="T2858" s="36"/>
      <c r="U2858" s="36"/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</row>
    <row r="2859" ht="22.5" customHeight="1">
      <c r="A2859" s="640"/>
      <c r="B2859" s="186"/>
      <c r="C2859" s="724"/>
      <c r="D2859" s="724"/>
      <c r="E2859" s="725"/>
      <c r="F2859" s="726"/>
      <c r="G2859" s="727"/>
      <c r="H2859" s="728"/>
      <c r="I2859" s="729"/>
      <c r="J2859" s="729"/>
      <c r="K2859" s="730"/>
      <c r="L2859" s="730"/>
      <c r="M2859" s="625"/>
      <c r="N2859" s="625"/>
      <c r="O2859" s="625"/>
      <c r="P2859" s="602"/>
      <c r="Q2859" s="651"/>
      <c r="R2859" s="36"/>
      <c r="S2859" s="36"/>
      <c r="T2859" s="36"/>
      <c r="U2859" s="36"/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</row>
    <row r="2860" ht="22.5" customHeight="1">
      <c r="A2860" s="640"/>
      <c r="B2860" s="186"/>
      <c r="C2860" s="724"/>
      <c r="D2860" s="724"/>
      <c r="E2860" s="725"/>
      <c r="F2860" s="726"/>
      <c r="G2860" s="727"/>
      <c r="H2860" s="728"/>
      <c r="I2860" s="729"/>
      <c r="J2860" s="729"/>
      <c r="K2860" s="730"/>
      <c r="L2860" s="730"/>
      <c r="M2860" s="625"/>
      <c r="N2860" s="625"/>
      <c r="O2860" s="625"/>
      <c r="P2860" s="602"/>
      <c r="Q2860" s="651"/>
      <c r="R2860" s="36"/>
      <c r="S2860" s="36"/>
      <c r="T2860" s="36"/>
      <c r="U2860" s="36"/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</row>
    <row r="2861" ht="22.5" customHeight="1">
      <c r="A2861" s="640"/>
      <c r="B2861" s="186"/>
      <c r="C2861" s="724"/>
      <c r="D2861" s="724"/>
      <c r="E2861" s="725"/>
      <c r="F2861" s="726"/>
      <c r="G2861" s="727"/>
      <c r="H2861" s="728"/>
      <c r="I2861" s="729"/>
      <c r="J2861" s="729"/>
      <c r="K2861" s="730"/>
      <c r="L2861" s="730"/>
      <c r="M2861" s="625"/>
      <c r="N2861" s="625"/>
      <c r="O2861" s="625"/>
      <c r="P2861" s="602"/>
      <c r="Q2861" s="651"/>
      <c r="R2861" s="36"/>
      <c r="S2861" s="36"/>
      <c r="T2861" s="36"/>
      <c r="U2861" s="36"/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</row>
    <row r="2862" ht="22.5" customHeight="1">
      <c r="A2862" s="640"/>
      <c r="B2862" s="186"/>
      <c r="C2862" s="724"/>
      <c r="D2862" s="724"/>
      <c r="E2862" s="725"/>
      <c r="F2862" s="726"/>
      <c r="G2862" s="727"/>
      <c r="H2862" s="728"/>
      <c r="I2862" s="729"/>
      <c r="J2862" s="729"/>
      <c r="K2862" s="730"/>
      <c r="L2862" s="730"/>
      <c r="M2862" s="625"/>
      <c r="N2862" s="625"/>
      <c r="O2862" s="625"/>
      <c r="P2862" s="602"/>
      <c r="Q2862" s="651"/>
      <c r="R2862" s="36"/>
      <c r="S2862" s="36"/>
      <c r="T2862" s="36"/>
      <c r="U2862" s="36"/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</row>
    <row r="2863" ht="22.5" customHeight="1">
      <c r="A2863" s="640"/>
      <c r="B2863" s="186"/>
      <c r="C2863" s="724"/>
      <c r="D2863" s="724"/>
      <c r="E2863" s="725"/>
      <c r="F2863" s="726"/>
      <c r="G2863" s="727"/>
      <c r="H2863" s="728"/>
      <c r="I2863" s="729"/>
      <c r="J2863" s="729"/>
      <c r="K2863" s="730"/>
      <c r="L2863" s="730"/>
      <c r="M2863" s="625"/>
      <c r="N2863" s="625"/>
      <c r="O2863" s="625"/>
      <c r="P2863" s="602"/>
      <c r="Q2863" s="651"/>
      <c r="R2863" s="36"/>
      <c r="S2863" s="36"/>
      <c r="T2863" s="36"/>
      <c r="U2863" s="36"/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</row>
    <row r="2864" ht="22.5" customHeight="1">
      <c r="A2864" s="640"/>
      <c r="B2864" s="186"/>
      <c r="C2864" s="724"/>
      <c r="D2864" s="724"/>
      <c r="E2864" s="725"/>
      <c r="F2864" s="726"/>
      <c r="G2864" s="727"/>
      <c r="H2864" s="728"/>
      <c r="I2864" s="729"/>
      <c r="J2864" s="729"/>
      <c r="K2864" s="730"/>
      <c r="L2864" s="730"/>
      <c r="M2864" s="625"/>
      <c r="N2864" s="625"/>
      <c r="O2864" s="625"/>
      <c r="P2864" s="602"/>
      <c r="Q2864" s="651"/>
      <c r="R2864" s="36"/>
      <c r="S2864" s="36"/>
      <c r="T2864" s="36"/>
      <c r="U2864" s="36"/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</row>
    <row r="2865" ht="22.5" customHeight="1">
      <c r="A2865" s="640"/>
      <c r="B2865" s="186"/>
      <c r="C2865" s="724"/>
      <c r="D2865" s="724"/>
      <c r="E2865" s="725"/>
      <c r="F2865" s="726"/>
      <c r="G2865" s="727"/>
      <c r="H2865" s="728"/>
      <c r="I2865" s="729"/>
      <c r="J2865" s="729"/>
      <c r="K2865" s="730"/>
      <c r="L2865" s="730"/>
      <c r="M2865" s="625"/>
      <c r="N2865" s="625"/>
      <c r="O2865" s="625"/>
      <c r="P2865" s="602"/>
      <c r="Q2865" s="651"/>
      <c r="R2865" s="36"/>
      <c r="S2865" s="36"/>
      <c r="T2865" s="36"/>
      <c r="U2865" s="36"/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</row>
    <row r="2866" ht="22.5" customHeight="1">
      <c r="A2866" s="640"/>
      <c r="B2866" s="186"/>
      <c r="C2866" s="724"/>
      <c r="D2866" s="724"/>
      <c r="E2866" s="725"/>
      <c r="F2866" s="726"/>
      <c r="G2866" s="727"/>
      <c r="H2866" s="728"/>
      <c r="I2866" s="729"/>
      <c r="J2866" s="729"/>
      <c r="K2866" s="730"/>
      <c r="L2866" s="730"/>
      <c r="M2866" s="625"/>
      <c r="N2866" s="625"/>
      <c r="O2866" s="625"/>
      <c r="P2866" s="602"/>
      <c r="Q2866" s="651"/>
      <c r="R2866" s="36"/>
      <c r="S2866" s="36"/>
      <c r="T2866" s="36"/>
      <c r="U2866" s="36"/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</row>
    <row r="2867" ht="22.5" customHeight="1">
      <c r="A2867" s="640"/>
      <c r="B2867" s="186"/>
      <c r="C2867" s="724"/>
      <c r="D2867" s="724"/>
      <c r="E2867" s="725"/>
      <c r="F2867" s="726"/>
      <c r="G2867" s="727"/>
      <c r="H2867" s="728"/>
      <c r="I2867" s="729"/>
      <c r="J2867" s="729"/>
      <c r="K2867" s="730"/>
      <c r="L2867" s="730"/>
      <c r="M2867" s="625"/>
      <c r="N2867" s="625"/>
      <c r="O2867" s="625"/>
      <c r="P2867" s="602"/>
      <c r="Q2867" s="651"/>
      <c r="R2867" s="36"/>
      <c r="S2867" s="36"/>
      <c r="T2867" s="36"/>
      <c r="U2867" s="36"/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</row>
    <row r="2868" ht="22.5" customHeight="1">
      <c r="A2868" s="640"/>
      <c r="B2868" s="186"/>
      <c r="C2868" s="724"/>
      <c r="D2868" s="724"/>
      <c r="E2868" s="725"/>
      <c r="F2868" s="726"/>
      <c r="G2868" s="727"/>
      <c r="H2868" s="728"/>
      <c r="I2868" s="729"/>
      <c r="J2868" s="729"/>
      <c r="K2868" s="730"/>
      <c r="L2868" s="730"/>
      <c r="M2868" s="625"/>
      <c r="N2868" s="625"/>
      <c r="O2868" s="625"/>
      <c r="P2868" s="602"/>
      <c r="Q2868" s="651"/>
      <c r="R2868" s="36"/>
      <c r="S2868" s="36"/>
      <c r="T2868" s="36"/>
      <c r="U2868" s="36"/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</row>
    <row r="2869" ht="22.5" customHeight="1">
      <c r="A2869" s="640"/>
      <c r="B2869" s="186"/>
      <c r="C2869" s="724"/>
      <c r="D2869" s="724"/>
      <c r="E2869" s="725"/>
      <c r="F2869" s="726"/>
      <c r="G2869" s="727"/>
      <c r="H2869" s="728"/>
      <c r="I2869" s="729"/>
      <c r="J2869" s="729"/>
      <c r="K2869" s="730"/>
      <c r="L2869" s="730"/>
      <c r="M2869" s="625"/>
      <c r="N2869" s="625"/>
      <c r="O2869" s="625"/>
      <c r="P2869" s="602"/>
      <c r="Q2869" s="651"/>
      <c r="R2869" s="36"/>
      <c r="S2869" s="36"/>
      <c r="T2869" s="36"/>
      <c r="U2869" s="36"/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</row>
    <row r="2870" ht="22.5" customHeight="1">
      <c r="A2870" s="640"/>
      <c r="B2870" s="186"/>
      <c r="C2870" s="724"/>
      <c r="D2870" s="724"/>
      <c r="E2870" s="725"/>
      <c r="F2870" s="726"/>
      <c r="G2870" s="727"/>
      <c r="H2870" s="728"/>
      <c r="I2870" s="729"/>
      <c r="J2870" s="729"/>
      <c r="K2870" s="730"/>
      <c r="L2870" s="730"/>
      <c r="M2870" s="625"/>
      <c r="N2870" s="625"/>
      <c r="O2870" s="625"/>
      <c r="P2870" s="602"/>
      <c r="Q2870" s="651"/>
      <c r="R2870" s="36"/>
      <c r="S2870" s="36"/>
      <c r="T2870" s="36"/>
      <c r="U2870" s="36"/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</row>
    <row r="2871" ht="22.5" customHeight="1">
      <c r="A2871" s="640"/>
      <c r="B2871" s="186"/>
      <c r="C2871" s="724"/>
      <c r="D2871" s="724"/>
      <c r="E2871" s="725"/>
      <c r="F2871" s="726"/>
      <c r="G2871" s="727"/>
      <c r="H2871" s="728"/>
      <c r="I2871" s="729"/>
      <c r="J2871" s="729"/>
      <c r="K2871" s="730"/>
      <c r="L2871" s="730"/>
      <c r="M2871" s="625"/>
      <c r="N2871" s="625"/>
      <c r="O2871" s="625"/>
      <c r="P2871" s="602"/>
      <c r="Q2871" s="651"/>
      <c r="R2871" s="36"/>
      <c r="S2871" s="36"/>
      <c r="T2871" s="36"/>
      <c r="U2871" s="36"/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</row>
    <row r="2872" ht="22.5" customHeight="1">
      <c r="A2872" s="640"/>
      <c r="B2872" s="186"/>
      <c r="C2872" s="724"/>
      <c r="D2872" s="724"/>
      <c r="E2872" s="725"/>
      <c r="F2872" s="726"/>
      <c r="G2872" s="727"/>
      <c r="H2872" s="728"/>
      <c r="I2872" s="729"/>
      <c r="J2872" s="729"/>
      <c r="K2872" s="730"/>
      <c r="L2872" s="730"/>
      <c r="M2872" s="625"/>
      <c r="N2872" s="625"/>
      <c r="O2872" s="625"/>
      <c r="P2872" s="602"/>
      <c r="Q2872" s="651"/>
      <c r="R2872" s="36"/>
      <c r="S2872" s="36"/>
      <c r="T2872" s="36"/>
      <c r="U2872" s="36"/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</row>
    <row r="2873" ht="22.5" customHeight="1">
      <c r="A2873" s="640"/>
      <c r="B2873" s="186"/>
      <c r="C2873" s="724"/>
      <c r="D2873" s="724"/>
      <c r="E2873" s="725"/>
      <c r="F2873" s="726"/>
      <c r="G2873" s="727"/>
      <c r="H2873" s="728"/>
      <c r="I2873" s="729"/>
      <c r="J2873" s="729"/>
      <c r="K2873" s="730"/>
      <c r="L2873" s="730"/>
      <c r="M2873" s="625"/>
      <c r="N2873" s="625"/>
      <c r="O2873" s="625"/>
      <c r="P2873" s="602"/>
      <c r="Q2873" s="651"/>
      <c r="R2873" s="36"/>
      <c r="S2873" s="36"/>
      <c r="T2873" s="36"/>
      <c r="U2873" s="36"/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</row>
    <row r="2874" ht="22.5" customHeight="1">
      <c r="A2874" s="640"/>
      <c r="B2874" s="186"/>
      <c r="C2874" s="724"/>
      <c r="D2874" s="724"/>
      <c r="E2874" s="725"/>
      <c r="F2874" s="726"/>
      <c r="G2874" s="727"/>
      <c r="H2874" s="728"/>
      <c r="I2874" s="729"/>
      <c r="J2874" s="729"/>
      <c r="K2874" s="730"/>
      <c r="L2874" s="730"/>
      <c r="M2874" s="625"/>
      <c r="N2874" s="625"/>
      <c r="O2874" s="625"/>
      <c r="P2874" s="602"/>
      <c r="Q2874" s="651"/>
      <c r="R2874" s="36"/>
      <c r="S2874" s="36"/>
      <c r="T2874" s="36"/>
      <c r="U2874" s="36"/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</row>
    <row r="2875" ht="22.5" customHeight="1">
      <c r="A2875" s="640"/>
      <c r="B2875" s="186"/>
      <c r="C2875" s="724"/>
      <c r="D2875" s="724"/>
      <c r="E2875" s="725"/>
      <c r="F2875" s="726"/>
      <c r="G2875" s="727"/>
      <c r="H2875" s="728"/>
      <c r="I2875" s="729"/>
      <c r="J2875" s="729"/>
      <c r="K2875" s="730"/>
      <c r="L2875" s="730"/>
      <c r="M2875" s="625"/>
      <c r="N2875" s="625"/>
      <c r="O2875" s="625"/>
      <c r="P2875" s="602"/>
      <c r="Q2875" s="651"/>
      <c r="R2875" s="36"/>
      <c r="S2875" s="36"/>
      <c r="T2875" s="36"/>
      <c r="U2875" s="36"/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</row>
    <row r="2876" ht="22.5" customHeight="1">
      <c r="A2876" s="640"/>
      <c r="B2876" s="186"/>
      <c r="C2876" s="724"/>
      <c r="D2876" s="724"/>
      <c r="E2876" s="725"/>
      <c r="F2876" s="726"/>
      <c r="G2876" s="727"/>
      <c r="H2876" s="728"/>
      <c r="I2876" s="729"/>
      <c r="J2876" s="729"/>
      <c r="K2876" s="730"/>
      <c r="L2876" s="730"/>
      <c r="M2876" s="625"/>
      <c r="N2876" s="625"/>
      <c r="O2876" s="625"/>
      <c r="P2876" s="602"/>
      <c r="Q2876" s="651"/>
      <c r="R2876" s="36"/>
      <c r="S2876" s="36"/>
      <c r="T2876" s="36"/>
      <c r="U2876" s="36"/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</row>
    <row r="2877" ht="22.5" customHeight="1">
      <c r="A2877" s="640"/>
      <c r="B2877" s="186"/>
      <c r="C2877" s="724"/>
      <c r="D2877" s="724"/>
      <c r="E2877" s="725"/>
      <c r="F2877" s="726"/>
      <c r="G2877" s="727"/>
      <c r="H2877" s="728"/>
      <c r="I2877" s="729"/>
      <c r="J2877" s="729"/>
      <c r="K2877" s="730"/>
      <c r="L2877" s="730"/>
      <c r="M2877" s="625"/>
      <c r="N2877" s="625"/>
      <c r="O2877" s="625"/>
      <c r="P2877" s="602"/>
      <c r="Q2877" s="651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</row>
    <row r="2878" ht="22.5" customHeight="1">
      <c r="A2878" s="640"/>
      <c r="B2878" s="186"/>
      <c r="C2878" s="724"/>
      <c r="D2878" s="724"/>
      <c r="E2878" s="725"/>
      <c r="F2878" s="726"/>
      <c r="G2878" s="727"/>
      <c r="H2878" s="728"/>
      <c r="I2878" s="729"/>
      <c r="J2878" s="729"/>
      <c r="K2878" s="730"/>
      <c r="L2878" s="730"/>
      <c r="M2878" s="625"/>
      <c r="N2878" s="625"/>
      <c r="O2878" s="625"/>
      <c r="P2878" s="602"/>
      <c r="Q2878" s="651"/>
      <c r="R2878" s="36"/>
      <c r="S2878" s="36"/>
      <c r="T2878" s="36"/>
      <c r="U2878" s="36"/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</row>
    <row r="2879" ht="22.5" customHeight="1">
      <c r="A2879" s="640"/>
      <c r="B2879" s="186"/>
      <c r="C2879" s="724"/>
      <c r="D2879" s="724"/>
      <c r="E2879" s="725"/>
      <c r="F2879" s="726"/>
      <c r="G2879" s="727"/>
      <c r="H2879" s="728"/>
      <c r="I2879" s="729"/>
      <c r="J2879" s="729"/>
      <c r="K2879" s="730"/>
      <c r="L2879" s="730"/>
      <c r="M2879" s="625"/>
      <c r="N2879" s="625"/>
      <c r="O2879" s="625"/>
      <c r="P2879" s="602"/>
      <c r="Q2879" s="651"/>
      <c r="R2879" s="36"/>
      <c r="S2879" s="36"/>
      <c r="T2879" s="36"/>
      <c r="U2879" s="36"/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</row>
    <row r="2880" ht="22.5" customHeight="1">
      <c r="A2880" s="640"/>
      <c r="B2880" s="186"/>
      <c r="C2880" s="724"/>
      <c r="D2880" s="724"/>
      <c r="E2880" s="725"/>
      <c r="F2880" s="726"/>
      <c r="G2880" s="727"/>
      <c r="H2880" s="728"/>
      <c r="I2880" s="729"/>
      <c r="J2880" s="729"/>
      <c r="K2880" s="730"/>
      <c r="L2880" s="730"/>
      <c r="M2880" s="625"/>
      <c r="N2880" s="625"/>
      <c r="O2880" s="625"/>
      <c r="P2880" s="602"/>
      <c r="Q2880" s="651"/>
      <c r="R2880" s="36"/>
      <c r="S2880" s="36"/>
      <c r="T2880" s="36"/>
      <c r="U2880" s="36"/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</row>
    <row r="2881" ht="22.5" customHeight="1">
      <c r="A2881" s="640"/>
      <c r="B2881" s="186"/>
      <c r="C2881" s="724"/>
      <c r="D2881" s="724"/>
      <c r="E2881" s="725"/>
      <c r="F2881" s="726"/>
      <c r="G2881" s="727"/>
      <c r="H2881" s="728"/>
      <c r="I2881" s="729"/>
      <c r="J2881" s="729"/>
      <c r="K2881" s="730"/>
      <c r="L2881" s="730"/>
      <c r="M2881" s="625"/>
      <c r="N2881" s="625"/>
      <c r="O2881" s="625"/>
      <c r="P2881" s="602"/>
      <c r="Q2881" s="651"/>
      <c r="R2881" s="36"/>
      <c r="S2881" s="36"/>
      <c r="T2881" s="36"/>
      <c r="U2881" s="36"/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</row>
    <row r="2882" ht="22.5" customHeight="1">
      <c r="A2882" s="640"/>
      <c r="B2882" s="186"/>
      <c r="C2882" s="724"/>
      <c r="D2882" s="724"/>
      <c r="E2882" s="725"/>
      <c r="F2882" s="726"/>
      <c r="G2882" s="727"/>
      <c r="H2882" s="728"/>
      <c r="I2882" s="729"/>
      <c r="J2882" s="729"/>
      <c r="K2882" s="730"/>
      <c r="L2882" s="730"/>
      <c r="M2882" s="625"/>
      <c r="N2882" s="625"/>
      <c r="O2882" s="625"/>
      <c r="P2882" s="602"/>
      <c r="Q2882" s="651"/>
      <c r="R2882" s="36"/>
      <c r="S2882" s="36"/>
      <c r="T2882" s="36"/>
      <c r="U2882" s="36"/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</row>
    <row r="2883" ht="22.5" customHeight="1">
      <c r="A2883" s="640"/>
      <c r="B2883" s="186"/>
      <c r="C2883" s="724"/>
      <c r="D2883" s="724"/>
      <c r="E2883" s="725"/>
      <c r="F2883" s="726"/>
      <c r="G2883" s="727"/>
      <c r="H2883" s="728"/>
      <c r="I2883" s="729"/>
      <c r="J2883" s="729"/>
      <c r="K2883" s="730"/>
      <c r="L2883" s="730"/>
      <c r="M2883" s="625"/>
      <c r="N2883" s="625"/>
      <c r="O2883" s="625"/>
      <c r="P2883" s="602"/>
      <c r="Q2883" s="651"/>
      <c r="R2883" s="36"/>
      <c r="S2883" s="36"/>
      <c r="T2883" s="36"/>
      <c r="U2883" s="36"/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</row>
    <row r="2884" ht="22.5" customHeight="1">
      <c r="A2884" s="640"/>
      <c r="B2884" s="186"/>
      <c r="C2884" s="724"/>
      <c r="D2884" s="724"/>
      <c r="E2884" s="725"/>
      <c r="F2884" s="726"/>
      <c r="G2884" s="727"/>
      <c r="H2884" s="728"/>
      <c r="I2884" s="729"/>
      <c r="J2884" s="729"/>
      <c r="K2884" s="730"/>
      <c r="L2884" s="730"/>
      <c r="M2884" s="625"/>
      <c r="N2884" s="625"/>
      <c r="O2884" s="625"/>
      <c r="P2884" s="602"/>
      <c r="Q2884" s="651"/>
      <c r="R2884" s="36"/>
      <c r="S2884" s="36"/>
      <c r="T2884" s="36"/>
      <c r="U2884" s="36"/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</row>
    <row r="2885" ht="22.5" customHeight="1">
      <c r="A2885" s="640"/>
      <c r="B2885" s="186"/>
      <c r="C2885" s="724"/>
      <c r="D2885" s="724"/>
      <c r="E2885" s="725"/>
      <c r="F2885" s="726"/>
      <c r="G2885" s="727"/>
      <c r="H2885" s="728"/>
      <c r="I2885" s="729"/>
      <c r="J2885" s="729"/>
      <c r="K2885" s="730"/>
      <c r="L2885" s="730"/>
      <c r="M2885" s="625"/>
      <c r="N2885" s="625"/>
      <c r="O2885" s="625"/>
      <c r="P2885" s="602"/>
      <c r="Q2885" s="651"/>
      <c r="R2885" s="36"/>
      <c r="S2885" s="36"/>
      <c r="T2885" s="36"/>
      <c r="U2885" s="36"/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</row>
    <row r="2886" ht="22.5" customHeight="1">
      <c r="A2886" s="640"/>
      <c r="B2886" s="186"/>
      <c r="C2886" s="724"/>
      <c r="D2886" s="724"/>
      <c r="E2886" s="725"/>
      <c r="F2886" s="726"/>
      <c r="G2886" s="727"/>
      <c r="H2886" s="728"/>
      <c r="I2886" s="729"/>
      <c r="J2886" s="729"/>
      <c r="K2886" s="730"/>
      <c r="L2886" s="730"/>
      <c r="M2886" s="625"/>
      <c r="N2886" s="625"/>
      <c r="O2886" s="625"/>
      <c r="P2886" s="602"/>
      <c r="Q2886" s="651"/>
      <c r="R2886" s="36"/>
      <c r="S2886" s="36"/>
      <c r="T2886" s="36"/>
      <c r="U2886" s="36"/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</row>
    <row r="2887" ht="22.5" customHeight="1">
      <c r="A2887" s="640"/>
      <c r="B2887" s="186"/>
      <c r="C2887" s="724"/>
      <c r="D2887" s="724"/>
      <c r="E2887" s="725"/>
      <c r="F2887" s="726"/>
      <c r="G2887" s="727"/>
      <c r="H2887" s="728"/>
      <c r="I2887" s="729"/>
      <c r="J2887" s="729"/>
      <c r="K2887" s="730"/>
      <c r="L2887" s="730"/>
      <c r="M2887" s="625"/>
      <c r="N2887" s="625"/>
      <c r="O2887" s="625"/>
      <c r="P2887" s="602"/>
      <c r="Q2887" s="651"/>
      <c r="R2887" s="36"/>
      <c r="S2887" s="36"/>
      <c r="T2887" s="36"/>
      <c r="U2887" s="36"/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</row>
    <row r="2888" ht="22.5" customHeight="1">
      <c r="A2888" s="640"/>
      <c r="B2888" s="186"/>
      <c r="C2888" s="724"/>
      <c r="D2888" s="724"/>
      <c r="E2888" s="725"/>
      <c r="F2888" s="726"/>
      <c r="G2888" s="727"/>
      <c r="H2888" s="728"/>
      <c r="I2888" s="729"/>
      <c r="J2888" s="729"/>
      <c r="K2888" s="730"/>
      <c r="L2888" s="730"/>
      <c r="M2888" s="625"/>
      <c r="N2888" s="625"/>
      <c r="O2888" s="625"/>
      <c r="P2888" s="602"/>
      <c r="Q2888" s="651"/>
      <c r="R2888" s="36"/>
      <c r="S2888" s="36"/>
      <c r="T2888" s="36"/>
      <c r="U2888" s="36"/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</row>
    <row r="2889" ht="22.5" customHeight="1">
      <c r="A2889" s="640"/>
      <c r="B2889" s="186"/>
      <c r="C2889" s="724"/>
      <c r="D2889" s="724"/>
      <c r="E2889" s="725"/>
      <c r="F2889" s="726"/>
      <c r="G2889" s="727"/>
      <c r="H2889" s="728"/>
      <c r="I2889" s="729"/>
      <c r="J2889" s="729"/>
      <c r="K2889" s="730"/>
      <c r="L2889" s="730"/>
      <c r="M2889" s="625"/>
      <c r="N2889" s="625"/>
      <c r="O2889" s="625"/>
      <c r="P2889" s="602"/>
      <c r="Q2889" s="651"/>
      <c r="R2889" s="36"/>
      <c r="S2889" s="36"/>
      <c r="T2889" s="36"/>
      <c r="U2889" s="36"/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</row>
    <row r="2890" ht="22.5" customHeight="1">
      <c r="A2890" s="640"/>
      <c r="B2890" s="186"/>
      <c r="C2890" s="724"/>
      <c r="D2890" s="724"/>
      <c r="E2890" s="725"/>
      <c r="F2890" s="726"/>
      <c r="G2890" s="727"/>
      <c r="H2890" s="728"/>
      <c r="I2890" s="729"/>
      <c r="J2890" s="729"/>
      <c r="K2890" s="730"/>
      <c r="L2890" s="730"/>
      <c r="M2890" s="625"/>
      <c r="N2890" s="625"/>
      <c r="O2890" s="625"/>
      <c r="P2890" s="602"/>
      <c r="Q2890" s="651"/>
      <c r="R2890" s="36"/>
      <c r="S2890" s="36"/>
      <c r="T2890" s="36"/>
      <c r="U2890" s="36"/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</row>
    <row r="2891" ht="22.5" customHeight="1">
      <c r="A2891" s="640"/>
      <c r="B2891" s="186"/>
      <c r="C2891" s="724"/>
      <c r="D2891" s="724"/>
      <c r="E2891" s="725"/>
      <c r="F2891" s="726"/>
      <c r="G2891" s="727"/>
      <c r="H2891" s="728"/>
      <c r="I2891" s="729"/>
      <c r="J2891" s="729"/>
      <c r="K2891" s="730"/>
      <c r="L2891" s="730"/>
      <c r="M2891" s="625"/>
      <c r="N2891" s="625"/>
      <c r="O2891" s="625"/>
      <c r="P2891" s="602"/>
      <c r="Q2891" s="651"/>
      <c r="R2891" s="36"/>
      <c r="S2891" s="36"/>
      <c r="T2891" s="36"/>
      <c r="U2891" s="36"/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</row>
    <row r="2892" ht="22.5" customHeight="1">
      <c r="A2892" s="640"/>
      <c r="B2892" s="186"/>
      <c r="C2892" s="724"/>
      <c r="D2892" s="724"/>
      <c r="E2892" s="725"/>
      <c r="F2892" s="726"/>
      <c r="G2892" s="727"/>
      <c r="H2892" s="728"/>
      <c r="I2892" s="729"/>
      <c r="J2892" s="729"/>
      <c r="K2892" s="730"/>
      <c r="L2892" s="730"/>
      <c r="M2892" s="625"/>
      <c r="N2892" s="625"/>
      <c r="O2892" s="625"/>
      <c r="P2892" s="602"/>
      <c r="Q2892" s="651"/>
      <c r="R2892" s="36"/>
      <c r="S2892" s="36"/>
      <c r="T2892" s="36"/>
      <c r="U2892" s="36"/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</row>
    <row r="2893" ht="22.5" customHeight="1">
      <c r="A2893" s="640"/>
      <c r="B2893" s="186"/>
      <c r="C2893" s="724"/>
      <c r="D2893" s="724"/>
      <c r="E2893" s="725"/>
      <c r="F2893" s="726"/>
      <c r="G2893" s="727"/>
      <c r="H2893" s="728"/>
      <c r="I2893" s="729"/>
      <c r="J2893" s="729"/>
      <c r="K2893" s="730"/>
      <c r="L2893" s="730"/>
      <c r="M2893" s="625"/>
      <c r="N2893" s="625"/>
      <c r="O2893" s="625"/>
      <c r="P2893" s="602"/>
      <c r="Q2893" s="651"/>
      <c r="R2893" s="36"/>
      <c r="S2893" s="36"/>
      <c r="T2893" s="36"/>
      <c r="U2893" s="36"/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</row>
    <row r="2894" ht="22.5" customHeight="1">
      <c r="A2894" s="640"/>
      <c r="B2894" s="186"/>
      <c r="C2894" s="724"/>
      <c r="D2894" s="724"/>
      <c r="E2894" s="725"/>
      <c r="F2894" s="726"/>
      <c r="G2894" s="727"/>
      <c r="H2894" s="728"/>
      <c r="I2894" s="729"/>
      <c r="J2894" s="729"/>
      <c r="K2894" s="730"/>
      <c r="L2894" s="730"/>
      <c r="M2894" s="625"/>
      <c r="N2894" s="625"/>
      <c r="O2894" s="625"/>
      <c r="P2894" s="602"/>
      <c r="Q2894" s="651"/>
      <c r="R2894" s="36"/>
      <c r="S2894" s="36"/>
      <c r="T2894" s="36"/>
      <c r="U2894" s="36"/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</row>
    <row r="2895" ht="22.5" customHeight="1">
      <c r="A2895" s="640"/>
      <c r="B2895" s="186"/>
      <c r="C2895" s="724"/>
      <c r="D2895" s="724"/>
      <c r="E2895" s="725"/>
      <c r="F2895" s="726"/>
      <c r="G2895" s="727"/>
      <c r="H2895" s="728"/>
      <c r="I2895" s="729"/>
      <c r="J2895" s="729"/>
      <c r="K2895" s="730"/>
      <c r="L2895" s="730"/>
      <c r="M2895" s="625"/>
      <c r="N2895" s="625"/>
      <c r="O2895" s="625"/>
      <c r="P2895" s="602"/>
      <c r="Q2895" s="651"/>
      <c r="R2895" s="36"/>
      <c r="S2895" s="36"/>
      <c r="T2895" s="36"/>
      <c r="U2895" s="36"/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</row>
    <row r="2896" ht="22.5" customHeight="1">
      <c r="A2896" s="640"/>
      <c r="B2896" s="186"/>
      <c r="C2896" s="724"/>
      <c r="D2896" s="724"/>
      <c r="E2896" s="725"/>
      <c r="F2896" s="726"/>
      <c r="G2896" s="727"/>
      <c r="H2896" s="728"/>
      <c r="I2896" s="729"/>
      <c r="J2896" s="729"/>
      <c r="K2896" s="730"/>
      <c r="L2896" s="730"/>
      <c r="M2896" s="625"/>
      <c r="N2896" s="625"/>
      <c r="O2896" s="625"/>
      <c r="P2896" s="602"/>
      <c r="Q2896" s="651"/>
      <c r="R2896" s="36"/>
      <c r="S2896" s="36"/>
      <c r="T2896" s="36"/>
      <c r="U2896" s="36"/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</row>
    <row r="2897" ht="22.5" customHeight="1">
      <c r="A2897" s="640"/>
      <c r="B2897" s="186"/>
      <c r="C2897" s="724"/>
      <c r="D2897" s="724"/>
      <c r="E2897" s="725"/>
      <c r="F2897" s="726"/>
      <c r="G2897" s="727"/>
      <c r="H2897" s="728"/>
      <c r="I2897" s="729"/>
      <c r="J2897" s="729"/>
      <c r="K2897" s="730"/>
      <c r="L2897" s="730"/>
      <c r="M2897" s="625"/>
      <c r="N2897" s="625"/>
      <c r="O2897" s="625"/>
      <c r="P2897" s="602"/>
      <c r="Q2897" s="651"/>
      <c r="R2897" s="36"/>
      <c r="S2897" s="36"/>
      <c r="T2897" s="36"/>
      <c r="U2897" s="36"/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</row>
    <row r="2898" ht="22.5" customHeight="1">
      <c r="A2898" s="640"/>
      <c r="B2898" s="186"/>
      <c r="C2898" s="724"/>
      <c r="D2898" s="724"/>
      <c r="E2898" s="725"/>
      <c r="F2898" s="726"/>
      <c r="G2898" s="727"/>
      <c r="H2898" s="728"/>
      <c r="I2898" s="729"/>
      <c r="J2898" s="729"/>
      <c r="K2898" s="730"/>
      <c r="L2898" s="730"/>
      <c r="M2898" s="625"/>
      <c r="N2898" s="625"/>
      <c r="O2898" s="625"/>
      <c r="P2898" s="602"/>
      <c r="Q2898" s="651"/>
      <c r="R2898" s="36"/>
      <c r="S2898" s="36"/>
      <c r="T2898" s="36"/>
      <c r="U2898" s="36"/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</row>
    <row r="2899" ht="22.5" customHeight="1">
      <c r="A2899" s="640"/>
      <c r="B2899" s="186"/>
      <c r="C2899" s="724"/>
      <c r="D2899" s="724"/>
      <c r="E2899" s="725"/>
      <c r="F2899" s="726"/>
      <c r="G2899" s="727"/>
      <c r="H2899" s="728"/>
      <c r="I2899" s="729"/>
      <c r="J2899" s="729"/>
      <c r="K2899" s="730"/>
      <c r="L2899" s="730"/>
      <c r="M2899" s="625"/>
      <c r="N2899" s="625"/>
      <c r="O2899" s="625"/>
      <c r="P2899" s="602"/>
      <c r="Q2899" s="651"/>
      <c r="R2899" s="36"/>
      <c r="S2899" s="36"/>
      <c r="T2899" s="36"/>
      <c r="U2899" s="36"/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</row>
    <row r="2900" ht="22.5" customHeight="1">
      <c r="A2900" s="640"/>
      <c r="B2900" s="186"/>
      <c r="C2900" s="724"/>
      <c r="D2900" s="724"/>
      <c r="E2900" s="725"/>
      <c r="F2900" s="726"/>
      <c r="G2900" s="727"/>
      <c r="H2900" s="728"/>
      <c r="I2900" s="729"/>
      <c r="J2900" s="729"/>
      <c r="K2900" s="730"/>
      <c r="L2900" s="730"/>
      <c r="M2900" s="625"/>
      <c r="N2900" s="625"/>
      <c r="O2900" s="625"/>
      <c r="P2900" s="602"/>
      <c r="Q2900" s="651"/>
      <c r="R2900" s="36"/>
      <c r="S2900" s="36"/>
      <c r="T2900" s="36"/>
      <c r="U2900" s="36"/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</row>
    <row r="2901" ht="22.5" customHeight="1">
      <c r="A2901" s="640"/>
      <c r="B2901" s="186"/>
      <c r="C2901" s="724"/>
      <c r="D2901" s="724"/>
      <c r="E2901" s="725"/>
      <c r="F2901" s="726"/>
      <c r="G2901" s="727"/>
      <c r="H2901" s="728"/>
      <c r="I2901" s="729"/>
      <c r="J2901" s="729"/>
      <c r="K2901" s="730"/>
      <c r="L2901" s="730"/>
      <c r="M2901" s="625"/>
      <c r="N2901" s="625"/>
      <c r="O2901" s="625"/>
      <c r="P2901" s="602"/>
      <c r="Q2901" s="651"/>
      <c r="R2901" s="36"/>
      <c r="S2901" s="36"/>
      <c r="T2901" s="36"/>
      <c r="U2901" s="36"/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</row>
    <row r="2902" ht="22.5" customHeight="1">
      <c r="A2902" s="640"/>
      <c r="B2902" s="186"/>
      <c r="C2902" s="724"/>
      <c r="D2902" s="724"/>
      <c r="E2902" s="725"/>
      <c r="F2902" s="726"/>
      <c r="G2902" s="727"/>
      <c r="H2902" s="728"/>
      <c r="I2902" s="729"/>
      <c r="J2902" s="729"/>
      <c r="K2902" s="730"/>
      <c r="L2902" s="730"/>
      <c r="M2902" s="625"/>
      <c r="N2902" s="625"/>
      <c r="O2902" s="625"/>
      <c r="P2902" s="602"/>
      <c r="Q2902" s="651"/>
      <c r="R2902" s="36"/>
      <c r="S2902" s="36"/>
      <c r="T2902" s="36"/>
      <c r="U2902" s="36"/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</row>
    <row r="2903" ht="22.5" customHeight="1">
      <c r="A2903" s="640"/>
      <c r="B2903" s="186"/>
      <c r="C2903" s="724"/>
      <c r="D2903" s="724"/>
      <c r="E2903" s="725"/>
      <c r="F2903" s="726"/>
      <c r="G2903" s="727"/>
      <c r="H2903" s="728"/>
      <c r="I2903" s="729"/>
      <c r="J2903" s="729"/>
      <c r="K2903" s="730"/>
      <c r="L2903" s="730"/>
      <c r="M2903" s="625"/>
      <c r="N2903" s="625"/>
      <c r="O2903" s="625"/>
      <c r="P2903" s="602"/>
      <c r="Q2903" s="651"/>
      <c r="R2903" s="36"/>
      <c r="S2903" s="36"/>
      <c r="T2903" s="36"/>
      <c r="U2903" s="36"/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</row>
    <row r="2904" ht="22.5" customHeight="1">
      <c r="A2904" s="640"/>
      <c r="B2904" s="186"/>
      <c r="C2904" s="724"/>
      <c r="D2904" s="724"/>
      <c r="E2904" s="725"/>
      <c r="F2904" s="726"/>
      <c r="G2904" s="727"/>
      <c r="H2904" s="728"/>
      <c r="I2904" s="729"/>
      <c r="J2904" s="729"/>
      <c r="K2904" s="730"/>
      <c r="L2904" s="730"/>
      <c r="M2904" s="625"/>
      <c r="N2904" s="625"/>
      <c r="O2904" s="625"/>
      <c r="P2904" s="602"/>
      <c r="Q2904" s="651"/>
      <c r="R2904" s="36"/>
      <c r="S2904" s="36"/>
      <c r="T2904" s="36"/>
      <c r="U2904" s="36"/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</row>
    <row r="2905" ht="22.5" customHeight="1">
      <c r="A2905" s="640"/>
      <c r="B2905" s="186"/>
      <c r="C2905" s="724"/>
      <c r="D2905" s="724"/>
      <c r="E2905" s="725"/>
      <c r="F2905" s="726"/>
      <c r="G2905" s="727"/>
      <c r="H2905" s="728"/>
      <c r="I2905" s="729"/>
      <c r="J2905" s="729"/>
      <c r="K2905" s="730"/>
      <c r="L2905" s="730"/>
      <c r="M2905" s="625"/>
      <c r="N2905" s="625"/>
      <c r="O2905" s="625"/>
      <c r="P2905" s="602"/>
      <c r="Q2905" s="651"/>
      <c r="R2905" s="36"/>
      <c r="S2905" s="36"/>
      <c r="T2905" s="36"/>
      <c r="U2905" s="36"/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</row>
    <row r="2906" ht="22.5" customHeight="1">
      <c r="A2906" s="640"/>
      <c r="B2906" s="186"/>
      <c r="C2906" s="724"/>
      <c r="D2906" s="724"/>
      <c r="E2906" s="725"/>
      <c r="F2906" s="726"/>
      <c r="G2906" s="727"/>
      <c r="H2906" s="728"/>
      <c r="I2906" s="729"/>
      <c r="J2906" s="729"/>
      <c r="K2906" s="730"/>
      <c r="L2906" s="730"/>
      <c r="M2906" s="625"/>
      <c r="N2906" s="625"/>
      <c r="O2906" s="625"/>
      <c r="P2906" s="602"/>
      <c r="Q2906" s="651"/>
      <c r="R2906" s="36"/>
      <c r="S2906" s="36"/>
      <c r="T2906" s="36"/>
      <c r="U2906" s="36"/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</row>
    <row r="2907" ht="22.5" customHeight="1">
      <c r="A2907" s="640"/>
      <c r="B2907" s="186"/>
      <c r="C2907" s="724"/>
      <c r="D2907" s="724"/>
      <c r="E2907" s="725"/>
      <c r="F2907" s="726"/>
      <c r="G2907" s="727"/>
      <c r="H2907" s="728"/>
      <c r="I2907" s="729"/>
      <c r="J2907" s="729"/>
      <c r="K2907" s="730"/>
      <c r="L2907" s="730"/>
      <c r="M2907" s="625"/>
      <c r="N2907" s="625"/>
      <c r="O2907" s="625"/>
      <c r="P2907" s="602"/>
      <c r="Q2907" s="651"/>
      <c r="R2907" s="36"/>
      <c r="S2907" s="36"/>
      <c r="T2907" s="36"/>
      <c r="U2907" s="36"/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</row>
    <row r="2908" ht="22.5" customHeight="1">
      <c r="A2908" s="640"/>
      <c r="B2908" s="186"/>
      <c r="C2908" s="724"/>
      <c r="D2908" s="724"/>
      <c r="E2908" s="725"/>
      <c r="F2908" s="726"/>
      <c r="G2908" s="727"/>
      <c r="H2908" s="728"/>
      <c r="I2908" s="729"/>
      <c r="J2908" s="729"/>
      <c r="K2908" s="730"/>
      <c r="L2908" s="730"/>
      <c r="M2908" s="625"/>
      <c r="N2908" s="625"/>
      <c r="O2908" s="625"/>
      <c r="P2908" s="602"/>
      <c r="Q2908" s="651"/>
      <c r="R2908" s="36"/>
      <c r="S2908" s="36"/>
      <c r="T2908" s="36"/>
      <c r="U2908" s="36"/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</row>
    <row r="2909" ht="22.5" customHeight="1">
      <c r="A2909" s="640"/>
      <c r="B2909" s="186"/>
      <c r="C2909" s="724"/>
      <c r="D2909" s="724"/>
      <c r="E2909" s="725"/>
      <c r="F2909" s="726"/>
      <c r="G2909" s="727"/>
      <c r="H2909" s="728"/>
      <c r="I2909" s="729"/>
      <c r="J2909" s="729"/>
      <c r="K2909" s="730"/>
      <c r="L2909" s="730"/>
      <c r="M2909" s="625"/>
      <c r="N2909" s="625"/>
      <c r="O2909" s="625"/>
      <c r="P2909" s="602"/>
      <c r="Q2909" s="651"/>
      <c r="R2909" s="36"/>
      <c r="S2909" s="36"/>
      <c r="T2909" s="36"/>
      <c r="U2909" s="36"/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</row>
    <row r="2910" ht="22.5" customHeight="1">
      <c r="A2910" s="640"/>
      <c r="B2910" s="186"/>
      <c r="C2910" s="724"/>
      <c r="D2910" s="724"/>
      <c r="E2910" s="725"/>
      <c r="F2910" s="726"/>
      <c r="G2910" s="727"/>
      <c r="H2910" s="728"/>
      <c r="I2910" s="729"/>
      <c r="J2910" s="729"/>
      <c r="K2910" s="730"/>
      <c r="L2910" s="730"/>
      <c r="M2910" s="625"/>
      <c r="N2910" s="625"/>
      <c r="O2910" s="625"/>
      <c r="P2910" s="602"/>
      <c r="Q2910" s="651"/>
      <c r="R2910" s="36"/>
      <c r="S2910" s="36"/>
      <c r="T2910" s="36"/>
      <c r="U2910" s="36"/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</row>
    <row r="2911" ht="22.5" customHeight="1">
      <c r="A2911" s="640"/>
      <c r="B2911" s="186"/>
      <c r="C2911" s="724"/>
      <c r="D2911" s="724"/>
      <c r="E2911" s="725"/>
      <c r="F2911" s="726"/>
      <c r="G2911" s="727"/>
      <c r="H2911" s="728"/>
      <c r="I2911" s="729"/>
      <c r="J2911" s="729"/>
      <c r="K2911" s="730"/>
      <c r="L2911" s="730"/>
      <c r="M2911" s="625"/>
      <c r="N2911" s="625"/>
      <c r="O2911" s="625"/>
      <c r="P2911" s="602"/>
      <c r="Q2911" s="651"/>
      <c r="R2911" s="36"/>
      <c r="S2911" s="36"/>
      <c r="T2911" s="36"/>
      <c r="U2911" s="36"/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</row>
    <row r="2912" ht="22.5" customHeight="1">
      <c r="A2912" s="640"/>
      <c r="B2912" s="186"/>
      <c r="C2912" s="724"/>
      <c r="D2912" s="724"/>
      <c r="E2912" s="725"/>
      <c r="F2912" s="726"/>
      <c r="G2912" s="727"/>
      <c r="H2912" s="728"/>
      <c r="I2912" s="729"/>
      <c r="J2912" s="729"/>
      <c r="K2912" s="730"/>
      <c r="L2912" s="730"/>
      <c r="M2912" s="625"/>
      <c r="N2912" s="625"/>
      <c r="O2912" s="625"/>
      <c r="P2912" s="602"/>
      <c r="Q2912" s="651"/>
      <c r="R2912" s="36"/>
      <c r="S2912" s="36"/>
      <c r="T2912" s="36"/>
      <c r="U2912" s="36"/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</row>
    <row r="2913" ht="22.5" customHeight="1">
      <c r="A2913" s="640"/>
      <c r="B2913" s="186"/>
      <c r="C2913" s="724"/>
      <c r="D2913" s="724"/>
      <c r="E2913" s="725"/>
      <c r="F2913" s="726"/>
      <c r="G2913" s="727"/>
      <c r="H2913" s="728"/>
      <c r="I2913" s="729"/>
      <c r="J2913" s="729"/>
      <c r="K2913" s="730"/>
      <c r="L2913" s="730"/>
      <c r="M2913" s="625"/>
      <c r="N2913" s="625"/>
      <c r="O2913" s="625"/>
      <c r="P2913" s="602"/>
      <c r="Q2913" s="651"/>
      <c r="R2913" s="36"/>
      <c r="S2913" s="36"/>
      <c r="T2913" s="36"/>
      <c r="U2913" s="36"/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</row>
    <row r="2914" ht="22.5" customHeight="1">
      <c r="A2914" s="640"/>
      <c r="B2914" s="186"/>
      <c r="C2914" s="724"/>
      <c r="D2914" s="724"/>
      <c r="E2914" s="725"/>
      <c r="F2914" s="726"/>
      <c r="G2914" s="727"/>
      <c r="H2914" s="728"/>
      <c r="I2914" s="729"/>
      <c r="J2914" s="729"/>
      <c r="K2914" s="730"/>
      <c r="L2914" s="730"/>
      <c r="M2914" s="625"/>
      <c r="N2914" s="625"/>
      <c r="O2914" s="625"/>
      <c r="P2914" s="602"/>
      <c r="Q2914" s="651"/>
      <c r="R2914" s="36"/>
      <c r="S2914" s="36"/>
      <c r="T2914" s="36"/>
      <c r="U2914" s="36"/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</row>
    <row r="2915" ht="22.5" customHeight="1">
      <c r="A2915" s="640"/>
      <c r="B2915" s="186"/>
      <c r="C2915" s="724"/>
      <c r="D2915" s="724"/>
      <c r="E2915" s="725"/>
      <c r="F2915" s="726"/>
      <c r="G2915" s="727"/>
      <c r="H2915" s="728"/>
      <c r="I2915" s="729"/>
      <c r="J2915" s="729"/>
      <c r="K2915" s="730"/>
      <c r="L2915" s="730"/>
      <c r="M2915" s="625"/>
      <c r="N2915" s="625"/>
      <c r="O2915" s="625"/>
      <c r="P2915" s="602"/>
      <c r="Q2915" s="651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</row>
    <row r="2916" ht="22.5" customHeight="1">
      <c r="A2916" s="640"/>
      <c r="B2916" s="186"/>
      <c r="C2916" s="724"/>
      <c r="D2916" s="724"/>
      <c r="E2916" s="725"/>
      <c r="F2916" s="726"/>
      <c r="G2916" s="727"/>
      <c r="H2916" s="728"/>
      <c r="I2916" s="729"/>
      <c r="J2916" s="729"/>
      <c r="K2916" s="730"/>
      <c r="L2916" s="730"/>
      <c r="M2916" s="625"/>
      <c r="N2916" s="625"/>
      <c r="O2916" s="625"/>
      <c r="P2916" s="602"/>
      <c r="Q2916" s="651"/>
      <c r="R2916" s="36"/>
      <c r="S2916" s="36"/>
      <c r="T2916" s="36"/>
      <c r="U2916" s="36"/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</row>
    <row r="2917" ht="22.5" customHeight="1">
      <c r="A2917" s="640"/>
      <c r="B2917" s="186"/>
      <c r="C2917" s="724"/>
      <c r="D2917" s="724"/>
      <c r="E2917" s="725"/>
      <c r="F2917" s="726"/>
      <c r="G2917" s="727"/>
      <c r="H2917" s="728"/>
      <c r="I2917" s="729"/>
      <c r="J2917" s="729"/>
      <c r="K2917" s="730"/>
      <c r="L2917" s="730"/>
      <c r="M2917" s="625"/>
      <c r="N2917" s="625"/>
      <c r="O2917" s="625"/>
      <c r="P2917" s="602"/>
      <c r="Q2917" s="651"/>
      <c r="R2917" s="36"/>
      <c r="S2917" s="36"/>
      <c r="T2917" s="36"/>
      <c r="U2917" s="36"/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</row>
  </sheetData>
  <mergeCells count="2">
    <mergeCell ref="A1:A2"/>
    <mergeCell ref="A4:A5"/>
  </mergeCells>
  <conditionalFormatting sqref="M231:O231 Q231">
    <cfRule type="notContainsBlanks" dxfId="5" priority="1">
      <formula>LEN(TRIM(M231))&gt;0</formula>
    </cfRule>
  </conditionalFormatting>
  <conditionalFormatting sqref="P1470:P1768 P1774 P1830">
    <cfRule type="colorScale" priority="2">
      <colorScale>
        <cfvo type="formula" val="0"/>
        <cfvo type="max"/>
        <color rgb="FFFFFFFF"/>
        <color rgb="FFE67C73"/>
      </colorScale>
    </cfRule>
  </conditionalFormatting>
  <dataValidations>
    <dataValidation type="list" allowBlank="1" sqref="E9:E2917">
      <formula1>"АльфаБанк,ОПТ Банк,Наличные,Совкомбанк"</formula1>
    </dataValidation>
    <dataValidation type="custom" allowBlank="1" showDropDown="1" sqref="A9:A2917">
      <formula1>OR(NOT(ISERROR(DATEVALUE(A9))), AND(ISNUMBER(A9), LEFT(CELL("format", A9))="D"))</formula1>
    </dataValidation>
    <dataValidation type="custom" allowBlank="1" showDropDown="1" sqref="G9:G2917 I9:I2917">
      <formula1>AND(ISNUMBER(G9),(NOT(OR(NOT(ISERROR(DATEVALUE(G9))), AND(ISNUMBER(G9), LEFT(CELL("format", G9))="D")))))</formula1>
    </dataValidation>
    <dataValidation type="list" allowBlank="1" sqref="B9:B2917">
      <formula1>"оплачено,план оплат,План поступлений"</formula1>
    </dataValidation>
    <dataValidation allowBlank="1" showDropDown="1" sqref="F9:F2917 L9:L2917"/>
  </dataValidations>
  <hyperlinks>
    <hyperlink r:id="rId2" ref="L381"/>
    <hyperlink r:id="rId3" ref="Q789"/>
    <hyperlink r:id="rId4" ref="Q847"/>
    <hyperlink r:id="rId5" ref="Q848"/>
    <hyperlink r:id="rId6" ref="Q849"/>
    <hyperlink r:id="rId7" ref="Q850"/>
    <hyperlink r:id="rId8" ref="Q851"/>
    <hyperlink r:id="rId9" ref="Q852"/>
    <hyperlink r:id="rId10" ref="Q853"/>
    <hyperlink r:id="rId11" ref="L872"/>
    <hyperlink r:id="rId12" ref="Q891"/>
    <hyperlink r:id="rId13" ref="Q907"/>
    <hyperlink r:id="rId14" ref="Q925"/>
    <hyperlink r:id="rId15" ref="Q927"/>
    <hyperlink r:id="rId16" ref="Q928"/>
    <hyperlink r:id="rId17" ref="Q992"/>
    <hyperlink r:id="rId18" ref="Q993"/>
    <hyperlink r:id="rId19" ref="Q994"/>
    <hyperlink r:id="rId20" ref="Q995"/>
    <hyperlink r:id="rId21" ref="Q996"/>
    <hyperlink r:id="rId22" ref="Q997"/>
    <hyperlink r:id="rId23" ref="Q998"/>
    <hyperlink r:id="rId24" ref="Q999"/>
    <hyperlink r:id="rId25" ref="Q1020"/>
    <hyperlink r:id="rId26" ref="Q1026"/>
    <hyperlink r:id="rId27" ref="Q1034"/>
    <hyperlink r:id="rId28" ref="Q1060"/>
    <hyperlink r:id="rId29" ref="Q1061"/>
    <hyperlink r:id="rId30" ref="Q1062"/>
    <hyperlink r:id="rId31" ref="Q1063"/>
    <hyperlink r:id="rId32" ref="Q1064"/>
    <hyperlink r:id="rId33" ref="Q1065"/>
    <hyperlink r:id="rId34" ref="Q1066"/>
    <hyperlink r:id="rId35" ref="Q1083"/>
    <hyperlink r:id="rId36" ref="Q1103"/>
    <hyperlink r:id="rId37" ref="Q1104"/>
    <hyperlink r:id="rId38" ref="Q1105"/>
    <hyperlink r:id="rId39" ref="Q1107"/>
    <hyperlink r:id="rId40" ref="Q1108"/>
    <hyperlink r:id="rId41" ref="Q1109"/>
    <hyperlink r:id="rId42" ref="Q1110"/>
    <hyperlink r:id="rId43" ref="Q1111"/>
    <hyperlink r:id="rId44" ref="L1112"/>
    <hyperlink r:id="rId45" ref="Q1113"/>
    <hyperlink r:id="rId46" ref="Q1115"/>
    <hyperlink r:id="rId47" ref="Q1126"/>
    <hyperlink r:id="rId48" ref="Q1127"/>
    <hyperlink r:id="rId49" ref="Q1134"/>
    <hyperlink r:id="rId50" ref="Q1159"/>
    <hyperlink r:id="rId51" ref="Q1160"/>
    <hyperlink r:id="rId52" ref="Q1161"/>
    <hyperlink r:id="rId53" ref="Q1162"/>
    <hyperlink r:id="rId54" ref="Q1163"/>
    <hyperlink r:id="rId55" ref="Q1164"/>
    <hyperlink r:id="rId56" ref="Q1165"/>
    <hyperlink r:id="rId57" ref="Q1174"/>
    <hyperlink r:id="rId58" ref="Q1175"/>
    <hyperlink r:id="rId59" ref="Q1176"/>
    <hyperlink r:id="rId60" ref="Q1196"/>
    <hyperlink r:id="rId61" ref="Q1197"/>
    <hyperlink r:id="rId62" ref="Q1204"/>
    <hyperlink r:id="rId63" ref="Q1207"/>
    <hyperlink r:id="rId64" ref="Q1208"/>
    <hyperlink r:id="rId65" ref="Q1209"/>
    <hyperlink r:id="rId66" ref="Q1210"/>
    <hyperlink r:id="rId67" ref="Q1211"/>
    <hyperlink r:id="rId68" ref="Q1212"/>
    <hyperlink r:id="rId69" ref="Q1213"/>
    <hyperlink r:id="rId70" ref="Q1214"/>
    <hyperlink r:id="rId71" ref="Q1215"/>
    <hyperlink r:id="rId72" ref="Q1216"/>
    <hyperlink r:id="rId73" ref="Q1217"/>
    <hyperlink r:id="rId74" ref="Q1218"/>
    <hyperlink r:id="rId75" ref="Q1224"/>
    <hyperlink r:id="rId76" ref="Q1225"/>
    <hyperlink r:id="rId77" ref="Q1229"/>
    <hyperlink r:id="rId78" ref="Q1269"/>
    <hyperlink r:id="rId79" ref="Q1270"/>
    <hyperlink r:id="rId80" ref="Q1276"/>
    <hyperlink r:id="rId81" ref="Q1277"/>
    <hyperlink r:id="rId82" ref="Q1278"/>
    <hyperlink r:id="rId83" ref="Q1279"/>
    <hyperlink r:id="rId84" ref="Q1280"/>
    <hyperlink r:id="rId85" ref="Q1281"/>
    <hyperlink r:id="rId86" ref="Q1282"/>
    <hyperlink r:id="rId87" ref="Q1283"/>
    <hyperlink r:id="rId88" ref="Q1284"/>
    <hyperlink r:id="rId89" ref="Q1285"/>
    <hyperlink r:id="rId90" ref="Q1286"/>
    <hyperlink r:id="rId91" ref="Q1287"/>
    <hyperlink r:id="rId92" ref="Q1288"/>
    <hyperlink r:id="rId93" ref="Q1289"/>
    <hyperlink r:id="rId94" ref="Q1293"/>
    <hyperlink r:id="rId95" ref="Q1296"/>
    <hyperlink r:id="rId96" ref="Q1297"/>
    <hyperlink r:id="rId97" ref="Q1301"/>
    <hyperlink r:id="rId98" ref="Q1302"/>
    <hyperlink r:id="rId99" ref="Q1303"/>
    <hyperlink r:id="rId100" ref="Q1304"/>
    <hyperlink r:id="rId101" ref="Q1305"/>
    <hyperlink r:id="rId102" ref="Q1306"/>
    <hyperlink r:id="rId103" ref="Q1307"/>
    <hyperlink r:id="rId104" ref="Q1308"/>
    <hyperlink r:id="rId105" ref="Q1309"/>
    <hyperlink r:id="rId106" ref="Q1310"/>
    <hyperlink r:id="rId107" ref="Q1324"/>
    <hyperlink r:id="rId108" ref="Q1345"/>
    <hyperlink r:id="rId109" ref="Q1357"/>
    <hyperlink r:id="rId110" ref="Q1358"/>
    <hyperlink r:id="rId111" ref="Q1359"/>
    <hyperlink r:id="rId112" ref="Q1360"/>
    <hyperlink r:id="rId113" ref="Q1361"/>
    <hyperlink r:id="rId114" ref="Q1396"/>
    <hyperlink r:id="rId115" ref="Q1397"/>
    <hyperlink r:id="rId116" ref="Q1398"/>
    <hyperlink r:id="rId117" ref="Q1399"/>
    <hyperlink r:id="rId118" ref="Q1400"/>
    <hyperlink r:id="rId119" ref="Q1401"/>
    <hyperlink r:id="rId120" ref="Q1402"/>
    <hyperlink r:id="rId121" ref="Q1403"/>
    <hyperlink r:id="rId122" ref="Q1404"/>
    <hyperlink r:id="rId123" ref="Q1405"/>
    <hyperlink r:id="rId124" ref="Q1406"/>
    <hyperlink r:id="rId125" ref="Q1407"/>
    <hyperlink r:id="rId126" ref="Q1408"/>
    <hyperlink r:id="rId127" ref="Q1409"/>
    <hyperlink r:id="rId128" ref="Q1410"/>
    <hyperlink r:id="rId129" ref="Q1411"/>
    <hyperlink r:id="rId130" ref="Q1416"/>
    <hyperlink r:id="rId131" ref="Q1417"/>
    <hyperlink r:id="rId132" ref="Q1418"/>
    <hyperlink r:id="rId133" ref="Q1419"/>
    <hyperlink r:id="rId134" ref="Q1420"/>
    <hyperlink r:id="rId135" ref="Q1421"/>
    <hyperlink r:id="rId136" ref="Q1422"/>
    <hyperlink r:id="rId137" ref="Q1429"/>
    <hyperlink r:id="rId138" ref="Q1430"/>
    <hyperlink r:id="rId139" ref="Q1446"/>
    <hyperlink r:id="rId140" ref="Q1447"/>
    <hyperlink r:id="rId141" ref="Q1448"/>
    <hyperlink r:id="rId142" ref="Q1449"/>
    <hyperlink r:id="rId143" ref="Q1457"/>
    <hyperlink r:id="rId144" ref="Q1458"/>
    <hyperlink r:id="rId145" ref="Q1469"/>
    <hyperlink r:id="rId146" ref="Q1483"/>
    <hyperlink r:id="rId147" ref="Q1523"/>
    <hyperlink r:id="rId148" ref="Q1524"/>
    <hyperlink r:id="rId149" ref="Q1525"/>
    <hyperlink r:id="rId150" ref="Q1526"/>
    <hyperlink r:id="rId151" ref="Q1527"/>
    <hyperlink r:id="rId152" ref="Q1528"/>
    <hyperlink r:id="rId153" ref="Q1529"/>
    <hyperlink r:id="rId154" ref="Q1530"/>
    <hyperlink r:id="rId155" ref="Q1531"/>
    <hyperlink r:id="rId156" ref="Q1532"/>
    <hyperlink r:id="rId157" ref="Q1533"/>
    <hyperlink r:id="rId158" ref="Q1534"/>
    <hyperlink r:id="rId159" ref="Q1535"/>
    <hyperlink r:id="rId160" ref="Q1536"/>
    <hyperlink r:id="rId161" ref="Q1537"/>
    <hyperlink r:id="rId162" ref="Q1538"/>
    <hyperlink r:id="rId163" ref="Q1539"/>
    <hyperlink r:id="rId164" ref="Q1540"/>
    <hyperlink r:id="rId165" ref="Q1541"/>
    <hyperlink r:id="rId166" ref="Q1542"/>
    <hyperlink r:id="rId167" ref="Q1543"/>
    <hyperlink r:id="rId168" ref="Q1544"/>
    <hyperlink r:id="rId169" ref="Q1545"/>
    <hyperlink r:id="rId170" ref="Q1546"/>
    <hyperlink r:id="rId171" ref="Q1547"/>
    <hyperlink r:id="rId172" ref="Q1551"/>
    <hyperlink r:id="rId173" ref="Q1552"/>
    <hyperlink r:id="rId174" ref="Q1553"/>
    <hyperlink r:id="rId175" ref="Q1554"/>
    <hyperlink r:id="rId176" ref="Q1555"/>
    <hyperlink r:id="rId177" ref="Q1556"/>
    <hyperlink r:id="rId178" ref="Q1593"/>
    <hyperlink r:id="rId179" ref="Q1594"/>
    <hyperlink r:id="rId180" ref="Q1596"/>
    <hyperlink r:id="rId181" ref="Q1611"/>
    <hyperlink r:id="rId182" ref="Q1640"/>
    <hyperlink r:id="rId183" ref="Q1641"/>
    <hyperlink r:id="rId184" ref="Q1643"/>
    <hyperlink r:id="rId185" ref="Q1644"/>
    <hyperlink r:id="rId186" ref="Q1645"/>
    <hyperlink r:id="rId187" ref="Q1646"/>
    <hyperlink r:id="rId188" ref="Q1647"/>
    <hyperlink r:id="rId189" ref="Q1648"/>
    <hyperlink r:id="rId190" ref="Q1649"/>
    <hyperlink r:id="rId191" ref="Q1650"/>
    <hyperlink r:id="rId192" ref="Q1651"/>
    <hyperlink r:id="rId193" ref="Q1652"/>
    <hyperlink r:id="rId194" ref="Q1653"/>
    <hyperlink r:id="rId195" ref="Q1654"/>
    <hyperlink r:id="rId196" ref="Q1655"/>
    <hyperlink r:id="rId197" ref="Q1656"/>
    <hyperlink r:id="rId198" ref="Q1657"/>
    <hyperlink r:id="rId199" ref="Q1658"/>
    <hyperlink r:id="rId200" ref="Q1659"/>
    <hyperlink r:id="rId201" ref="Q1660"/>
    <hyperlink r:id="rId202" ref="Q1661"/>
    <hyperlink r:id="rId203" ref="Q1663"/>
    <hyperlink r:id="rId204" ref="Q1671"/>
    <hyperlink r:id="rId205" ref="Q1672"/>
    <hyperlink r:id="rId206" ref="Q1673"/>
    <hyperlink r:id="rId207" ref="Q1674"/>
    <hyperlink r:id="rId208" ref="Q1675"/>
    <hyperlink r:id="rId209" ref="Q1676"/>
    <hyperlink r:id="rId210" ref="Q1677"/>
    <hyperlink r:id="rId211" ref="Q1678"/>
    <hyperlink r:id="rId212" ref="Q1679"/>
    <hyperlink r:id="rId213" ref="Q1680"/>
    <hyperlink r:id="rId214" ref="Q1681"/>
    <hyperlink r:id="rId215" ref="Q1682"/>
    <hyperlink r:id="rId216" ref="Q1683"/>
    <hyperlink r:id="rId217" ref="Q1690"/>
    <hyperlink r:id="rId218" ref="Q1710"/>
    <hyperlink r:id="rId219" ref="Q1719"/>
    <hyperlink r:id="rId220" ref="Q1739"/>
    <hyperlink r:id="rId221" ref="Q1741"/>
    <hyperlink r:id="rId222" ref="Q1768"/>
    <hyperlink r:id="rId223" ref="Q1775"/>
    <hyperlink r:id="rId224" ref="Q1776"/>
    <hyperlink r:id="rId225" ref="Q1777"/>
    <hyperlink r:id="rId226" ref="Q1778"/>
    <hyperlink r:id="rId227" ref="Q1779"/>
    <hyperlink r:id="rId228" ref="Q1780"/>
    <hyperlink r:id="rId229" ref="Q1781"/>
    <hyperlink r:id="rId230" ref="Q1782"/>
    <hyperlink r:id="rId231" ref="Q1783"/>
    <hyperlink r:id="rId232" ref="Q1784"/>
    <hyperlink r:id="rId233" ref="Q1785"/>
    <hyperlink r:id="rId234" ref="Q1786"/>
    <hyperlink r:id="rId235" ref="Q1787"/>
    <hyperlink r:id="rId236" ref="Q1788"/>
    <hyperlink r:id="rId237" ref="Q1789"/>
    <hyperlink r:id="rId238" ref="Q1790"/>
    <hyperlink r:id="rId239" ref="Q1791"/>
    <hyperlink r:id="rId240" ref="Q1805"/>
    <hyperlink r:id="rId241" ref="Q1810"/>
    <hyperlink r:id="rId242" ref="Q1811"/>
    <hyperlink r:id="rId243" ref="Q1812"/>
    <hyperlink r:id="rId244" ref="Q1813"/>
    <hyperlink r:id="rId245" ref="Q1814"/>
    <hyperlink r:id="rId246" ref="Q1815"/>
    <hyperlink r:id="rId247" ref="Q1816"/>
    <hyperlink r:id="rId248" ref="Q1817"/>
    <hyperlink r:id="rId249" ref="Q1818"/>
    <hyperlink r:id="rId250" ref="Q1820"/>
    <hyperlink r:id="rId251" ref="Q1821"/>
    <hyperlink r:id="rId252" ref="Q1822"/>
    <hyperlink r:id="rId253" ref="Q1824"/>
    <hyperlink r:id="rId254" ref="Q1828"/>
    <hyperlink r:id="rId255" ref="Q1829"/>
    <hyperlink r:id="rId256" ref="Q1846"/>
    <hyperlink r:id="rId257" ref="Q1864"/>
    <hyperlink r:id="rId258" ref="Q1867"/>
    <hyperlink r:id="rId259" ref="Q1868"/>
    <hyperlink r:id="rId260" ref="Q1869"/>
    <hyperlink r:id="rId261" ref="Q1870"/>
    <hyperlink r:id="rId262" ref="Q1876"/>
    <hyperlink r:id="rId263" ref="Q1878"/>
    <hyperlink r:id="rId264" ref="Q1883"/>
    <hyperlink r:id="rId265" ref="Q1884"/>
    <hyperlink r:id="rId266" ref="Q1885"/>
    <hyperlink r:id="rId267" ref="Q1886"/>
    <hyperlink r:id="rId268" ref="Q1887"/>
    <hyperlink r:id="rId269" ref="Q1888"/>
    <hyperlink r:id="rId270" ref="Q1889"/>
    <hyperlink r:id="rId271" ref="Q1890"/>
    <hyperlink r:id="rId272" ref="Q1891"/>
    <hyperlink r:id="rId273" ref="Q1892"/>
    <hyperlink r:id="rId274" ref="Q1893"/>
    <hyperlink r:id="rId275" ref="Q1894"/>
    <hyperlink r:id="rId276" ref="Q1895"/>
    <hyperlink r:id="rId277" ref="Q1896"/>
    <hyperlink r:id="rId278" ref="Q1897"/>
    <hyperlink r:id="rId279" ref="Q1898"/>
    <hyperlink r:id="rId280" ref="Q1899"/>
    <hyperlink r:id="rId281" ref="Q1900"/>
    <hyperlink r:id="rId282" ref="Q1901"/>
    <hyperlink r:id="rId283" ref="Q1902"/>
    <hyperlink r:id="rId284" ref="Q1903"/>
    <hyperlink r:id="rId285" ref="Q1904"/>
    <hyperlink r:id="rId286" ref="Q1905"/>
    <hyperlink r:id="rId287" ref="Q1906"/>
    <hyperlink r:id="rId288" ref="Q1907"/>
    <hyperlink r:id="rId289" ref="Q1908"/>
    <hyperlink r:id="rId290" ref="Q1909"/>
    <hyperlink r:id="rId291" ref="Q1911"/>
    <hyperlink r:id="rId292" ref="Q1912"/>
    <hyperlink r:id="rId293" ref="Q1913"/>
    <hyperlink r:id="rId294" ref="Q1914"/>
    <hyperlink r:id="rId295" ref="Q1954"/>
    <hyperlink r:id="rId296" ref="Q1957"/>
    <hyperlink r:id="rId297" ref="Q1958"/>
    <hyperlink r:id="rId298" ref="Q1959"/>
    <hyperlink r:id="rId299" ref="Q1960"/>
    <hyperlink r:id="rId300" ref="Q1964"/>
    <hyperlink r:id="rId301" ref="Q1965"/>
    <hyperlink r:id="rId302" ref="Q1966"/>
    <hyperlink r:id="rId303" ref="Q1967"/>
    <hyperlink r:id="rId304" ref="Q1968"/>
    <hyperlink r:id="rId305" ref="Q1969"/>
    <hyperlink r:id="rId306" ref="Q1970"/>
    <hyperlink r:id="rId307" ref="Q1971"/>
    <hyperlink r:id="rId308" ref="Q1972"/>
    <hyperlink r:id="rId309" ref="Q1973"/>
    <hyperlink r:id="rId310" ref="Q1974"/>
    <hyperlink r:id="rId311" ref="Q1975"/>
    <hyperlink r:id="rId312" ref="Q1976"/>
    <hyperlink r:id="rId313" ref="Q1977"/>
    <hyperlink r:id="rId314" ref="Q1978"/>
    <hyperlink r:id="rId315" ref="Q1979"/>
    <hyperlink r:id="rId316" ref="Q1980"/>
    <hyperlink r:id="rId317" ref="Q1981"/>
    <hyperlink r:id="rId318" ref="Q1982"/>
    <hyperlink r:id="rId319" ref="Q1983"/>
    <hyperlink r:id="rId320" ref="Q1984"/>
    <hyperlink r:id="rId321" ref="Q1985"/>
    <hyperlink r:id="rId322" ref="Q1987"/>
    <hyperlink r:id="rId323" ref="Q2019"/>
    <hyperlink r:id="rId324" ref="Q2020"/>
    <hyperlink r:id="rId325" ref="Q2021"/>
    <hyperlink r:id="rId326" ref="Q2022"/>
    <hyperlink r:id="rId327" ref="Q2023"/>
    <hyperlink r:id="rId328" ref="Q2024"/>
  </hyperlinks>
  <drawing r:id="rId329"/>
  <legacyDrawing r:id="rId330"/>
  <tableParts count="1">
    <tablePart r:id="rId33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6" width="0.43"/>
  </cols>
  <sheetData>
    <row r="1">
      <c r="A1" s="731"/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</row>
    <row r="2">
      <c r="A2" s="732" t="s">
        <v>2267</v>
      </c>
      <c r="F2" s="731"/>
      <c r="G2" s="731"/>
      <c r="H2" s="733" t="s">
        <v>2268</v>
      </c>
      <c r="I2" s="731"/>
      <c r="J2" s="731"/>
      <c r="K2" s="731"/>
      <c r="L2" s="734"/>
      <c r="M2" s="734"/>
      <c r="N2" s="734"/>
      <c r="O2" s="734"/>
      <c r="P2" s="734"/>
      <c r="Q2" s="734"/>
    </row>
    <row r="3">
      <c r="A3" s="731"/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731"/>
      <c r="O3" s="731"/>
      <c r="P3" s="731"/>
      <c r="Q3" s="731"/>
    </row>
    <row r="4">
      <c r="A4" s="735" t="s">
        <v>2269</v>
      </c>
      <c r="B4" s="736" t="s">
        <v>2270</v>
      </c>
      <c r="D4" s="731"/>
      <c r="E4" s="731"/>
      <c r="F4" s="731"/>
      <c r="G4" s="731"/>
      <c r="H4" s="731"/>
      <c r="I4" s="731"/>
      <c r="J4" s="731"/>
      <c r="K4" s="731"/>
      <c r="L4" s="734"/>
      <c r="M4" s="734"/>
      <c r="N4" s="734"/>
      <c r="O4" s="734"/>
      <c r="P4" s="734"/>
      <c r="Q4" s="734"/>
    </row>
    <row r="5">
      <c r="A5" s="731"/>
      <c r="B5" s="731"/>
      <c r="C5" s="731"/>
      <c r="D5" s="731"/>
      <c r="E5" s="731"/>
      <c r="F5" s="731"/>
      <c r="G5" s="731"/>
      <c r="H5" s="731"/>
      <c r="I5" s="731"/>
      <c r="J5" s="731"/>
      <c r="K5" s="731"/>
      <c r="L5" s="731"/>
      <c r="M5" s="731"/>
      <c r="N5" s="731"/>
      <c r="O5" s="731"/>
      <c r="P5" s="731"/>
      <c r="Q5" s="731"/>
    </row>
    <row r="6">
      <c r="A6" s="737" t="s">
        <v>2271</v>
      </c>
      <c r="H6" s="731"/>
      <c r="I6" s="731"/>
      <c r="J6" s="731"/>
      <c r="K6" s="731"/>
      <c r="L6" s="731"/>
      <c r="M6" s="731"/>
      <c r="N6" s="731"/>
      <c r="O6" s="731"/>
      <c r="P6" s="731"/>
      <c r="Q6" s="731"/>
    </row>
    <row r="7">
      <c r="A7" s="738" t="s">
        <v>2272</v>
      </c>
      <c r="B7" s="739"/>
      <c r="C7" s="739"/>
      <c r="D7" s="739"/>
      <c r="E7" s="739"/>
      <c r="F7" s="739"/>
      <c r="G7" s="739"/>
      <c r="H7" s="739"/>
      <c r="I7" s="739"/>
      <c r="J7" s="739"/>
      <c r="K7" s="740"/>
      <c r="L7" s="734"/>
      <c r="M7" s="734"/>
      <c r="N7" s="734"/>
      <c r="O7" s="734"/>
      <c r="P7" s="734"/>
      <c r="Q7" s="734"/>
    </row>
    <row r="8">
      <c r="A8" s="738" t="s">
        <v>2273</v>
      </c>
      <c r="B8" s="739"/>
      <c r="C8" s="740"/>
      <c r="D8" s="738" t="s">
        <v>2274</v>
      </c>
      <c r="E8" s="739"/>
      <c r="F8" s="740"/>
      <c r="G8" s="738" t="s">
        <v>2102</v>
      </c>
      <c r="H8" s="740"/>
      <c r="I8" s="741" t="s">
        <v>2275</v>
      </c>
      <c r="J8" s="741" t="s">
        <v>2276</v>
      </c>
      <c r="K8" s="742" t="s">
        <v>2277</v>
      </c>
      <c r="L8" s="743" t="s">
        <v>2278</v>
      </c>
      <c r="M8" s="734"/>
      <c r="N8" s="734"/>
      <c r="O8" s="734"/>
      <c r="P8" s="734"/>
      <c r="Q8" s="734"/>
    </row>
    <row r="9">
      <c r="A9" s="744" t="s">
        <v>2279</v>
      </c>
      <c r="B9" s="745"/>
      <c r="C9" s="745"/>
      <c r="D9" s="745"/>
      <c r="E9" s="745"/>
      <c r="F9" s="745"/>
      <c r="G9" s="745"/>
      <c r="H9" s="745"/>
      <c r="I9" s="745"/>
      <c r="J9" s="745"/>
      <c r="K9" s="746"/>
      <c r="L9" s="734"/>
      <c r="M9" s="734"/>
      <c r="N9" s="734"/>
      <c r="O9" s="734"/>
      <c r="P9" s="734"/>
      <c r="Q9" s="734"/>
    </row>
    <row r="10">
      <c r="A10" s="747" t="s">
        <v>2280</v>
      </c>
      <c r="B10" s="745"/>
      <c r="C10" s="746"/>
      <c r="D10" s="747">
        <v>3.0</v>
      </c>
      <c r="E10" s="745"/>
      <c r="F10" s="746"/>
      <c r="G10" s="747" t="s">
        <v>2059</v>
      </c>
      <c r="H10" s="746"/>
      <c r="I10" s="748" t="s">
        <v>2281</v>
      </c>
      <c r="J10" s="749">
        <v>45373.0</v>
      </c>
      <c r="K10" s="750">
        <v>56.0</v>
      </c>
      <c r="L10" s="743" t="s">
        <v>2282</v>
      </c>
      <c r="M10" s="734"/>
      <c r="N10" s="743"/>
      <c r="O10" s="743"/>
      <c r="Q10" s="751"/>
    </row>
    <row r="11">
      <c r="A11" s="747" t="s">
        <v>2283</v>
      </c>
      <c r="B11" s="745"/>
      <c r="C11" s="746"/>
      <c r="D11" s="747">
        <v>5.0</v>
      </c>
      <c r="E11" s="745"/>
      <c r="F11" s="746"/>
      <c r="G11" s="747" t="s">
        <v>2071</v>
      </c>
      <c r="H11" s="746"/>
      <c r="I11" s="748" t="s">
        <v>2284</v>
      </c>
      <c r="J11" s="749">
        <v>45373.0</v>
      </c>
      <c r="K11" s="750">
        <v>56.0</v>
      </c>
      <c r="L11" s="743" t="s">
        <v>2285</v>
      </c>
      <c r="M11" s="734"/>
      <c r="N11" s="743"/>
      <c r="O11" s="743"/>
      <c r="Q11" s="751"/>
    </row>
    <row r="12">
      <c r="A12" s="747" t="s">
        <v>2286</v>
      </c>
      <c r="B12" s="745"/>
      <c r="C12" s="746"/>
      <c r="D12" s="747">
        <v>22.0</v>
      </c>
      <c r="E12" s="745"/>
      <c r="F12" s="746"/>
      <c r="G12" s="747" t="s">
        <v>2287</v>
      </c>
      <c r="H12" s="746"/>
      <c r="I12" s="748" t="s">
        <v>2288</v>
      </c>
      <c r="J12" s="749">
        <v>45932.0</v>
      </c>
      <c r="K12" s="752">
        <v>7.0</v>
      </c>
      <c r="L12" s="743" t="s">
        <v>2289</v>
      </c>
      <c r="M12" s="734"/>
      <c r="N12" s="743"/>
      <c r="O12" s="743"/>
      <c r="Q12" s="751"/>
    </row>
    <row r="13">
      <c r="A13" s="747" t="s">
        <v>2290</v>
      </c>
      <c r="B13" s="745"/>
      <c r="C13" s="746"/>
      <c r="D13" s="747">
        <v>11.0</v>
      </c>
      <c r="E13" s="745"/>
      <c r="F13" s="746"/>
      <c r="G13" s="747" t="s">
        <v>2069</v>
      </c>
      <c r="H13" s="746"/>
      <c r="I13" s="748" t="s">
        <v>2291</v>
      </c>
      <c r="J13" s="749">
        <v>45627.0</v>
      </c>
      <c r="K13" s="752">
        <v>28.0</v>
      </c>
      <c r="L13" s="743" t="s">
        <v>2292</v>
      </c>
      <c r="M13" s="734"/>
      <c r="N13" s="743"/>
      <c r="O13" s="743"/>
      <c r="Q13" s="751"/>
    </row>
    <row r="14">
      <c r="A14" s="747" t="s">
        <v>2293</v>
      </c>
      <c r="B14" s="745"/>
      <c r="C14" s="746"/>
      <c r="D14" s="747">
        <v>21.0</v>
      </c>
      <c r="E14" s="745"/>
      <c r="F14" s="746"/>
      <c r="G14" s="747" t="s">
        <v>2294</v>
      </c>
      <c r="H14" s="746"/>
      <c r="I14" s="748" t="s">
        <v>2295</v>
      </c>
      <c r="J14" s="749">
        <v>45931.0</v>
      </c>
      <c r="K14" s="752">
        <v>7.0</v>
      </c>
      <c r="L14" s="743" t="s">
        <v>2296</v>
      </c>
      <c r="M14" s="734"/>
      <c r="N14" s="743"/>
      <c r="O14" s="743"/>
      <c r="Q14" s="751"/>
    </row>
    <row r="15">
      <c r="A15" s="747" t="s">
        <v>2297</v>
      </c>
      <c r="B15" s="745"/>
      <c r="C15" s="746"/>
      <c r="D15" s="747">
        <v>15.0</v>
      </c>
      <c r="E15" s="745"/>
      <c r="F15" s="746"/>
      <c r="G15" s="747" t="s">
        <v>2069</v>
      </c>
      <c r="H15" s="746"/>
      <c r="I15" s="748" t="s">
        <v>2298</v>
      </c>
      <c r="J15" s="749">
        <v>45790.0</v>
      </c>
      <c r="K15" s="752">
        <v>19.0</v>
      </c>
      <c r="L15" s="743" t="s">
        <v>2299</v>
      </c>
      <c r="M15" s="734"/>
      <c r="N15" s="743"/>
      <c r="O15" s="743"/>
      <c r="Q15" s="751"/>
    </row>
    <row r="16">
      <c r="A16" s="747" t="s">
        <v>2300</v>
      </c>
      <c r="B16" s="745"/>
      <c r="C16" s="746"/>
      <c r="D16" s="747">
        <v>2.0</v>
      </c>
      <c r="E16" s="745"/>
      <c r="F16" s="746"/>
      <c r="G16" s="747" t="s">
        <v>2058</v>
      </c>
      <c r="H16" s="746"/>
      <c r="I16" s="748" t="s">
        <v>2301</v>
      </c>
      <c r="J16" s="749">
        <v>42705.0</v>
      </c>
      <c r="K16" s="750">
        <v>196.0</v>
      </c>
      <c r="L16" s="743" t="s">
        <v>2302</v>
      </c>
      <c r="M16" s="734"/>
      <c r="N16" s="743"/>
      <c r="O16" s="743"/>
      <c r="Q16" s="751"/>
    </row>
    <row r="17">
      <c r="A17" s="747" t="s">
        <v>2303</v>
      </c>
      <c r="B17" s="745"/>
      <c r="C17" s="746"/>
      <c r="D17" s="747">
        <v>16.0</v>
      </c>
      <c r="E17" s="745"/>
      <c r="F17" s="746"/>
      <c r="G17" s="747" t="s">
        <v>2304</v>
      </c>
      <c r="H17" s="746"/>
      <c r="I17" s="748" t="s">
        <v>2305</v>
      </c>
      <c r="J17" s="749">
        <v>45810.0</v>
      </c>
      <c r="K17" s="752">
        <v>16.0</v>
      </c>
      <c r="L17" s="743" t="s">
        <v>2306</v>
      </c>
      <c r="M17" s="734"/>
      <c r="N17" s="743"/>
      <c r="O17" s="743"/>
      <c r="Q17" s="751"/>
    </row>
    <row r="18">
      <c r="A18" s="747" t="s">
        <v>2307</v>
      </c>
      <c r="B18" s="745"/>
      <c r="C18" s="746"/>
      <c r="D18" s="747">
        <v>14.0</v>
      </c>
      <c r="E18" s="745"/>
      <c r="F18" s="746"/>
      <c r="G18" s="747" t="s">
        <v>2094</v>
      </c>
      <c r="H18" s="746"/>
      <c r="I18" s="748" t="s">
        <v>2308</v>
      </c>
      <c r="J18" s="749">
        <v>45670.0</v>
      </c>
      <c r="K18" s="752">
        <v>14.0</v>
      </c>
      <c r="L18" s="743" t="s">
        <v>2309</v>
      </c>
      <c r="M18" s="734"/>
      <c r="N18" s="743"/>
      <c r="O18" s="743"/>
      <c r="Q18" s="751"/>
    </row>
    <row r="19">
      <c r="A19" s="747" t="s">
        <v>2310</v>
      </c>
      <c r="B19" s="745"/>
      <c r="C19" s="746"/>
      <c r="D19" s="747">
        <v>9.0</v>
      </c>
      <c r="E19" s="745"/>
      <c r="F19" s="746"/>
      <c r="G19" s="747" t="s">
        <v>2065</v>
      </c>
      <c r="H19" s="746"/>
      <c r="I19" s="748" t="s">
        <v>2305</v>
      </c>
      <c r="J19" s="749">
        <v>45481.0</v>
      </c>
      <c r="K19" s="750">
        <v>46.0</v>
      </c>
      <c r="L19" s="743" t="s">
        <v>2306</v>
      </c>
      <c r="M19" s="734"/>
      <c r="N19" s="743"/>
      <c r="O19" s="743"/>
      <c r="Q19" s="751"/>
    </row>
    <row r="20">
      <c r="A20" s="747" t="s">
        <v>2311</v>
      </c>
      <c r="B20" s="745"/>
      <c r="C20" s="746"/>
      <c r="D20" s="747">
        <v>18.0</v>
      </c>
      <c r="E20" s="745"/>
      <c r="F20" s="746"/>
      <c r="G20" s="747" t="s">
        <v>2070</v>
      </c>
      <c r="H20" s="746"/>
      <c r="I20" s="748" t="s">
        <v>2312</v>
      </c>
      <c r="J20" s="749">
        <v>45810.0</v>
      </c>
      <c r="K20" s="752">
        <v>12.0</v>
      </c>
      <c r="L20" s="743" t="s">
        <v>2313</v>
      </c>
      <c r="M20" s="734"/>
      <c r="N20" s="743"/>
      <c r="O20" s="743"/>
      <c r="Q20" s="751"/>
    </row>
    <row r="21">
      <c r="A21" s="747" t="s">
        <v>2314</v>
      </c>
      <c r="B21" s="745"/>
      <c r="C21" s="746"/>
      <c r="D21" s="747">
        <v>20.0</v>
      </c>
      <c r="E21" s="745"/>
      <c r="F21" s="746"/>
      <c r="G21" s="747" t="s">
        <v>2155</v>
      </c>
      <c r="H21" s="746"/>
      <c r="I21" s="748" t="s">
        <v>2315</v>
      </c>
      <c r="J21" s="749">
        <v>45931.0</v>
      </c>
      <c r="K21" s="752">
        <v>7.0</v>
      </c>
      <c r="L21" s="743" t="s">
        <v>2316</v>
      </c>
      <c r="M21" s="734"/>
      <c r="N21" s="743"/>
      <c r="O21" s="743"/>
      <c r="Q21" s="751"/>
    </row>
    <row r="22">
      <c r="A22" s="747" t="s">
        <v>2317</v>
      </c>
      <c r="B22" s="745"/>
      <c r="C22" s="746"/>
      <c r="D22" s="747">
        <v>13.0</v>
      </c>
      <c r="E22" s="745"/>
      <c r="F22" s="746"/>
      <c r="G22" s="747" t="s">
        <v>2094</v>
      </c>
      <c r="H22" s="746"/>
      <c r="I22" s="748" t="s">
        <v>2318</v>
      </c>
      <c r="J22" s="749">
        <v>45666.0</v>
      </c>
      <c r="K22" s="752">
        <v>14.0</v>
      </c>
      <c r="L22" s="743" t="s">
        <v>2319</v>
      </c>
      <c r="M22" s="734"/>
      <c r="N22" s="743"/>
      <c r="O22" s="743"/>
      <c r="Q22" s="751"/>
    </row>
    <row r="23">
      <c r="A23" s="747" t="s">
        <v>2320</v>
      </c>
      <c r="B23" s="745"/>
      <c r="C23" s="746"/>
      <c r="D23" s="747">
        <v>8.0</v>
      </c>
      <c r="E23" s="745"/>
      <c r="F23" s="746"/>
      <c r="G23" s="747" t="s">
        <v>2069</v>
      </c>
      <c r="H23" s="746"/>
      <c r="I23" s="748" t="s">
        <v>2298</v>
      </c>
      <c r="J23" s="749">
        <v>45414.0</v>
      </c>
      <c r="K23" s="750">
        <v>51.0</v>
      </c>
      <c r="L23" s="743" t="s">
        <v>2299</v>
      </c>
      <c r="M23" s="734"/>
      <c r="N23" s="743"/>
      <c r="O23" s="743"/>
      <c r="Q23" s="751"/>
    </row>
    <row r="24">
      <c r="A24" s="747" t="s">
        <v>2321</v>
      </c>
      <c r="B24" s="745"/>
      <c r="C24" s="746"/>
      <c r="D24" s="747">
        <v>7.0</v>
      </c>
      <c r="E24" s="745"/>
      <c r="F24" s="746"/>
      <c r="G24" s="747" t="s">
        <v>2069</v>
      </c>
      <c r="H24" s="746"/>
      <c r="I24" s="748" t="s">
        <v>2322</v>
      </c>
      <c r="J24" s="749">
        <v>45373.0</v>
      </c>
      <c r="K24" s="750">
        <v>56.0</v>
      </c>
      <c r="L24" s="743" t="s">
        <v>2323</v>
      </c>
      <c r="M24" s="734"/>
      <c r="N24" s="743"/>
      <c r="O24" s="743"/>
      <c r="Q24" s="751"/>
    </row>
    <row r="25">
      <c r="A25" s="747" t="s">
        <v>2324</v>
      </c>
      <c r="B25" s="745"/>
      <c r="C25" s="746"/>
      <c r="D25" s="747">
        <v>17.0</v>
      </c>
      <c r="E25" s="745"/>
      <c r="F25" s="746"/>
      <c r="G25" s="747" t="s">
        <v>2152</v>
      </c>
      <c r="H25" s="746"/>
      <c r="I25" s="748" t="s">
        <v>2325</v>
      </c>
      <c r="J25" s="749">
        <v>45810.0</v>
      </c>
      <c r="K25" s="752">
        <v>16.0</v>
      </c>
      <c r="L25" s="743" t="s">
        <v>2326</v>
      </c>
      <c r="M25" s="734"/>
      <c r="N25" s="743"/>
      <c r="O25" s="743"/>
      <c r="Q25" s="751"/>
    </row>
    <row r="26">
      <c r="A26" s="747" t="s">
        <v>2327</v>
      </c>
      <c r="B26" s="745"/>
      <c r="C26" s="746"/>
      <c r="D26" s="747">
        <v>19.0</v>
      </c>
      <c r="E26" s="745"/>
      <c r="F26" s="746"/>
      <c r="G26" s="747" t="s">
        <v>2157</v>
      </c>
      <c r="H26" s="746"/>
      <c r="I26" s="748" t="s">
        <v>2328</v>
      </c>
      <c r="J26" s="749">
        <v>45931.0</v>
      </c>
      <c r="K26" s="752">
        <v>7.0</v>
      </c>
      <c r="L26" s="743" t="s">
        <v>2329</v>
      </c>
      <c r="M26" s="734"/>
      <c r="N26" s="743"/>
      <c r="O26" s="743"/>
      <c r="Q26" s="751"/>
    </row>
    <row r="27">
      <c r="A27" s="747" t="s">
        <v>2330</v>
      </c>
      <c r="B27" s="745"/>
      <c r="C27" s="746"/>
      <c r="D27" s="747">
        <v>6.0</v>
      </c>
      <c r="E27" s="745"/>
      <c r="F27" s="746"/>
      <c r="G27" s="747" t="s">
        <v>2094</v>
      </c>
      <c r="H27" s="746"/>
      <c r="I27" s="748" t="s">
        <v>2331</v>
      </c>
      <c r="J27" s="749">
        <v>45373.0</v>
      </c>
      <c r="K27" s="752">
        <v>17.0</v>
      </c>
      <c r="L27" s="743" t="s">
        <v>2332</v>
      </c>
      <c r="M27" s="734"/>
      <c r="N27" s="743"/>
      <c r="O27" s="743"/>
      <c r="Q27" s="751"/>
    </row>
  </sheetData>
  <mergeCells count="80">
    <mergeCell ref="O10:P10"/>
    <mergeCell ref="O11:P11"/>
    <mergeCell ref="O12:P12"/>
    <mergeCell ref="O13:P13"/>
    <mergeCell ref="O14:P14"/>
    <mergeCell ref="O15:P15"/>
    <mergeCell ref="O16:P16"/>
    <mergeCell ref="O24:P24"/>
    <mergeCell ref="O25:P25"/>
    <mergeCell ref="O26:P26"/>
    <mergeCell ref="O27:P27"/>
    <mergeCell ref="O17:P17"/>
    <mergeCell ref="O18:P18"/>
    <mergeCell ref="O19:P19"/>
    <mergeCell ref="O20:P20"/>
    <mergeCell ref="O21:P21"/>
    <mergeCell ref="O22:P22"/>
    <mergeCell ref="O23:P23"/>
    <mergeCell ref="D20:F20"/>
    <mergeCell ref="G20:H20"/>
    <mergeCell ref="A18:C18"/>
    <mergeCell ref="D18:F18"/>
    <mergeCell ref="G18:H18"/>
    <mergeCell ref="A19:C19"/>
    <mergeCell ref="D19:F19"/>
    <mergeCell ref="G19:H19"/>
    <mergeCell ref="A20:C20"/>
    <mergeCell ref="D23:F23"/>
    <mergeCell ref="G23:H23"/>
    <mergeCell ref="A21:C21"/>
    <mergeCell ref="D21:F21"/>
    <mergeCell ref="G21:H21"/>
    <mergeCell ref="A22:C22"/>
    <mergeCell ref="D22:F22"/>
    <mergeCell ref="G22:H22"/>
    <mergeCell ref="A23:C23"/>
    <mergeCell ref="D26:F26"/>
    <mergeCell ref="G26:H26"/>
    <mergeCell ref="A24:C24"/>
    <mergeCell ref="D24:F24"/>
    <mergeCell ref="G24:H24"/>
    <mergeCell ref="A25:C25"/>
    <mergeCell ref="D25:F25"/>
    <mergeCell ref="G25:H25"/>
    <mergeCell ref="A26:C26"/>
    <mergeCell ref="A2:E2"/>
    <mergeCell ref="B4:C4"/>
    <mergeCell ref="A6:G6"/>
    <mergeCell ref="A7:K7"/>
    <mergeCell ref="D8:F8"/>
    <mergeCell ref="G8:H8"/>
    <mergeCell ref="A9:K9"/>
    <mergeCell ref="A8:C8"/>
    <mergeCell ref="A10:C10"/>
    <mergeCell ref="D10:F10"/>
    <mergeCell ref="G10:H10"/>
    <mergeCell ref="A11:C11"/>
    <mergeCell ref="D11:F11"/>
    <mergeCell ref="G11:H11"/>
    <mergeCell ref="D14:F14"/>
    <mergeCell ref="G14:H14"/>
    <mergeCell ref="A12:C12"/>
    <mergeCell ref="D12:F12"/>
    <mergeCell ref="G12:H12"/>
    <mergeCell ref="A13:C13"/>
    <mergeCell ref="D13:F13"/>
    <mergeCell ref="G13:H13"/>
    <mergeCell ref="A14:C14"/>
    <mergeCell ref="D17:F17"/>
    <mergeCell ref="G17:H17"/>
    <mergeCell ref="A15:C15"/>
    <mergeCell ref="D15:F15"/>
    <mergeCell ref="G15:H15"/>
    <mergeCell ref="A16:C16"/>
    <mergeCell ref="D16:F16"/>
    <mergeCell ref="G16:H16"/>
    <mergeCell ref="A17:C17"/>
    <mergeCell ref="A27:C27"/>
    <mergeCell ref="D27:F27"/>
    <mergeCell ref="G27:H27"/>
  </mergeCells>
  <drawing r:id="rId1"/>
</worksheet>
</file>